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pivotTables/pivotTable2.xml" ContentType="application/vnd.openxmlformats-officedocument.spreadsheetml.pivotTable+xml"/>
  <Override PartName="/xl/drawings/drawing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80" windowHeight="1170" tabRatio="626" firstSheet="1" activeTab="1"/>
  </bookViews>
  <sheets>
    <sheet name="ALT-DIC" sheetId="1" r:id="rId1"/>
    <sheet name="ALT-ENE" sheetId="2" r:id="rId2"/>
    <sheet name="ALT-FEB" sheetId="3" r:id="rId3"/>
    <sheet name="ALT-MARZ" sheetId="4" r:id="rId4"/>
    <sheet name="DIAM-DIC" sheetId="5" r:id="rId5"/>
    <sheet name="DIAM-ENE" sheetId="6" r:id="rId6"/>
    <sheet name="DIAM-FEB" sheetId="7" r:id="rId7"/>
    <sheet name="DIAM-MARZ" sheetId="8" r:id="rId8"/>
    <sheet name="FITO-DIC" sheetId="9" r:id="rId9"/>
    <sheet name="FITO-ENE" sheetId="10" r:id="rId10"/>
    <sheet name="FITO-FEB" sheetId="11" r:id="rId11"/>
    <sheet name="FITO-MARZ" sheetId="37" r:id="rId12"/>
    <sheet name="Area foliar" sheetId="12" r:id="rId13"/>
    <sheet name="CFMS" sheetId="13" r:id="rId14"/>
    <sheet name="Rasgos foliares" sheetId="31" r:id="rId15"/>
    <sheet name="Habitos" sheetId="36" r:id="rId16"/>
    <sheet name="lista definitiva" sheetId="14" r:id="rId17"/>
    <sheet name="Tabla resumen alturas" sheetId="30" r:id="rId18"/>
    <sheet name="Graficos altura" sheetId="25" r:id="rId19"/>
    <sheet name="Tabla resumen diametros" sheetId="16" r:id="rId20"/>
    <sheet name="Graficos diametros" sheetId="24" r:id="rId21"/>
    <sheet name="Crecimiento" sheetId="28" r:id="rId22"/>
  </sheets>
  <definedNames>
    <definedName name="_xlnm._FilterDatabase" localSheetId="0" hidden="1">'ALT-DIC'!$A$3:$T$260</definedName>
    <definedName name="_xlnm._FilterDatabase" localSheetId="13" hidden="1">CFMS!$A$2:$S$90</definedName>
    <definedName name="_xlnm._FilterDatabase" localSheetId="21" hidden="1">Crecimiento!$G$4:$L$92</definedName>
    <definedName name="_xlnm._FilterDatabase" localSheetId="9" hidden="1">'FITO-ENE'!$A$3:$L$260</definedName>
    <definedName name="_xlnm._FilterDatabase" localSheetId="15" hidden="1">Habitos!$B$1:$C$89</definedName>
    <definedName name="_xlnm._FilterDatabase" localSheetId="16" hidden="1">'lista definitiva'!$D$2:$D$90</definedName>
    <definedName name="_xlnm._FilterDatabase" localSheetId="14" hidden="1">'Rasgos foliares'!$A$2:$R$91</definedName>
    <definedName name="_xlnm._FilterDatabase" localSheetId="17" hidden="1">'Tabla resumen alturas'!$B$1:$N$219</definedName>
    <definedName name="_xlnm._FilterDatabase" localSheetId="19" hidden="1">'Tabla resumen diametros'!$B$1:$N$219</definedName>
  </definedNames>
  <calcPr calcId="152511"/>
  <pivotCaches>
    <pivotCache cacheId="0" r:id="rId23"/>
    <pivotCache cacheId="1" r:id="rId24"/>
  </pivotCaches>
</workbook>
</file>

<file path=xl/calcChain.xml><?xml version="1.0" encoding="utf-8"?>
<calcChain xmlns="http://schemas.openxmlformats.org/spreadsheetml/2006/main">
  <c r="M91" i="31" l="1"/>
  <c r="L91" i="31"/>
  <c r="M93" i="31"/>
  <c r="L93" i="31"/>
  <c r="N219" i="30"/>
  <c r="R90" i="31"/>
  <c r="M219" i="30"/>
  <c r="P90" i="31"/>
  <c r="N218" i="30"/>
  <c r="M218" i="30"/>
  <c r="N217" i="30"/>
  <c r="R89" i="31"/>
  <c r="M217" i="30"/>
  <c r="P89" i="31"/>
  <c r="N216" i="30"/>
  <c r="M216" i="30"/>
  <c r="N215" i="30"/>
  <c r="M215" i="30"/>
  <c r="N214" i="30"/>
  <c r="M214" i="30"/>
  <c r="N213" i="30"/>
  <c r="R88" i="31"/>
  <c r="M213" i="30"/>
  <c r="P88" i="31"/>
  <c r="N212" i="30"/>
  <c r="M212" i="30"/>
  <c r="N211" i="30"/>
  <c r="R87" i="31"/>
  <c r="M211" i="30"/>
  <c r="P87" i="31"/>
  <c r="N210" i="30"/>
  <c r="M210" i="30"/>
  <c r="N209" i="30"/>
  <c r="M209" i="30"/>
  <c r="N208" i="30"/>
  <c r="M208" i="30"/>
  <c r="N207" i="30"/>
  <c r="M207" i="30"/>
  <c r="N206" i="30"/>
  <c r="R86" i="31"/>
  <c r="M206" i="30"/>
  <c r="P86" i="31"/>
  <c r="N205" i="30"/>
  <c r="M205" i="30"/>
  <c r="N204" i="30"/>
  <c r="R85" i="31"/>
  <c r="M204" i="30"/>
  <c r="P85" i="31"/>
  <c r="N203" i="30"/>
  <c r="M203" i="30"/>
  <c r="N202" i="30"/>
  <c r="M202" i="30"/>
  <c r="N201" i="30"/>
  <c r="M201" i="30"/>
  <c r="L200" i="30"/>
  <c r="N200" i="30"/>
  <c r="N199" i="30"/>
  <c r="R84" i="31"/>
  <c r="M199" i="30"/>
  <c r="P84" i="31"/>
  <c r="N198" i="30"/>
  <c r="R83" i="31"/>
  <c r="M198" i="30"/>
  <c r="P83" i="31"/>
  <c r="N197" i="30"/>
  <c r="R82" i="31"/>
  <c r="M197" i="30"/>
  <c r="P82" i="31"/>
  <c r="N196" i="30"/>
  <c r="R81" i="31"/>
  <c r="M196" i="30"/>
  <c r="P81" i="31"/>
  <c r="N195" i="30"/>
  <c r="R80" i="31"/>
  <c r="M195" i="30"/>
  <c r="P80" i="31"/>
  <c r="N194" i="30"/>
  <c r="M194" i="30"/>
  <c r="N193" i="30"/>
  <c r="M193" i="30"/>
  <c r="N192" i="30"/>
  <c r="M192" i="30"/>
  <c r="N191" i="30"/>
  <c r="R79" i="31"/>
  <c r="M191" i="30"/>
  <c r="P79" i="31"/>
  <c r="N190" i="30"/>
  <c r="R78" i="31"/>
  <c r="M190" i="30"/>
  <c r="P78" i="31"/>
  <c r="N189" i="30"/>
  <c r="M189" i="30"/>
  <c r="N188" i="30"/>
  <c r="R77" i="31"/>
  <c r="M188" i="30"/>
  <c r="P77" i="31"/>
  <c r="N187" i="30"/>
  <c r="M187" i="30"/>
  <c r="N186" i="30"/>
  <c r="R76" i="31"/>
  <c r="M186" i="30"/>
  <c r="P76" i="31"/>
  <c r="N185" i="30"/>
  <c r="M185" i="30"/>
  <c r="N184" i="30"/>
  <c r="R75" i="31"/>
  <c r="M184" i="30"/>
  <c r="P75" i="31"/>
  <c r="N183" i="30"/>
  <c r="M183" i="30"/>
  <c r="L182" i="30"/>
  <c r="N182" i="30"/>
  <c r="N181" i="30"/>
  <c r="R74" i="31"/>
  <c r="M181" i="30"/>
  <c r="P74" i="31"/>
  <c r="N180" i="30"/>
  <c r="M180" i="30"/>
  <c r="N179" i="30"/>
  <c r="M179" i="30"/>
  <c r="N178" i="30"/>
  <c r="M178" i="30"/>
  <c r="N177" i="30"/>
  <c r="R73" i="31"/>
  <c r="M177" i="30"/>
  <c r="P73" i="31"/>
  <c r="N176" i="30"/>
  <c r="M176" i="30"/>
  <c r="N175" i="30"/>
  <c r="M175" i="30"/>
  <c r="N174" i="30"/>
  <c r="M174" i="30"/>
  <c r="N173" i="30"/>
  <c r="M173" i="30"/>
  <c r="N172" i="30"/>
  <c r="R72" i="31"/>
  <c r="M172" i="30"/>
  <c r="P72" i="31"/>
  <c r="N171" i="30"/>
  <c r="R71" i="31"/>
  <c r="M171" i="30"/>
  <c r="P71" i="31"/>
  <c r="N170" i="30"/>
  <c r="M170" i="30"/>
  <c r="N169" i="30"/>
  <c r="M169" i="30"/>
  <c r="N168" i="30"/>
  <c r="R70" i="31"/>
  <c r="M168" i="30"/>
  <c r="P70" i="31"/>
  <c r="N167" i="30"/>
  <c r="R69" i="31"/>
  <c r="M167" i="30"/>
  <c r="P69" i="31"/>
  <c r="N166" i="30"/>
  <c r="R68" i="31"/>
  <c r="M166" i="30"/>
  <c r="P68" i="31"/>
  <c r="N165" i="30"/>
  <c r="R67" i="31"/>
  <c r="M165" i="30"/>
  <c r="P67" i="31"/>
  <c r="N164" i="30"/>
  <c r="R66" i="31"/>
  <c r="M164" i="30"/>
  <c r="P66" i="31"/>
  <c r="N163" i="30"/>
  <c r="R65" i="31"/>
  <c r="M163" i="30"/>
  <c r="P65" i="31"/>
  <c r="N162" i="30"/>
  <c r="R64" i="31"/>
  <c r="M162" i="30"/>
  <c r="P64" i="31"/>
  <c r="N161" i="30"/>
  <c r="R63" i="31"/>
  <c r="M161" i="30"/>
  <c r="P63" i="31"/>
  <c r="N160" i="30"/>
  <c r="R62" i="31"/>
  <c r="M160" i="30"/>
  <c r="P62" i="31"/>
  <c r="N159" i="30"/>
  <c r="M159" i="30"/>
  <c r="N158" i="30"/>
  <c r="M158" i="30"/>
  <c r="N157" i="30"/>
  <c r="M157" i="30"/>
  <c r="N156" i="30"/>
  <c r="R61" i="31"/>
  <c r="M156" i="30"/>
  <c r="P61" i="31"/>
  <c r="N155" i="30"/>
  <c r="M155" i="30"/>
  <c r="N154" i="30"/>
  <c r="M154" i="30"/>
  <c r="N153" i="30"/>
  <c r="R60" i="31"/>
  <c r="M153" i="30"/>
  <c r="P60" i="31"/>
  <c r="N152" i="30"/>
  <c r="M152" i="30"/>
  <c r="N151" i="30"/>
  <c r="R59" i="31"/>
  <c r="M151" i="30"/>
  <c r="P59" i="31"/>
  <c r="N150" i="30"/>
  <c r="R58" i="31"/>
  <c r="M150" i="30"/>
  <c r="P58" i="31"/>
  <c r="N149" i="30"/>
  <c r="M149" i="30"/>
  <c r="N148" i="30"/>
  <c r="M148" i="30"/>
  <c r="L147" i="30"/>
  <c r="N147" i="30"/>
  <c r="R57" i="31"/>
  <c r="N146" i="30"/>
  <c r="M146" i="30"/>
  <c r="N145" i="30"/>
  <c r="M145" i="30"/>
  <c r="N144" i="30"/>
  <c r="M144" i="30"/>
  <c r="N143" i="30"/>
  <c r="R56" i="31"/>
  <c r="M143" i="30"/>
  <c r="P56" i="31"/>
  <c r="N142" i="30"/>
  <c r="R55" i="31"/>
  <c r="M142" i="30"/>
  <c r="P55" i="31"/>
  <c r="N141" i="30"/>
  <c r="M141" i="30"/>
  <c r="N140" i="30"/>
  <c r="M140" i="30"/>
  <c r="N139" i="30"/>
  <c r="M139" i="30"/>
  <c r="N138" i="30"/>
  <c r="M138" i="30"/>
  <c r="N137" i="30"/>
  <c r="M137" i="30"/>
  <c r="N136" i="30"/>
  <c r="R54" i="31"/>
  <c r="M136" i="30"/>
  <c r="P54" i="31"/>
  <c r="N135" i="30"/>
  <c r="M135" i="30"/>
  <c r="N134" i="30"/>
  <c r="M134" i="30"/>
  <c r="N133" i="30"/>
  <c r="R53" i="31"/>
  <c r="M133" i="30"/>
  <c r="P53" i="31"/>
  <c r="N132" i="30"/>
  <c r="R52" i="31"/>
  <c r="M132" i="30"/>
  <c r="P52" i="31"/>
  <c r="N131" i="30"/>
  <c r="R51" i="31"/>
  <c r="M131" i="30"/>
  <c r="P51" i="31"/>
  <c r="N130" i="30"/>
  <c r="R50" i="31"/>
  <c r="M130" i="30"/>
  <c r="P50" i="31"/>
  <c r="N129" i="30"/>
  <c r="M129" i="30"/>
  <c r="N128" i="30"/>
  <c r="M128" i="30"/>
  <c r="N127" i="30"/>
  <c r="M127" i="30"/>
  <c r="N126" i="30"/>
  <c r="M126" i="30"/>
  <c r="N125" i="30"/>
  <c r="M125" i="30"/>
  <c r="N124" i="30"/>
  <c r="M124" i="30"/>
  <c r="N123" i="30"/>
  <c r="M123" i="30"/>
  <c r="N122" i="30"/>
  <c r="R49" i="31"/>
  <c r="M122" i="30"/>
  <c r="P49" i="31"/>
  <c r="N121" i="30"/>
  <c r="M121" i="30"/>
  <c r="N120" i="30"/>
  <c r="R48" i="31"/>
  <c r="M120" i="30"/>
  <c r="P48" i="31"/>
  <c r="N119" i="30"/>
  <c r="R47" i="31"/>
  <c r="M119" i="30"/>
  <c r="P47" i="31"/>
  <c r="N118" i="30"/>
  <c r="M118" i="30"/>
  <c r="N117" i="30"/>
  <c r="M117" i="30"/>
  <c r="N116" i="30"/>
  <c r="R46" i="31"/>
  <c r="M116" i="30"/>
  <c r="P46" i="31"/>
  <c r="N115" i="30"/>
  <c r="R45" i="31"/>
  <c r="M115" i="30"/>
  <c r="P45" i="31"/>
  <c r="N114" i="30"/>
  <c r="R44" i="31"/>
  <c r="M114" i="30"/>
  <c r="P44" i="31"/>
  <c r="L113" i="30"/>
  <c r="N112" i="30"/>
  <c r="M112" i="30"/>
  <c r="N111" i="30"/>
  <c r="R42" i="31"/>
  <c r="M111" i="30"/>
  <c r="P42" i="31"/>
  <c r="N110" i="30"/>
  <c r="R41" i="31"/>
  <c r="M110" i="30"/>
  <c r="P41" i="31"/>
  <c r="N109" i="30"/>
  <c r="R40" i="31"/>
  <c r="M109" i="30"/>
  <c r="P40" i="31"/>
  <c r="N108" i="30"/>
  <c r="M108" i="30"/>
  <c r="N107" i="30"/>
  <c r="M107" i="30"/>
  <c r="N106" i="30"/>
  <c r="M106" i="30"/>
  <c r="N105" i="30"/>
  <c r="M105" i="30"/>
  <c r="N104" i="30"/>
  <c r="R39" i="31"/>
  <c r="M104" i="30"/>
  <c r="P39" i="31"/>
  <c r="N103" i="30"/>
  <c r="R38" i="31"/>
  <c r="M103" i="30"/>
  <c r="P38" i="31"/>
  <c r="N102" i="30"/>
  <c r="R37" i="31"/>
  <c r="M102" i="30"/>
  <c r="P37" i="31"/>
  <c r="N101" i="30"/>
  <c r="R36" i="31"/>
  <c r="M101" i="30"/>
  <c r="P36" i="31"/>
  <c r="N100" i="30"/>
  <c r="M100" i="30"/>
  <c r="N99" i="30"/>
  <c r="M99" i="30"/>
  <c r="N98" i="30"/>
  <c r="R35" i="31"/>
  <c r="M98" i="30"/>
  <c r="P35" i="31"/>
  <c r="N97" i="30"/>
  <c r="M97" i="30"/>
  <c r="N96" i="30"/>
  <c r="R34" i="31"/>
  <c r="M96" i="30"/>
  <c r="P34" i="31"/>
  <c r="N95" i="30"/>
  <c r="R33" i="31"/>
  <c r="M95" i="30"/>
  <c r="P33" i="31"/>
  <c r="N94" i="30"/>
  <c r="M94" i="30"/>
  <c r="N93" i="30"/>
  <c r="M93" i="30"/>
  <c r="N92" i="30"/>
  <c r="M92" i="30"/>
  <c r="N91" i="30"/>
  <c r="M91" i="30"/>
  <c r="N90" i="30"/>
  <c r="R32" i="31"/>
  <c r="M90" i="30"/>
  <c r="P32" i="31"/>
  <c r="N89" i="30"/>
  <c r="M89" i="30"/>
  <c r="N88" i="30"/>
  <c r="M88" i="30"/>
  <c r="N87" i="30"/>
  <c r="M87" i="30"/>
  <c r="N86" i="30"/>
  <c r="M86" i="30"/>
  <c r="N85" i="30"/>
  <c r="M85" i="30"/>
  <c r="L84" i="30"/>
  <c r="N84" i="30"/>
  <c r="N83" i="30"/>
  <c r="M83" i="30"/>
  <c r="N82" i="30"/>
  <c r="M82" i="30"/>
  <c r="N81" i="30"/>
  <c r="M81" i="30"/>
  <c r="L80" i="30"/>
  <c r="N80" i="30"/>
  <c r="R31" i="31"/>
  <c r="N79" i="30"/>
  <c r="M79" i="30"/>
  <c r="N78" i="30"/>
  <c r="R30" i="31"/>
  <c r="M78" i="30"/>
  <c r="P30" i="31"/>
  <c r="N77" i="30"/>
  <c r="R29" i="31"/>
  <c r="M77" i="30"/>
  <c r="P29" i="31"/>
  <c r="L76" i="30"/>
  <c r="M76" i="30"/>
  <c r="N75" i="30"/>
  <c r="M75" i="30"/>
  <c r="N74" i="30"/>
  <c r="M74" i="30"/>
  <c r="N73" i="30"/>
  <c r="R28" i="31"/>
  <c r="M73" i="30"/>
  <c r="P28" i="31"/>
  <c r="N72" i="30"/>
  <c r="M72" i="30"/>
  <c r="N71" i="30"/>
  <c r="M71" i="30"/>
  <c r="L70" i="30"/>
  <c r="N70" i="30"/>
  <c r="N69" i="30"/>
  <c r="M69" i="30"/>
  <c r="N68" i="30"/>
  <c r="M68" i="30"/>
  <c r="N67" i="30"/>
  <c r="R27" i="31"/>
  <c r="M67" i="30"/>
  <c r="P27" i="31"/>
  <c r="N66" i="30"/>
  <c r="M66" i="30"/>
  <c r="N65" i="30"/>
  <c r="R26" i="31"/>
  <c r="M65" i="30"/>
  <c r="P26" i="31"/>
  <c r="N64" i="30"/>
  <c r="R25" i="31"/>
  <c r="M64" i="30"/>
  <c r="P25" i="31"/>
  <c r="N63" i="30"/>
  <c r="M63" i="30"/>
  <c r="N62" i="30"/>
  <c r="M62" i="30"/>
  <c r="N61" i="30"/>
  <c r="M61" i="30"/>
  <c r="N60" i="30"/>
  <c r="M60" i="30"/>
  <c r="N59" i="30"/>
  <c r="M59" i="30"/>
  <c r="N58" i="30"/>
  <c r="M58" i="30"/>
  <c r="N57" i="30"/>
  <c r="M57" i="30"/>
  <c r="N56" i="30"/>
  <c r="R24" i="31"/>
  <c r="M56" i="30"/>
  <c r="P24" i="31"/>
  <c r="N55" i="30"/>
  <c r="M55" i="30"/>
  <c r="N54" i="30"/>
  <c r="M54" i="30"/>
  <c r="N53" i="30"/>
  <c r="R23" i="31"/>
  <c r="M53" i="30"/>
  <c r="P23" i="31"/>
  <c r="N52" i="30"/>
  <c r="M52" i="30"/>
  <c r="N51" i="30"/>
  <c r="M51" i="30"/>
  <c r="N50" i="30"/>
  <c r="M50" i="30"/>
  <c r="N49" i="30"/>
  <c r="M49" i="30"/>
  <c r="N48" i="30"/>
  <c r="M48" i="30"/>
  <c r="N47" i="30"/>
  <c r="M47" i="30"/>
  <c r="N46" i="30"/>
  <c r="M46" i="30"/>
  <c r="N45" i="30"/>
  <c r="M45" i="30"/>
  <c r="N44" i="30"/>
  <c r="M44" i="30"/>
  <c r="N43" i="30"/>
  <c r="M43" i="30"/>
  <c r="N42" i="30"/>
  <c r="R22" i="31"/>
  <c r="M42" i="30"/>
  <c r="P22" i="31"/>
  <c r="N41" i="30"/>
  <c r="M41" i="30"/>
  <c r="N40" i="30"/>
  <c r="M40" i="30"/>
  <c r="N39" i="30"/>
  <c r="M39" i="30"/>
  <c r="N38" i="30"/>
  <c r="R21" i="31"/>
  <c r="M38" i="30"/>
  <c r="P21" i="31"/>
  <c r="N37" i="30"/>
  <c r="R20" i="31"/>
  <c r="M37" i="30"/>
  <c r="P20" i="31"/>
  <c r="N36" i="30"/>
  <c r="M36" i="30"/>
  <c r="N35" i="30"/>
  <c r="R19" i="31"/>
  <c r="M35" i="30"/>
  <c r="P19" i="31"/>
  <c r="N34" i="30"/>
  <c r="R18" i="31"/>
  <c r="M34" i="30"/>
  <c r="P18" i="31"/>
  <c r="N33" i="30"/>
  <c r="M33" i="30"/>
  <c r="N32" i="30"/>
  <c r="R17" i="31"/>
  <c r="M32" i="30"/>
  <c r="P17" i="31"/>
  <c r="N31" i="30"/>
  <c r="M31" i="30"/>
  <c r="N30" i="30"/>
  <c r="M30" i="30"/>
  <c r="N29" i="30"/>
  <c r="R16" i="31"/>
  <c r="M29" i="30"/>
  <c r="P16" i="31"/>
  <c r="N28" i="30"/>
  <c r="R15" i="31"/>
  <c r="M28" i="30"/>
  <c r="P15" i="31"/>
  <c r="N27" i="30"/>
  <c r="R14" i="31"/>
  <c r="M27" i="30"/>
  <c r="P14" i="31"/>
  <c r="N26" i="30"/>
  <c r="M26" i="30"/>
  <c r="N25" i="30"/>
  <c r="M25" i="30"/>
  <c r="N24" i="30"/>
  <c r="R13" i="31"/>
  <c r="M24" i="30"/>
  <c r="P13" i="31"/>
  <c r="N23" i="30"/>
  <c r="R12" i="31"/>
  <c r="M23" i="30"/>
  <c r="P12" i="31"/>
  <c r="N22" i="30"/>
  <c r="R11" i="31"/>
  <c r="M22" i="30"/>
  <c r="P11" i="31"/>
  <c r="N21" i="30"/>
  <c r="M21" i="30"/>
  <c r="N20" i="30"/>
  <c r="M20" i="30"/>
  <c r="N19" i="30"/>
  <c r="R10" i="31"/>
  <c r="M19" i="30"/>
  <c r="P10" i="31"/>
  <c r="N18" i="30"/>
  <c r="R9" i="31"/>
  <c r="M18" i="30"/>
  <c r="P9" i="31"/>
  <c r="N17" i="30"/>
  <c r="M17" i="30"/>
  <c r="N16" i="30"/>
  <c r="M16" i="30"/>
  <c r="N15" i="30"/>
  <c r="R8" i="31"/>
  <c r="M15" i="30"/>
  <c r="P8" i="31"/>
  <c r="N14" i="30"/>
  <c r="M14" i="30"/>
  <c r="N13" i="30"/>
  <c r="M13" i="30"/>
  <c r="N12" i="30"/>
  <c r="M12" i="30"/>
  <c r="N11" i="30"/>
  <c r="R7" i="31"/>
  <c r="M11" i="30"/>
  <c r="P7" i="31"/>
  <c r="N10" i="30"/>
  <c r="M10" i="30"/>
  <c r="N9" i="30"/>
  <c r="M9" i="30"/>
  <c r="N8" i="30"/>
  <c r="M8" i="30"/>
  <c r="N7" i="30"/>
  <c r="R6" i="31"/>
  <c r="M7" i="30"/>
  <c r="P6" i="31"/>
  <c r="N6" i="30"/>
  <c r="M6" i="30"/>
  <c r="N5" i="30"/>
  <c r="R5" i="31"/>
  <c r="M5" i="30"/>
  <c r="P5" i="31"/>
  <c r="N4" i="30"/>
  <c r="M4" i="30"/>
  <c r="N3" i="30"/>
  <c r="R4" i="31"/>
  <c r="M3" i="30"/>
  <c r="P4" i="31"/>
  <c r="N2" i="30"/>
  <c r="R3" i="31"/>
  <c r="M2" i="30"/>
  <c r="P3" i="31"/>
  <c r="X4" i="12"/>
  <c r="W4" i="12"/>
  <c r="V4" i="12"/>
  <c r="U4" i="12"/>
  <c r="T4" i="12"/>
  <c r="O9" i="13"/>
  <c r="P9" i="13"/>
  <c r="O10" i="13"/>
  <c r="P10" i="13"/>
  <c r="O11" i="13"/>
  <c r="Q11" i="13"/>
  <c r="N11" i="31"/>
  <c r="P11" i="13"/>
  <c r="O12" i="13"/>
  <c r="Q12" i="13"/>
  <c r="N12" i="31"/>
  <c r="P12" i="13"/>
  <c r="O13" i="13"/>
  <c r="P13" i="13"/>
  <c r="Q13" i="13"/>
  <c r="N13" i="31"/>
  <c r="O14" i="13"/>
  <c r="P14" i="13"/>
  <c r="O15" i="13"/>
  <c r="P15" i="13"/>
  <c r="O16" i="13"/>
  <c r="Q16" i="13"/>
  <c r="N16" i="31"/>
  <c r="P16" i="13"/>
  <c r="O17" i="13"/>
  <c r="Q17" i="13"/>
  <c r="N17" i="31"/>
  <c r="P17" i="13"/>
  <c r="O18" i="13"/>
  <c r="Q18" i="13"/>
  <c r="N18" i="31"/>
  <c r="P18" i="13"/>
  <c r="O19" i="13"/>
  <c r="P19" i="13"/>
  <c r="O20" i="13"/>
  <c r="P20" i="13"/>
  <c r="O21" i="13"/>
  <c r="Q21" i="13"/>
  <c r="N21" i="31"/>
  <c r="P21" i="13"/>
  <c r="O22" i="13"/>
  <c r="Q22" i="13"/>
  <c r="N22" i="31"/>
  <c r="P22" i="13"/>
  <c r="O23" i="13"/>
  <c r="P23" i="13"/>
  <c r="O24" i="13"/>
  <c r="P24" i="13"/>
  <c r="O25" i="13"/>
  <c r="Q25" i="13"/>
  <c r="N25" i="31"/>
  <c r="P25" i="13"/>
  <c r="O26" i="13"/>
  <c r="Q26" i="13"/>
  <c r="N26" i="31"/>
  <c r="P26" i="13"/>
  <c r="O27" i="13"/>
  <c r="P27" i="13"/>
  <c r="O28" i="13"/>
  <c r="P28" i="13"/>
  <c r="O29" i="13"/>
  <c r="Q29" i="13"/>
  <c r="N29" i="31"/>
  <c r="P29" i="13"/>
  <c r="O30" i="13"/>
  <c r="Q30" i="13"/>
  <c r="N30" i="31"/>
  <c r="P30" i="13"/>
  <c r="O31" i="13"/>
  <c r="P31" i="13"/>
  <c r="O32" i="13"/>
  <c r="P32" i="13"/>
  <c r="O33" i="13"/>
  <c r="Q33" i="13"/>
  <c r="N33" i="31"/>
  <c r="P33" i="13"/>
  <c r="O34" i="13"/>
  <c r="Q34" i="13"/>
  <c r="N34" i="31"/>
  <c r="P34" i="13"/>
  <c r="O35" i="13"/>
  <c r="Q35" i="13"/>
  <c r="N35" i="31"/>
  <c r="P35" i="13"/>
  <c r="O36" i="13"/>
  <c r="P36" i="13"/>
  <c r="O37" i="13"/>
  <c r="P37" i="13"/>
  <c r="O38" i="13"/>
  <c r="Q38" i="13"/>
  <c r="N38" i="31"/>
  <c r="P38" i="13"/>
  <c r="O39" i="13"/>
  <c r="Q39" i="13"/>
  <c r="N39" i="31"/>
  <c r="P39" i="13"/>
  <c r="O40" i="13"/>
  <c r="P40" i="13"/>
  <c r="O41" i="13"/>
  <c r="P41" i="13"/>
  <c r="O42" i="13"/>
  <c r="Q42" i="13"/>
  <c r="N42" i="31"/>
  <c r="P42" i="13"/>
  <c r="O43" i="13"/>
  <c r="Q43" i="13"/>
  <c r="N43" i="31"/>
  <c r="P43" i="13"/>
  <c r="O44" i="13"/>
  <c r="P44" i="13"/>
  <c r="O45" i="13"/>
  <c r="P45" i="13"/>
  <c r="O46" i="13"/>
  <c r="Q46" i="13"/>
  <c r="N46" i="31"/>
  <c r="P46" i="13"/>
  <c r="O47" i="13"/>
  <c r="Q47" i="13"/>
  <c r="N47" i="31"/>
  <c r="P47" i="13"/>
  <c r="O48" i="13"/>
  <c r="P48" i="13"/>
  <c r="O49" i="13"/>
  <c r="P49" i="13"/>
  <c r="Q49" i="13"/>
  <c r="N49" i="31"/>
  <c r="O50" i="13"/>
  <c r="P50" i="13"/>
  <c r="O51" i="13"/>
  <c r="Q51" i="13"/>
  <c r="N51" i="31"/>
  <c r="P51" i="13"/>
  <c r="O52" i="13"/>
  <c r="Q52" i="13"/>
  <c r="N52" i="31"/>
  <c r="P52" i="13"/>
  <c r="O53" i="13"/>
  <c r="P53" i="13"/>
  <c r="O54" i="13"/>
  <c r="P54" i="13"/>
  <c r="O55" i="13"/>
  <c r="Q55" i="13"/>
  <c r="N55" i="31"/>
  <c r="P55" i="13"/>
  <c r="O56" i="13"/>
  <c r="Q56" i="13"/>
  <c r="N56" i="31"/>
  <c r="P56" i="13"/>
  <c r="O57" i="13"/>
  <c r="P57" i="13"/>
  <c r="O58" i="13"/>
  <c r="P58" i="13"/>
  <c r="O59" i="13"/>
  <c r="Q59" i="13"/>
  <c r="N59" i="31"/>
  <c r="P59" i="13"/>
  <c r="O60" i="13"/>
  <c r="Q60" i="13"/>
  <c r="N60" i="31"/>
  <c r="P60" i="13"/>
  <c r="O61" i="13"/>
  <c r="P61" i="13"/>
  <c r="O62" i="13"/>
  <c r="P62" i="13"/>
  <c r="O63" i="13"/>
  <c r="Q63" i="13"/>
  <c r="N63" i="31"/>
  <c r="P63" i="13"/>
  <c r="O64" i="13"/>
  <c r="Q64" i="13"/>
  <c r="N64" i="31"/>
  <c r="P64" i="13"/>
  <c r="O65" i="13"/>
  <c r="P65" i="13"/>
  <c r="O66" i="13"/>
  <c r="P66" i="13"/>
  <c r="O67" i="13"/>
  <c r="Q67" i="13"/>
  <c r="N67" i="31"/>
  <c r="P67" i="13"/>
  <c r="O68" i="13"/>
  <c r="Q68" i="13"/>
  <c r="N68" i="31"/>
  <c r="P68" i="13"/>
  <c r="O69" i="13"/>
  <c r="P69" i="13"/>
  <c r="O70" i="13"/>
  <c r="P70" i="13"/>
  <c r="O71" i="13"/>
  <c r="Q71" i="13"/>
  <c r="N71" i="31"/>
  <c r="P71" i="13"/>
  <c r="O72" i="13"/>
  <c r="Q72" i="13"/>
  <c r="N72" i="31"/>
  <c r="P72" i="13"/>
  <c r="O73" i="13"/>
  <c r="P73" i="13"/>
  <c r="O74" i="13"/>
  <c r="P74" i="13"/>
  <c r="O75" i="13"/>
  <c r="Q75" i="13"/>
  <c r="N75" i="31"/>
  <c r="P75" i="13"/>
  <c r="O76" i="13"/>
  <c r="Q76" i="13"/>
  <c r="N76" i="31"/>
  <c r="P76" i="13"/>
  <c r="O77" i="13"/>
  <c r="P77" i="13"/>
  <c r="O78" i="13"/>
  <c r="P78" i="13"/>
  <c r="O79" i="13"/>
  <c r="Q79" i="13"/>
  <c r="N79" i="31"/>
  <c r="P79" i="13"/>
  <c r="O80" i="13"/>
  <c r="Q80" i="13"/>
  <c r="N80" i="31"/>
  <c r="P80" i="13"/>
  <c r="O81" i="13"/>
  <c r="P81" i="13"/>
  <c r="O82" i="13"/>
  <c r="P82" i="13"/>
  <c r="O83" i="13"/>
  <c r="Q83" i="13"/>
  <c r="N83" i="31"/>
  <c r="P83" i="13"/>
  <c r="O84" i="13"/>
  <c r="Q84" i="13"/>
  <c r="N84" i="31"/>
  <c r="P84" i="13"/>
  <c r="O85" i="13"/>
  <c r="Q85" i="13"/>
  <c r="N85" i="31"/>
  <c r="P85" i="13"/>
  <c r="O86" i="13"/>
  <c r="Q86" i="13"/>
  <c r="N86" i="31"/>
  <c r="P86" i="13"/>
  <c r="O87" i="13"/>
  <c r="Q87" i="13"/>
  <c r="N87" i="31"/>
  <c r="P87" i="13"/>
  <c r="O88" i="13"/>
  <c r="Q88" i="13"/>
  <c r="N88" i="31"/>
  <c r="P88" i="13"/>
  <c r="O89" i="13"/>
  <c r="Q89" i="13"/>
  <c r="N89" i="31"/>
  <c r="P89" i="13"/>
  <c r="O90" i="13"/>
  <c r="Q90" i="13"/>
  <c r="N90" i="31"/>
  <c r="P90" i="13"/>
  <c r="O4" i="13"/>
  <c r="Q4" i="13"/>
  <c r="N4" i="31"/>
  <c r="P4" i="13"/>
  <c r="O5" i="13"/>
  <c r="Q5" i="13"/>
  <c r="N5" i="31"/>
  <c r="P5" i="13"/>
  <c r="O6" i="13"/>
  <c r="Q6" i="13"/>
  <c r="N6" i="31"/>
  <c r="P6" i="13"/>
  <c r="O7" i="13"/>
  <c r="Q7" i="13"/>
  <c r="N7" i="31"/>
  <c r="P7" i="13"/>
  <c r="O8" i="13"/>
  <c r="Q8" i="13"/>
  <c r="N8" i="31"/>
  <c r="P8" i="13"/>
  <c r="P3" i="13"/>
  <c r="L9" i="13"/>
  <c r="L4" i="13"/>
  <c r="L5" i="13"/>
  <c r="L6" i="13"/>
  <c r="L7" i="13"/>
  <c r="L8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3" i="13"/>
  <c r="O3" i="13"/>
  <c r="Q3" i="13"/>
  <c r="N3" i="31"/>
  <c r="M2" i="16"/>
  <c r="O3" i="31"/>
  <c r="K202" i="24"/>
  <c r="K90" i="24"/>
  <c r="L3" i="16"/>
  <c r="M3" i="16"/>
  <c r="O4" i="31"/>
  <c r="N124" i="16"/>
  <c r="M124" i="16"/>
  <c r="N27" i="16"/>
  <c r="Q14" i="31"/>
  <c r="M27" i="16"/>
  <c r="O14" i="31"/>
  <c r="N21" i="16"/>
  <c r="M21" i="16"/>
  <c r="N149" i="16"/>
  <c r="M149" i="16"/>
  <c r="N192" i="16"/>
  <c r="M192" i="16"/>
  <c r="N191" i="16"/>
  <c r="Q79" i="31"/>
  <c r="M191" i="16"/>
  <c r="O79" i="31"/>
  <c r="N180" i="16"/>
  <c r="M180" i="16"/>
  <c r="N170" i="16"/>
  <c r="M170" i="16"/>
  <c r="N112" i="16"/>
  <c r="M112" i="16"/>
  <c r="N117" i="16"/>
  <c r="M117" i="16"/>
  <c r="N205" i="16"/>
  <c r="M205" i="16"/>
  <c r="N210" i="16"/>
  <c r="M210" i="16"/>
  <c r="N89" i="16"/>
  <c r="M89" i="16"/>
  <c r="N120" i="16"/>
  <c r="Q48" i="31"/>
  <c r="M120" i="16"/>
  <c r="O48" i="31"/>
  <c r="N94" i="16"/>
  <c r="M94" i="16"/>
  <c r="N93" i="16"/>
  <c r="M93" i="16"/>
  <c r="N153" i="16"/>
  <c r="Q60" i="31"/>
  <c r="M153" i="16"/>
  <c r="O60" i="31"/>
  <c r="N110" i="16"/>
  <c r="Q41" i="31"/>
  <c r="M110" i="16"/>
  <c r="O41" i="31"/>
  <c r="N35" i="16"/>
  <c r="Q19" i="31"/>
  <c r="M35" i="16"/>
  <c r="O19" i="31"/>
  <c r="N72" i="16"/>
  <c r="M72" i="16"/>
  <c r="N71" i="16"/>
  <c r="M71" i="16"/>
  <c r="N176" i="16"/>
  <c r="M176" i="16"/>
  <c r="N140" i="16"/>
  <c r="M140" i="16"/>
  <c r="N70" i="16"/>
  <c r="M70" i="16"/>
  <c r="N69" i="16"/>
  <c r="M69" i="16"/>
  <c r="N68" i="16"/>
  <c r="M68" i="16"/>
  <c r="N67" i="16"/>
  <c r="Q27" i="31"/>
  <c r="M67" i="16"/>
  <c r="O27" i="31"/>
  <c r="N118" i="16"/>
  <c r="M118" i="16"/>
  <c r="N103" i="16"/>
  <c r="Q38" i="31"/>
  <c r="M103" i="16"/>
  <c r="O38" i="31"/>
  <c r="N146" i="16"/>
  <c r="M146" i="16"/>
  <c r="N198" i="16"/>
  <c r="Q83" i="31"/>
  <c r="M198" i="16"/>
  <c r="O83" i="31"/>
  <c r="N139" i="16"/>
  <c r="M139" i="16"/>
  <c r="N150" i="16"/>
  <c r="Q58" i="31"/>
  <c r="M150" i="16"/>
  <c r="O58" i="31"/>
  <c r="N196" i="16"/>
  <c r="Q81" i="31"/>
  <c r="M196" i="16"/>
  <c r="O81" i="31"/>
  <c r="N209" i="16"/>
  <c r="M209" i="16"/>
  <c r="N130" i="16"/>
  <c r="Q50" i="31"/>
  <c r="M130" i="16"/>
  <c r="O50" i="31"/>
  <c r="N10" i="16"/>
  <c r="M10" i="16"/>
  <c r="N179" i="16"/>
  <c r="M179" i="16"/>
  <c r="N178" i="16"/>
  <c r="M178" i="16"/>
  <c r="N177" i="16"/>
  <c r="Q73" i="31"/>
  <c r="M177" i="16"/>
  <c r="O73" i="31"/>
  <c r="N114" i="16"/>
  <c r="Q44" i="31"/>
  <c r="M114" i="16"/>
  <c r="O44" i="31"/>
  <c r="N79" i="16"/>
  <c r="M79" i="16"/>
  <c r="N109" i="16"/>
  <c r="Q40" i="31"/>
  <c r="M109" i="16"/>
  <c r="O40" i="31"/>
  <c r="N22" i="16"/>
  <c r="Q11" i="31"/>
  <c r="M22" i="16"/>
  <c r="O11" i="31"/>
  <c r="N212" i="16"/>
  <c r="M212" i="16"/>
  <c r="N187" i="16"/>
  <c r="M187" i="16"/>
  <c r="N123" i="16"/>
  <c r="M123" i="16"/>
  <c r="N122" i="16"/>
  <c r="Q49" i="31"/>
  <c r="M122" i="16"/>
  <c r="O49" i="31"/>
  <c r="N195" i="16"/>
  <c r="Q80" i="31"/>
  <c r="M195" i="16"/>
  <c r="O80" i="31"/>
  <c r="N33" i="16"/>
  <c r="M33" i="16"/>
  <c r="N32" i="16"/>
  <c r="Q17" i="31"/>
  <c r="M32" i="16"/>
  <c r="O17" i="31"/>
  <c r="N88" i="16"/>
  <c r="M88" i="16"/>
  <c r="N2" i="16"/>
  <c r="Q3" i="31"/>
  <c r="N115" i="16"/>
  <c r="Q45" i="31"/>
  <c r="M115" i="16"/>
  <c r="O45" i="31"/>
  <c r="N87" i="16"/>
  <c r="M87" i="16"/>
  <c r="N86" i="16"/>
  <c r="M86" i="16"/>
  <c r="N85" i="16"/>
  <c r="M85" i="16"/>
  <c r="N84" i="16"/>
  <c r="M84" i="16"/>
  <c r="N83" i="16"/>
  <c r="M83" i="16"/>
  <c r="N82" i="16"/>
  <c r="M82" i="16"/>
  <c r="N159" i="16"/>
  <c r="M159" i="16"/>
  <c r="N158" i="16"/>
  <c r="M158" i="16"/>
  <c r="N157" i="16"/>
  <c r="M157" i="16"/>
  <c r="N113" i="16"/>
  <c r="Q43" i="31"/>
  <c r="M113" i="16"/>
  <c r="O43" i="31"/>
  <c r="N9" i="16"/>
  <c r="M9" i="16"/>
  <c r="N8" i="16"/>
  <c r="M8" i="16"/>
  <c r="N7" i="16"/>
  <c r="Q6" i="31"/>
  <c r="M7" i="16"/>
  <c r="O6" i="31"/>
  <c r="N135" i="16"/>
  <c r="M135" i="16"/>
  <c r="N95" i="16"/>
  <c r="Q33" i="31"/>
  <c r="M95" i="16"/>
  <c r="O33" i="31"/>
  <c r="N101" i="16"/>
  <c r="Q36" i="31"/>
  <c r="M101" i="16"/>
  <c r="O36" i="31"/>
  <c r="N156" i="16"/>
  <c r="Q61" i="31"/>
  <c r="M156" i="16"/>
  <c r="O61" i="31"/>
  <c r="N185" i="16"/>
  <c r="M185" i="16"/>
  <c r="N184" i="16"/>
  <c r="Q75" i="31"/>
  <c r="M184" i="16"/>
  <c r="O75" i="31"/>
  <c r="N17" i="16"/>
  <c r="M17" i="16"/>
  <c r="N16" i="16"/>
  <c r="M16" i="16"/>
  <c r="N81" i="16"/>
  <c r="M81" i="16"/>
  <c r="N163" i="16"/>
  <c r="Q65" i="31"/>
  <c r="M163" i="16"/>
  <c r="O65" i="31"/>
  <c r="N97" i="16"/>
  <c r="M97" i="16"/>
  <c r="N102" i="16"/>
  <c r="Q37" i="31"/>
  <c r="M102" i="16"/>
  <c r="O37" i="31"/>
  <c r="N211" i="16"/>
  <c r="Q87" i="31"/>
  <c r="M211" i="16"/>
  <c r="O87" i="31"/>
  <c r="N162" i="16"/>
  <c r="Q64" i="31"/>
  <c r="M162" i="16"/>
  <c r="O64" i="31"/>
  <c r="N204" i="16"/>
  <c r="Q85" i="31"/>
  <c r="M204" i="16"/>
  <c r="O85" i="31"/>
  <c r="N100" i="16"/>
  <c r="M100" i="16"/>
  <c r="N116" i="16"/>
  <c r="Q46" i="31"/>
  <c r="M116" i="16"/>
  <c r="O46" i="31"/>
  <c r="N169" i="16"/>
  <c r="M169" i="16"/>
  <c r="N168" i="16"/>
  <c r="Q70" i="31"/>
  <c r="M168" i="16"/>
  <c r="O70" i="31"/>
  <c r="N14" i="16"/>
  <c r="M14" i="16"/>
  <c r="N186" i="16"/>
  <c r="Q76" i="31"/>
  <c r="M186" i="16"/>
  <c r="O76" i="31"/>
  <c r="N23" i="16"/>
  <c r="Q12" i="31"/>
  <c r="M23" i="16"/>
  <c r="O12" i="31"/>
  <c r="N5" i="16"/>
  <c r="Q5" i="31"/>
  <c r="M5" i="16"/>
  <c r="O5" i="31"/>
  <c r="N213" i="16"/>
  <c r="Q88" i="31"/>
  <c r="M213" i="16"/>
  <c r="O88" i="31"/>
  <c r="N164" i="16"/>
  <c r="Q66" i="31"/>
  <c r="M164" i="16"/>
  <c r="O66" i="31"/>
  <c r="N64" i="16"/>
  <c r="Q25" i="31"/>
  <c r="M64" i="16"/>
  <c r="O25" i="31"/>
  <c r="N131" i="16"/>
  <c r="Q51" i="31"/>
  <c r="M131" i="16"/>
  <c r="O51" i="31"/>
  <c r="N13" i="16"/>
  <c r="M13" i="16"/>
  <c r="N18" i="16"/>
  <c r="Q9" i="31"/>
  <c r="M18" i="16"/>
  <c r="O9" i="31"/>
  <c r="N11" i="16"/>
  <c r="Q7" i="31"/>
  <c r="M11" i="16"/>
  <c r="O7" i="31"/>
  <c r="N62" i="16"/>
  <c r="M62" i="16"/>
  <c r="N138" i="16"/>
  <c r="M138" i="16"/>
  <c r="N142" i="16"/>
  <c r="Q55" i="31"/>
  <c r="M142" i="16"/>
  <c r="O55" i="31"/>
  <c r="N137" i="16"/>
  <c r="M137" i="16"/>
  <c r="N141" i="16"/>
  <c r="M141" i="16"/>
  <c r="N136" i="16"/>
  <c r="Q54" i="31"/>
  <c r="M136" i="16"/>
  <c r="O54" i="31"/>
  <c r="N20" i="16"/>
  <c r="M20" i="16"/>
  <c r="N19" i="16"/>
  <c r="Q10" i="31"/>
  <c r="M19" i="16"/>
  <c r="O10" i="31"/>
  <c r="N147" i="16"/>
  <c r="Q57" i="31"/>
  <c r="M147" i="16"/>
  <c r="O57" i="31"/>
  <c r="N92" i="16"/>
  <c r="M92" i="16"/>
  <c r="N91" i="16"/>
  <c r="M91" i="16"/>
  <c r="N90" i="16"/>
  <c r="Q32" i="31"/>
  <c r="M90" i="16"/>
  <c r="O32" i="31"/>
  <c r="N25" i="16"/>
  <c r="Q13" i="31"/>
  <c r="M25" i="16"/>
  <c r="O13" i="31"/>
  <c r="N52" i="16"/>
  <c r="M52" i="16"/>
  <c r="N63" i="16"/>
  <c r="M63" i="16"/>
  <c r="N51" i="16"/>
  <c r="M51" i="16"/>
  <c r="N34" i="16"/>
  <c r="Q18" i="31"/>
  <c r="M34" i="16"/>
  <c r="O18" i="31"/>
  <c r="N152" i="16"/>
  <c r="M152" i="16"/>
  <c r="N151" i="16"/>
  <c r="Q59" i="31"/>
  <c r="M151" i="16"/>
  <c r="O59" i="31"/>
  <c r="N175" i="16"/>
  <c r="M175" i="16"/>
  <c r="N174" i="16"/>
  <c r="M174" i="16"/>
  <c r="N173" i="16"/>
  <c r="M173" i="16"/>
  <c r="N172" i="16"/>
  <c r="Q72" i="31"/>
  <c r="M172" i="16"/>
  <c r="O72" i="31"/>
  <c r="N183" i="16"/>
  <c r="M183" i="16"/>
  <c r="N182" i="16"/>
  <c r="M182" i="16"/>
  <c r="N181" i="16"/>
  <c r="Q74" i="31"/>
  <c r="M181" i="16"/>
  <c r="O74" i="31"/>
  <c r="N41" i="16"/>
  <c r="M41" i="16"/>
  <c r="N40" i="16"/>
  <c r="M40" i="16"/>
  <c r="N61" i="16"/>
  <c r="M61" i="16"/>
  <c r="N37" i="16"/>
  <c r="Q20" i="31"/>
  <c r="M37" i="16"/>
  <c r="O20" i="31"/>
  <c r="N39" i="16"/>
  <c r="M39" i="16"/>
  <c r="N36" i="16"/>
  <c r="M36" i="16"/>
  <c r="N38" i="16"/>
  <c r="Q21" i="31"/>
  <c r="M38" i="16"/>
  <c r="O21" i="31"/>
  <c r="N50" i="16"/>
  <c r="M50" i="16"/>
  <c r="N49" i="16"/>
  <c r="M49" i="16"/>
  <c r="N48" i="16"/>
  <c r="M48" i="16"/>
  <c r="N47" i="16"/>
  <c r="M47" i="16"/>
  <c r="N46" i="16"/>
  <c r="M46" i="16"/>
  <c r="N45" i="16"/>
  <c r="M45" i="16"/>
  <c r="N44" i="16"/>
  <c r="M44" i="16"/>
  <c r="N54" i="16"/>
  <c r="M54" i="16"/>
  <c r="N99" i="16"/>
  <c r="M99" i="16"/>
  <c r="N98" i="16"/>
  <c r="Q35" i="31"/>
  <c r="M98" i="16"/>
  <c r="O35" i="31"/>
  <c r="N76" i="16"/>
  <c r="M76" i="16"/>
  <c r="N75" i="16"/>
  <c r="M75" i="16"/>
  <c r="N74" i="16"/>
  <c r="M74" i="16"/>
  <c r="N73" i="16"/>
  <c r="Q28" i="31"/>
  <c r="M73" i="16"/>
  <c r="O28" i="31"/>
  <c r="N134" i="16"/>
  <c r="M134" i="16"/>
  <c r="N132" i="16"/>
  <c r="Q52" i="31"/>
  <c r="M132" i="16"/>
  <c r="O52" i="31"/>
  <c r="N133" i="16"/>
  <c r="Q53" i="31"/>
  <c r="M133" i="16"/>
  <c r="O53" i="31"/>
  <c r="N129" i="16"/>
  <c r="M129" i="16"/>
  <c r="N128" i="16"/>
  <c r="M128" i="16"/>
  <c r="N119" i="16"/>
  <c r="Q47" i="31"/>
  <c r="M119" i="16"/>
  <c r="O47" i="31"/>
  <c r="N197" i="16"/>
  <c r="Q82" i="31"/>
  <c r="M197" i="16"/>
  <c r="O82" i="31"/>
  <c r="N145" i="16"/>
  <c r="M145" i="16"/>
  <c r="N96" i="16"/>
  <c r="Q34" i="31"/>
  <c r="M96" i="16"/>
  <c r="O34" i="31"/>
  <c r="N219" i="16"/>
  <c r="Q90" i="31"/>
  <c r="M219" i="16"/>
  <c r="O90" i="31"/>
  <c r="N77" i="16"/>
  <c r="Q29" i="31"/>
  <c r="M77" i="16"/>
  <c r="O29" i="31"/>
  <c r="N208" i="16"/>
  <c r="M208" i="16"/>
  <c r="N207" i="16"/>
  <c r="M207" i="16"/>
  <c r="N189" i="16"/>
  <c r="M189" i="16"/>
  <c r="N188" i="16"/>
  <c r="Q77" i="31"/>
  <c r="M188" i="16"/>
  <c r="O77" i="31"/>
  <c r="N218" i="16"/>
  <c r="M218" i="16"/>
  <c r="N217" i="16"/>
  <c r="Q89" i="31"/>
  <c r="M217" i="16"/>
  <c r="O89" i="31"/>
  <c r="N111" i="16"/>
  <c r="Q42" i="31"/>
  <c r="M111" i="16"/>
  <c r="O42" i="31"/>
  <c r="N203" i="16"/>
  <c r="M203" i="16"/>
  <c r="N202" i="16"/>
  <c r="M202" i="16"/>
  <c r="N201" i="16"/>
  <c r="M201" i="16"/>
  <c r="N200" i="16"/>
  <c r="M200" i="16"/>
  <c r="N199" i="16"/>
  <c r="Q84" i="31"/>
  <c r="M199" i="16"/>
  <c r="O84" i="31"/>
  <c r="N216" i="16"/>
  <c r="M216" i="16"/>
  <c r="N28" i="16"/>
  <c r="Q15" i="31"/>
  <c r="M28" i="16"/>
  <c r="O15" i="31"/>
  <c r="N43" i="16"/>
  <c r="M43" i="16"/>
  <c r="N144" i="16"/>
  <c r="M144" i="16"/>
  <c r="N143" i="16"/>
  <c r="Q56" i="31"/>
  <c r="M143" i="16"/>
  <c r="O56" i="31"/>
  <c r="N215" i="16"/>
  <c r="M215" i="16"/>
  <c r="N214" i="16"/>
  <c r="M214" i="16"/>
  <c r="N53" i="16"/>
  <c r="Q23" i="31"/>
  <c r="M53" i="16"/>
  <c r="O23" i="31"/>
  <c r="N4" i="16"/>
  <c r="M4" i="16"/>
  <c r="N66" i="16"/>
  <c r="M66" i="16"/>
  <c r="N65" i="16"/>
  <c r="Q26" i="31"/>
  <c r="M65" i="16"/>
  <c r="O26" i="31"/>
  <c r="N167" i="16"/>
  <c r="Q69" i="31"/>
  <c r="M167" i="16"/>
  <c r="O69" i="31"/>
  <c r="N166" i="16"/>
  <c r="Q68" i="31"/>
  <c r="M166" i="16"/>
  <c r="O68" i="31"/>
  <c r="N31" i="16"/>
  <c r="M31" i="16"/>
  <c r="N30" i="16"/>
  <c r="M30" i="16"/>
  <c r="N42" i="16"/>
  <c r="Q22" i="31"/>
  <c r="M42" i="16"/>
  <c r="O22" i="31"/>
  <c r="N206" i="16"/>
  <c r="Q86" i="31"/>
  <c r="M206" i="16"/>
  <c r="O86" i="31"/>
  <c r="N24" i="16"/>
  <c r="M24" i="16"/>
  <c r="N104" i="16"/>
  <c r="Q39" i="31"/>
  <c r="M104" i="16"/>
  <c r="O39" i="31"/>
  <c r="N155" i="16"/>
  <c r="M155" i="16"/>
  <c r="N60" i="16"/>
  <c r="M60" i="16"/>
  <c r="N59" i="16"/>
  <c r="M59" i="16"/>
  <c r="N58" i="16"/>
  <c r="M58" i="16"/>
  <c r="N57" i="16"/>
  <c r="M57" i="16"/>
  <c r="N56" i="16"/>
  <c r="Q24" i="31"/>
  <c r="M56" i="16"/>
  <c r="O24" i="31"/>
  <c r="N29" i="16"/>
  <c r="Q16" i="31"/>
  <c r="M29" i="16"/>
  <c r="O16" i="31"/>
  <c r="N161" i="16"/>
  <c r="Q63" i="31"/>
  <c r="M161" i="16"/>
  <c r="O63" i="31"/>
  <c r="N190" i="16"/>
  <c r="Q78" i="31"/>
  <c r="M190" i="16"/>
  <c r="O78" i="31"/>
  <c r="N80" i="16"/>
  <c r="Q31" i="31"/>
  <c r="M80" i="16"/>
  <c r="O31" i="31"/>
  <c r="N15" i="16"/>
  <c r="Q8" i="31"/>
  <c r="M15" i="16"/>
  <c r="O8" i="31"/>
  <c r="N55" i="16"/>
  <c r="M55" i="16"/>
  <c r="N165" i="16"/>
  <c r="Q67" i="31"/>
  <c r="M165" i="16"/>
  <c r="O67" i="31"/>
  <c r="L127" i="16"/>
  <c r="L126" i="16"/>
  <c r="L125" i="16"/>
  <c r="L194" i="16"/>
  <c r="L193" i="16"/>
  <c r="L121" i="16"/>
  <c r="M121" i="16"/>
  <c r="L148" i="16"/>
  <c r="M148" i="16"/>
  <c r="L154" i="16"/>
  <c r="L6" i="16"/>
  <c r="L171" i="16"/>
  <c r="N171" i="16"/>
  <c r="Q71" i="31"/>
  <c r="L78" i="16"/>
  <c r="L160" i="16"/>
  <c r="L26" i="16"/>
  <c r="L12" i="16"/>
  <c r="M12" i="16"/>
  <c r="L108" i="16"/>
  <c r="L107" i="16"/>
  <c r="L106" i="16"/>
  <c r="N106" i="16"/>
  <c r="L105" i="16"/>
  <c r="M105" i="16"/>
  <c r="X91" i="12"/>
  <c r="W91" i="12"/>
  <c r="V91" i="12"/>
  <c r="U91" i="12"/>
  <c r="T91" i="12"/>
  <c r="X90" i="12"/>
  <c r="W90" i="12"/>
  <c r="V90" i="12"/>
  <c r="U90" i="12"/>
  <c r="AA90" i="12"/>
  <c r="T90" i="12"/>
  <c r="X89" i="12"/>
  <c r="W89" i="12"/>
  <c r="V89" i="12"/>
  <c r="U89" i="12"/>
  <c r="T89" i="12"/>
  <c r="X88" i="12"/>
  <c r="W88" i="12"/>
  <c r="V88" i="12"/>
  <c r="U88" i="12"/>
  <c r="T88" i="12"/>
  <c r="Y88" i="12"/>
  <c r="Z88" i="12"/>
  <c r="X87" i="12"/>
  <c r="W87" i="12"/>
  <c r="V87" i="12"/>
  <c r="U87" i="12"/>
  <c r="T87" i="12"/>
  <c r="AB87" i="12"/>
  <c r="X86" i="12"/>
  <c r="W86" i="12"/>
  <c r="V86" i="12"/>
  <c r="U86" i="12"/>
  <c r="T86" i="12"/>
  <c r="X85" i="12"/>
  <c r="W85" i="12"/>
  <c r="V85" i="12"/>
  <c r="U85" i="12"/>
  <c r="T85" i="12"/>
  <c r="AA85" i="12"/>
  <c r="X82" i="12"/>
  <c r="W82" i="12"/>
  <c r="V82" i="12"/>
  <c r="U82" i="12"/>
  <c r="T82" i="12"/>
  <c r="Y82" i="12"/>
  <c r="Z82" i="12"/>
  <c r="X84" i="12"/>
  <c r="W84" i="12"/>
  <c r="V84" i="12"/>
  <c r="U84" i="12"/>
  <c r="T84" i="12"/>
  <c r="X83" i="12"/>
  <c r="W83" i="12"/>
  <c r="V83" i="12"/>
  <c r="U83" i="12"/>
  <c r="T83" i="12"/>
  <c r="X81" i="12"/>
  <c r="V81" i="12"/>
  <c r="U81" i="12"/>
  <c r="T81" i="12"/>
  <c r="M81" i="12"/>
  <c r="W81" i="12"/>
  <c r="X79" i="12"/>
  <c r="W79" i="12"/>
  <c r="V79" i="12"/>
  <c r="U79" i="12"/>
  <c r="T79" i="12"/>
  <c r="X80" i="12"/>
  <c r="W80" i="12"/>
  <c r="V80" i="12"/>
  <c r="T80" i="12"/>
  <c r="AB80" i="12"/>
  <c r="K80" i="12"/>
  <c r="U80" i="12"/>
  <c r="X78" i="12"/>
  <c r="W78" i="12"/>
  <c r="V78" i="12"/>
  <c r="U78" i="12"/>
  <c r="T78" i="12"/>
  <c r="X77" i="12"/>
  <c r="V77" i="12"/>
  <c r="U77" i="12"/>
  <c r="M77" i="12"/>
  <c r="W77" i="12"/>
  <c r="J77" i="12"/>
  <c r="T77" i="12"/>
  <c r="X75" i="12"/>
  <c r="W75" i="12"/>
  <c r="V75" i="12"/>
  <c r="U75" i="12"/>
  <c r="T75" i="12"/>
  <c r="Y75" i="12"/>
  <c r="Z75" i="12"/>
  <c r="X39" i="12"/>
  <c r="W39" i="12"/>
  <c r="V39" i="12"/>
  <c r="U39" i="12"/>
  <c r="T39" i="12"/>
  <c r="X74" i="12"/>
  <c r="W74" i="12"/>
  <c r="V74" i="12"/>
  <c r="U74" i="12"/>
  <c r="T74" i="12"/>
  <c r="X73" i="12"/>
  <c r="W73" i="12"/>
  <c r="V73" i="12"/>
  <c r="U73" i="12"/>
  <c r="T73" i="12"/>
  <c r="X72" i="12"/>
  <c r="W72" i="12"/>
  <c r="V72" i="12"/>
  <c r="U72" i="12"/>
  <c r="Y72" i="12"/>
  <c r="Z72" i="12"/>
  <c r="T72" i="12"/>
  <c r="X71" i="12"/>
  <c r="W71" i="12"/>
  <c r="V71" i="12"/>
  <c r="U71" i="12"/>
  <c r="T71" i="12"/>
  <c r="V70" i="12"/>
  <c r="U70" i="12"/>
  <c r="T70" i="12"/>
  <c r="R70" i="12"/>
  <c r="W70" i="12"/>
  <c r="N70" i="12"/>
  <c r="X70" i="12"/>
  <c r="X69" i="12"/>
  <c r="W69" i="12"/>
  <c r="V69" i="12"/>
  <c r="U69" i="12"/>
  <c r="T69" i="12"/>
  <c r="Y69" i="12"/>
  <c r="Z69" i="12"/>
  <c r="X68" i="12"/>
  <c r="W68" i="12"/>
  <c r="V68" i="12"/>
  <c r="U68" i="12"/>
  <c r="T68" i="12"/>
  <c r="X67" i="12"/>
  <c r="W67" i="12"/>
  <c r="V67" i="12"/>
  <c r="U67" i="12"/>
  <c r="T67" i="12"/>
  <c r="AB67" i="12"/>
  <c r="X66" i="12"/>
  <c r="W66" i="12"/>
  <c r="V66" i="12"/>
  <c r="T66" i="12"/>
  <c r="K66" i="12"/>
  <c r="U66" i="12"/>
  <c r="AA66" i="12"/>
  <c r="V65" i="12"/>
  <c r="U65" i="12"/>
  <c r="T65" i="12"/>
  <c r="N65" i="12"/>
  <c r="X65" i="12"/>
  <c r="M65" i="12"/>
  <c r="W65" i="12"/>
  <c r="X64" i="12"/>
  <c r="W64" i="12"/>
  <c r="V64" i="12"/>
  <c r="U64" i="12"/>
  <c r="T64" i="12"/>
  <c r="W63" i="12"/>
  <c r="V63" i="12"/>
  <c r="U63" i="12"/>
  <c r="T63" i="12"/>
  <c r="N63" i="12"/>
  <c r="X63" i="12"/>
  <c r="X62" i="12"/>
  <c r="W62" i="12"/>
  <c r="V62" i="12"/>
  <c r="U62" i="12"/>
  <c r="T62" i="12"/>
  <c r="X61" i="12"/>
  <c r="W61" i="12"/>
  <c r="U61" i="12"/>
  <c r="L61" i="12"/>
  <c r="V61" i="12"/>
  <c r="J61" i="12"/>
  <c r="T61" i="12"/>
  <c r="X60" i="12"/>
  <c r="W60" i="12"/>
  <c r="V60" i="12"/>
  <c r="U60" i="12"/>
  <c r="Z60" i="12"/>
  <c r="T60" i="12"/>
  <c r="Y60" i="12"/>
  <c r="X59" i="12"/>
  <c r="W59" i="12"/>
  <c r="V59" i="12"/>
  <c r="U59" i="12"/>
  <c r="T59" i="12"/>
  <c r="X58" i="12"/>
  <c r="W58" i="12"/>
  <c r="V58" i="12"/>
  <c r="U58" i="12"/>
  <c r="T58" i="12"/>
  <c r="X57" i="12"/>
  <c r="W57" i="12"/>
  <c r="V57" i="12"/>
  <c r="U57" i="12"/>
  <c r="T57" i="12"/>
  <c r="X56" i="12"/>
  <c r="W56" i="12"/>
  <c r="V56" i="12"/>
  <c r="U56" i="12"/>
  <c r="Y56" i="12"/>
  <c r="Z56" i="12"/>
  <c r="T56" i="12"/>
  <c r="V55" i="12"/>
  <c r="U55" i="12"/>
  <c r="T55" i="12"/>
  <c r="N55" i="12"/>
  <c r="X55" i="12"/>
  <c r="M55" i="12"/>
  <c r="W55" i="12"/>
  <c r="X54" i="12"/>
  <c r="W54" i="12"/>
  <c r="V54" i="12"/>
  <c r="U54" i="12"/>
  <c r="T54" i="12"/>
  <c r="X53" i="12"/>
  <c r="W53" i="12"/>
  <c r="V53" i="12"/>
  <c r="U53" i="12"/>
  <c r="T53" i="12"/>
  <c r="Y53" i="12"/>
  <c r="Z53" i="12"/>
  <c r="X52" i="12"/>
  <c r="W52" i="12"/>
  <c r="V52" i="12"/>
  <c r="U52" i="12"/>
  <c r="T52" i="12"/>
  <c r="X51" i="12"/>
  <c r="W51" i="12"/>
  <c r="V51" i="12"/>
  <c r="U51" i="12"/>
  <c r="T51" i="12"/>
  <c r="X50" i="12"/>
  <c r="W50" i="12"/>
  <c r="V50" i="12"/>
  <c r="U50" i="12"/>
  <c r="T50" i="12"/>
  <c r="V49" i="12"/>
  <c r="U49" i="12"/>
  <c r="T49" i="12"/>
  <c r="N49" i="12"/>
  <c r="X49" i="12"/>
  <c r="M49" i="12"/>
  <c r="W49" i="12"/>
  <c r="X48" i="12"/>
  <c r="W48" i="12"/>
  <c r="V48" i="12"/>
  <c r="U48" i="12"/>
  <c r="Y48" i="12"/>
  <c r="Z48" i="12"/>
  <c r="T48" i="12"/>
  <c r="N47" i="12"/>
  <c r="X47" i="12"/>
  <c r="M47" i="12"/>
  <c r="W47" i="12"/>
  <c r="L47" i="12"/>
  <c r="V47" i="12"/>
  <c r="K47" i="12"/>
  <c r="U47" i="12"/>
  <c r="J47" i="12"/>
  <c r="T47" i="12"/>
  <c r="W46" i="12"/>
  <c r="V46" i="12"/>
  <c r="T46" i="12"/>
  <c r="N46" i="12"/>
  <c r="X46" i="12"/>
  <c r="K46" i="12"/>
  <c r="U46" i="12"/>
  <c r="V45" i="12"/>
  <c r="U45" i="12"/>
  <c r="N45" i="12"/>
  <c r="X45" i="12"/>
  <c r="M45" i="12"/>
  <c r="W45" i="12"/>
  <c r="J45" i="12"/>
  <c r="T45" i="12"/>
  <c r="X44" i="12"/>
  <c r="W44" i="12"/>
  <c r="V44" i="12"/>
  <c r="U44" i="12"/>
  <c r="Y44" i="12"/>
  <c r="T44" i="12"/>
  <c r="X43" i="12"/>
  <c r="W43" i="12"/>
  <c r="V43" i="12"/>
  <c r="U43" i="12"/>
  <c r="T43" i="12"/>
  <c r="AB43" i="12"/>
  <c r="X42" i="12"/>
  <c r="W42" i="12"/>
  <c r="V42" i="12"/>
  <c r="U42" i="12"/>
  <c r="J42" i="12"/>
  <c r="T42" i="12"/>
  <c r="X41" i="12"/>
  <c r="W41" i="12"/>
  <c r="V41" i="12"/>
  <c r="U41" i="12"/>
  <c r="T41" i="12"/>
  <c r="X40" i="12"/>
  <c r="W40" i="12"/>
  <c r="V40" i="12"/>
  <c r="U40" i="12"/>
  <c r="T40" i="12"/>
  <c r="W8" i="12"/>
  <c r="V8" i="12"/>
  <c r="U8" i="12"/>
  <c r="AB8" i="12"/>
  <c r="T8" i="12"/>
  <c r="N8" i="12"/>
  <c r="X8" i="12"/>
  <c r="X38" i="12"/>
  <c r="W38" i="12"/>
  <c r="V38" i="12"/>
  <c r="U38" i="12"/>
  <c r="AA38" i="12"/>
  <c r="T38" i="12"/>
  <c r="X37" i="12"/>
  <c r="W37" i="12"/>
  <c r="V37" i="12"/>
  <c r="U37" i="12"/>
  <c r="T37" i="12"/>
  <c r="AA37" i="12"/>
  <c r="X36" i="12"/>
  <c r="W36" i="12"/>
  <c r="V36" i="12"/>
  <c r="U36" i="12"/>
  <c r="T36" i="12"/>
  <c r="V35" i="12"/>
  <c r="U35" i="12"/>
  <c r="T35" i="12"/>
  <c r="N35" i="12"/>
  <c r="X35" i="12"/>
  <c r="M35" i="12"/>
  <c r="W35" i="12"/>
  <c r="X34" i="12"/>
  <c r="W34" i="12"/>
  <c r="V34" i="12"/>
  <c r="U34" i="12"/>
  <c r="T34" i="12"/>
  <c r="X33" i="12"/>
  <c r="W33" i="12"/>
  <c r="V33" i="12"/>
  <c r="U33" i="12"/>
  <c r="T33" i="12"/>
  <c r="X32" i="12"/>
  <c r="W32" i="12"/>
  <c r="V32" i="12"/>
  <c r="U32" i="12"/>
  <c r="T32" i="12"/>
  <c r="X31" i="12"/>
  <c r="W31" i="12"/>
  <c r="V31" i="12"/>
  <c r="U31" i="12"/>
  <c r="T31" i="12"/>
  <c r="W30" i="12"/>
  <c r="V30" i="12"/>
  <c r="U30" i="12"/>
  <c r="T30" i="12"/>
  <c r="N30" i="12"/>
  <c r="X30" i="12"/>
  <c r="X29" i="12"/>
  <c r="W29" i="12"/>
  <c r="V29" i="12"/>
  <c r="U29" i="12"/>
  <c r="T29" i="12"/>
  <c r="AA29" i="12"/>
  <c r="X28" i="12"/>
  <c r="W28" i="12"/>
  <c r="V28" i="12"/>
  <c r="U28" i="12"/>
  <c r="T28" i="12"/>
  <c r="X27" i="12"/>
  <c r="W27" i="12"/>
  <c r="V27" i="12"/>
  <c r="U27" i="12"/>
  <c r="T27" i="12"/>
  <c r="X26" i="12"/>
  <c r="W26" i="12"/>
  <c r="V26" i="12"/>
  <c r="U26" i="12"/>
  <c r="T26" i="12"/>
  <c r="V25" i="12"/>
  <c r="U25" i="12"/>
  <c r="T25" i="12"/>
  <c r="N25" i="12"/>
  <c r="X25" i="12"/>
  <c r="M25" i="12"/>
  <c r="W25" i="12"/>
  <c r="W24" i="12"/>
  <c r="V24" i="12"/>
  <c r="U24" i="12"/>
  <c r="T24" i="12"/>
  <c r="N24" i="12"/>
  <c r="X24" i="12"/>
  <c r="X23" i="12"/>
  <c r="W23" i="12"/>
  <c r="V23" i="12"/>
  <c r="U23" i="12"/>
  <c r="T23" i="12"/>
  <c r="X22" i="12"/>
  <c r="W22" i="12"/>
  <c r="T22" i="12"/>
  <c r="L22" i="12"/>
  <c r="V22" i="12"/>
  <c r="K22" i="12"/>
  <c r="U22" i="12"/>
  <c r="X21" i="12"/>
  <c r="W21" i="12"/>
  <c r="V21" i="12"/>
  <c r="U21" i="12"/>
  <c r="T21" i="12"/>
  <c r="X20" i="12"/>
  <c r="W20" i="12"/>
  <c r="V20" i="12"/>
  <c r="U20" i="12"/>
  <c r="J20" i="12"/>
  <c r="T20" i="12"/>
  <c r="X19" i="12"/>
  <c r="W19" i="12"/>
  <c r="V19" i="12"/>
  <c r="U19" i="12"/>
  <c r="T19" i="12"/>
  <c r="Y19" i="12"/>
  <c r="Z19" i="12"/>
  <c r="X76" i="12"/>
  <c r="W76" i="12"/>
  <c r="V76" i="12"/>
  <c r="U76" i="12"/>
  <c r="T76" i="12"/>
  <c r="W18" i="12"/>
  <c r="V18" i="12"/>
  <c r="U18" i="12"/>
  <c r="T18" i="12"/>
  <c r="N18" i="12"/>
  <c r="X18" i="12"/>
  <c r="X17" i="12"/>
  <c r="W17" i="12"/>
  <c r="V17" i="12"/>
  <c r="U17" i="12"/>
  <c r="T17" i="12"/>
  <c r="X16" i="12"/>
  <c r="W16" i="12"/>
  <c r="V16" i="12"/>
  <c r="U16" i="12"/>
  <c r="T16" i="12"/>
  <c r="X15" i="12"/>
  <c r="W15" i="12"/>
  <c r="U15" i="12"/>
  <c r="L15" i="12"/>
  <c r="V15" i="12"/>
  <c r="J15" i="12"/>
  <c r="T15" i="12"/>
  <c r="AB15" i="12"/>
  <c r="X13" i="12"/>
  <c r="W13" i="12"/>
  <c r="V13" i="12"/>
  <c r="U13" i="12"/>
  <c r="T13" i="12"/>
  <c r="X14" i="12"/>
  <c r="W14" i="12"/>
  <c r="V14" i="12"/>
  <c r="U14" i="12"/>
  <c r="T14" i="12"/>
  <c r="X12" i="12"/>
  <c r="W12" i="12"/>
  <c r="V12" i="12"/>
  <c r="U12" i="12"/>
  <c r="T12" i="12"/>
  <c r="X11" i="12"/>
  <c r="V11" i="12"/>
  <c r="U11" i="12"/>
  <c r="T11" i="12"/>
  <c r="M11" i="12"/>
  <c r="W11" i="12"/>
  <c r="X10" i="12"/>
  <c r="W10" i="12"/>
  <c r="V10" i="12"/>
  <c r="U10" i="12"/>
  <c r="T10" i="12"/>
  <c r="X9" i="12"/>
  <c r="W9" i="12"/>
  <c r="V9" i="12"/>
  <c r="U9" i="12"/>
  <c r="T9" i="12"/>
  <c r="T7" i="12"/>
  <c r="N7" i="12"/>
  <c r="X7" i="12"/>
  <c r="M7" i="12"/>
  <c r="W7" i="12"/>
  <c r="L7" i="12"/>
  <c r="V7" i="12"/>
  <c r="K7" i="12"/>
  <c r="U7" i="12"/>
  <c r="X6" i="12"/>
  <c r="W6" i="12"/>
  <c r="V6" i="12"/>
  <c r="U6" i="12"/>
  <c r="T6" i="12"/>
  <c r="X5" i="12"/>
  <c r="W5" i="12"/>
  <c r="U5" i="12"/>
  <c r="T5" i="12"/>
  <c r="L5" i="12"/>
  <c r="V5" i="12"/>
  <c r="S260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2" i="8"/>
  <c r="S48" i="8"/>
  <c r="S47" i="8"/>
  <c r="S46" i="8"/>
  <c r="S45" i="8"/>
  <c r="S44" i="8"/>
  <c r="S43" i="8"/>
  <c r="S42" i="8"/>
  <c r="S41" i="8"/>
  <c r="S40" i="8"/>
  <c r="S38" i="8"/>
  <c r="S37" i="8"/>
  <c r="S36" i="8"/>
  <c r="S35" i="8"/>
  <c r="S34" i="8"/>
  <c r="S33" i="8"/>
  <c r="S32" i="8"/>
  <c r="S31" i="8"/>
  <c r="S28" i="8"/>
  <c r="S27" i="8"/>
  <c r="S26" i="8"/>
  <c r="S25" i="8"/>
  <c r="S24" i="8"/>
  <c r="S23" i="8"/>
  <c r="S21" i="8"/>
  <c r="S20" i="8"/>
  <c r="S19" i="8"/>
  <c r="S18" i="8"/>
  <c r="S17" i="8"/>
  <c r="S16" i="8"/>
  <c r="S15" i="8"/>
  <c r="S14" i="8"/>
  <c r="S13" i="8"/>
  <c r="S11" i="8"/>
  <c r="S10" i="8"/>
  <c r="S9" i="8"/>
  <c r="S8" i="8"/>
  <c r="S7" i="8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7" i="7"/>
  <c r="S226" i="7"/>
  <c r="S225" i="7"/>
  <c r="S224" i="7"/>
  <c r="S222" i="7"/>
  <c r="S221" i="7"/>
  <c r="S220" i="7"/>
  <c r="S219" i="7"/>
  <c r="S218" i="7"/>
  <c r="S217" i="7"/>
  <c r="S216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199" i="7"/>
  <c r="S198" i="7"/>
  <c r="S197" i="7"/>
  <c r="S196" i="7"/>
  <c r="S195" i="7"/>
  <c r="S194" i="7"/>
  <c r="S193" i="7"/>
  <c r="S192" i="7"/>
  <c r="S191" i="7"/>
  <c r="S190" i="7"/>
  <c r="S189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2" i="7"/>
  <c r="S141" i="7"/>
  <c r="S140" i="7"/>
  <c r="S139" i="7"/>
  <c r="S138" i="7"/>
  <c r="S136" i="7"/>
  <c r="S135" i="7"/>
  <c r="S134" i="7"/>
  <c r="S133" i="7"/>
  <c r="S131" i="7"/>
  <c r="S130" i="7"/>
  <c r="S128" i="7"/>
  <c r="S127" i="7"/>
  <c r="S126" i="7"/>
  <c r="S125" i="7"/>
  <c r="S124" i="7"/>
  <c r="S123" i="7"/>
  <c r="S122" i="7"/>
  <c r="S120" i="7"/>
  <c r="S119" i="7"/>
  <c r="S118" i="7"/>
  <c r="S117" i="7"/>
  <c r="S116" i="7"/>
  <c r="S115" i="7"/>
  <c r="S114" i="7"/>
  <c r="S113" i="7"/>
  <c r="S112" i="7"/>
  <c r="S110" i="7"/>
  <c r="S109" i="7"/>
  <c r="S108" i="7"/>
  <c r="S107" i="7"/>
  <c r="S106" i="7"/>
  <c r="S105" i="7"/>
  <c r="S104" i="7"/>
  <c r="S103" i="7"/>
  <c r="S102" i="7"/>
  <c r="S100" i="7"/>
  <c r="S99" i="7"/>
  <c r="S98" i="7"/>
  <c r="S97" i="7"/>
  <c r="S95" i="7"/>
  <c r="S94" i="7"/>
  <c r="S93" i="7"/>
  <c r="S92" i="7"/>
  <c r="S91" i="7"/>
  <c r="S90" i="7"/>
  <c r="S89" i="7"/>
  <c r="S88" i="7"/>
  <c r="S86" i="7"/>
  <c r="S85" i="7"/>
  <c r="S84" i="7"/>
  <c r="S83" i="7"/>
  <c r="S82" i="7"/>
  <c r="S81" i="7"/>
  <c r="S80" i="7"/>
  <c r="S79" i="7"/>
  <c r="S78" i="7"/>
  <c r="S77" i="7"/>
  <c r="S76" i="7"/>
  <c r="S74" i="7"/>
  <c r="S73" i="7"/>
  <c r="S72" i="7"/>
  <c r="S70" i="7"/>
  <c r="S68" i="7"/>
  <c r="S67" i="7"/>
  <c r="S66" i="7"/>
  <c r="S64" i="7"/>
  <c r="S63" i="7"/>
  <c r="S62" i="7"/>
  <c r="S61" i="7"/>
  <c r="S60" i="7"/>
  <c r="S59" i="7"/>
  <c r="S57" i="7"/>
  <c r="S56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8" i="7"/>
  <c r="S37" i="7"/>
  <c r="S36" i="7"/>
  <c r="S35" i="7"/>
  <c r="S34" i="7"/>
  <c r="S33" i="7"/>
  <c r="S32" i="7"/>
  <c r="S31" i="7"/>
  <c r="S28" i="7"/>
  <c r="S27" i="7"/>
  <c r="S26" i="7"/>
  <c r="S25" i="7"/>
  <c r="S24" i="7"/>
  <c r="S23" i="7"/>
  <c r="S21" i="7"/>
  <c r="S20" i="7"/>
  <c r="S19" i="7"/>
  <c r="S18" i="7"/>
  <c r="S17" i="7"/>
  <c r="S16" i="7"/>
  <c r="S15" i="7"/>
  <c r="S14" i="7"/>
  <c r="S13" i="7"/>
  <c r="S11" i="7"/>
  <c r="S10" i="7"/>
  <c r="S9" i="7"/>
  <c r="S8" i="7"/>
  <c r="S7" i="7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28" i="6"/>
  <c r="S27" i="6"/>
  <c r="S26" i="6"/>
  <c r="S25" i="6"/>
  <c r="S24" i="6"/>
  <c r="S23" i="6"/>
  <c r="S21" i="6"/>
  <c r="S20" i="6"/>
  <c r="S19" i="6"/>
  <c r="S18" i="6"/>
  <c r="S17" i="6"/>
  <c r="S16" i="6"/>
  <c r="S15" i="6"/>
  <c r="S14" i="6"/>
  <c r="S13" i="6"/>
  <c r="S11" i="6"/>
  <c r="S10" i="6"/>
  <c r="S9" i="6"/>
  <c r="S8" i="6"/>
  <c r="S7" i="6"/>
  <c r="S259" i="5"/>
  <c r="S258" i="5"/>
  <c r="S257" i="5"/>
  <c r="S256" i="5"/>
  <c r="S255" i="5"/>
  <c r="S254" i="5"/>
  <c r="S253" i="5"/>
  <c r="S249" i="5"/>
  <c r="S248" i="5"/>
  <c r="S246" i="5"/>
  <c r="S245" i="5"/>
  <c r="S244" i="5"/>
  <c r="S243" i="5"/>
  <c r="S242" i="5"/>
  <c r="S240" i="5"/>
  <c r="S239" i="5"/>
  <c r="S238" i="5"/>
  <c r="S237" i="5"/>
  <c r="S236" i="5"/>
  <c r="S235" i="5"/>
  <c r="S234" i="5"/>
  <c r="S233" i="5"/>
  <c r="S232" i="5"/>
  <c r="J231" i="5"/>
  <c r="I231" i="5"/>
  <c r="S231" i="5"/>
  <c r="J230" i="5"/>
  <c r="I230" i="5"/>
  <c r="S230" i="5"/>
  <c r="J227" i="5"/>
  <c r="S227" i="5"/>
  <c r="I227" i="5"/>
  <c r="N226" i="5"/>
  <c r="M226" i="5"/>
  <c r="L226" i="5"/>
  <c r="K226" i="5"/>
  <c r="J226" i="5"/>
  <c r="I226" i="5"/>
  <c r="N225" i="5"/>
  <c r="M225" i="5"/>
  <c r="L225" i="5"/>
  <c r="K225" i="5"/>
  <c r="J225" i="5"/>
  <c r="I225" i="5"/>
  <c r="S225" i="5"/>
  <c r="R224" i="5"/>
  <c r="Q224" i="5"/>
  <c r="P224" i="5"/>
  <c r="O224" i="5"/>
  <c r="N224" i="5"/>
  <c r="M224" i="5"/>
  <c r="L224" i="5"/>
  <c r="K224" i="5"/>
  <c r="J224" i="5"/>
  <c r="S224" i="5"/>
  <c r="I224" i="5"/>
  <c r="R222" i="5"/>
  <c r="Q222" i="5"/>
  <c r="P222" i="5"/>
  <c r="O222" i="5"/>
  <c r="N222" i="5"/>
  <c r="M222" i="5"/>
  <c r="L222" i="5"/>
  <c r="K222" i="5"/>
  <c r="J222" i="5"/>
  <c r="I222" i="5"/>
  <c r="S222" i="5"/>
  <c r="P221" i="5"/>
  <c r="O221" i="5"/>
  <c r="N221" i="5"/>
  <c r="M221" i="5"/>
  <c r="L221" i="5"/>
  <c r="K221" i="5"/>
  <c r="J221" i="5"/>
  <c r="I221" i="5"/>
  <c r="P220" i="5"/>
  <c r="O220" i="5"/>
  <c r="N220" i="5"/>
  <c r="M220" i="5"/>
  <c r="L220" i="5"/>
  <c r="K220" i="5"/>
  <c r="J220" i="5"/>
  <c r="I220" i="5"/>
  <c r="N219" i="5"/>
  <c r="M219" i="5"/>
  <c r="L219" i="5"/>
  <c r="K219" i="5"/>
  <c r="J219" i="5"/>
  <c r="I219" i="5"/>
  <c r="S219" i="5"/>
  <c r="N218" i="5"/>
  <c r="M218" i="5"/>
  <c r="L218" i="5"/>
  <c r="K218" i="5"/>
  <c r="J218" i="5"/>
  <c r="I218" i="5"/>
  <c r="S218" i="5"/>
  <c r="I217" i="5"/>
  <c r="S217" i="5"/>
  <c r="R216" i="5"/>
  <c r="Q216" i="5"/>
  <c r="P216" i="5"/>
  <c r="O216" i="5"/>
  <c r="N216" i="5"/>
  <c r="M216" i="5"/>
  <c r="L216" i="5"/>
  <c r="K216" i="5"/>
  <c r="J216" i="5"/>
  <c r="I216" i="5"/>
  <c r="S216" i="5"/>
  <c r="I214" i="5"/>
  <c r="S214" i="5"/>
  <c r="I213" i="5"/>
  <c r="S213" i="5"/>
  <c r="L212" i="5"/>
  <c r="K212" i="5"/>
  <c r="J212" i="5"/>
  <c r="S212" i="5"/>
  <c r="I212" i="5"/>
  <c r="L211" i="5"/>
  <c r="K211" i="5"/>
  <c r="J211" i="5"/>
  <c r="S211" i="5"/>
  <c r="I211" i="5"/>
  <c r="R210" i="5"/>
  <c r="Q210" i="5"/>
  <c r="P210" i="5"/>
  <c r="O210" i="5"/>
  <c r="N210" i="5"/>
  <c r="M210" i="5"/>
  <c r="L210" i="5"/>
  <c r="K210" i="5"/>
  <c r="J210" i="5"/>
  <c r="S210" i="5"/>
  <c r="I210" i="5"/>
  <c r="R209" i="5"/>
  <c r="Q209" i="5"/>
  <c r="P209" i="5"/>
  <c r="O209" i="5"/>
  <c r="N209" i="5"/>
  <c r="M209" i="5"/>
  <c r="L209" i="5"/>
  <c r="K209" i="5"/>
  <c r="J209" i="5"/>
  <c r="I209" i="5"/>
  <c r="S209" i="5"/>
  <c r="P208" i="5"/>
  <c r="O208" i="5"/>
  <c r="N208" i="5"/>
  <c r="M208" i="5"/>
  <c r="L208" i="5"/>
  <c r="K208" i="5"/>
  <c r="J208" i="5"/>
  <c r="S208" i="5"/>
  <c r="I208" i="5"/>
  <c r="M207" i="5"/>
  <c r="L207" i="5"/>
  <c r="K207" i="5"/>
  <c r="J207" i="5"/>
  <c r="I207" i="5"/>
  <c r="S207" i="5"/>
  <c r="I206" i="5"/>
  <c r="S206" i="5"/>
  <c r="I205" i="5"/>
  <c r="S205" i="5"/>
  <c r="K204" i="5"/>
  <c r="J204" i="5"/>
  <c r="I204" i="5"/>
  <c r="S204" i="5"/>
  <c r="L203" i="5"/>
  <c r="K203" i="5"/>
  <c r="J203" i="5"/>
  <c r="I203" i="5"/>
  <c r="S203" i="5"/>
  <c r="I202" i="5"/>
  <c r="S202" i="5"/>
  <c r="I199" i="5"/>
  <c r="S199" i="5"/>
  <c r="I198" i="5"/>
  <c r="S198" i="5"/>
  <c r="R197" i="5"/>
  <c r="Q197" i="5"/>
  <c r="P197" i="5"/>
  <c r="O197" i="5"/>
  <c r="N197" i="5"/>
  <c r="M197" i="5"/>
  <c r="L197" i="5"/>
  <c r="K197" i="5"/>
  <c r="J197" i="5"/>
  <c r="I197" i="5"/>
  <c r="S197" i="5"/>
  <c r="R196" i="5"/>
  <c r="Q196" i="5"/>
  <c r="P196" i="5"/>
  <c r="O196" i="5"/>
  <c r="N196" i="5"/>
  <c r="M196" i="5"/>
  <c r="L196" i="5"/>
  <c r="K196" i="5"/>
  <c r="J196" i="5"/>
  <c r="I196" i="5"/>
  <c r="S196" i="5"/>
  <c r="P195" i="5"/>
  <c r="O195" i="5"/>
  <c r="N195" i="5"/>
  <c r="M195" i="5"/>
  <c r="L195" i="5"/>
  <c r="K195" i="5"/>
  <c r="J195" i="5"/>
  <c r="I195" i="5"/>
  <c r="S195" i="5"/>
  <c r="I194" i="5"/>
  <c r="S194" i="5"/>
  <c r="S193" i="5"/>
  <c r="S192" i="5"/>
  <c r="S191" i="5"/>
  <c r="S190" i="5"/>
  <c r="S189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R155" i="5"/>
  <c r="Q155" i="5"/>
  <c r="P155" i="5"/>
  <c r="O155" i="5"/>
  <c r="N155" i="5"/>
  <c r="M155" i="5"/>
  <c r="L155" i="5"/>
  <c r="K155" i="5"/>
  <c r="J155" i="5"/>
  <c r="I155" i="5"/>
  <c r="S155" i="5"/>
  <c r="R154" i="5"/>
  <c r="Q154" i="5"/>
  <c r="P154" i="5"/>
  <c r="O154" i="5"/>
  <c r="N154" i="5"/>
  <c r="M154" i="5"/>
  <c r="L154" i="5"/>
  <c r="K154" i="5"/>
  <c r="J154" i="5"/>
  <c r="I154" i="5"/>
  <c r="S154" i="5"/>
  <c r="P153" i="5"/>
  <c r="O153" i="5"/>
  <c r="N153" i="5"/>
  <c r="M153" i="5"/>
  <c r="L153" i="5"/>
  <c r="K153" i="5"/>
  <c r="J153" i="5"/>
  <c r="I153" i="5"/>
  <c r="S153" i="5"/>
  <c r="I152" i="5"/>
  <c r="S152" i="5"/>
  <c r="R151" i="5"/>
  <c r="Q151" i="5"/>
  <c r="P151" i="5"/>
  <c r="O151" i="5"/>
  <c r="N151" i="5"/>
  <c r="M151" i="5"/>
  <c r="L151" i="5"/>
  <c r="K151" i="5"/>
  <c r="J151" i="5"/>
  <c r="I151" i="5"/>
  <c r="S151" i="5"/>
  <c r="R150" i="5"/>
  <c r="Q150" i="5"/>
  <c r="P150" i="5"/>
  <c r="O150" i="5"/>
  <c r="N150" i="5"/>
  <c r="M150" i="5"/>
  <c r="L150" i="5"/>
  <c r="K150" i="5"/>
  <c r="J150" i="5"/>
  <c r="I150" i="5"/>
  <c r="S150" i="5"/>
  <c r="P149" i="5"/>
  <c r="O149" i="5"/>
  <c r="N149" i="5"/>
  <c r="M149" i="5"/>
  <c r="L149" i="5"/>
  <c r="K149" i="5"/>
  <c r="J149" i="5"/>
  <c r="I149" i="5"/>
  <c r="S149" i="5"/>
  <c r="N148" i="5"/>
  <c r="M148" i="5"/>
  <c r="L148" i="5"/>
  <c r="K148" i="5"/>
  <c r="J148" i="5"/>
  <c r="I148" i="5"/>
  <c r="S148" i="5"/>
  <c r="L147" i="5"/>
  <c r="K147" i="5"/>
  <c r="J147" i="5"/>
  <c r="I147" i="5"/>
  <c r="S147" i="5"/>
  <c r="R146" i="5"/>
  <c r="Q146" i="5"/>
  <c r="P146" i="5"/>
  <c r="O146" i="5"/>
  <c r="N146" i="5"/>
  <c r="M146" i="5"/>
  <c r="L146" i="5"/>
  <c r="K146" i="5"/>
  <c r="J146" i="5"/>
  <c r="I146" i="5"/>
  <c r="I142" i="5"/>
  <c r="S142" i="5"/>
  <c r="I141" i="5"/>
  <c r="S141" i="5"/>
  <c r="I140" i="5"/>
  <c r="S140" i="5"/>
  <c r="I139" i="5"/>
  <c r="S139" i="5"/>
  <c r="I138" i="5"/>
  <c r="S138" i="5"/>
  <c r="I136" i="5"/>
  <c r="S136" i="5"/>
  <c r="K135" i="5"/>
  <c r="S135" i="5"/>
  <c r="J135" i="5"/>
  <c r="I135" i="5"/>
  <c r="J134" i="5"/>
  <c r="S134" i="5"/>
  <c r="I134" i="5"/>
  <c r="K133" i="5"/>
  <c r="J133" i="5"/>
  <c r="S133" i="5"/>
  <c r="I133" i="5"/>
  <c r="R131" i="5"/>
  <c r="Q131" i="5"/>
  <c r="P131" i="5"/>
  <c r="O131" i="5"/>
  <c r="N131" i="5"/>
  <c r="M131" i="5"/>
  <c r="L131" i="5"/>
  <c r="K131" i="5"/>
  <c r="J131" i="5"/>
  <c r="I131" i="5"/>
  <c r="S131" i="5"/>
  <c r="R130" i="5"/>
  <c r="Q130" i="5"/>
  <c r="P130" i="5"/>
  <c r="O130" i="5"/>
  <c r="N130" i="5"/>
  <c r="M130" i="5"/>
  <c r="L130" i="5"/>
  <c r="K130" i="5"/>
  <c r="J130" i="5"/>
  <c r="I130" i="5"/>
  <c r="S130" i="5"/>
  <c r="I128" i="5"/>
  <c r="S128" i="5"/>
  <c r="K127" i="5"/>
  <c r="J127" i="5"/>
  <c r="I127" i="5"/>
  <c r="J126" i="5"/>
  <c r="I126" i="5"/>
  <c r="S126" i="5"/>
  <c r="I125" i="5"/>
  <c r="S125" i="5"/>
  <c r="R124" i="5"/>
  <c r="Q124" i="5"/>
  <c r="P124" i="5"/>
  <c r="O124" i="5"/>
  <c r="N124" i="5"/>
  <c r="M124" i="5"/>
  <c r="L124" i="5"/>
  <c r="K124" i="5"/>
  <c r="J124" i="5"/>
  <c r="I124" i="5"/>
  <c r="I123" i="5"/>
  <c r="S123" i="5"/>
  <c r="R122" i="5"/>
  <c r="Q122" i="5"/>
  <c r="P122" i="5"/>
  <c r="O122" i="5"/>
  <c r="N122" i="5"/>
  <c r="M122" i="5"/>
  <c r="L122" i="5"/>
  <c r="K122" i="5"/>
  <c r="J122" i="5"/>
  <c r="S122" i="5"/>
  <c r="I122" i="5"/>
  <c r="R120" i="5"/>
  <c r="Q120" i="5"/>
  <c r="P120" i="5"/>
  <c r="O120" i="5"/>
  <c r="N120" i="5"/>
  <c r="M120" i="5"/>
  <c r="L120" i="5"/>
  <c r="K120" i="5"/>
  <c r="J120" i="5"/>
  <c r="I120" i="5"/>
  <c r="S120" i="5"/>
  <c r="J119" i="5"/>
  <c r="I119" i="5"/>
  <c r="S119" i="5"/>
  <c r="R118" i="5"/>
  <c r="Q118" i="5"/>
  <c r="P118" i="5"/>
  <c r="O118" i="5"/>
  <c r="N118" i="5"/>
  <c r="M118" i="5"/>
  <c r="L118" i="5"/>
  <c r="K118" i="5"/>
  <c r="J118" i="5"/>
  <c r="I118" i="5"/>
  <c r="S117" i="5"/>
  <c r="S116" i="5"/>
  <c r="S115" i="5"/>
  <c r="S114" i="5"/>
  <c r="S113" i="5"/>
  <c r="S112" i="5"/>
  <c r="S110" i="5"/>
  <c r="S109" i="5"/>
  <c r="S108" i="5"/>
  <c r="S107" i="5"/>
  <c r="S106" i="5"/>
  <c r="S105" i="5"/>
  <c r="S104" i="5"/>
  <c r="S103" i="5"/>
  <c r="S102" i="5"/>
  <c r="S100" i="5"/>
  <c r="S99" i="5"/>
  <c r="S98" i="5"/>
  <c r="S97" i="5"/>
  <c r="S95" i="5"/>
  <c r="S94" i="5"/>
  <c r="S93" i="5"/>
  <c r="S92" i="5"/>
  <c r="S91" i="5"/>
  <c r="S90" i="5"/>
  <c r="S89" i="5"/>
  <c r="S88" i="5"/>
  <c r="S86" i="5"/>
  <c r="S85" i="5"/>
  <c r="S84" i="5"/>
  <c r="S83" i="5"/>
  <c r="S82" i="5"/>
  <c r="S81" i="5"/>
  <c r="S80" i="5"/>
  <c r="S79" i="5"/>
  <c r="R78" i="5"/>
  <c r="Q78" i="5"/>
  <c r="P78" i="5"/>
  <c r="O78" i="5"/>
  <c r="N78" i="5"/>
  <c r="M78" i="5"/>
  <c r="L78" i="5"/>
  <c r="K78" i="5"/>
  <c r="J78" i="5"/>
  <c r="I78" i="5"/>
  <c r="S78" i="5"/>
  <c r="R77" i="5"/>
  <c r="Q77" i="5"/>
  <c r="P77" i="5"/>
  <c r="O77" i="5"/>
  <c r="N77" i="5"/>
  <c r="M77" i="5"/>
  <c r="L77" i="5"/>
  <c r="K77" i="5"/>
  <c r="J77" i="5"/>
  <c r="I77" i="5"/>
  <c r="M76" i="5"/>
  <c r="L76" i="5"/>
  <c r="K76" i="5"/>
  <c r="J76" i="5"/>
  <c r="I76" i="5"/>
  <c r="S76" i="5"/>
  <c r="R74" i="5"/>
  <c r="Q74" i="5"/>
  <c r="P74" i="5"/>
  <c r="O74" i="5"/>
  <c r="N74" i="5"/>
  <c r="M74" i="5"/>
  <c r="L74" i="5"/>
  <c r="K74" i="5"/>
  <c r="S74" i="5"/>
  <c r="J74" i="5"/>
  <c r="I74" i="5"/>
  <c r="S73" i="5"/>
  <c r="K72" i="5"/>
  <c r="S72" i="5"/>
  <c r="J72" i="5"/>
  <c r="I72" i="5"/>
  <c r="P70" i="5"/>
  <c r="O70" i="5"/>
  <c r="N70" i="5"/>
  <c r="M70" i="5"/>
  <c r="L70" i="5"/>
  <c r="K70" i="5"/>
  <c r="J70" i="5"/>
  <c r="I70" i="5"/>
  <c r="R68" i="5"/>
  <c r="Q68" i="5"/>
  <c r="P68" i="5"/>
  <c r="O68" i="5"/>
  <c r="N68" i="5"/>
  <c r="M68" i="5"/>
  <c r="L68" i="5"/>
  <c r="K68" i="5"/>
  <c r="J68" i="5"/>
  <c r="I68" i="5"/>
  <c r="S68" i="5"/>
  <c r="Q67" i="5"/>
  <c r="P67" i="5"/>
  <c r="O67" i="5"/>
  <c r="N67" i="5"/>
  <c r="M67" i="5"/>
  <c r="L67" i="5"/>
  <c r="K67" i="5"/>
  <c r="S67" i="5"/>
  <c r="J67" i="5"/>
  <c r="I67" i="5"/>
  <c r="R66" i="5"/>
  <c r="Q66" i="5"/>
  <c r="P66" i="5"/>
  <c r="O66" i="5"/>
  <c r="N66" i="5"/>
  <c r="M66" i="5"/>
  <c r="L66" i="5"/>
  <c r="K66" i="5"/>
  <c r="J66" i="5"/>
  <c r="I66" i="5"/>
  <c r="S66" i="5"/>
  <c r="R64" i="5"/>
  <c r="Q64" i="5"/>
  <c r="P64" i="5"/>
  <c r="O64" i="5"/>
  <c r="N64" i="5"/>
  <c r="M64" i="5"/>
  <c r="L64" i="5"/>
  <c r="K64" i="5"/>
  <c r="J64" i="5"/>
  <c r="S64" i="5"/>
  <c r="I64" i="5"/>
  <c r="I63" i="5"/>
  <c r="S63" i="5"/>
  <c r="I62" i="5"/>
  <c r="S62" i="5"/>
  <c r="R61" i="5"/>
  <c r="Q61" i="5"/>
  <c r="P61" i="5"/>
  <c r="O61" i="5"/>
  <c r="N61" i="5"/>
  <c r="M61" i="5"/>
  <c r="L61" i="5"/>
  <c r="K61" i="5"/>
  <c r="J61" i="5"/>
  <c r="I61" i="5"/>
  <c r="S61" i="5"/>
  <c r="N60" i="5"/>
  <c r="M60" i="5"/>
  <c r="L60" i="5"/>
  <c r="K60" i="5"/>
  <c r="J60" i="5"/>
  <c r="I60" i="5"/>
  <c r="S60" i="5"/>
  <c r="P59" i="5"/>
  <c r="O59" i="5"/>
  <c r="N59" i="5"/>
  <c r="M59" i="5"/>
  <c r="L59" i="5"/>
  <c r="K59" i="5"/>
  <c r="J59" i="5"/>
  <c r="I59" i="5"/>
  <c r="S59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P42" i="5"/>
  <c r="O42" i="5"/>
  <c r="N42" i="5"/>
  <c r="M42" i="5"/>
  <c r="L42" i="5"/>
  <c r="K42" i="5"/>
  <c r="J42" i="5"/>
  <c r="I42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8" i="5"/>
  <c r="S27" i="5"/>
  <c r="S26" i="5"/>
  <c r="S25" i="5"/>
  <c r="S24" i="5"/>
  <c r="S23" i="5"/>
  <c r="S21" i="5"/>
  <c r="S20" i="5"/>
  <c r="S19" i="5"/>
  <c r="S18" i="5"/>
  <c r="S17" i="5"/>
  <c r="S16" i="5"/>
  <c r="S15" i="5"/>
  <c r="S14" i="5"/>
  <c r="S13" i="5"/>
  <c r="S11" i="5"/>
  <c r="S10" i="5"/>
  <c r="S9" i="5"/>
  <c r="S8" i="5"/>
  <c r="S7" i="5"/>
  <c r="S256" i="4"/>
  <c r="S255" i="4"/>
  <c r="S254" i="4"/>
  <c r="S253" i="4"/>
  <c r="S246" i="4"/>
  <c r="S245" i="4"/>
  <c r="S244" i="4"/>
  <c r="S243" i="4"/>
  <c r="S242" i="4"/>
  <c r="S240" i="4"/>
  <c r="S239" i="4"/>
  <c r="S238" i="4"/>
  <c r="S237" i="4"/>
  <c r="S235" i="4"/>
  <c r="S234" i="4"/>
  <c r="S233" i="4"/>
  <c r="S230" i="4"/>
  <c r="S229" i="4"/>
  <c r="S228" i="4"/>
  <c r="S227" i="4"/>
  <c r="S226" i="4"/>
  <c r="S225" i="4"/>
  <c r="S224" i="4"/>
  <c r="S222" i="4"/>
  <c r="S221" i="4"/>
  <c r="S220" i="4"/>
  <c r="S219" i="4"/>
  <c r="S218" i="4"/>
  <c r="S217" i="4"/>
  <c r="S216" i="4"/>
  <c r="S213" i="4"/>
  <c r="S212" i="4"/>
  <c r="S211" i="4"/>
  <c r="S210" i="4"/>
  <c r="S209" i="4"/>
  <c r="S208" i="4"/>
  <c r="S206" i="4"/>
  <c r="S205" i="4"/>
  <c r="S204" i="4"/>
  <c r="S203" i="4"/>
  <c r="S198" i="4"/>
  <c r="S196" i="4"/>
  <c r="S195" i="4"/>
  <c r="S194" i="4"/>
  <c r="S193" i="4"/>
  <c r="S192" i="4"/>
  <c r="S191" i="4"/>
  <c r="S190" i="4"/>
  <c r="S189" i="4"/>
  <c r="S185" i="4"/>
  <c r="S184" i="4"/>
  <c r="S183" i="4"/>
  <c r="S182" i="4"/>
  <c r="S181" i="4"/>
  <c r="S180" i="4"/>
  <c r="S179" i="4"/>
  <c r="S178" i="4"/>
  <c r="S177" i="4"/>
  <c r="S176" i="4"/>
  <c r="S174" i="4"/>
  <c r="S173" i="4"/>
  <c r="S172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2" i="4"/>
  <c r="S141" i="4"/>
  <c r="S140" i="4"/>
  <c r="S139" i="4"/>
  <c r="S138" i="4"/>
  <c r="S136" i="4"/>
  <c r="S135" i="4"/>
  <c r="S133" i="4"/>
  <c r="S131" i="4"/>
  <c r="S130" i="4"/>
  <c r="S128" i="4"/>
  <c r="S127" i="4"/>
  <c r="S126" i="4"/>
  <c r="S125" i="4"/>
  <c r="S124" i="4"/>
  <c r="S123" i="4"/>
  <c r="S122" i="4"/>
  <c r="S120" i="4"/>
  <c r="S119" i="4"/>
  <c r="S118" i="4"/>
  <c r="S117" i="4"/>
  <c r="S116" i="4"/>
  <c r="S115" i="4"/>
  <c r="S114" i="4"/>
  <c r="S113" i="4"/>
  <c r="S112" i="4"/>
  <c r="S110" i="4"/>
  <c r="S109" i="4"/>
  <c r="S108" i="4"/>
  <c r="S107" i="4"/>
  <c r="S106" i="4"/>
  <c r="S105" i="4"/>
  <c r="S104" i="4"/>
  <c r="S103" i="4"/>
  <c r="S102" i="4"/>
  <c r="S100" i="4"/>
  <c r="S99" i="4"/>
  <c r="S98" i="4"/>
  <c r="S97" i="4"/>
  <c r="S95" i="4"/>
  <c r="S94" i="4"/>
  <c r="S93" i="4"/>
  <c r="S92" i="4"/>
  <c r="S91" i="4"/>
  <c r="S90" i="4"/>
  <c r="S89" i="4"/>
  <c r="S88" i="4"/>
  <c r="S86" i="4"/>
  <c r="S85" i="4"/>
  <c r="S84" i="4"/>
  <c r="S83" i="4"/>
  <c r="S82" i="4"/>
  <c r="S81" i="4"/>
  <c r="S80" i="4"/>
  <c r="S79" i="4"/>
  <c r="S78" i="4"/>
  <c r="S77" i="4"/>
  <c r="S76" i="4"/>
  <c r="S74" i="4"/>
  <c r="S73" i="4"/>
  <c r="S72" i="4"/>
  <c r="S70" i="4"/>
  <c r="S68" i="4"/>
  <c r="S67" i="4"/>
  <c r="S66" i="4"/>
  <c r="S64" i="4"/>
  <c r="S62" i="4"/>
  <c r="S61" i="4"/>
  <c r="S60" i="4"/>
  <c r="S59" i="4"/>
  <c r="S57" i="4"/>
  <c r="S56" i="4"/>
  <c r="S52" i="4"/>
  <c r="S48" i="4"/>
  <c r="S47" i="4"/>
  <c r="S46" i="4"/>
  <c r="S45" i="4"/>
  <c r="S44" i="4"/>
  <c r="S43" i="4"/>
  <c r="S42" i="4"/>
  <c r="S41" i="4"/>
  <c r="S40" i="4"/>
  <c r="S38" i="4"/>
  <c r="S37" i="4"/>
  <c r="S36" i="4"/>
  <c r="S35" i="4"/>
  <c r="S34" i="4"/>
  <c r="S33" i="4"/>
  <c r="S32" i="4"/>
  <c r="S31" i="4"/>
  <c r="S28" i="4"/>
  <c r="S27" i="4"/>
  <c r="S26" i="4"/>
  <c r="S25" i="4"/>
  <c r="S24" i="4"/>
  <c r="S23" i="4"/>
  <c r="S21" i="4"/>
  <c r="S20" i="4"/>
  <c r="S19" i="4"/>
  <c r="S18" i="4"/>
  <c r="S17" i="4"/>
  <c r="S16" i="4"/>
  <c r="S15" i="4"/>
  <c r="S14" i="4"/>
  <c r="S13" i="4"/>
  <c r="S11" i="4"/>
  <c r="S10" i="4"/>
  <c r="S9" i="4"/>
  <c r="S8" i="4"/>
  <c r="S7" i="4"/>
  <c r="T259" i="3"/>
  <c r="T258" i="3"/>
  <c r="T257" i="3"/>
  <c r="T256" i="3"/>
  <c r="T255" i="3"/>
  <c r="T254" i="3"/>
  <c r="T253" i="3"/>
  <c r="T246" i="3"/>
  <c r="T245" i="3"/>
  <c r="T244" i="3"/>
  <c r="T243" i="3"/>
  <c r="T242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2" i="3"/>
  <c r="T221" i="3"/>
  <c r="T220" i="3"/>
  <c r="T219" i="3"/>
  <c r="T218" i="3"/>
  <c r="T217" i="3"/>
  <c r="T216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199" i="3"/>
  <c r="T198" i="3"/>
  <c r="T197" i="3"/>
  <c r="T196" i="3"/>
  <c r="T195" i="3"/>
  <c r="T194" i="3"/>
  <c r="T193" i="3"/>
  <c r="T192" i="3"/>
  <c r="T191" i="3"/>
  <c r="T190" i="3"/>
  <c r="T189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2" i="3"/>
  <c r="T141" i="3"/>
  <c r="T140" i="3"/>
  <c r="T139" i="3"/>
  <c r="T138" i="3"/>
  <c r="T136" i="3"/>
  <c r="T135" i="3"/>
  <c r="T134" i="3"/>
  <c r="T133" i="3"/>
  <c r="T131" i="3"/>
  <c r="T130" i="3"/>
  <c r="T126" i="3"/>
  <c r="T124" i="3"/>
  <c r="T122" i="3"/>
  <c r="T120" i="3"/>
  <c r="T119" i="3"/>
  <c r="T118" i="3"/>
  <c r="T117" i="3"/>
  <c r="T116" i="3"/>
  <c r="T115" i="3"/>
  <c r="T114" i="3"/>
  <c r="T113" i="3"/>
  <c r="T110" i="3"/>
  <c r="T109" i="3"/>
  <c r="T108" i="3"/>
  <c r="T107" i="3"/>
  <c r="T106" i="3"/>
  <c r="T105" i="3"/>
  <c r="T104" i="3"/>
  <c r="T103" i="3"/>
  <c r="T102" i="3"/>
  <c r="T100" i="3"/>
  <c r="T99" i="3"/>
  <c r="T98" i="3"/>
  <c r="T95" i="3"/>
  <c r="T94" i="3"/>
  <c r="T93" i="3"/>
  <c r="T92" i="3"/>
  <c r="T91" i="3"/>
  <c r="T90" i="3"/>
  <c r="T89" i="3"/>
  <c r="T88" i="3"/>
  <c r="T86" i="3"/>
  <c r="T84" i="3"/>
  <c r="T83" i="3"/>
  <c r="T82" i="3"/>
  <c r="T81" i="3"/>
  <c r="T80" i="3"/>
  <c r="T79" i="3"/>
  <c r="T78" i="3"/>
  <c r="T77" i="3"/>
  <c r="T76" i="3"/>
  <c r="T74" i="3"/>
  <c r="T73" i="3"/>
  <c r="T72" i="3"/>
  <c r="T70" i="3"/>
  <c r="T68" i="3"/>
  <c r="T67" i="3"/>
  <c r="T66" i="3"/>
  <c r="T64" i="3"/>
  <c r="T63" i="3"/>
  <c r="T62" i="3"/>
  <c r="T61" i="3"/>
  <c r="T60" i="3"/>
  <c r="T59" i="3"/>
  <c r="T57" i="3"/>
  <c r="T56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8" i="3"/>
  <c r="T37" i="3"/>
  <c r="T36" i="3"/>
  <c r="T35" i="3"/>
  <c r="T34" i="3"/>
  <c r="T33" i="3"/>
  <c r="T32" i="3"/>
  <c r="T31" i="3"/>
  <c r="T28" i="3"/>
  <c r="T27" i="3"/>
  <c r="T26" i="3"/>
  <c r="T25" i="3"/>
  <c r="T24" i="3"/>
  <c r="T23" i="3"/>
  <c r="T21" i="3"/>
  <c r="T20" i="3"/>
  <c r="T19" i="3"/>
  <c r="T18" i="3"/>
  <c r="T17" i="3"/>
  <c r="T16" i="3"/>
  <c r="T15" i="3"/>
  <c r="T14" i="3"/>
  <c r="T13" i="3"/>
  <c r="T11" i="3"/>
  <c r="T10" i="3"/>
  <c r="T9" i="3"/>
  <c r="T8" i="3"/>
  <c r="T7" i="3"/>
  <c r="M126" i="16"/>
  <c r="S146" i="5"/>
  <c r="M125" i="16"/>
  <c r="N193" i="16"/>
  <c r="N105" i="16"/>
  <c r="N160" i="16"/>
  <c r="Q62" i="31"/>
  <c r="N6" i="16"/>
  <c r="M78" i="16"/>
  <c r="O30" i="31"/>
  <c r="O91" i="31"/>
  <c r="N121" i="16"/>
  <c r="N12" i="16"/>
  <c r="N126" i="16"/>
  <c r="N127" i="16"/>
  <c r="N194" i="16"/>
  <c r="N26" i="16"/>
  <c r="M154" i="16"/>
  <c r="M108" i="16"/>
  <c r="M171" i="16"/>
  <c r="O71" i="31"/>
  <c r="N107" i="16"/>
  <c r="N154" i="16"/>
  <c r="M107" i="16"/>
  <c r="M194" i="16"/>
  <c r="M160" i="16"/>
  <c r="O62" i="31"/>
  <c r="N108" i="16"/>
  <c r="M26" i="16"/>
  <c r="N78" i="16"/>
  <c r="Q30" i="31"/>
  <c r="M6" i="16"/>
  <c r="M193" i="16"/>
  <c r="N125" i="16"/>
  <c r="M127" i="16"/>
  <c r="N148" i="16"/>
  <c r="M106" i="16"/>
  <c r="N3" i="16"/>
  <c r="Q4" i="31"/>
  <c r="Y77" i="12"/>
  <c r="Z77" i="12"/>
  <c r="Y38" i="12"/>
  <c r="Z38" i="12"/>
  <c r="AB38" i="12"/>
  <c r="AB41" i="12"/>
  <c r="Y41" i="12"/>
  <c r="Z41" i="12"/>
  <c r="AA41" i="12"/>
  <c r="AA44" i="12"/>
  <c r="AB44" i="12"/>
  <c r="Z44" i="12"/>
  <c r="Y49" i="12"/>
  <c r="Z49" i="12"/>
  <c r="AA52" i="12"/>
  <c r="AB52" i="12"/>
  <c r="Y52" i="12"/>
  <c r="Z52" i="12"/>
  <c r="AA54" i="12"/>
  <c r="AB54" i="12"/>
  <c r="Y57" i="12"/>
  <c r="Z57" i="12"/>
  <c r="AA57" i="12"/>
  <c r="Y58" i="12"/>
  <c r="Z58" i="12"/>
  <c r="AB58" i="12"/>
  <c r="AA62" i="12"/>
  <c r="AB62" i="12"/>
  <c r="Y65" i="12"/>
  <c r="Z65" i="12"/>
  <c r="AA65" i="12"/>
  <c r="AA68" i="12"/>
  <c r="AB68" i="12"/>
  <c r="Y68" i="12"/>
  <c r="Z68" i="12"/>
  <c r="AA70" i="12"/>
  <c r="AB70" i="12"/>
  <c r="Y73" i="12"/>
  <c r="Z73" i="12"/>
  <c r="AA73" i="12"/>
  <c r="Y74" i="12"/>
  <c r="Z74" i="12"/>
  <c r="AB74" i="12"/>
  <c r="AA78" i="12"/>
  <c r="AB78" i="12"/>
  <c r="AB81" i="12"/>
  <c r="Y81" i="12"/>
  <c r="Z81" i="12"/>
  <c r="AA81" i="12"/>
  <c r="Y83" i="12"/>
  <c r="Z83" i="12"/>
  <c r="AB83" i="12"/>
  <c r="Y86" i="12"/>
  <c r="Z86" i="12"/>
  <c r="AA86" i="12"/>
  <c r="AB86" i="12"/>
  <c r="Y89" i="12"/>
  <c r="Z89" i="12"/>
  <c r="AA89" i="12"/>
  <c r="Y90" i="12"/>
  <c r="Z90" i="12"/>
  <c r="AB90" i="12"/>
  <c r="Y85" i="12"/>
  <c r="Z85" i="12"/>
  <c r="AA74" i="12"/>
  <c r="AA6" i="12"/>
  <c r="Y9" i="12"/>
  <c r="Z9" i="12"/>
  <c r="Y10" i="12"/>
  <c r="Z10" i="12"/>
  <c r="AB11" i="12"/>
  <c r="Y12" i="12"/>
  <c r="Z12" i="12"/>
  <c r="Y13" i="12"/>
  <c r="Z13" i="12"/>
  <c r="AA15" i="12"/>
  <c r="AB16" i="12"/>
  <c r="AA76" i="12"/>
  <c r="AB19" i="12"/>
  <c r="Y20" i="12"/>
  <c r="Z20" i="12"/>
  <c r="Y21" i="12"/>
  <c r="Z21" i="12"/>
  <c r="AB23" i="12"/>
  <c r="AB26" i="12"/>
  <c r="AB27" i="12"/>
  <c r="Y29" i="12"/>
  <c r="Z29" i="12"/>
  <c r="AA30" i="12"/>
  <c r="AB31" i="12"/>
  <c r="AA33" i="12"/>
  <c r="AA34" i="12"/>
  <c r="AB35" i="12"/>
  <c r="Y42" i="12"/>
  <c r="Z42" i="12"/>
  <c r="AB42" i="12"/>
  <c r="AB53" i="12"/>
  <c r="AA53" i="12"/>
  <c r="Y59" i="12"/>
  <c r="Z59" i="12"/>
  <c r="AA59" i="12"/>
  <c r="AB59" i="12"/>
  <c r="AA61" i="12"/>
  <c r="Y63" i="12"/>
  <c r="Z63" i="12"/>
  <c r="AA63" i="12"/>
  <c r="AA64" i="12"/>
  <c r="AB64" i="12"/>
  <c r="Y64" i="12"/>
  <c r="Z64" i="12"/>
  <c r="AB66" i="12"/>
  <c r="AB69" i="12"/>
  <c r="AA69" i="12"/>
  <c r="Y71" i="12"/>
  <c r="Z71" i="12"/>
  <c r="AA71" i="12"/>
  <c r="Y39" i="12"/>
  <c r="Z39" i="12"/>
  <c r="AA39" i="12"/>
  <c r="AB39" i="12"/>
  <c r="Y80" i="12"/>
  <c r="Z80" i="12"/>
  <c r="AA80" i="12"/>
  <c r="AA79" i="12"/>
  <c r="AB79" i="12"/>
  <c r="Y79" i="12"/>
  <c r="Z79" i="12"/>
  <c r="Y84" i="12"/>
  <c r="Z84" i="12"/>
  <c r="AA84" i="12"/>
  <c r="AB84" i="12"/>
  <c r="Y87" i="12"/>
  <c r="Z87" i="12"/>
  <c r="AA87" i="12"/>
  <c r="Y91" i="12"/>
  <c r="Z91" i="12"/>
  <c r="AA91" i="12"/>
  <c r="AB91" i="12"/>
  <c r="AA4" i="12"/>
  <c r="Y4" i="12"/>
  <c r="Z4" i="12"/>
  <c r="AB4" i="12"/>
  <c r="AA83" i="12"/>
  <c r="AB71" i="12"/>
  <c r="Y61" i="12"/>
  <c r="Z61" i="12"/>
  <c r="AA50" i="12"/>
  <c r="Y50" i="12"/>
  <c r="Z50" i="12"/>
  <c r="Y54" i="12"/>
  <c r="Z54" i="12"/>
  <c r="AA56" i="12"/>
  <c r="AA60" i="12"/>
  <c r="Y62" i="12"/>
  <c r="Z62" i="12"/>
  <c r="AB65" i="12"/>
  <c r="Y70" i="12"/>
  <c r="Z70" i="12"/>
  <c r="AA72" i="12"/>
  <c r="AA75" i="12"/>
  <c r="Y78" i="12"/>
  <c r="Z78" i="12"/>
  <c r="AA82" i="12"/>
  <c r="AA88" i="12"/>
  <c r="AB37" i="12"/>
  <c r="Y8" i="12"/>
  <c r="Z8" i="12"/>
  <c r="AA40" i="12"/>
  <c r="Y43" i="12"/>
  <c r="Z43" i="12"/>
  <c r="AB49" i="12"/>
  <c r="Y51" i="12"/>
  <c r="Z51" i="12"/>
  <c r="Y55" i="12"/>
  <c r="Z55" i="12"/>
  <c r="AB57" i="12"/>
  <c r="AB61" i="12"/>
  <c r="Y66" i="12"/>
  <c r="Z66" i="12"/>
  <c r="Y67" i="12"/>
  <c r="Z67" i="12"/>
  <c r="AB73" i="12"/>
  <c r="AB77" i="12"/>
  <c r="AB85" i="12"/>
  <c r="AB89" i="12"/>
  <c r="AA10" i="12"/>
  <c r="Y14" i="12"/>
  <c r="Z14" i="12"/>
  <c r="Y24" i="12"/>
  <c r="Z24" i="12"/>
  <c r="AA25" i="12"/>
  <c r="Y27" i="12"/>
  <c r="Z27" i="12"/>
  <c r="AB34" i="12"/>
  <c r="AB88" i="12"/>
  <c r="AB82" i="12"/>
  <c r="AB75" i="12"/>
  <c r="AB72" i="12"/>
  <c r="AA67" i="12"/>
  <c r="AB60" i="12"/>
  <c r="AB56" i="12"/>
  <c r="AA55" i="12"/>
  <c r="AA51" i="12"/>
  <c r="AB48" i="12"/>
  <c r="AA43" i="12"/>
  <c r="AB40" i="12"/>
  <c r="AA8" i="12"/>
  <c r="AB36" i="12"/>
  <c r="AB6" i="12"/>
  <c r="AA13" i="12"/>
  <c r="Y16" i="12"/>
  <c r="Z16" i="12"/>
  <c r="AB76" i="12"/>
  <c r="AA21" i="12"/>
  <c r="Y23" i="12"/>
  <c r="Z23" i="12"/>
  <c r="Y28" i="12"/>
  <c r="Z28" i="12"/>
  <c r="AB30" i="12"/>
  <c r="Y31" i="12"/>
  <c r="Z31" i="12"/>
  <c r="Y35" i="12"/>
  <c r="Z35" i="12"/>
  <c r="AB12" i="12"/>
  <c r="AA11" i="12"/>
  <c r="AA35" i="12"/>
  <c r="Y34" i="12"/>
  <c r="Z34" i="12"/>
  <c r="AB32" i="12"/>
  <c r="AA31" i="12"/>
  <c r="Y30" i="12"/>
  <c r="Z30" i="12"/>
  <c r="AB28" i="12"/>
  <c r="AA27" i="12"/>
  <c r="Y26" i="12"/>
  <c r="Z26" i="12"/>
  <c r="AB24" i="12"/>
  <c r="AA23" i="12"/>
  <c r="AB20" i="12"/>
  <c r="AA19" i="12"/>
  <c r="Y76" i="12"/>
  <c r="Z76" i="12"/>
  <c r="AB17" i="12"/>
  <c r="AA16" i="12"/>
  <c r="Y15" i="12"/>
  <c r="Z15" i="12"/>
  <c r="AB14" i="12"/>
  <c r="AA12" i="12"/>
  <c r="Y11" i="12"/>
  <c r="Z11" i="12"/>
  <c r="AB9" i="12"/>
  <c r="Y6" i="12"/>
  <c r="Z6" i="12"/>
  <c r="Y33" i="12"/>
  <c r="Z33" i="12"/>
  <c r="AB33" i="12"/>
  <c r="AA32" i="12"/>
  <c r="AB29" i="12"/>
  <c r="AA28" i="12"/>
  <c r="AB25" i="12"/>
  <c r="AA24" i="12"/>
  <c r="AB21" i="12"/>
  <c r="AA20" i="12"/>
  <c r="AA17" i="12"/>
  <c r="AB13" i="12"/>
  <c r="AA14" i="12"/>
  <c r="AB10" i="12"/>
  <c r="AA9" i="12"/>
  <c r="AA26" i="12"/>
  <c r="Y46" i="12"/>
  <c r="Z46" i="12"/>
  <c r="AA46" i="12"/>
  <c r="AB46" i="12"/>
  <c r="Y5" i="12"/>
  <c r="Z5" i="12"/>
  <c r="AA5" i="12"/>
  <c r="AB5" i="12"/>
  <c r="AB18" i="12"/>
  <c r="AA18" i="12"/>
  <c r="Y18" i="12"/>
  <c r="Z18" i="12"/>
  <c r="AB22" i="12"/>
  <c r="Y22" i="12"/>
  <c r="Z22" i="12"/>
  <c r="AA22" i="12"/>
  <c r="AB45" i="12"/>
  <c r="AA45" i="12"/>
  <c r="AA47" i="12"/>
  <c r="Y47" i="12"/>
  <c r="Z47" i="12"/>
  <c r="S77" i="5"/>
  <c r="S118" i="5"/>
  <c r="S127" i="5"/>
  <c r="R4" i="13"/>
  <c r="R86" i="13"/>
  <c r="R84" i="13"/>
  <c r="R72" i="13"/>
  <c r="R60" i="13"/>
  <c r="R51" i="13"/>
  <c r="R29" i="13"/>
  <c r="R22" i="13"/>
  <c r="R13" i="13"/>
  <c r="S70" i="5"/>
  <c r="S124" i="5"/>
  <c r="Y32" i="12"/>
  <c r="Z32" i="12"/>
  <c r="Y40" i="12"/>
  <c r="Z40" i="12"/>
  <c r="Y45" i="12"/>
  <c r="Z45" i="12"/>
  <c r="AB50" i="12"/>
  <c r="R89" i="13"/>
  <c r="R75" i="13"/>
  <c r="R68" i="13"/>
  <c r="R56" i="13"/>
  <c r="R46" i="13"/>
  <c r="R35" i="13"/>
  <c r="R25" i="13"/>
  <c r="R11" i="13"/>
  <c r="AB47" i="12"/>
  <c r="AA49" i="12"/>
  <c r="AB51" i="12"/>
  <c r="R8" i="13"/>
  <c r="R85" i="13"/>
  <c r="R83" i="13"/>
  <c r="R80" i="13"/>
  <c r="R59" i="13"/>
  <c r="R52" i="13"/>
  <c r="R30" i="13"/>
  <c r="R21" i="13"/>
  <c r="R16" i="13"/>
  <c r="S220" i="5"/>
  <c r="S221" i="5"/>
  <c r="S226" i="5"/>
  <c r="Y25" i="12"/>
  <c r="Z25" i="12"/>
  <c r="Y36" i="12"/>
  <c r="Z36" i="12"/>
  <c r="AA36" i="12"/>
  <c r="AB55" i="12"/>
  <c r="AA77" i="12"/>
  <c r="R3" i="13"/>
  <c r="R6" i="13"/>
  <c r="R88" i="13"/>
  <c r="R76" i="13"/>
  <c r="R67" i="13"/>
  <c r="R64" i="13"/>
  <c r="R43" i="13"/>
  <c r="R38" i="13"/>
  <c r="R12" i="13"/>
  <c r="AA58" i="12"/>
  <c r="R7" i="13"/>
  <c r="R71" i="13"/>
  <c r="R55" i="13"/>
  <c r="R39" i="13"/>
  <c r="R34" i="13"/>
  <c r="R18" i="13"/>
  <c r="R87" i="13"/>
  <c r="R79" i="13"/>
  <c r="R49" i="13"/>
  <c r="R33" i="13"/>
  <c r="R17" i="13"/>
  <c r="Y37" i="12"/>
  <c r="Z37" i="12"/>
  <c r="R63" i="13"/>
  <c r="R47" i="13"/>
  <c r="R90" i="13"/>
  <c r="R42" i="13"/>
  <c r="R26" i="13"/>
  <c r="R5" i="13"/>
  <c r="AA7" i="12"/>
  <c r="AB7" i="12"/>
  <c r="Y7" i="12"/>
  <c r="Z7" i="12"/>
  <c r="AB63" i="12"/>
  <c r="AA48" i="12"/>
  <c r="N76" i="30"/>
  <c r="M80" i="30"/>
  <c r="P31" i="31"/>
  <c r="M70" i="30"/>
  <c r="M182" i="30"/>
  <c r="M84" i="30"/>
  <c r="M147" i="30"/>
  <c r="P57" i="31"/>
  <c r="M200" i="30"/>
  <c r="Y17" i="12"/>
  <c r="Z17" i="12"/>
  <c r="O93" i="31"/>
  <c r="AA42" i="12"/>
  <c r="Q81" i="13"/>
  <c r="Q77" i="13"/>
  <c r="Q73" i="13"/>
  <c r="Q69" i="13"/>
  <c r="Q65" i="13"/>
  <c r="Q61" i="13"/>
  <c r="Q57" i="13"/>
  <c r="Q53" i="13"/>
  <c r="Q48" i="13"/>
  <c r="Q44" i="13"/>
  <c r="Q40" i="13"/>
  <c r="Q36" i="13"/>
  <c r="Q31" i="13"/>
  <c r="Q27" i="13"/>
  <c r="Q23" i="13"/>
  <c r="Q19" i="13"/>
  <c r="Q14" i="13"/>
  <c r="Q9" i="13"/>
  <c r="N113" i="30"/>
  <c r="R43" i="31"/>
  <c r="M113" i="30"/>
  <c r="P43" i="31"/>
  <c r="P93" i="31"/>
  <c r="Q82" i="13"/>
  <c r="Q78" i="13"/>
  <c r="Q74" i="13"/>
  <c r="Q70" i="13"/>
  <c r="Q66" i="13"/>
  <c r="Q62" i="13"/>
  <c r="Q58" i="13"/>
  <c r="Q54" i="13"/>
  <c r="Q50" i="13"/>
  <c r="Q45" i="13"/>
  <c r="Q41" i="13"/>
  <c r="Q37" i="13"/>
  <c r="Q32" i="13"/>
  <c r="Q28" i="13"/>
  <c r="Q24" i="13"/>
  <c r="Q20" i="13"/>
  <c r="Q15" i="13"/>
  <c r="Q10" i="13"/>
  <c r="N23" i="31"/>
  <c r="R23" i="13"/>
  <c r="N40" i="31"/>
  <c r="R40" i="13"/>
  <c r="N57" i="31"/>
  <c r="R57" i="13"/>
  <c r="N73" i="31"/>
  <c r="R73" i="13"/>
  <c r="N20" i="31"/>
  <c r="R20" i="13"/>
  <c r="N70" i="31"/>
  <c r="R70" i="13"/>
  <c r="N24" i="31"/>
  <c r="R24" i="13"/>
  <c r="N74" i="31"/>
  <c r="R74" i="13"/>
  <c r="N10" i="31"/>
  <c r="R10" i="13"/>
  <c r="N28" i="31"/>
  <c r="R28" i="13"/>
  <c r="N45" i="31"/>
  <c r="R45" i="13"/>
  <c r="N62" i="31"/>
  <c r="R62" i="13"/>
  <c r="N78" i="31"/>
  <c r="R78" i="13"/>
  <c r="N9" i="31"/>
  <c r="R9" i="13"/>
  <c r="N27" i="31"/>
  <c r="R27" i="13"/>
  <c r="N44" i="31"/>
  <c r="R44" i="13"/>
  <c r="N61" i="31"/>
  <c r="R61" i="13"/>
  <c r="N77" i="31"/>
  <c r="R77" i="13"/>
  <c r="N37" i="31"/>
  <c r="R37" i="13"/>
  <c r="N54" i="31"/>
  <c r="R54" i="13"/>
  <c r="N41" i="31"/>
  <c r="R41" i="13"/>
  <c r="N58" i="31"/>
  <c r="R58" i="13"/>
  <c r="N15" i="31"/>
  <c r="R15" i="13"/>
  <c r="N32" i="31"/>
  <c r="R32" i="13"/>
  <c r="N50" i="31"/>
  <c r="R50" i="13"/>
  <c r="N66" i="31"/>
  <c r="R66" i="13"/>
  <c r="N82" i="31"/>
  <c r="R82" i="13"/>
  <c r="N14" i="31"/>
  <c r="R14" i="13"/>
  <c r="N31" i="31"/>
  <c r="R31" i="13"/>
  <c r="N48" i="31"/>
  <c r="R48" i="13"/>
  <c r="N65" i="31"/>
  <c r="R65" i="13"/>
  <c r="N81" i="31"/>
  <c r="R81" i="13"/>
  <c r="P91" i="31"/>
  <c r="N19" i="31"/>
  <c r="R19" i="13"/>
  <c r="N36" i="31"/>
  <c r="R36" i="13"/>
  <c r="N53" i="31"/>
  <c r="R53" i="13"/>
  <c r="N69" i="31"/>
  <c r="R69" i="13"/>
  <c r="N91" i="31"/>
  <c r="N93" i="31"/>
</calcChain>
</file>

<file path=xl/comments1.xml><?xml version="1.0" encoding="utf-8"?>
<comments xmlns="http://schemas.openxmlformats.org/spreadsheetml/2006/main">
  <authors>
    <author/>
  </authors>
  <commentList>
    <comment ref="J47" authorId="0">
      <text>
        <r>
          <rPr>
            <sz val="11"/>
            <color rgb="FF000000"/>
            <rFont val="Calibri"/>
          </rPr>
          <t>el promedio se calcula con la formula =average()
	-pablo andres jimenez nuñez</t>
        </r>
      </text>
    </comment>
  </commentList>
</comments>
</file>

<file path=xl/sharedStrings.xml><?xml version="1.0" encoding="utf-8"?>
<sst xmlns="http://schemas.openxmlformats.org/spreadsheetml/2006/main" count="15954" uniqueCount="579">
  <si>
    <t>muestras</t>
  </si>
  <si>
    <t>OBSERVACIONES</t>
  </si>
  <si>
    <t>ALTURAS</t>
  </si>
  <si>
    <t>Subd</t>
  </si>
  <si>
    <t>Zona</t>
  </si>
  <si>
    <t>Cama</t>
  </si>
  <si>
    <t>Nombre</t>
  </si>
  <si>
    <t>Nombre Cientifico</t>
  </si>
  <si>
    <t>Medio</t>
  </si>
  <si>
    <t>OP Nº</t>
  </si>
  <si>
    <t>Cant</t>
  </si>
  <si>
    <t>TESTIGO 1</t>
  </si>
  <si>
    <t>TESTIGO 2</t>
  </si>
  <si>
    <t>TESTIGO 3</t>
  </si>
  <si>
    <t>TESTIGO 4</t>
  </si>
  <si>
    <t>TESTIGO 5</t>
  </si>
  <si>
    <t>TESTIGO 6</t>
  </si>
  <si>
    <t>TESTIGO 7</t>
  </si>
  <si>
    <t>TESTIGO 8</t>
  </si>
  <si>
    <t>TESTIGO 9</t>
  </si>
  <si>
    <t>TESTIGO 10</t>
  </si>
  <si>
    <t>PROMEDIO</t>
  </si>
  <si>
    <t>CINTA VARIEGADA (JA)</t>
  </si>
  <si>
    <t>Chlorophytum comosum</t>
  </si>
  <si>
    <t># de Muestras</t>
  </si>
  <si>
    <t>30x35</t>
  </si>
  <si>
    <t>Jardineria</t>
  </si>
  <si>
    <t>CINTA AMARILLA (JA)</t>
  </si>
  <si>
    <t>Muscari variegata</t>
  </si>
  <si>
    <t>GUABAS (RE)</t>
  </si>
  <si>
    <t>Phytolacca bogotensis</t>
  </si>
  <si>
    <t>25x29</t>
  </si>
  <si>
    <t>CAJETO DE PARAMO (RE)</t>
  </si>
  <si>
    <t>Citharexylum sulcatum</t>
  </si>
  <si>
    <t>30X30</t>
  </si>
  <si>
    <t>ALISO (RE)</t>
  </si>
  <si>
    <t>Alnus acuminata</t>
  </si>
  <si>
    <t>HAYUELO (RE)</t>
  </si>
  <si>
    <t>Dodonaea viscosa</t>
  </si>
  <si>
    <t>SOLANUM ESP (RE)</t>
  </si>
  <si>
    <t>solanum ovalifolium</t>
  </si>
  <si>
    <t>SOLANUM (RE)</t>
  </si>
  <si>
    <t>Solanum jamaicense</t>
  </si>
  <si>
    <t>No esta</t>
  </si>
  <si>
    <t>TRINITARIA (RE)</t>
  </si>
  <si>
    <t>Otholobium mexicanum</t>
  </si>
  <si>
    <t>DIVIDIVI (RE)</t>
  </si>
  <si>
    <t>Caesalpinia spinosa</t>
  </si>
  <si>
    <t>30x40</t>
  </si>
  <si>
    <t>MANO DE OSO (RE)</t>
  </si>
  <si>
    <t>Oreopanax bogotensis</t>
  </si>
  <si>
    <t>REVENTADERA (RE)</t>
  </si>
  <si>
    <t>Gautheria myrsinoides</t>
  </si>
  <si>
    <t>CHUSQUE (RE)</t>
  </si>
  <si>
    <t>Chusquea scandens</t>
  </si>
  <si>
    <t>Muerta</t>
  </si>
  <si>
    <t>BERBERIS (RE)</t>
  </si>
  <si>
    <t>Berberis rigidifolia</t>
  </si>
  <si>
    <t>CERVETANO (RE)</t>
  </si>
  <si>
    <t>Verbesina crassiramea</t>
  </si>
  <si>
    <t>CAJETO (RE)</t>
  </si>
  <si>
    <t>Citharexylum montanum</t>
  </si>
  <si>
    <t>CORDONCILLO (RE)</t>
  </si>
  <si>
    <t>Piper bogotense</t>
  </si>
  <si>
    <t>SALVIO NEGRO (RE)</t>
  </si>
  <si>
    <t>cordia cylindrostachya</t>
  </si>
  <si>
    <t>GAQUE (RE)</t>
  </si>
  <si>
    <t>Clusia multiflora</t>
  </si>
  <si>
    <t>20x30</t>
  </si>
  <si>
    <t>TABAQUILLO (RE)</t>
  </si>
  <si>
    <t>Aegiphila bogotensis</t>
  </si>
  <si>
    <t>Citharexylum subflavescens</t>
  </si>
  <si>
    <t>ENCENILLO (RE)</t>
  </si>
  <si>
    <t>Weinmania tomentosa</t>
  </si>
  <si>
    <t>CUCHARO NEGRO (RE)</t>
  </si>
  <si>
    <t>Myrsine coriacea</t>
  </si>
  <si>
    <t>BOMAREAS (RE)</t>
  </si>
  <si>
    <t>Bomarea sp.</t>
  </si>
  <si>
    <t>RAQUE (RE)</t>
  </si>
  <si>
    <t>Vallea stipularis</t>
  </si>
  <si>
    <t>-</t>
  </si>
  <si>
    <t>CUCHARO HUESITO (RE)</t>
  </si>
  <si>
    <t>Geissanthus andinus</t>
  </si>
  <si>
    <t>175,5</t>
  </si>
  <si>
    <t>solanum ovalifolium cambiar por jamaicense</t>
  </si>
  <si>
    <t>MORTIÑO (RE)</t>
  </si>
  <si>
    <t>Hesperomeles goudotiana</t>
  </si>
  <si>
    <t>Misma OP</t>
  </si>
  <si>
    <t>No se encontraba en la primera medicion, por lo tanto en la segunda medicion no se tuvo en cuenta</t>
  </si>
  <si>
    <t>ARBOLOCO (RE)</t>
  </si>
  <si>
    <t>Smallanthus pyramidalis</t>
  </si>
  <si>
    <t>GRANADO (RE)</t>
  </si>
  <si>
    <t>Daphnopsis caracasana</t>
  </si>
  <si>
    <t>CORONO (RE)</t>
  </si>
  <si>
    <t>Xylosma spiculifera</t>
  </si>
  <si>
    <t>CHOCHO (RE)</t>
  </si>
  <si>
    <t>Erythrina rubrinervia</t>
  </si>
  <si>
    <t>SIETE CUEROS (RE)</t>
  </si>
  <si>
    <t>Tibouchina lepidota</t>
  </si>
  <si>
    <t>LEANDRA (RE)</t>
  </si>
  <si>
    <t>TUNO (RE)</t>
  </si>
  <si>
    <t>Miconia squamulosa</t>
  </si>
  <si>
    <t>LAUREL DE CERA (RE)</t>
  </si>
  <si>
    <t>Morella pubescens</t>
  </si>
  <si>
    <t>Morella parvifolia</t>
  </si>
  <si>
    <t>CHIRIPIQUE (RE)</t>
  </si>
  <si>
    <t>Dalea coerulea</t>
  </si>
  <si>
    <t>RODAMONTE (RE)</t>
  </si>
  <si>
    <t>Escallonia myrtilloides</t>
  </si>
  <si>
    <t>20X24</t>
  </si>
  <si>
    <t>Se eliminan por cambio de lugar</t>
  </si>
  <si>
    <t>Por replante se cambio la especie Citharexylum montanum por Citharexylum subflavescens</t>
  </si>
  <si>
    <t>CESTRUM (RE)</t>
  </si>
  <si>
    <t>Cestrum mutisii</t>
  </si>
  <si>
    <t>CESTRUM BUXIFOLIUM (RE)</t>
  </si>
  <si>
    <t>cestrum buxifolium</t>
  </si>
  <si>
    <t>20X30</t>
  </si>
  <si>
    <t>15x25</t>
  </si>
  <si>
    <t>Individuos incluidos de la OP 50758</t>
  </si>
  <si>
    <t>Individuos incluidos en OP 50688 (faltan bastantes individuos)</t>
  </si>
  <si>
    <t>MOQUILLO (RE)</t>
  </si>
  <si>
    <t>Saurauia scabra</t>
  </si>
  <si>
    <t>ROBLE (RE)</t>
  </si>
  <si>
    <t>Quercus humboldtii</t>
  </si>
  <si>
    <t>ARDICIA (RE)</t>
  </si>
  <si>
    <t>Myrsine latifolia</t>
  </si>
  <si>
    <t>CEDRO (RE)</t>
  </si>
  <si>
    <t>Cedrela montana</t>
  </si>
  <si>
    <t>Actualizar inventario (Pocos individuos; se tomo el 5% inviduos totales)</t>
  </si>
  <si>
    <t>CAJETO SULCATUM (RE)</t>
  </si>
  <si>
    <t>Cytharexylum sulcatum</t>
  </si>
  <si>
    <t>Actualizar inventario (menos individuos; se tomo el 5% inviduos totales)</t>
  </si>
  <si>
    <t>CANELO DE PARAMO (RE)</t>
  </si>
  <si>
    <t>Drimys granadensis</t>
  </si>
  <si>
    <t>CUCHARO DE PARAMO (RE)</t>
  </si>
  <si>
    <t>Myrsine dependens</t>
  </si>
  <si>
    <t>CHILCO (RE)</t>
  </si>
  <si>
    <t>Baccharis latifolia</t>
  </si>
  <si>
    <t>ARRAYAN (RE)</t>
  </si>
  <si>
    <t>Myrcianthes leucoxyla</t>
  </si>
  <si>
    <t>ARRAYAN ROPHALOIDES (RE)</t>
  </si>
  <si>
    <t>Myrcianthes rophaloides</t>
  </si>
  <si>
    <t>LUPINUS (RE)</t>
  </si>
  <si>
    <t>Lupinus bogotensis</t>
  </si>
  <si>
    <t>15x16</t>
  </si>
  <si>
    <t>BLANQUILLO (RE)</t>
  </si>
  <si>
    <t>Eupatorium angustifolium</t>
  </si>
  <si>
    <t>SAUCO (RE)</t>
  </si>
  <si>
    <t>Sambucus nigra</t>
  </si>
  <si>
    <t>CIRO (RE)</t>
  </si>
  <si>
    <t>Baccharis bogotense</t>
  </si>
  <si>
    <t>BODOQUERA (RE)</t>
  </si>
  <si>
    <t>Monnina aestuans</t>
  </si>
  <si>
    <t>MANZANO (RE)</t>
  </si>
  <si>
    <t>Clethra fimbriata</t>
  </si>
  <si>
    <t>40x50</t>
  </si>
  <si>
    <t>UCHUVA (RE)</t>
  </si>
  <si>
    <t>Physalis peruviana</t>
  </si>
  <si>
    <t>PUNTA DE LANZA (RE)</t>
  </si>
  <si>
    <t>Vismia macrophilla</t>
  </si>
  <si>
    <t>PEGAMOSCO (RE)</t>
  </si>
  <si>
    <t>Ageratina ampla</t>
  </si>
  <si>
    <t>ESPINO BERNADESIA (RE)</t>
  </si>
  <si>
    <t>Bernadesia spinosa</t>
  </si>
  <si>
    <t>TÉ DE BOGOTA (RE)</t>
  </si>
  <si>
    <t>Symplocos theiformis</t>
  </si>
  <si>
    <t>40X40</t>
  </si>
  <si>
    <t>ALCAPARRO DOBLE (RE)</t>
  </si>
  <si>
    <t>Senna viarum</t>
  </si>
  <si>
    <t>CEREZO (RE)</t>
  </si>
  <si>
    <t>Prunus serotina</t>
  </si>
  <si>
    <t>NOGAL (RE)</t>
  </si>
  <si>
    <t>Juglans neotropica</t>
  </si>
  <si>
    <t>PAPAYUELA (RE)</t>
  </si>
  <si>
    <t>Vasconcellea sp.</t>
  </si>
  <si>
    <t>TOMINEJERO (RE)</t>
  </si>
  <si>
    <t>Palicourea lineariflora</t>
  </si>
  <si>
    <t>GARROCHO (RE)</t>
  </si>
  <si>
    <t>Viburnum triphyllum</t>
  </si>
  <si>
    <t>MANGLE (RE)</t>
  </si>
  <si>
    <t>Escallonia pendula</t>
  </si>
  <si>
    <t>YOLOMBO (RE)</t>
  </si>
  <si>
    <t>Panopsis suaveolens</t>
  </si>
  <si>
    <t>ALCAPARRO ENANO (RE)</t>
  </si>
  <si>
    <t>Cassia tomentosa</t>
  </si>
  <si>
    <t>TIBAR (RE)</t>
  </si>
  <si>
    <t>Escallonia paniculata</t>
  </si>
  <si>
    <t>ESPINO GARBANZO (RE)</t>
  </si>
  <si>
    <t>Duranta mutisii</t>
  </si>
  <si>
    <t>AMARGOSO (RE)</t>
  </si>
  <si>
    <t>Ageratina aristei</t>
  </si>
  <si>
    <t>CONEJO (RE)</t>
  </si>
  <si>
    <t>Holodiscus Argenteus</t>
  </si>
  <si>
    <t>Individuos restantes muertos (se tomo el 5% de los inviduos totales)</t>
  </si>
  <si>
    <t>Oreopanax mutisianus</t>
  </si>
  <si>
    <t>GUAMO (RE)</t>
  </si>
  <si>
    <t>Inga edulis</t>
  </si>
  <si>
    <t>DURAZNILLO (RE)</t>
  </si>
  <si>
    <t>Abatia parviflora</t>
  </si>
  <si>
    <t>LULO (RE)</t>
  </si>
  <si>
    <t>Solanum quitoense</t>
  </si>
  <si>
    <t>AJI (RE)</t>
  </si>
  <si>
    <t>Capsicum pubescens</t>
  </si>
  <si>
    <t>GURRUBO (RE)</t>
  </si>
  <si>
    <t>Lycianthes lycioides</t>
  </si>
  <si>
    <t>JARILLA (RE)</t>
  </si>
  <si>
    <t>Baccharis viscosa</t>
  </si>
  <si>
    <t>muerta</t>
  </si>
  <si>
    <t>PATA DE INDIO (RE)</t>
  </si>
  <si>
    <t>Dendropanax sp.</t>
  </si>
  <si>
    <t>CACHITO (RE)</t>
  </si>
  <si>
    <t>Styloceras laurifolium</t>
  </si>
  <si>
    <t>GUAYACAN DE MANIZALES (RE)</t>
  </si>
  <si>
    <t>Lafoensia acuminata</t>
  </si>
  <si>
    <t>GUAYABO DEL PERU (RE)</t>
  </si>
  <si>
    <t>Psidium cattleianum</t>
  </si>
  <si>
    <t>QUINA (RE)</t>
  </si>
  <si>
    <t>Hytpis perbullata</t>
  </si>
  <si>
    <t>PINO ROMERON (RE)</t>
  </si>
  <si>
    <t>Retrophyllum rospigliosii</t>
  </si>
  <si>
    <t>Tibouchina grosa</t>
  </si>
  <si>
    <t>Individuos restantes muertos (se tomo 5% del total de individuos)</t>
  </si>
  <si>
    <t>CUCHARO BLANCO (RE)</t>
  </si>
  <si>
    <t>Myrsine guianensis</t>
  </si>
  <si>
    <t>ANGELITO (RE)</t>
  </si>
  <si>
    <t>Tibouchina mollis</t>
  </si>
  <si>
    <t>PEPERO (RE)</t>
  </si>
  <si>
    <t>Rhamnus goudotiana</t>
  </si>
  <si>
    <t>COLORADITO (RE)</t>
  </si>
  <si>
    <t>Polylepis quadrijuga</t>
  </si>
  <si>
    <t>PALMA DE CERA (RE)</t>
  </si>
  <si>
    <t>Ceroxylon quindiuense</t>
  </si>
  <si>
    <t>PALMA GEONOMA (RE)</t>
  </si>
  <si>
    <t>OCOTEA (RE)</t>
  </si>
  <si>
    <t>Ocotea guianensis</t>
  </si>
  <si>
    <t>SALVIO (RE)</t>
  </si>
  <si>
    <t>Salvia cuatrecasana</t>
  </si>
  <si>
    <t>TOMATILLO (RE)</t>
  </si>
  <si>
    <t>Solanum oblongifolium</t>
  </si>
  <si>
    <t>CALENDULA (JA)</t>
  </si>
  <si>
    <t>Calendula officinalis</t>
  </si>
  <si>
    <t>CARISECO (RE)</t>
  </si>
  <si>
    <t>Billia columbiana</t>
  </si>
  <si>
    <t>AGAVE (RE)</t>
  </si>
  <si>
    <t>Agave americana</t>
  </si>
  <si>
    <t>* Se recomienda crear nueva OP para 108 individuos de la especie Citharexylum subflavescenscorrespondientes a la "Zona 3, Cama 17"</t>
  </si>
  <si>
    <t>16,5</t>
  </si>
  <si>
    <t>Testigos restantes extraidos</t>
  </si>
  <si>
    <t>Material extraido</t>
  </si>
  <si>
    <t>DIAMETROS</t>
  </si>
  <si>
    <t>CAP</t>
  </si>
  <si>
    <t>Calibrador</t>
  </si>
  <si>
    <t>mm</t>
  </si>
  <si>
    <t>Testigo restante extraido</t>
  </si>
  <si>
    <t>Individuos restantes muertos</t>
  </si>
  <si>
    <t>Palma</t>
  </si>
  <si>
    <t>Cambio de lugar se elimina</t>
  </si>
  <si>
    <t>material extraido revisar</t>
  </si>
  <si>
    <t>Individuos incluidos en OP 50688 (faltan bastantes individuos) material extraido</t>
  </si>
  <si>
    <t>Individuos restantes muertos (se tomo 5% del total de individuos) material extraido</t>
  </si>
  <si>
    <t>material extraido</t>
  </si>
  <si>
    <t>Material extraido solo quedo 1</t>
  </si>
  <si>
    <t>ESTADO FITOSANITARIO</t>
  </si>
  <si>
    <t>Calificacion de 1-3 (1=Malo, 2=Regular, 3=Bueno)</t>
  </si>
  <si>
    <t>OBSERVACIONES ESTADO FITOSANITARIO</t>
  </si>
  <si>
    <t>Regular</t>
  </si>
  <si>
    <t>Malo</t>
  </si>
  <si>
    <t>Ataque de Fusarium</t>
  </si>
  <si>
    <t>Ataque de insectos y clorosis</t>
  </si>
  <si>
    <t>Clorosis</t>
  </si>
  <si>
    <t>Ataque de insectos</t>
  </si>
  <si>
    <t>Ataque de insectos, clorosis</t>
  </si>
  <si>
    <t>Bueno</t>
  </si>
  <si>
    <t>Ninguna</t>
  </si>
  <si>
    <t>Presencia de quemaduras en hojas</t>
  </si>
  <si>
    <t>Ataque de insectos, Quemaduras</t>
  </si>
  <si>
    <t>Ataque de insectos, clorosis en agua y marchitamiento</t>
  </si>
  <si>
    <t xml:space="preserve">Regular </t>
  </si>
  <si>
    <t>Mayoria de los individuos muertos, Ataque de insectos, clorosis</t>
  </si>
  <si>
    <t>Clorosis, Ataque de insectos</t>
  </si>
  <si>
    <t>Necrosis</t>
  </si>
  <si>
    <t>Ataque insectos (Lepidoptera)</t>
  </si>
  <si>
    <t>Ataque de insectos, quemaduras</t>
  </si>
  <si>
    <t>Ataque de insectos, clorosis y necrosis</t>
  </si>
  <si>
    <t>Quemaduras y marchitamiento</t>
  </si>
  <si>
    <t>Muertos, Quemadas</t>
  </si>
  <si>
    <t>Muertos</t>
  </si>
  <si>
    <t>Enfermos, Clorosis, Necrosis, Muertos</t>
  </si>
  <si>
    <t xml:space="preserve">Marchitamiento bajo </t>
  </si>
  <si>
    <t>Quemadas, Ataque de insectos</t>
  </si>
  <si>
    <t>Ataque de insectos (Bajo)</t>
  </si>
  <si>
    <t>Marchitamiento</t>
  </si>
  <si>
    <t>Quemaduras en las hojas por heladas</t>
  </si>
  <si>
    <t>Necrosis y ataque de insectos</t>
  </si>
  <si>
    <t>Quemaduras en las puntas de las hojas</t>
  </si>
  <si>
    <t>Clorosis y necrosis</t>
  </si>
  <si>
    <t>Demasiada maleza</t>
  </si>
  <si>
    <t>Manchas, Ataque de insectos</t>
  </si>
  <si>
    <t>Poca clorosis</t>
  </si>
  <si>
    <t>Manchas</t>
  </si>
  <si>
    <t>Manchas amarillas, Ataque de insectos</t>
  </si>
  <si>
    <t>Ataque de insectos, manchas</t>
  </si>
  <si>
    <t>Ataque de insectos, necrosis</t>
  </si>
  <si>
    <t>Ataque de insectos, hojas enrrolladas</t>
  </si>
  <si>
    <t>Virosis por Hongos</t>
  </si>
  <si>
    <t xml:space="preserve">Pocas quemaduras </t>
  </si>
  <si>
    <t>Quemadas, ataque de insectos, Manchas amarillas</t>
  </si>
  <si>
    <t>Ataque de insectos muy alto</t>
  </si>
  <si>
    <t>Clorosis, Manchas amarillas</t>
  </si>
  <si>
    <t>Poco ataque de insectos</t>
  </si>
  <si>
    <t>Insectos</t>
  </si>
  <si>
    <t>Manchas y clorosis</t>
  </si>
  <si>
    <t xml:space="preserve">Ataque de insectos </t>
  </si>
  <si>
    <t>Manchas por hongos</t>
  </si>
  <si>
    <t>Clorosis y Necrosis</t>
  </si>
  <si>
    <t>Maleza</t>
  </si>
  <si>
    <t>Maleza, ataque de insectos</t>
  </si>
  <si>
    <t>Quemaduras</t>
  </si>
  <si>
    <t>Maleza, clorosis, crecimiento torcido</t>
  </si>
  <si>
    <t>Manchas y hongos</t>
  </si>
  <si>
    <t>Poco Ataque de insectos</t>
  </si>
  <si>
    <t>Testigo 1 muerto y testigo 2 con clorosis</t>
  </si>
  <si>
    <t>Ataque de insectos, Clorosis</t>
  </si>
  <si>
    <t>Quemaduras en las hojas por heladas, clorosis</t>
  </si>
  <si>
    <t>Quemada</t>
  </si>
  <si>
    <t>Quemadas y manchas amarillas</t>
  </si>
  <si>
    <t>NInguna</t>
  </si>
  <si>
    <t>Manchas y heridas por insectos</t>
  </si>
  <si>
    <t>Quemaduras por heladas</t>
  </si>
  <si>
    <t>Quemaduras en bajo grado</t>
  </si>
  <si>
    <t>Bastantes quemaduras por heladas</t>
  </si>
  <si>
    <t xml:space="preserve"> Ataque de insectos</t>
  </si>
  <si>
    <t>Bastante clorosis</t>
  </si>
  <si>
    <t>Ataque de insectos y manchas</t>
  </si>
  <si>
    <t>Muestra hoja 1</t>
  </si>
  <si>
    <t>Muestra hoja 2</t>
  </si>
  <si>
    <t xml:space="preserve">Muestra hoja 3 </t>
  </si>
  <si>
    <t>Muestra hoja 4</t>
  </si>
  <si>
    <t>Muestra hoja 5</t>
  </si>
  <si>
    <t>Muestra peciolo 1</t>
  </si>
  <si>
    <t>Muestra peciolo 2</t>
  </si>
  <si>
    <t>Muestra peciolo 3</t>
  </si>
  <si>
    <t>Muestra peciolo 4</t>
  </si>
  <si>
    <t>Muestra peciolo 5</t>
  </si>
  <si>
    <t>AF con peciolo 1</t>
  </si>
  <si>
    <t>AF con peciolo 2</t>
  </si>
  <si>
    <t>AF con peciolo 3</t>
  </si>
  <si>
    <t>AF con peciolo 4</t>
  </si>
  <si>
    <t>AF con peciolo 5</t>
  </si>
  <si>
    <t>#</t>
  </si>
  <si>
    <t>Nombre cientifico</t>
  </si>
  <si>
    <t>Desviacion estandar</t>
  </si>
  <si>
    <t>Varianza</t>
  </si>
  <si>
    <t>Observaciones</t>
  </si>
  <si>
    <t>Area foliar</t>
  </si>
  <si>
    <t>Clusia grandiflora</t>
  </si>
  <si>
    <t>Geonoma sp.</t>
  </si>
  <si>
    <t>Hyptis perbulllata</t>
  </si>
  <si>
    <t>Leandra sp</t>
  </si>
  <si>
    <t>Leandra sp.</t>
  </si>
  <si>
    <t>Desviación estandar</t>
  </si>
  <si>
    <t>Piper peltatum</t>
  </si>
  <si>
    <t>PIPER</t>
  </si>
  <si>
    <t>solanum jamaicense</t>
  </si>
  <si>
    <t>peciolo pequeño</t>
  </si>
  <si>
    <t>Diciembre</t>
  </si>
  <si>
    <t>Enero</t>
  </si>
  <si>
    <t>Febrero</t>
  </si>
  <si>
    <t>Marzo</t>
  </si>
  <si>
    <t>Peciolos pequeños</t>
  </si>
  <si>
    <t>Peciolo pequeño</t>
  </si>
  <si>
    <t>Solo habian 4 hojas</t>
  </si>
  <si>
    <t>Peciolos pegados a la base de la hoja</t>
  </si>
  <si>
    <t>Solo una hoja</t>
  </si>
  <si>
    <t>Peciolo pequeño/ no borrar mejor cambiar por clusia grandiflora</t>
  </si>
  <si>
    <t>QUINA</t>
  </si>
  <si>
    <t>30X35</t>
  </si>
  <si>
    <t>Se tienen solo 4 muestras</t>
  </si>
  <si>
    <t>DICIEMBRE</t>
  </si>
  <si>
    <t>ENERO</t>
  </si>
  <si>
    <t>FEBRERO</t>
  </si>
  <si>
    <t>MARZO</t>
  </si>
  <si>
    <t>Total general</t>
  </si>
  <si>
    <t>Etiquetas de fila</t>
  </si>
  <si>
    <t xml:space="preserve">Geonoma sp </t>
  </si>
  <si>
    <t>50262_01_12</t>
  </si>
  <si>
    <t>50262_01_18</t>
  </si>
  <si>
    <t>50749_02_13</t>
  </si>
  <si>
    <t>50749_03_17</t>
  </si>
  <si>
    <t>50810_03_17</t>
  </si>
  <si>
    <t>50810_04_03</t>
  </si>
  <si>
    <t>50616_01_05</t>
  </si>
  <si>
    <t>50616_01_13</t>
  </si>
  <si>
    <t>50663_01_09</t>
  </si>
  <si>
    <t>50663_05_13</t>
  </si>
  <si>
    <t>50785_05_13</t>
  </si>
  <si>
    <t>50785_05_03</t>
  </si>
  <si>
    <t>50835_06_04</t>
  </si>
  <si>
    <t>50835_06_05</t>
  </si>
  <si>
    <t>50268_08_03</t>
  </si>
  <si>
    <t>50268_04_07</t>
  </si>
  <si>
    <t>Suma de DICIEMBRE</t>
  </si>
  <si>
    <t>Suma de ENERO</t>
  </si>
  <si>
    <t>Suma de FEBRERO</t>
  </si>
  <si>
    <t>Suma de MARZO</t>
  </si>
  <si>
    <t>Especie</t>
  </si>
  <si>
    <t xml:space="preserve">Leandra sp </t>
  </si>
  <si>
    <t>Myrcianthes rhopaloides</t>
  </si>
  <si>
    <t>Frangula goudotiana</t>
  </si>
  <si>
    <t>Tibouchina grossa</t>
  </si>
  <si>
    <t>Vismia macrophylla</t>
  </si>
  <si>
    <t>Weinmannia tomentosa</t>
  </si>
  <si>
    <t>Hyptis perbullata</t>
  </si>
  <si>
    <t>Holodiscus argenteus</t>
  </si>
  <si>
    <t>Baccharis bogotensis</t>
  </si>
  <si>
    <t>Baccharis salicina</t>
  </si>
  <si>
    <t>Billia rosea</t>
  </si>
  <si>
    <t>Senna multilgandulosa</t>
  </si>
  <si>
    <t>Ageratina asclepiadea</t>
  </si>
  <si>
    <t>Gaultheria myrsinoides</t>
  </si>
  <si>
    <t>Barnadesia spinosa</t>
  </si>
  <si>
    <t>Lista corregida</t>
  </si>
  <si>
    <t>Nombre comun</t>
  </si>
  <si>
    <t>Lista anterior</t>
  </si>
  <si>
    <t>Senna multiglandulosa</t>
  </si>
  <si>
    <t>Habito</t>
  </si>
  <si>
    <t>Arbol</t>
  </si>
  <si>
    <t>Arbusto</t>
  </si>
  <si>
    <t>Arbolito</t>
  </si>
  <si>
    <t>Hierba terrestre</t>
  </si>
  <si>
    <t>Senna multigandulosa</t>
  </si>
  <si>
    <t>Tibouquina grossa</t>
  </si>
  <si>
    <t>Datos</t>
  </si>
  <si>
    <t>Tasa mensual de crecimiento en diámetro</t>
  </si>
  <si>
    <t>Crecimiento total en diámetro</t>
  </si>
  <si>
    <t>Tasa mensual de crecimiento en altura</t>
  </si>
  <si>
    <t>Crecimiento total en altura</t>
  </si>
  <si>
    <t>Promedio de Tasa mensual de crecimiento en diámetro</t>
  </si>
  <si>
    <t>Promedio de Crecimiento total en diámetro</t>
  </si>
  <si>
    <t>Promedio de Tasa mensual de crecimiento en altura</t>
  </si>
  <si>
    <t>Promedio de Crecimiento total en altura</t>
  </si>
  <si>
    <t>Tibouquina mollis</t>
  </si>
  <si>
    <t>Altura</t>
  </si>
  <si>
    <t>Diámetro</t>
  </si>
  <si>
    <t>Sp</t>
  </si>
  <si>
    <t>tasa diámetro</t>
  </si>
  <si>
    <t>total diámetro</t>
  </si>
  <si>
    <t>Tasa mensual de crecimiento en altura (cm/mes)</t>
  </si>
  <si>
    <t>Crecimiento total en altura (cm)</t>
  </si>
  <si>
    <t>Tasa mensual de crecimiento en diámetro (cm/mes)</t>
  </si>
  <si>
    <t>Crecimiento total en diámetro (cm)</t>
  </si>
  <si>
    <t>PALMA GEONOMA (RE) Palmicho</t>
  </si>
  <si>
    <t>Peso humedo peciolos (g)</t>
  </si>
  <si>
    <t>Peso humedo hojas (g)</t>
  </si>
  <si>
    <t>Peso seco peciolos (g)</t>
  </si>
  <si>
    <t>Peso seco hojas (g)</t>
  </si>
  <si>
    <t>Peso seco hojas (mg)</t>
  </si>
  <si>
    <t>Peso seco peciolos (mg)</t>
  </si>
  <si>
    <t>Total hoja humeda (g)</t>
  </si>
  <si>
    <t>Total hoja seca (mg)</t>
  </si>
  <si>
    <t>Contenido foliar de materia seca (mg/g)</t>
  </si>
  <si>
    <t>AF prom con peciolo cm2</t>
  </si>
  <si>
    <t>AF prom con peciolo mm2</t>
  </si>
  <si>
    <t>CFMS (mg/g)</t>
  </si>
  <si>
    <t>AF (mm2)</t>
  </si>
  <si>
    <t>AFE (cm2/g)</t>
  </si>
  <si>
    <t>Op</t>
  </si>
  <si>
    <t xml:space="preserve">Zona </t>
  </si>
  <si>
    <t>ID</t>
  </si>
  <si>
    <t>Hab</t>
  </si>
  <si>
    <t>CFMS</t>
  </si>
  <si>
    <t>AF</t>
  </si>
  <si>
    <t>AFE</t>
  </si>
  <si>
    <t>TMCD</t>
  </si>
  <si>
    <t>TMCA</t>
  </si>
  <si>
    <t>HAB</t>
  </si>
  <si>
    <t>Hierba</t>
  </si>
  <si>
    <t>NT</t>
  </si>
  <si>
    <t>TFP</t>
  </si>
  <si>
    <t>ok</t>
  </si>
  <si>
    <t xml:space="preserve">DURAZNILLO </t>
  </si>
  <si>
    <t xml:space="preserve">TABAQUILLO </t>
  </si>
  <si>
    <t xml:space="preserve">PEGAMOSCO </t>
  </si>
  <si>
    <t xml:space="preserve">AMARGOSO </t>
  </si>
  <si>
    <t xml:space="preserve">BLANQUILLO </t>
  </si>
  <si>
    <t xml:space="preserve">ALISO </t>
  </si>
  <si>
    <t xml:space="preserve">CIRO </t>
  </si>
  <si>
    <t xml:space="preserve">CHILCO </t>
  </si>
  <si>
    <t xml:space="preserve">JARILLA </t>
  </si>
  <si>
    <t xml:space="preserve">ESPINO BERNADESIA </t>
  </si>
  <si>
    <t xml:space="preserve">BERBERIS </t>
  </si>
  <si>
    <t xml:space="preserve">CARISECO </t>
  </si>
  <si>
    <t xml:space="preserve">BOMAREAS </t>
  </si>
  <si>
    <t xml:space="preserve">DIVIDIVI </t>
  </si>
  <si>
    <t xml:space="preserve">AJI </t>
  </si>
  <si>
    <t xml:space="preserve">CEDRO </t>
  </si>
  <si>
    <t xml:space="preserve">PALMA DE CERA </t>
  </si>
  <si>
    <t xml:space="preserve">CESTRUM BUXIFOLIUM </t>
  </si>
  <si>
    <t xml:space="preserve">CESTRUM </t>
  </si>
  <si>
    <t xml:space="preserve">CAJETO </t>
  </si>
  <si>
    <t xml:space="preserve">CAJETO DE PARAMO </t>
  </si>
  <si>
    <t xml:space="preserve">MANZANO </t>
  </si>
  <si>
    <t xml:space="preserve">GAQUE </t>
  </si>
  <si>
    <t xml:space="preserve">CHIRIPIQUE </t>
  </si>
  <si>
    <t xml:space="preserve">GRANADO </t>
  </si>
  <si>
    <t xml:space="preserve">PATA DE INDIO </t>
  </si>
  <si>
    <t xml:space="preserve">HAYUELO </t>
  </si>
  <si>
    <t xml:space="preserve">CANELO DE PARAMO </t>
  </si>
  <si>
    <t xml:space="preserve">ESPINO GARBANZO </t>
  </si>
  <si>
    <t xml:space="preserve">CHOCHO </t>
  </si>
  <si>
    <t xml:space="preserve">RODAMONTE </t>
  </si>
  <si>
    <t xml:space="preserve">TIBAR </t>
  </si>
  <si>
    <t xml:space="preserve">MANGLE </t>
  </si>
  <si>
    <t xml:space="preserve">PEPERO </t>
  </si>
  <si>
    <t xml:space="preserve">REVENTADERA </t>
  </si>
  <si>
    <t xml:space="preserve">CUCHARO HUESITO </t>
  </si>
  <si>
    <t>PALMA GEONOMA  Palmicho</t>
  </si>
  <si>
    <t xml:space="preserve">MORTIÑO </t>
  </si>
  <si>
    <t xml:space="preserve">CONEJO </t>
  </si>
  <si>
    <t xml:space="preserve">GUAMO </t>
  </si>
  <si>
    <t xml:space="preserve">NOGAL </t>
  </si>
  <si>
    <t xml:space="preserve">LEANDRA </t>
  </si>
  <si>
    <t xml:space="preserve">LUPINUS </t>
  </si>
  <si>
    <t xml:space="preserve">GURRUBO </t>
  </si>
  <si>
    <t xml:space="preserve">TUNO </t>
  </si>
  <si>
    <t xml:space="preserve">BODOQUERA </t>
  </si>
  <si>
    <t xml:space="preserve">LAUREL DE CERA </t>
  </si>
  <si>
    <t xml:space="preserve">ARRAYAN </t>
  </si>
  <si>
    <t xml:space="preserve">ARRAYAN ROPHALOIDES </t>
  </si>
  <si>
    <t xml:space="preserve">CUCHARO NEGRO </t>
  </si>
  <si>
    <t xml:space="preserve">CUCHARO DE PARAMO </t>
  </si>
  <si>
    <t xml:space="preserve">ARDICIA </t>
  </si>
  <si>
    <t xml:space="preserve">OCOTEA </t>
  </si>
  <si>
    <t xml:space="preserve">MANO DE OSO </t>
  </si>
  <si>
    <t xml:space="preserve">TRINITARIA </t>
  </si>
  <si>
    <t xml:space="preserve">TOMINEJERO </t>
  </si>
  <si>
    <t xml:space="preserve">YOLOMBO </t>
  </si>
  <si>
    <t xml:space="preserve">UCHUVA </t>
  </si>
  <si>
    <t xml:space="preserve">GUABAS </t>
  </si>
  <si>
    <t xml:space="preserve">CORDONCILLO </t>
  </si>
  <si>
    <t xml:space="preserve">CEREZO </t>
  </si>
  <si>
    <t xml:space="preserve">GUAYABO DEL PERU </t>
  </si>
  <si>
    <t xml:space="preserve">ROBLE </t>
  </si>
  <si>
    <t xml:space="preserve">PINO ROMERON </t>
  </si>
  <si>
    <t xml:space="preserve">MOQUILLO </t>
  </si>
  <si>
    <t xml:space="preserve">ALCAPARRO ENANO </t>
  </si>
  <si>
    <t xml:space="preserve">ALCAPARRO DOBLE </t>
  </si>
  <si>
    <t xml:space="preserve">ARBOLOCO </t>
  </si>
  <si>
    <t xml:space="preserve">SOLANUM ESP </t>
  </si>
  <si>
    <t xml:space="preserve">TOMATILLO </t>
  </si>
  <si>
    <t xml:space="preserve">LULO </t>
  </si>
  <si>
    <t xml:space="preserve">SIETE CUEROS </t>
  </si>
  <si>
    <t xml:space="preserve">ANGELITO </t>
  </si>
  <si>
    <t xml:space="preserve">PAPAYUELA </t>
  </si>
  <si>
    <t xml:space="preserve">CERVETANO </t>
  </si>
  <si>
    <t xml:space="preserve">GARROCHO </t>
  </si>
  <si>
    <t xml:space="preserve">PUNTA DE LANZA </t>
  </si>
  <si>
    <t xml:space="preserve">ENCENILLO </t>
  </si>
  <si>
    <t xml:space="preserve">CORONO </t>
  </si>
  <si>
    <t>CUCHARO</t>
  </si>
  <si>
    <t>RAQUE</t>
  </si>
  <si>
    <t>Nombre Común</t>
  </si>
  <si>
    <t>Hábito</t>
  </si>
  <si>
    <t>Insectos Clorosis</t>
  </si>
  <si>
    <t>Insectos (-)</t>
  </si>
  <si>
    <t>Clorosis (-)</t>
  </si>
  <si>
    <t>Varias plántulas muertas</t>
  </si>
  <si>
    <t>Muchas plántulas muertas</t>
  </si>
  <si>
    <t>Quemadas</t>
  </si>
  <si>
    <t>Ataque de insectos (-)</t>
  </si>
  <si>
    <t>Muerte clorosis</t>
  </si>
  <si>
    <t>Ataque de insectos necrosis</t>
  </si>
  <si>
    <t>Vasconcellea pubescens</t>
  </si>
  <si>
    <t>Piper aff. umbellatum</t>
  </si>
  <si>
    <t>Vismia sp.</t>
  </si>
  <si>
    <t>Dendropanax aff. arboreus</t>
  </si>
  <si>
    <t xml:space="preserve">Bomarea aff. multiflora </t>
  </si>
  <si>
    <t>Geonoma aff. Orbygniana</t>
  </si>
  <si>
    <t>Cestrum buxifolium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</si>
</sst>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2" formatCode="0.000"/>
    <numFmt numFmtId="173" formatCode="########"/>
    <numFmt numFmtId="174" formatCode="######"/>
    <numFmt numFmtId="175" formatCode="0.0"/>
  </numFmts>
  <fonts count="34">
    <font>
      <sz val="11"/>
      <color rgb="FF000000"/>
      <name val="Calibri"/>
    </font>
    <font>
      <sz val="11"/>
      <name val="Calibri"/>
    </font>
    <font>
      <b/>
      <sz val="11"/>
      <name val="Calibri"/>
    </font>
    <font>
      <sz val="11"/>
      <name val="Calibri"/>
      <family val="2"/>
    </font>
    <font>
      <sz val="9"/>
      <name val="Times New Roman"/>
      <family val="1"/>
    </font>
    <font>
      <sz val="11"/>
      <color theme="1"/>
      <name val="Calibri"/>
      <family val="2"/>
      <scheme val="minor"/>
    </font>
    <font>
      <b/>
      <sz val="10"/>
      <color rgb="FF000000"/>
      <name val="Arial"/>
    </font>
    <font>
      <sz val="10"/>
      <color rgb="FF000000"/>
      <name val="Arial"/>
    </font>
    <font>
      <i/>
      <sz val="11"/>
      <color rgb="FF000000"/>
      <name val="Calibri"/>
    </font>
    <font>
      <sz val="11"/>
      <color rgb="FFFF0000"/>
      <name val="Calibri"/>
    </font>
    <font>
      <b/>
      <sz val="11"/>
      <color rgb="FF000000"/>
      <name val="Calibri"/>
    </font>
    <font>
      <b/>
      <sz val="9"/>
      <color rgb="FF000000"/>
      <name val="Arial"/>
    </font>
    <font>
      <b/>
      <i/>
      <sz val="9"/>
      <color rgb="FF000000"/>
      <name val="Arial"/>
    </font>
    <font>
      <b/>
      <sz val="8"/>
      <color rgb="FF000000"/>
      <name val="Arial"/>
    </font>
    <font>
      <sz val="9"/>
      <color rgb="FF000000"/>
      <name val="Calibri"/>
    </font>
    <font>
      <b/>
      <i/>
      <sz val="11"/>
      <color rgb="FF000000"/>
      <name val="Calibri"/>
    </font>
    <font>
      <sz val="11"/>
      <color rgb="FFCCCCCC"/>
      <name val="Calibri"/>
    </font>
    <font>
      <b/>
      <sz val="9"/>
      <color rgb="FF000000"/>
      <name val="Calibri"/>
    </font>
    <font>
      <sz val="9"/>
      <color rgb="FFFF0000"/>
      <name val="Calibri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93C47D"/>
        <bgColor rgb="FF93C47D"/>
      </patternFill>
    </fill>
    <fill>
      <patternFill patternType="solid">
        <fgColor rgb="FFE6B8B7"/>
        <bgColor rgb="FFE6B8B7"/>
      </patternFill>
    </fill>
    <fill>
      <patternFill patternType="solid">
        <fgColor rgb="FF9FC5E8"/>
        <bgColor rgb="FF9FC5E8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6D9EEB"/>
        <bgColor rgb="FF6D9EEB"/>
      </patternFill>
    </fill>
    <fill>
      <patternFill patternType="solid">
        <fgColor rgb="FF8DB4E2"/>
        <bgColor rgb="FF8DB4E2"/>
      </patternFill>
    </fill>
    <fill>
      <patternFill patternType="solid">
        <fgColor rgb="FFC0504D"/>
        <bgColor rgb="FFC0504D"/>
      </patternFill>
    </fill>
    <fill>
      <patternFill patternType="solid">
        <fgColor rgb="FF95B3D7"/>
        <bgColor rgb="FF95B3D7"/>
      </patternFill>
    </fill>
    <fill>
      <patternFill patternType="solid">
        <fgColor rgb="FF6FA8DC"/>
        <bgColor rgb="FF6FA8DC"/>
      </patternFill>
    </fill>
    <fill>
      <patternFill patternType="solid">
        <fgColor rgb="FFF79646"/>
        <bgColor rgb="FFF79646"/>
      </patternFill>
    </fill>
    <fill>
      <patternFill patternType="solid">
        <fgColor rgb="FFFCD5B4"/>
        <bgColor rgb="FFFCD5B4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FF9900"/>
        <bgColor rgb="FFFF9900"/>
      </patternFill>
    </fill>
    <fill>
      <patternFill patternType="solid">
        <fgColor rgb="FF6AA84F"/>
        <bgColor rgb="FF6AA84F"/>
      </patternFill>
    </fill>
    <fill>
      <patternFill patternType="solid">
        <fgColor rgb="FF00FF00"/>
        <bgColor rgb="FF00FF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rgb="FF93C47D"/>
      </patternFill>
    </fill>
    <fill>
      <patternFill patternType="solid">
        <fgColor theme="2" tint="-0.249977111117893"/>
        <bgColor rgb="FFFFFFFF"/>
      </patternFill>
    </fill>
    <fill>
      <patternFill patternType="solid">
        <fgColor theme="9" tint="0.39997558519241921"/>
        <bgColor rgb="FFFFFFFF"/>
      </patternFill>
    </fill>
    <fill>
      <patternFill patternType="solid">
        <fgColor theme="0" tint="-0.34998626667073579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B7B7B7"/>
        <bgColor rgb="FFB7B7B7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rgb="FF6FA8DC"/>
      </patternFill>
    </fill>
    <fill>
      <patternFill patternType="solid">
        <fgColor theme="6" tint="0.39997558519241921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85">
    <xf numFmtId="0" fontId="0" fillId="0" borderId="0" xfId="0" applyFont="1" applyAlignment="1"/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0" fillId="0" borderId="0" xfId="0" applyFont="1"/>
    <xf numFmtId="0" fontId="8" fillId="0" borderId="0" xfId="0" applyFont="1"/>
    <xf numFmtId="0" fontId="6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/>
    </xf>
    <xf numFmtId="172" fontId="9" fillId="0" borderId="0" xfId="0" applyNumberFormat="1" applyFont="1"/>
    <xf numFmtId="0" fontId="10" fillId="0" borderId="0" xfId="0" applyFont="1" applyAlignment="1">
      <alignment horizontal="center"/>
    </xf>
    <xf numFmtId="0" fontId="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2" borderId="20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2" fontId="13" fillId="2" borderId="20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0" fillId="3" borderId="20" xfId="0" applyFont="1" applyFill="1" applyBorder="1" applyAlignment="1"/>
    <xf numFmtId="0" fontId="0" fillId="2" borderId="20" xfId="0" applyFont="1" applyFill="1" applyBorder="1" applyAlignment="1"/>
    <xf numFmtId="0" fontId="8" fillId="3" borderId="20" xfId="0" applyFont="1" applyFill="1" applyBorder="1" applyAlignment="1"/>
    <xf numFmtId="2" fontId="0" fillId="4" borderId="20" xfId="0" applyNumberFormat="1" applyFont="1" applyFill="1" applyBorder="1" applyAlignment="1">
      <alignment horizontal="center"/>
    </xf>
    <xf numFmtId="173" fontId="0" fillId="3" borderId="20" xfId="0" applyNumberFormat="1" applyFont="1" applyFill="1" applyBorder="1" applyAlignment="1">
      <alignment horizontal="right"/>
    </xf>
    <xf numFmtId="174" fontId="10" fillId="3" borderId="20" xfId="0" applyNumberFormat="1" applyFont="1" applyFill="1" applyBorder="1" applyAlignment="1"/>
    <xf numFmtId="0" fontId="0" fillId="3" borderId="20" xfId="0" applyFont="1" applyFill="1" applyBorder="1" applyAlignment="1"/>
    <xf numFmtId="0" fontId="14" fillId="3" borderId="20" xfId="0" applyFont="1" applyFill="1" applyBorder="1" applyAlignment="1">
      <alignment horizontal="center"/>
    </xf>
    <xf numFmtId="2" fontId="0" fillId="2" borderId="20" xfId="0" applyNumberFormat="1" applyFont="1" applyFill="1" applyBorder="1" applyAlignment="1"/>
    <xf numFmtId="0" fontId="0" fillId="5" borderId="20" xfId="0" applyFont="1" applyFill="1" applyBorder="1" applyAlignment="1"/>
    <xf numFmtId="0" fontId="8" fillId="5" borderId="20" xfId="0" applyFont="1" applyFill="1" applyBorder="1" applyAlignment="1"/>
    <xf numFmtId="172" fontId="0" fillId="2" borderId="20" xfId="0" applyNumberFormat="1" applyFont="1" applyFill="1" applyBorder="1" applyAlignment="1"/>
    <xf numFmtId="0" fontId="0" fillId="2" borderId="20" xfId="0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173" fontId="0" fillId="5" borderId="20" xfId="0" applyNumberFormat="1" applyFont="1" applyFill="1" applyBorder="1" applyAlignment="1">
      <alignment horizontal="right"/>
    </xf>
    <xf numFmtId="174" fontId="10" fillId="5" borderId="20" xfId="0" applyNumberFormat="1" applyFont="1" applyFill="1" applyBorder="1" applyAlignment="1"/>
    <xf numFmtId="0" fontId="0" fillId="0" borderId="20" xfId="0" applyFont="1" applyBorder="1" applyAlignment="1">
      <alignment horizontal="right"/>
    </xf>
    <xf numFmtId="0" fontId="0" fillId="0" borderId="20" xfId="0" applyFont="1" applyBorder="1" applyAlignment="1"/>
    <xf numFmtId="0" fontId="14" fillId="0" borderId="20" xfId="0" applyFont="1" applyBorder="1" applyAlignment="1">
      <alignment horizontal="center"/>
    </xf>
    <xf numFmtId="0" fontId="0" fillId="3" borderId="20" xfId="0" applyFont="1" applyFill="1" applyBorder="1" applyAlignment="1">
      <alignment horizontal="right"/>
    </xf>
    <xf numFmtId="0" fontId="0" fillId="0" borderId="20" xfId="0" applyFont="1" applyBorder="1" applyAlignment="1"/>
    <xf numFmtId="173" fontId="0" fillId="3" borderId="20" xfId="0" applyNumberFormat="1" applyFont="1" applyFill="1" applyBorder="1" applyAlignment="1"/>
    <xf numFmtId="0" fontId="0" fillId="6" borderId="20" xfId="0" applyFont="1" applyFill="1" applyBorder="1" applyAlignment="1"/>
    <xf numFmtId="174" fontId="0" fillId="3" borderId="20" xfId="0" applyNumberFormat="1" applyFont="1" applyFill="1" applyBorder="1" applyAlignment="1">
      <alignment horizontal="right"/>
    </xf>
    <xf numFmtId="0" fontId="8" fillId="6" borderId="20" xfId="0" applyFont="1" applyFill="1" applyBorder="1" applyAlignment="1"/>
    <xf numFmtId="0" fontId="0" fillId="4" borderId="20" xfId="0" applyFont="1" applyFill="1" applyBorder="1" applyAlignment="1">
      <alignment horizontal="center"/>
    </xf>
    <xf numFmtId="0" fontId="9" fillId="3" borderId="20" xfId="0" applyFont="1" applyFill="1" applyBorder="1" applyAlignment="1"/>
    <xf numFmtId="173" fontId="0" fillId="6" borderId="20" xfId="0" applyNumberFormat="1" applyFont="1" applyFill="1" applyBorder="1" applyAlignment="1">
      <alignment horizontal="right"/>
    </xf>
    <xf numFmtId="172" fontId="9" fillId="3" borderId="20" xfId="0" applyNumberFormat="1" applyFont="1" applyFill="1" applyBorder="1" applyAlignment="1"/>
    <xf numFmtId="0" fontId="0" fillId="3" borderId="20" xfId="0" applyFont="1" applyFill="1" applyBorder="1" applyAlignment="1">
      <alignment horizontal="center"/>
    </xf>
    <xf numFmtId="174" fontId="10" fillId="6" borderId="20" xfId="0" applyNumberFormat="1" applyFont="1" applyFill="1" applyBorder="1" applyAlignment="1"/>
    <xf numFmtId="0" fontId="0" fillId="5" borderId="20" xfId="0" applyFont="1" applyFill="1" applyBorder="1" applyAlignment="1">
      <alignment horizontal="right"/>
    </xf>
    <xf numFmtId="0" fontId="0" fillId="6" borderId="20" xfId="0" applyFont="1" applyFill="1" applyBorder="1" applyAlignment="1"/>
    <xf numFmtId="173" fontId="0" fillId="5" borderId="20" xfId="0" applyNumberFormat="1" applyFont="1" applyFill="1" applyBorder="1" applyAlignment="1"/>
    <xf numFmtId="0" fontId="14" fillId="6" borderId="20" xfId="0" applyFont="1" applyFill="1" applyBorder="1" applyAlignment="1">
      <alignment horizontal="center"/>
    </xf>
    <xf numFmtId="174" fontId="0" fillId="5" borderId="20" xfId="0" applyNumberFormat="1" applyFont="1" applyFill="1" applyBorder="1" applyAlignment="1">
      <alignment horizontal="right"/>
    </xf>
    <xf numFmtId="0" fontId="0" fillId="4" borderId="20" xfId="0" applyFont="1" applyFill="1" applyBorder="1" applyAlignment="1">
      <alignment horizontal="center"/>
    </xf>
    <xf numFmtId="0" fontId="0" fillId="7" borderId="20" xfId="0" applyFont="1" applyFill="1" applyBorder="1" applyAlignment="1"/>
    <xf numFmtId="0" fontId="8" fillId="7" borderId="20" xfId="0" applyFont="1" applyFill="1" applyBorder="1" applyAlignment="1"/>
    <xf numFmtId="173" fontId="0" fillId="7" borderId="20" xfId="0" applyNumberFormat="1" applyFont="1" applyFill="1" applyBorder="1" applyAlignment="1">
      <alignment horizontal="right"/>
    </xf>
    <xf numFmtId="0" fontId="0" fillId="8" borderId="20" xfId="0" applyFont="1" applyFill="1" applyBorder="1" applyAlignment="1"/>
    <xf numFmtId="174" fontId="10" fillId="7" borderId="20" xfId="0" applyNumberFormat="1" applyFont="1" applyFill="1" applyBorder="1" applyAlignment="1"/>
    <xf numFmtId="0" fontId="0" fillId="0" borderId="20" xfId="0" applyFont="1" applyBorder="1" applyAlignment="1">
      <alignment horizontal="center"/>
    </xf>
    <xf numFmtId="0" fontId="0" fillId="7" borderId="20" xfId="0" applyFont="1" applyFill="1" applyBorder="1" applyAlignment="1"/>
    <xf numFmtId="0" fontId="0" fillId="0" borderId="20" xfId="0" applyFont="1" applyBorder="1" applyAlignment="1">
      <alignment horizontal="center"/>
    </xf>
    <xf numFmtId="0" fontId="14" fillId="7" borderId="20" xfId="0" applyFont="1" applyFill="1" applyBorder="1" applyAlignment="1">
      <alignment horizontal="center"/>
    </xf>
    <xf numFmtId="2" fontId="0" fillId="0" borderId="20" xfId="0" applyNumberFormat="1" applyFont="1" applyBorder="1" applyAlignment="1">
      <alignment horizontal="right"/>
    </xf>
    <xf numFmtId="0" fontId="0" fillId="6" borderId="20" xfId="0" applyFont="1" applyFill="1" applyBorder="1" applyAlignment="1">
      <alignment horizontal="right"/>
    </xf>
    <xf numFmtId="173" fontId="0" fillId="6" borderId="20" xfId="0" applyNumberFormat="1" applyFont="1" applyFill="1" applyBorder="1" applyAlignment="1"/>
    <xf numFmtId="174" fontId="0" fillId="6" borderId="20" xfId="0" applyNumberFormat="1" applyFont="1" applyFill="1" applyBorder="1" applyAlignment="1">
      <alignment horizontal="right"/>
    </xf>
    <xf numFmtId="2" fontId="0" fillId="6" borderId="20" xfId="0" applyNumberFormat="1" applyFont="1" applyFill="1" applyBorder="1" applyAlignment="1"/>
    <xf numFmtId="0" fontId="0" fillId="6" borderId="20" xfId="0" applyFont="1" applyFill="1" applyBorder="1" applyAlignment="1">
      <alignment horizontal="center"/>
    </xf>
    <xf numFmtId="0" fontId="0" fillId="0" borderId="20" xfId="0" applyFont="1" applyBorder="1" applyAlignment="1">
      <alignment horizontal="left" vertical="top"/>
    </xf>
    <xf numFmtId="2" fontId="0" fillId="6" borderId="20" xfId="0" applyNumberFormat="1" applyFont="1" applyFill="1" applyBorder="1" applyAlignment="1">
      <alignment horizontal="right"/>
    </xf>
    <xf numFmtId="0" fontId="0" fillId="9" borderId="20" xfId="0" applyFont="1" applyFill="1" applyBorder="1" applyAlignment="1"/>
    <xf numFmtId="0" fontId="0" fillId="7" borderId="20" xfId="0" applyFont="1" applyFill="1" applyBorder="1" applyAlignment="1">
      <alignment horizontal="right"/>
    </xf>
    <xf numFmtId="0" fontId="8" fillId="9" borderId="20" xfId="0" applyFont="1" applyFill="1" applyBorder="1" applyAlignment="1"/>
    <xf numFmtId="173" fontId="0" fillId="7" borderId="20" xfId="0" applyNumberFormat="1" applyFont="1" applyFill="1" applyBorder="1" applyAlignment="1"/>
    <xf numFmtId="174" fontId="0" fillId="7" borderId="20" xfId="0" applyNumberFormat="1" applyFont="1" applyFill="1" applyBorder="1" applyAlignment="1">
      <alignment horizontal="right"/>
    </xf>
    <xf numFmtId="173" fontId="0" fillId="9" borderId="20" xfId="0" applyNumberFormat="1" applyFont="1" applyFill="1" applyBorder="1" applyAlignment="1">
      <alignment horizontal="right"/>
    </xf>
    <xf numFmtId="174" fontId="10" fillId="9" borderId="20" xfId="0" applyNumberFormat="1" applyFont="1" applyFill="1" applyBorder="1" applyAlignment="1"/>
    <xf numFmtId="0" fontId="0" fillId="9" borderId="20" xfId="0" applyFont="1" applyFill="1" applyBorder="1" applyAlignment="1">
      <alignment horizontal="right"/>
    </xf>
    <xf numFmtId="0" fontId="9" fillId="7" borderId="20" xfId="0" applyFont="1" applyFill="1" applyBorder="1" applyAlignment="1"/>
    <xf numFmtId="0" fontId="0" fillId="7" borderId="20" xfId="0" applyFont="1" applyFill="1" applyBorder="1" applyAlignment="1">
      <alignment horizontal="center"/>
    </xf>
    <xf numFmtId="2" fontId="9" fillId="7" borderId="20" xfId="0" applyNumberFormat="1" applyFont="1" applyFill="1" applyBorder="1" applyAlignment="1"/>
    <xf numFmtId="0" fontId="0" fillId="9" borderId="20" xfId="0" applyFont="1" applyFill="1" applyBorder="1" applyAlignment="1"/>
    <xf numFmtId="0" fontId="0" fillId="6" borderId="20" xfId="0" applyFont="1" applyFill="1" applyBorder="1" applyAlignment="1">
      <alignment horizontal="right" vertical="center"/>
    </xf>
    <xf numFmtId="0" fontId="14" fillId="9" borderId="20" xfId="0" applyFont="1" applyFill="1" applyBorder="1" applyAlignment="1">
      <alignment horizontal="center"/>
    </xf>
    <xf numFmtId="0" fontId="0" fillId="6" borderId="20" xfId="0" applyFont="1" applyFill="1" applyBorder="1" applyAlignment="1">
      <alignment vertical="center"/>
    </xf>
    <xf numFmtId="0" fontId="0" fillId="9" borderId="20" xfId="0" applyFont="1" applyFill="1" applyBorder="1" applyAlignment="1"/>
    <xf numFmtId="173" fontId="0" fillId="6" borderId="20" xfId="0" applyNumberFormat="1" applyFont="1" applyFill="1" applyBorder="1" applyAlignment="1">
      <alignment vertical="center"/>
    </xf>
    <xf numFmtId="174" fontId="0" fillId="6" borderId="20" xfId="0" applyNumberFormat="1" applyFont="1" applyFill="1" applyBorder="1" applyAlignment="1">
      <alignment horizontal="right" vertical="center"/>
    </xf>
    <xf numFmtId="0" fontId="0" fillId="6" borderId="20" xfId="0" applyFont="1" applyFill="1" applyBorder="1" applyAlignment="1">
      <alignment vertical="center"/>
    </xf>
    <xf numFmtId="0" fontId="0" fillId="6" borderId="20" xfId="0" applyFont="1" applyFill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/>
    <xf numFmtId="0" fontId="0" fillId="6" borderId="20" xfId="0" applyFont="1" applyFill="1" applyBorder="1" applyAlignment="1"/>
    <xf numFmtId="0" fontId="0" fillId="4" borderId="20" xfId="0" applyFont="1" applyFill="1" applyBorder="1" applyAlignment="1">
      <alignment horizontal="center" vertical="center"/>
    </xf>
    <xf numFmtId="0" fontId="0" fillId="7" borderId="20" xfId="0" applyFont="1" applyFill="1" applyBorder="1" applyAlignment="1"/>
    <xf numFmtId="2" fontId="0" fillId="6" borderId="20" xfId="0" applyNumberFormat="1" applyFont="1" applyFill="1" applyBorder="1" applyAlignment="1">
      <alignment vertical="center"/>
    </xf>
    <xf numFmtId="0" fontId="8" fillId="5" borderId="20" xfId="0" applyFont="1" applyFill="1" applyBorder="1" applyAlignment="1"/>
    <xf numFmtId="0" fontId="0" fillId="4" borderId="20" xfId="0" applyFont="1" applyFill="1" applyBorder="1" applyAlignment="1">
      <alignment horizontal="center"/>
    </xf>
    <xf numFmtId="2" fontId="0" fillId="7" borderId="20" xfId="0" applyNumberFormat="1" applyFont="1" applyFill="1" applyBorder="1" applyAlignment="1"/>
    <xf numFmtId="173" fontId="0" fillId="9" borderId="20" xfId="0" applyNumberFormat="1" applyFont="1" applyFill="1" applyBorder="1" applyAlignment="1"/>
    <xf numFmtId="174" fontId="0" fillId="9" borderId="20" xfId="0" applyNumberFormat="1" applyFont="1" applyFill="1" applyBorder="1" applyAlignment="1">
      <alignment horizontal="right"/>
    </xf>
    <xf numFmtId="0" fontId="0" fillId="10" borderId="20" xfId="0" applyFont="1" applyFill="1" applyBorder="1" applyAlignment="1">
      <alignment vertical="center"/>
    </xf>
    <xf numFmtId="2" fontId="0" fillId="11" borderId="20" xfId="0" applyNumberFormat="1" applyFont="1" applyFill="1" applyBorder="1" applyAlignment="1">
      <alignment horizontal="right"/>
    </xf>
    <xf numFmtId="0" fontId="0" fillId="9" borderId="20" xfId="0" applyFont="1" applyFill="1" applyBorder="1" applyAlignment="1">
      <alignment horizontal="center"/>
    </xf>
    <xf numFmtId="0" fontId="8" fillId="10" borderId="20" xfId="0" applyFont="1" applyFill="1" applyBorder="1" applyAlignment="1">
      <alignment vertical="center"/>
    </xf>
    <xf numFmtId="0" fontId="0" fillId="8" borderId="20" xfId="0" applyFont="1" applyFill="1" applyBorder="1" applyAlignment="1"/>
    <xf numFmtId="0" fontId="9" fillId="7" borderId="20" xfId="0" applyFont="1" applyFill="1" applyBorder="1" applyAlignment="1"/>
    <xf numFmtId="173" fontId="0" fillId="10" borderId="20" xfId="0" applyNumberFormat="1" applyFont="1" applyFill="1" applyBorder="1" applyAlignment="1">
      <alignment horizontal="right" vertical="center"/>
    </xf>
    <xf numFmtId="2" fontId="0" fillId="12" borderId="20" xfId="0" applyNumberFormat="1" applyFont="1" applyFill="1" applyBorder="1" applyAlignment="1">
      <alignment horizontal="right"/>
    </xf>
    <xf numFmtId="2" fontId="0" fillId="11" borderId="20" xfId="0" applyNumberFormat="1" applyFont="1" applyFill="1" applyBorder="1" applyAlignment="1"/>
    <xf numFmtId="174" fontId="10" fillId="10" borderId="20" xfId="0" applyNumberFormat="1" applyFont="1" applyFill="1" applyBorder="1" applyAlignment="1">
      <alignment vertical="center"/>
    </xf>
    <xf numFmtId="0" fontId="0" fillId="10" borderId="20" xfId="0" applyFont="1" applyFill="1" applyBorder="1" applyAlignment="1">
      <alignment horizontal="right" vertical="center"/>
    </xf>
    <xf numFmtId="0" fontId="0" fillId="10" borderId="20" xfId="0" applyFont="1" applyFill="1" applyBorder="1" applyAlignment="1">
      <alignment vertical="center"/>
    </xf>
    <xf numFmtId="0" fontId="14" fillId="10" borderId="20" xfId="0" applyFont="1" applyFill="1" applyBorder="1" applyAlignment="1">
      <alignment horizontal="left" vertical="center" wrapText="1"/>
    </xf>
    <xf numFmtId="0" fontId="0" fillId="5" borderId="20" xfId="0" applyFont="1" applyFill="1" applyBorder="1" applyAlignment="1"/>
    <xf numFmtId="0" fontId="9" fillId="7" borderId="20" xfId="0" applyFont="1" applyFill="1" applyBorder="1" applyAlignment="1"/>
    <xf numFmtId="0" fontId="0" fillId="13" borderId="20" xfId="0" applyFont="1" applyFill="1" applyBorder="1" applyAlignment="1">
      <alignment vertical="center"/>
    </xf>
    <xf numFmtId="0" fontId="8" fillId="13" borderId="20" xfId="0" applyFont="1" applyFill="1" applyBorder="1" applyAlignment="1">
      <alignment vertical="center"/>
    </xf>
    <xf numFmtId="173" fontId="0" fillId="13" borderId="20" xfId="0" applyNumberFormat="1" applyFont="1" applyFill="1" applyBorder="1" applyAlignment="1">
      <alignment horizontal="right" vertical="center"/>
    </xf>
    <xf numFmtId="174" fontId="10" fillId="13" borderId="20" xfId="0" applyNumberFormat="1" applyFont="1" applyFill="1" applyBorder="1" applyAlignment="1">
      <alignment vertical="center"/>
    </xf>
    <xf numFmtId="0" fontId="0" fillId="13" borderId="20" xfId="0" applyFont="1" applyFill="1" applyBorder="1" applyAlignment="1">
      <alignment horizontal="right" vertical="center"/>
    </xf>
    <xf numFmtId="173" fontId="0" fillId="10" borderId="20" xfId="0" applyNumberFormat="1" applyFont="1" applyFill="1" applyBorder="1" applyAlignment="1">
      <alignment vertical="center"/>
    </xf>
    <xf numFmtId="174" fontId="0" fillId="10" borderId="20" xfId="0" applyNumberFormat="1" applyFont="1" applyFill="1" applyBorder="1" applyAlignment="1">
      <alignment horizontal="right" vertical="center"/>
    </xf>
    <xf numFmtId="0" fontId="0" fillId="13" borderId="20" xfId="0" applyFont="1" applyFill="1" applyBorder="1" applyAlignment="1">
      <alignment vertical="center"/>
    </xf>
    <xf numFmtId="0" fontId="14" fillId="13" borderId="20" xfId="0" applyFont="1" applyFill="1" applyBorder="1" applyAlignment="1">
      <alignment horizontal="left" vertical="center" wrapText="1"/>
    </xf>
    <xf numFmtId="2" fontId="0" fillId="10" borderId="20" xfId="0" applyNumberFormat="1" applyFont="1" applyFill="1" applyBorder="1" applyAlignment="1">
      <alignment horizontal="right" vertical="center"/>
    </xf>
    <xf numFmtId="0" fontId="0" fillId="10" borderId="20" xfId="0" applyFont="1" applyFill="1" applyBorder="1" applyAlignment="1">
      <alignment horizontal="center" vertical="center" wrapText="1"/>
    </xf>
    <xf numFmtId="0" fontId="0" fillId="4" borderId="20" xfId="0" applyFont="1" applyFill="1" applyBorder="1" applyAlignment="1">
      <alignment horizontal="center" vertical="center"/>
    </xf>
    <xf numFmtId="0" fontId="0" fillId="14" borderId="20" xfId="0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8" fillId="14" borderId="20" xfId="0" applyFont="1" applyFill="1" applyBorder="1" applyAlignment="1">
      <alignment vertical="center" wrapText="1"/>
    </xf>
    <xf numFmtId="173" fontId="0" fillId="14" borderId="20" xfId="0" applyNumberFormat="1" applyFont="1" applyFill="1" applyBorder="1" applyAlignment="1">
      <alignment horizontal="right" vertical="center" wrapText="1"/>
    </xf>
    <xf numFmtId="174" fontId="10" fillId="14" borderId="20" xfId="0" applyNumberFormat="1" applyFont="1" applyFill="1" applyBorder="1" applyAlignment="1">
      <alignment vertical="center" wrapText="1"/>
    </xf>
    <xf numFmtId="0" fontId="0" fillId="14" borderId="20" xfId="0" applyFont="1" applyFill="1" applyBorder="1" applyAlignment="1">
      <alignment horizontal="right" vertical="center" wrapText="1"/>
    </xf>
    <xf numFmtId="0" fontId="0" fillId="14" borderId="20" xfId="0" applyFont="1" applyFill="1" applyBorder="1" applyAlignment="1">
      <alignment vertical="center" wrapText="1"/>
    </xf>
    <xf numFmtId="0" fontId="9" fillId="6" borderId="20" xfId="0" applyFont="1" applyFill="1" applyBorder="1" applyAlignment="1"/>
    <xf numFmtId="0" fontId="14" fillId="14" borderId="20" xfId="0" applyFont="1" applyFill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173" fontId="0" fillId="13" borderId="20" xfId="0" applyNumberFormat="1" applyFont="1" applyFill="1" applyBorder="1" applyAlignment="1">
      <alignment vertical="center"/>
    </xf>
    <xf numFmtId="2" fontId="9" fillId="6" borderId="20" xfId="0" applyNumberFormat="1" applyFont="1" applyFill="1" applyBorder="1" applyAlignment="1"/>
    <xf numFmtId="174" fontId="0" fillId="13" borderId="20" xfId="0" applyNumberFormat="1" applyFont="1" applyFill="1" applyBorder="1" applyAlignment="1">
      <alignment horizontal="right" vertical="center"/>
    </xf>
    <xf numFmtId="2" fontId="0" fillId="13" borderId="20" xfId="0" applyNumberFormat="1" applyFont="1" applyFill="1" applyBorder="1" applyAlignment="1">
      <alignment horizontal="right" vertical="center"/>
    </xf>
    <xf numFmtId="0" fontId="0" fillId="13" borderId="20" xfId="0" applyFont="1" applyFill="1" applyBorder="1" applyAlignment="1">
      <alignment horizontal="center" vertical="center" wrapText="1"/>
    </xf>
    <xf numFmtId="0" fontId="0" fillId="13" borderId="20" xfId="0" applyFont="1" applyFill="1" applyBorder="1" applyAlignment="1">
      <alignment horizontal="right"/>
    </xf>
    <xf numFmtId="0" fontId="0" fillId="13" borderId="20" xfId="0" applyFont="1" applyFill="1" applyBorder="1" applyAlignment="1"/>
    <xf numFmtId="2" fontId="0" fillId="15" borderId="20" xfId="0" applyNumberFormat="1" applyFont="1" applyFill="1" applyBorder="1" applyAlignment="1">
      <alignment horizontal="right" vertical="center"/>
    </xf>
    <xf numFmtId="173" fontId="0" fillId="13" borderId="20" xfId="0" applyNumberFormat="1" applyFont="1" applyFill="1" applyBorder="1" applyAlignment="1"/>
    <xf numFmtId="174" fontId="0" fillId="13" borderId="20" xfId="0" applyNumberFormat="1" applyFont="1" applyFill="1" applyBorder="1" applyAlignment="1">
      <alignment horizontal="right"/>
    </xf>
    <xf numFmtId="0" fontId="0" fillId="13" borderId="20" xfId="0" applyFont="1" applyFill="1" applyBorder="1" applyAlignment="1"/>
    <xf numFmtId="2" fontId="0" fillId="13" borderId="20" xfId="0" applyNumberFormat="1" applyFont="1" applyFill="1" applyBorder="1" applyAlignment="1"/>
    <xf numFmtId="174" fontId="10" fillId="6" borderId="20" xfId="0" applyNumberFormat="1" applyFont="1" applyFill="1" applyBorder="1" applyAlignment="1"/>
    <xf numFmtId="0" fontId="9" fillId="13" borderId="20" xfId="0" applyFont="1" applyFill="1" applyBorder="1" applyAlignment="1"/>
    <xf numFmtId="2" fontId="9" fillId="15" borderId="20" xfId="0" applyNumberFormat="1" applyFont="1" applyFill="1" applyBorder="1" applyAlignment="1">
      <alignment horizontal="right"/>
    </xf>
    <xf numFmtId="0" fontId="0" fillId="14" borderId="20" xfId="0" applyFont="1" applyFill="1" applyBorder="1" applyAlignment="1">
      <alignment vertical="center"/>
    </xf>
    <xf numFmtId="0" fontId="0" fillId="13" borderId="20" xfId="0" applyFont="1" applyFill="1" applyBorder="1" applyAlignment="1">
      <alignment horizontal="center" wrapText="1"/>
    </xf>
    <xf numFmtId="0" fontId="8" fillId="14" borderId="20" xfId="0" applyFont="1" applyFill="1" applyBorder="1" applyAlignment="1">
      <alignment vertical="center"/>
    </xf>
    <xf numFmtId="173" fontId="0" fillId="14" borderId="20" xfId="0" applyNumberFormat="1" applyFont="1" applyFill="1" applyBorder="1" applyAlignment="1">
      <alignment horizontal="right" vertical="center"/>
    </xf>
    <xf numFmtId="174" fontId="10" fillId="14" borderId="20" xfId="0" applyNumberFormat="1" applyFont="1" applyFill="1" applyBorder="1" applyAlignment="1">
      <alignment vertical="center"/>
    </xf>
    <xf numFmtId="0" fontId="0" fillId="0" borderId="20" xfId="0" applyFont="1" applyBorder="1" applyAlignment="1"/>
    <xf numFmtId="0" fontId="0" fillId="14" borderId="20" xfId="0" applyFont="1" applyFill="1" applyBorder="1" applyAlignment="1">
      <alignment horizontal="right" vertical="center"/>
    </xf>
    <xf numFmtId="0" fontId="0" fillId="14" borderId="20" xfId="0" applyFont="1" applyFill="1" applyBorder="1" applyAlignment="1">
      <alignment vertical="center"/>
    </xf>
    <xf numFmtId="173" fontId="0" fillId="14" borderId="20" xfId="0" applyNumberFormat="1" applyFont="1" applyFill="1" applyBorder="1" applyAlignment="1">
      <alignment vertical="center"/>
    </xf>
    <xf numFmtId="174" fontId="0" fillId="14" borderId="20" xfId="0" applyNumberFormat="1" applyFont="1" applyFill="1" applyBorder="1" applyAlignment="1">
      <alignment horizontal="right" vertical="center"/>
    </xf>
    <xf numFmtId="0" fontId="0" fillId="14" borderId="20" xfId="0" applyFont="1" applyFill="1" applyBorder="1" applyAlignment="1">
      <alignment horizontal="center" vertical="center" wrapText="1"/>
    </xf>
    <xf numFmtId="2" fontId="0" fillId="14" borderId="20" xfId="0" applyNumberFormat="1" applyFont="1" applyFill="1" applyBorder="1" applyAlignment="1">
      <alignment horizontal="right" vertical="center"/>
    </xf>
    <xf numFmtId="0" fontId="0" fillId="14" borderId="20" xfId="0" applyFont="1" applyFill="1" applyBorder="1" applyAlignment="1">
      <alignment horizontal="left" vertical="center"/>
    </xf>
    <xf numFmtId="0" fontId="8" fillId="14" borderId="20" xfId="0" applyFont="1" applyFill="1" applyBorder="1" applyAlignment="1">
      <alignment horizontal="left" vertical="center"/>
    </xf>
    <xf numFmtId="173" fontId="0" fillId="14" borderId="20" xfId="0" applyNumberFormat="1" applyFont="1" applyFill="1" applyBorder="1" applyAlignment="1">
      <alignment horizontal="left" vertical="center"/>
    </xf>
    <xf numFmtId="174" fontId="10" fillId="14" borderId="20" xfId="0" applyNumberFormat="1" applyFont="1" applyFill="1" applyBorder="1" applyAlignment="1">
      <alignment horizontal="left" vertical="center"/>
    </xf>
    <xf numFmtId="0" fontId="0" fillId="14" borderId="20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14" borderId="20" xfId="0" applyFont="1" applyFill="1" applyBorder="1" applyAlignment="1">
      <alignment horizontal="left" vertical="center"/>
    </xf>
    <xf numFmtId="2" fontId="0" fillId="7" borderId="20" xfId="0" applyNumberFormat="1" applyFont="1" applyFill="1" applyBorder="1" applyAlignment="1">
      <alignment horizontal="right"/>
    </xf>
    <xf numFmtId="174" fontId="0" fillId="6" borderId="20" xfId="0" applyNumberFormat="1" applyFont="1" applyFill="1" applyBorder="1" applyAlignment="1"/>
    <xf numFmtId="0" fontId="8" fillId="0" borderId="20" xfId="0" applyFont="1" applyBorder="1" applyAlignment="1"/>
    <xf numFmtId="0" fontId="10" fillId="0" borderId="20" xfId="0" applyFont="1" applyBorder="1" applyAlignment="1"/>
    <xf numFmtId="0" fontId="14" fillId="0" borderId="0" xfId="0" applyFont="1" applyAlignment="1">
      <alignment horizontal="center"/>
    </xf>
    <xf numFmtId="0" fontId="0" fillId="0" borderId="0" xfId="0" applyFont="1" applyAlignment="1"/>
    <xf numFmtId="0" fontId="0" fillId="7" borderId="20" xfId="0" applyFont="1" applyFill="1" applyBorder="1" applyAlignment="1">
      <alignment wrapText="1"/>
    </xf>
    <xf numFmtId="174" fontId="0" fillId="14" borderId="20" xfId="0" applyNumberFormat="1" applyFont="1" applyFill="1" applyBorder="1" applyAlignment="1">
      <alignment vertical="center"/>
    </xf>
    <xf numFmtId="0" fontId="0" fillId="14" borderId="20" xfId="0" applyFont="1" applyFill="1" applyBorder="1" applyAlignment="1">
      <alignment vertical="center"/>
    </xf>
    <xf numFmtId="2" fontId="0" fillId="16" borderId="20" xfId="0" applyNumberFormat="1" applyFont="1" applyFill="1" applyBorder="1" applyAlignment="1">
      <alignment horizontal="right" vertical="center"/>
    </xf>
    <xf numFmtId="0" fontId="0" fillId="8" borderId="20" xfId="0" applyFont="1" applyFill="1" applyBorder="1" applyAlignment="1"/>
    <xf numFmtId="2" fontId="0" fillId="3" borderId="20" xfId="0" applyNumberFormat="1" applyFont="1" applyFill="1" applyBorder="1" applyAlignment="1"/>
    <xf numFmtId="172" fontId="9" fillId="6" borderId="20" xfId="0" applyNumberFormat="1" applyFont="1" applyFill="1" applyBorder="1" applyAlignment="1"/>
    <xf numFmtId="0" fontId="9" fillId="0" borderId="20" xfId="0" applyFont="1" applyBorder="1" applyAlignment="1"/>
    <xf numFmtId="172" fontId="9" fillId="0" borderId="20" xfId="0" applyNumberFormat="1" applyFont="1" applyBorder="1" applyAlignment="1"/>
    <xf numFmtId="0" fontId="0" fillId="0" borderId="0" xfId="0" applyFont="1" applyAlignment="1">
      <alignment horizontal="center"/>
    </xf>
    <xf numFmtId="0" fontId="9" fillId="0" borderId="0" xfId="0" applyFont="1"/>
    <xf numFmtId="0" fontId="0" fillId="0" borderId="0" xfId="0" applyFont="1" applyAlignme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 wrapText="1"/>
    </xf>
    <xf numFmtId="0" fontId="0" fillId="2" borderId="0" xfId="0" applyFont="1" applyFill="1" applyAlignment="1"/>
    <xf numFmtId="0" fontId="0" fillId="2" borderId="0" xfId="0" applyFont="1" applyFill="1" applyAlignment="1">
      <alignment horizontal="left"/>
    </xf>
    <xf numFmtId="0" fontId="0" fillId="2" borderId="0" xfId="0" applyFont="1" applyFill="1" applyAlignment="1">
      <alignment horizontal="right"/>
    </xf>
    <xf numFmtId="0" fontId="0" fillId="2" borderId="0" xfId="0" applyFont="1" applyFill="1" applyAlignment="1">
      <alignment horizontal="center" wrapText="1"/>
    </xf>
    <xf numFmtId="0" fontId="0" fillId="3" borderId="0" xfId="0" applyFont="1" applyFill="1" applyAlignment="1"/>
    <xf numFmtId="0" fontId="0" fillId="3" borderId="0" xfId="0" applyFont="1" applyFill="1" applyAlignment="1">
      <alignment horizontal="right"/>
    </xf>
    <xf numFmtId="0" fontId="0" fillId="3" borderId="0" xfId="0" applyFont="1" applyFill="1" applyAlignment="1">
      <alignment horizontal="left"/>
    </xf>
    <xf numFmtId="0" fontId="0" fillId="3" borderId="0" xfId="0" applyFont="1" applyFill="1" applyAlignment="1"/>
    <xf numFmtId="0" fontId="0" fillId="3" borderId="0" xfId="0" applyFont="1" applyFill="1" applyAlignment="1">
      <alignment horizontal="right"/>
    </xf>
    <xf numFmtId="0" fontId="0" fillId="3" borderId="0" xfId="0" applyFont="1" applyFill="1" applyAlignment="1">
      <alignment horizontal="center" wrapText="1"/>
    </xf>
    <xf numFmtId="0" fontId="0" fillId="5" borderId="0" xfId="0" applyFont="1" applyFill="1" applyAlignment="1"/>
    <xf numFmtId="0" fontId="0" fillId="5" borderId="0" xfId="0" applyFont="1" applyFill="1" applyAlignment="1">
      <alignment horizontal="right"/>
    </xf>
    <xf numFmtId="0" fontId="0" fillId="5" borderId="0" xfId="0" applyFont="1" applyFill="1" applyAlignment="1">
      <alignment horizontal="left"/>
    </xf>
    <xf numFmtId="0" fontId="0" fillId="0" borderId="0" xfId="0" applyFont="1" applyAlignment="1">
      <alignment horizontal="right"/>
    </xf>
    <xf numFmtId="175" fontId="0" fillId="0" borderId="0" xfId="0" applyNumberFormat="1" applyFont="1" applyAlignment="1">
      <alignment horizontal="right"/>
    </xf>
    <xf numFmtId="0" fontId="0" fillId="0" borderId="0" xfId="0" applyFont="1" applyAlignment="1">
      <alignment horizontal="center" wrapText="1"/>
    </xf>
    <xf numFmtId="0" fontId="0" fillId="6" borderId="0" xfId="0" applyFont="1" applyFill="1" applyAlignment="1"/>
    <xf numFmtId="0" fontId="0" fillId="6" borderId="0" xfId="0" applyFont="1" applyFill="1" applyAlignment="1">
      <alignment horizontal="right"/>
    </xf>
    <xf numFmtId="0" fontId="0" fillId="6" borderId="0" xfId="0" applyFont="1" applyFill="1" applyAlignment="1">
      <alignment horizontal="left"/>
    </xf>
    <xf numFmtId="0" fontId="0" fillId="6" borderId="0" xfId="0" applyFont="1" applyFill="1" applyAlignment="1"/>
    <xf numFmtId="175" fontId="0" fillId="6" borderId="0" xfId="0" applyNumberFormat="1" applyFont="1" applyFill="1" applyAlignment="1">
      <alignment horizontal="right"/>
    </xf>
    <xf numFmtId="0" fontId="0" fillId="6" borderId="0" xfId="0" applyFont="1" applyFill="1" applyAlignment="1">
      <alignment horizontal="center" wrapText="1"/>
    </xf>
    <xf numFmtId="0" fontId="0" fillId="7" borderId="0" xfId="0" applyFont="1" applyFill="1" applyAlignment="1"/>
    <xf numFmtId="0" fontId="0" fillId="7" borderId="0" xfId="0" applyFont="1" applyFill="1" applyAlignment="1">
      <alignment horizontal="right"/>
    </xf>
    <xf numFmtId="0" fontId="0" fillId="7" borderId="0" xfId="0" applyFont="1" applyFill="1" applyAlignment="1">
      <alignment horizontal="left"/>
    </xf>
    <xf numFmtId="0" fontId="9" fillId="7" borderId="0" xfId="0" applyFont="1" applyFill="1" applyAlignment="1"/>
    <xf numFmtId="175" fontId="9" fillId="7" borderId="0" xfId="0" applyNumberFormat="1" applyFont="1" applyFill="1" applyAlignment="1">
      <alignment horizontal="right"/>
    </xf>
    <xf numFmtId="0" fontId="0" fillId="7" borderId="0" xfId="0" applyFont="1" applyFill="1" applyAlignment="1">
      <alignment horizontal="center" wrapText="1"/>
    </xf>
    <xf numFmtId="0" fontId="9" fillId="6" borderId="0" xfId="0" applyFont="1" applyFill="1" applyAlignment="1"/>
    <xf numFmtId="175" fontId="9" fillId="6" borderId="0" xfId="0" applyNumberFormat="1" applyFont="1" applyFill="1" applyAlignment="1">
      <alignment horizontal="right"/>
    </xf>
    <xf numFmtId="0" fontId="9" fillId="6" borderId="0" xfId="0" applyFont="1" applyFill="1" applyAlignment="1"/>
    <xf numFmtId="0" fontId="0" fillId="7" borderId="0" xfId="0" applyFont="1" applyFill="1" applyAlignment="1"/>
    <xf numFmtId="175" fontId="0" fillId="7" borderId="0" xfId="0" applyNumberFormat="1" applyFont="1" applyFill="1" applyAlignment="1">
      <alignment horizontal="right"/>
    </xf>
    <xf numFmtId="0" fontId="0" fillId="9" borderId="0" xfId="0" applyFont="1" applyFill="1" applyAlignment="1"/>
    <xf numFmtId="0" fontId="0" fillId="9" borderId="0" xfId="0" applyFont="1" applyFill="1" applyAlignment="1">
      <alignment horizontal="right"/>
    </xf>
    <xf numFmtId="0" fontId="0" fillId="9" borderId="0" xfId="0" applyFont="1" applyFill="1" applyAlignment="1">
      <alignment horizontal="left"/>
    </xf>
    <xf numFmtId="0" fontId="8" fillId="0" borderId="0" xfId="0" applyFont="1" applyAlignment="1"/>
    <xf numFmtId="0" fontId="0" fillId="0" borderId="0" xfId="0" applyFont="1" applyAlignment="1">
      <alignment horizontal="center"/>
    </xf>
    <xf numFmtId="0" fontId="0" fillId="9" borderId="0" xfId="0" applyFont="1" applyFill="1" applyAlignment="1"/>
    <xf numFmtId="0" fontId="10" fillId="0" borderId="0" xfId="0" applyFont="1" applyAlignment="1"/>
    <xf numFmtId="175" fontId="0" fillId="8" borderId="0" xfId="0" applyNumberFormat="1" applyFont="1" applyFill="1" applyAlignment="1">
      <alignment horizontal="right"/>
    </xf>
    <xf numFmtId="0" fontId="10" fillId="0" borderId="20" xfId="0" applyFont="1" applyBorder="1" applyAlignment="1">
      <alignment horizontal="center"/>
    </xf>
    <xf numFmtId="0" fontId="0" fillId="9" borderId="0" xfId="0" applyFont="1" applyFill="1" applyAlignment="1">
      <alignment horizontal="center" wrapText="1"/>
    </xf>
    <xf numFmtId="0" fontId="0" fillId="0" borderId="0" xfId="0" applyFont="1"/>
    <xf numFmtId="0" fontId="15" fillId="0" borderId="21" xfId="0" applyFont="1" applyBorder="1" applyAlignment="1"/>
    <xf numFmtId="0" fontId="0" fillId="0" borderId="22" xfId="0" applyFont="1" applyBorder="1" applyAlignment="1"/>
    <xf numFmtId="0" fontId="0" fillId="0" borderId="22" xfId="0" applyFont="1" applyBorder="1" applyAlignment="1">
      <alignment horizontal="center"/>
    </xf>
    <xf numFmtId="0" fontId="10" fillId="0" borderId="22" xfId="0" applyFont="1" applyBorder="1" applyAlignment="1"/>
    <xf numFmtId="0" fontId="1" fillId="0" borderId="0" xfId="0" applyFont="1" applyAlignment="1">
      <alignment horizontal="center"/>
    </xf>
    <xf numFmtId="0" fontId="9" fillId="0" borderId="0" xfId="0" applyFont="1"/>
    <xf numFmtId="172" fontId="9" fillId="0" borderId="0" xfId="0" applyNumberFormat="1" applyFont="1"/>
    <xf numFmtId="0" fontId="10" fillId="2" borderId="0" xfId="0" applyFont="1" applyFill="1" applyAlignment="1"/>
    <xf numFmtId="0" fontId="0" fillId="5" borderId="0" xfId="0" applyFont="1" applyFill="1" applyAlignment="1"/>
    <xf numFmtId="0" fontId="10" fillId="2" borderId="23" xfId="0" applyFont="1" applyFill="1" applyBorder="1" applyAlignment="1"/>
    <xf numFmtId="0" fontId="10" fillId="2" borderId="23" xfId="0" applyFont="1" applyFill="1" applyBorder="1" applyAlignment="1">
      <alignment horizontal="center"/>
    </xf>
    <xf numFmtId="2" fontId="10" fillId="2" borderId="23" xfId="0" applyNumberFormat="1" applyFont="1" applyFill="1" applyBorder="1" applyAlignment="1"/>
    <xf numFmtId="0" fontId="10" fillId="0" borderId="0" xfId="0" applyFont="1"/>
    <xf numFmtId="173" fontId="0" fillId="3" borderId="20" xfId="0" applyNumberFormat="1" applyFont="1" applyFill="1" applyBorder="1" applyAlignment="1">
      <alignment horizontal="center"/>
    </xf>
    <xf numFmtId="173" fontId="0" fillId="5" borderId="20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21" xfId="0" applyFont="1" applyBorder="1" applyAlignment="1"/>
    <xf numFmtId="2" fontId="0" fillId="0" borderId="20" xfId="0" applyNumberFormat="1" applyFont="1" applyBorder="1" applyAlignment="1"/>
    <xf numFmtId="0" fontId="0" fillId="10" borderId="0" xfId="0" applyFont="1" applyFill="1" applyAlignment="1"/>
    <xf numFmtId="0" fontId="0" fillId="10" borderId="0" xfId="0" applyFont="1" applyFill="1" applyAlignment="1">
      <alignment horizontal="right"/>
    </xf>
    <xf numFmtId="0" fontId="0" fillId="10" borderId="0" xfId="0" applyFont="1" applyFill="1" applyAlignment="1">
      <alignment horizontal="left"/>
    </xf>
    <xf numFmtId="173" fontId="0" fillId="6" borderId="20" xfId="0" applyNumberFormat="1" applyFont="1" applyFill="1" applyBorder="1" applyAlignment="1">
      <alignment horizontal="center"/>
    </xf>
    <xf numFmtId="0" fontId="0" fillId="10" borderId="0" xfId="0" applyFont="1" applyFill="1" applyAlignment="1"/>
    <xf numFmtId="175" fontId="0" fillId="10" borderId="0" xfId="0" applyNumberFormat="1" applyFont="1" applyFill="1" applyAlignment="1">
      <alignment horizontal="right"/>
    </xf>
    <xf numFmtId="0" fontId="0" fillId="10" borderId="0" xfId="0" applyFont="1" applyFill="1" applyAlignment="1">
      <alignment horizontal="center" wrapText="1"/>
    </xf>
    <xf numFmtId="173" fontId="0" fillId="7" borderId="20" xfId="0" applyNumberFormat="1" applyFont="1" applyFill="1" applyBorder="1" applyAlignment="1">
      <alignment horizontal="center"/>
    </xf>
    <xf numFmtId="0" fontId="0" fillId="13" borderId="0" xfId="0" applyFont="1" applyFill="1" applyAlignment="1"/>
    <xf numFmtId="0" fontId="0" fillId="13" borderId="0" xfId="0" applyFont="1" applyFill="1" applyAlignment="1">
      <alignment horizontal="right"/>
    </xf>
    <xf numFmtId="0" fontId="0" fillId="13" borderId="0" xfId="0" applyFont="1" applyFill="1" applyAlignment="1">
      <alignment horizontal="left"/>
    </xf>
    <xf numFmtId="0" fontId="0" fillId="13" borderId="0" xfId="0" applyFont="1" applyFill="1" applyAlignment="1"/>
    <xf numFmtId="175" fontId="0" fillId="13" borderId="0" xfId="0" applyNumberFormat="1" applyFont="1" applyFill="1" applyAlignment="1">
      <alignment horizontal="right"/>
    </xf>
    <xf numFmtId="0" fontId="0" fillId="13" borderId="0" xfId="0" applyFont="1" applyFill="1" applyAlignment="1">
      <alignment horizontal="center" wrapText="1"/>
    </xf>
    <xf numFmtId="0" fontId="0" fillId="5" borderId="20" xfId="0" applyFont="1" applyFill="1" applyBorder="1" applyAlignment="1">
      <alignment horizontal="right" vertical="center"/>
    </xf>
    <xf numFmtId="0" fontId="0" fillId="6" borderId="2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172" fontId="0" fillId="0" borderId="20" xfId="0" applyNumberFormat="1" applyFont="1" applyBorder="1" applyAlignment="1"/>
    <xf numFmtId="0" fontId="0" fillId="14" borderId="0" xfId="0" applyFont="1" applyFill="1" applyAlignment="1"/>
    <xf numFmtId="0" fontId="0" fillId="14" borderId="0" xfId="0" applyFont="1" applyFill="1" applyAlignment="1">
      <alignment horizontal="right"/>
    </xf>
    <xf numFmtId="0" fontId="0" fillId="14" borderId="0" xfId="0" applyFont="1" applyFill="1" applyAlignment="1">
      <alignment horizontal="left"/>
    </xf>
    <xf numFmtId="0" fontId="0" fillId="14" borderId="0" xfId="0" applyFont="1" applyFill="1" applyAlignment="1"/>
    <xf numFmtId="172" fontId="0" fillId="0" borderId="20" xfId="0" applyNumberFormat="1" applyFont="1" applyBorder="1" applyAlignment="1">
      <alignment horizontal="right"/>
    </xf>
    <xf numFmtId="175" fontId="0" fillId="14" borderId="0" xfId="0" applyNumberFormat="1" applyFont="1" applyFill="1" applyAlignment="1">
      <alignment horizontal="right"/>
    </xf>
    <xf numFmtId="0" fontId="0" fillId="0" borderId="20" xfId="0" applyFont="1" applyBorder="1" applyAlignment="1">
      <alignment horizontal="center"/>
    </xf>
    <xf numFmtId="0" fontId="0" fillId="14" borderId="0" xfId="0" applyFont="1" applyFill="1" applyAlignment="1">
      <alignment horizontal="center" wrapText="1"/>
    </xf>
    <xf numFmtId="0" fontId="1" fillId="0" borderId="20" xfId="0" applyFont="1" applyBorder="1" applyAlignment="1"/>
    <xf numFmtId="0" fontId="0" fillId="0" borderId="0" xfId="0" applyFont="1" applyAlignment="1">
      <alignment horizontal="left"/>
    </xf>
    <xf numFmtId="173" fontId="0" fillId="9" borderId="20" xfId="0" applyNumberFormat="1" applyFont="1" applyFill="1" applyBorder="1" applyAlignment="1">
      <alignment horizontal="center"/>
    </xf>
    <xf numFmtId="0" fontId="0" fillId="6" borderId="0" xfId="0" applyFont="1" applyFill="1" applyAlignment="1">
      <alignment horizontal="left"/>
    </xf>
    <xf numFmtId="175" fontId="0" fillId="3" borderId="0" xfId="0" applyNumberFormat="1" applyFont="1" applyFill="1" applyAlignment="1">
      <alignment horizontal="right"/>
    </xf>
    <xf numFmtId="173" fontId="0" fillId="10" borderId="20" xfId="0" applyNumberFormat="1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6" borderId="0" xfId="0" applyFont="1" applyFill="1" applyAlignment="1">
      <alignment horizontal="right"/>
    </xf>
    <xf numFmtId="0" fontId="8" fillId="13" borderId="20" xfId="0" applyFont="1" applyFill="1" applyBorder="1" applyAlignment="1"/>
    <xf numFmtId="173" fontId="0" fillId="13" borderId="20" xfId="0" applyNumberFormat="1" applyFont="1" applyFill="1" applyBorder="1" applyAlignment="1">
      <alignment horizontal="center"/>
    </xf>
    <xf numFmtId="174" fontId="10" fillId="13" borderId="20" xfId="0" applyNumberFormat="1" applyFont="1" applyFill="1" applyBorder="1" applyAlignment="1"/>
    <xf numFmtId="0" fontId="0" fillId="5" borderId="0" xfId="0" applyFont="1" applyFill="1" applyAlignment="1">
      <alignment horizontal="center"/>
    </xf>
    <xf numFmtId="0" fontId="0" fillId="13" borderId="20" xfId="0" applyFont="1" applyFill="1" applyBorder="1" applyAlignment="1">
      <alignment wrapText="1"/>
    </xf>
    <xf numFmtId="0" fontId="0" fillId="14" borderId="20" xfId="0" applyFont="1" applyFill="1" applyBorder="1" applyAlignment="1"/>
    <xf numFmtId="0" fontId="8" fillId="14" borderId="20" xfId="0" applyFont="1" applyFill="1" applyBorder="1" applyAlignment="1"/>
    <xf numFmtId="173" fontId="0" fillId="14" borderId="20" xfId="0" applyNumberFormat="1" applyFont="1" applyFill="1" applyBorder="1" applyAlignment="1">
      <alignment horizontal="center"/>
    </xf>
    <xf numFmtId="174" fontId="10" fillId="14" borderId="20" xfId="0" applyNumberFormat="1" applyFont="1" applyFill="1" applyBorder="1" applyAlignment="1"/>
    <xf numFmtId="0" fontId="0" fillId="14" borderId="20" xfId="0" applyFont="1" applyFill="1" applyBorder="1" applyAlignment="1">
      <alignment horizontal="right"/>
    </xf>
    <xf numFmtId="0" fontId="0" fillId="14" borderId="20" xfId="0" applyFont="1" applyFill="1" applyBorder="1" applyAlignment="1"/>
    <xf numFmtId="0" fontId="0" fillId="14" borderId="20" xfId="0" applyFont="1" applyFill="1" applyBorder="1" applyAlignment="1">
      <alignment wrapText="1"/>
    </xf>
    <xf numFmtId="1" fontId="0" fillId="0" borderId="0" xfId="0" applyNumberFormat="1" applyFont="1" applyAlignment="1"/>
    <xf numFmtId="1" fontId="0" fillId="0" borderId="0" xfId="0" applyNumberFormat="1" applyFont="1" applyAlignment="1"/>
    <xf numFmtId="1" fontId="0" fillId="0" borderId="0" xfId="0" applyNumberFormat="1" applyFont="1" applyAlignment="1">
      <alignment horizontal="center"/>
    </xf>
    <xf numFmtId="2" fontId="9" fillId="3" borderId="20" xfId="0" applyNumberFormat="1" applyFont="1" applyFill="1" applyBorder="1" applyAlignment="1"/>
    <xf numFmtId="2" fontId="0" fillId="0" borderId="20" xfId="0" applyNumberFormat="1" applyFont="1" applyBorder="1" applyAlignment="1"/>
    <xf numFmtId="173" fontId="0" fillId="14" borderId="20" xfId="0" applyNumberFormat="1" applyFont="1" applyFill="1" applyBorder="1" applyAlignment="1">
      <alignment horizontal="center" vertical="center"/>
    </xf>
    <xf numFmtId="172" fontId="0" fillId="0" borderId="20" xfId="0" applyNumberFormat="1" applyFont="1" applyBorder="1" applyAlignment="1"/>
    <xf numFmtId="2" fontId="0" fillId="9" borderId="20" xfId="0" applyNumberFormat="1" applyFont="1" applyFill="1" applyBorder="1" applyAlignment="1">
      <alignment horizontal="right"/>
    </xf>
    <xf numFmtId="2" fontId="0" fillId="9" borderId="20" xfId="0" applyNumberFormat="1" applyFont="1" applyFill="1" applyBorder="1" applyAlignment="1"/>
    <xf numFmtId="2" fontId="0" fillId="10" borderId="20" xfId="0" applyNumberFormat="1" applyFont="1" applyFill="1" applyBorder="1" applyAlignment="1">
      <alignment vertical="center"/>
    </xf>
    <xf numFmtId="2" fontId="0" fillId="10" borderId="20" xfId="0" applyNumberFormat="1" applyFont="1" applyFill="1" applyBorder="1" applyAlignment="1">
      <alignment vertical="center"/>
    </xf>
    <xf numFmtId="2" fontId="0" fillId="0" borderId="20" xfId="0" applyNumberFormat="1" applyFont="1" applyBorder="1" applyAlignment="1">
      <alignment horizontal="right" vertical="center"/>
    </xf>
    <xf numFmtId="2" fontId="9" fillId="7" borderId="20" xfId="0" applyNumberFormat="1" applyFont="1" applyFill="1" applyBorder="1" applyAlignment="1">
      <alignment horizontal="right"/>
    </xf>
    <xf numFmtId="2" fontId="9" fillId="0" borderId="20" xfId="0" applyNumberFormat="1" applyFont="1" applyBorder="1" applyAlignment="1">
      <alignment horizontal="right"/>
    </xf>
    <xf numFmtId="2" fontId="0" fillId="9" borderId="20" xfId="0" applyNumberFormat="1" applyFont="1" applyFill="1" applyBorder="1" applyAlignment="1"/>
    <xf numFmtId="2" fontId="0" fillId="11" borderId="20" xfId="0" applyNumberFormat="1" applyFont="1" applyFill="1" applyBorder="1" applyAlignment="1"/>
    <xf numFmtId="2" fontId="0" fillId="13" borderId="20" xfId="0" applyNumberFormat="1" applyFont="1" applyFill="1" applyBorder="1" applyAlignment="1"/>
    <xf numFmtId="2" fontId="0" fillId="14" borderId="20" xfId="0" applyNumberFormat="1" applyFont="1" applyFill="1" applyBorder="1" applyAlignment="1">
      <alignment vertical="center"/>
    </xf>
    <xf numFmtId="2" fontId="0" fillId="14" borderId="20" xfId="0" applyNumberFormat="1" applyFont="1" applyFill="1" applyBorder="1" applyAlignment="1">
      <alignment vertical="center"/>
    </xf>
    <xf numFmtId="2" fontId="0" fillId="14" borderId="20" xfId="0" applyNumberFormat="1" applyFont="1" applyFill="1" applyBorder="1" applyAlignment="1">
      <alignment horizontal="right"/>
    </xf>
    <xf numFmtId="2" fontId="0" fillId="14" borderId="20" xfId="0" applyNumberFormat="1" applyFont="1" applyFill="1" applyBorder="1" applyAlignment="1"/>
    <xf numFmtId="0" fontId="0" fillId="7" borderId="20" xfId="0" applyFont="1" applyFill="1" applyBorder="1" applyAlignment="1">
      <alignment horizontal="right" vertical="center"/>
    </xf>
    <xf numFmtId="0" fontId="0" fillId="7" borderId="20" xfId="0" applyFont="1" applyFill="1" applyBorder="1" applyAlignment="1">
      <alignment vertical="center"/>
    </xf>
    <xf numFmtId="173" fontId="0" fillId="7" borderId="20" xfId="0" applyNumberFormat="1" applyFont="1" applyFill="1" applyBorder="1" applyAlignment="1">
      <alignment vertical="center"/>
    </xf>
    <xf numFmtId="174" fontId="0" fillId="7" borderId="20" xfId="0" applyNumberFormat="1" applyFont="1" applyFill="1" applyBorder="1" applyAlignment="1">
      <alignment horizontal="right" vertical="center"/>
    </xf>
    <xf numFmtId="2" fontId="0" fillId="7" borderId="20" xfId="0" applyNumberFormat="1" applyFont="1" applyFill="1" applyBorder="1" applyAlignment="1">
      <alignment horizontal="right" vertical="center"/>
    </xf>
    <xf numFmtId="2" fontId="0" fillId="7" borderId="20" xfId="0" applyNumberFormat="1" applyFont="1" applyFill="1" applyBorder="1" applyAlignment="1">
      <alignment vertical="center"/>
    </xf>
    <xf numFmtId="0" fontId="0" fillId="7" borderId="20" xfId="0" applyFont="1" applyFill="1" applyBorder="1" applyAlignment="1">
      <alignment horizontal="center" vertical="center" wrapText="1"/>
    </xf>
    <xf numFmtId="2" fontId="0" fillId="7" borderId="20" xfId="0" applyNumberFormat="1" applyFont="1" applyFill="1" applyBorder="1" applyAlignment="1"/>
    <xf numFmtId="0" fontId="0" fillId="0" borderId="20" xfId="0" applyFont="1" applyBorder="1" applyAlignment="1">
      <alignment horizontal="right" vertical="top"/>
    </xf>
    <xf numFmtId="2" fontId="9" fillId="7" borderId="20" xfId="0" applyNumberFormat="1" applyFont="1" applyFill="1" applyBorder="1" applyAlignment="1"/>
    <xf numFmtId="0" fontId="8" fillId="0" borderId="0" xfId="0" applyFont="1"/>
    <xf numFmtId="0" fontId="0" fillId="0" borderId="0" xfId="0" applyFont="1" applyAlignment="1">
      <alignment horizontal="center"/>
    </xf>
    <xf numFmtId="0" fontId="0" fillId="5" borderId="0" xfId="0" applyFont="1" applyFill="1"/>
    <xf numFmtId="2" fontId="9" fillId="0" borderId="20" xfId="0" applyNumberFormat="1" applyFont="1" applyBorder="1" applyAlignment="1"/>
    <xf numFmtId="2" fontId="9" fillId="5" borderId="0" xfId="0" applyNumberFormat="1" applyFont="1" applyFill="1" applyAlignment="1"/>
    <xf numFmtId="2" fontId="9" fillId="0" borderId="0" xfId="0" applyNumberFormat="1" applyFont="1" applyAlignment="1"/>
    <xf numFmtId="2" fontId="16" fillId="6" borderId="20" xfId="0" applyNumberFormat="1" applyFont="1" applyFill="1" applyBorder="1" applyAlignment="1"/>
    <xf numFmtId="2" fontId="16" fillId="0" borderId="20" xfId="0" applyNumberFormat="1" applyFont="1" applyBorder="1" applyAlignment="1">
      <alignment horizontal="right"/>
    </xf>
    <xf numFmtId="2" fontId="9" fillId="0" borderId="0" xfId="0" applyNumberFormat="1" applyFont="1"/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1" fillId="2" borderId="2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2" fontId="11" fillId="2" borderId="20" xfId="0" applyNumberFormat="1" applyFont="1" applyFill="1" applyBorder="1" applyAlignment="1">
      <alignment horizontal="center" vertical="center" wrapText="1"/>
    </xf>
    <xf numFmtId="0" fontId="0" fillId="3" borderId="20" xfId="0" applyFont="1" applyFill="1" applyBorder="1" applyAlignment="1">
      <alignment vertical="center"/>
    </xf>
    <xf numFmtId="0" fontId="8" fillId="3" borderId="20" xfId="0" applyFont="1" applyFill="1" applyBorder="1" applyAlignment="1">
      <alignment vertical="center"/>
    </xf>
    <xf numFmtId="0" fontId="0" fillId="3" borderId="20" xfId="0" applyFont="1" applyFill="1" applyBorder="1" applyAlignment="1">
      <alignment horizontal="center" vertical="center"/>
    </xf>
    <xf numFmtId="173" fontId="0" fillId="3" borderId="20" xfId="0" applyNumberFormat="1" applyFont="1" applyFill="1" applyBorder="1" applyAlignment="1">
      <alignment horizontal="right" vertical="center"/>
    </xf>
    <xf numFmtId="174" fontId="10" fillId="3" borderId="20" xfId="0" applyNumberFormat="1" applyFont="1" applyFill="1" applyBorder="1" applyAlignment="1">
      <alignment vertical="center"/>
    </xf>
    <xf numFmtId="0" fontId="0" fillId="3" borderId="20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0" fillId="5" borderId="20" xfId="0" applyFont="1" applyFill="1" applyBorder="1" applyAlignment="1">
      <alignment vertical="center"/>
    </xf>
    <xf numFmtId="0" fontId="8" fillId="5" borderId="20" xfId="0" applyFont="1" applyFill="1" applyBorder="1" applyAlignment="1">
      <alignment vertical="center"/>
    </xf>
    <xf numFmtId="0" fontId="0" fillId="5" borderId="20" xfId="0" applyFont="1" applyFill="1" applyBorder="1" applyAlignment="1">
      <alignment horizontal="center" vertical="center"/>
    </xf>
    <xf numFmtId="173" fontId="0" fillId="5" borderId="20" xfId="0" applyNumberFormat="1" applyFont="1" applyFill="1" applyBorder="1" applyAlignment="1">
      <alignment horizontal="right" vertical="center"/>
    </xf>
    <xf numFmtId="174" fontId="10" fillId="5" borderId="20" xfId="0" applyNumberFormat="1" applyFont="1" applyFill="1" applyBorder="1" applyAlignment="1">
      <alignment vertical="center"/>
    </xf>
    <xf numFmtId="0" fontId="0" fillId="0" borderId="20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8" fillId="6" borderId="20" xfId="0" applyFont="1" applyFill="1" applyBorder="1" applyAlignment="1">
      <alignment vertical="center"/>
    </xf>
    <xf numFmtId="0" fontId="0" fillId="6" borderId="20" xfId="0" applyFont="1" applyFill="1" applyBorder="1" applyAlignment="1">
      <alignment horizontal="center" vertical="center"/>
    </xf>
    <xf numFmtId="173" fontId="0" fillId="6" borderId="20" xfId="0" applyNumberFormat="1" applyFont="1" applyFill="1" applyBorder="1" applyAlignment="1">
      <alignment horizontal="right" vertical="center"/>
    </xf>
    <xf numFmtId="174" fontId="10" fillId="6" borderId="20" xfId="0" applyNumberFormat="1" applyFont="1" applyFill="1" applyBorder="1" applyAlignment="1">
      <alignment vertical="center"/>
    </xf>
    <xf numFmtId="0" fontId="0" fillId="6" borderId="20" xfId="0" applyFont="1" applyFill="1" applyBorder="1" applyAlignment="1">
      <alignment horizontal="center" vertical="center"/>
    </xf>
    <xf numFmtId="0" fontId="14" fillId="6" borderId="20" xfId="0" applyFont="1" applyFill="1" applyBorder="1" applyAlignment="1">
      <alignment horizontal="center" vertical="center"/>
    </xf>
    <xf numFmtId="0" fontId="8" fillId="7" borderId="20" xfId="0" applyFont="1" applyFill="1" applyBorder="1" applyAlignment="1">
      <alignment vertical="center"/>
    </xf>
    <xf numFmtId="0" fontId="0" fillId="7" borderId="20" xfId="0" applyFont="1" applyFill="1" applyBorder="1" applyAlignment="1">
      <alignment horizontal="center" vertical="center"/>
    </xf>
    <xf numFmtId="173" fontId="0" fillId="7" borderId="20" xfId="0" applyNumberFormat="1" applyFont="1" applyFill="1" applyBorder="1" applyAlignment="1">
      <alignment horizontal="right" vertical="center"/>
    </xf>
    <xf numFmtId="174" fontId="10" fillId="7" borderId="20" xfId="0" applyNumberFormat="1" applyFont="1" applyFill="1" applyBorder="1" applyAlignment="1">
      <alignment vertical="center"/>
    </xf>
    <xf numFmtId="0" fontId="0" fillId="7" borderId="20" xfId="0" applyFont="1" applyFill="1" applyBorder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0" fontId="1" fillId="6" borderId="0" xfId="0" applyFont="1" applyFill="1"/>
    <xf numFmtId="0" fontId="14" fillId="6" borderId="20" xfId="0" applyFont="1" applyFill="1" applyBorder="1" applyAlignment="1">
      <alignment horizontal="center" vertical="center"/>
    </xf>
    <xf numFmtId="0" fontId="1" fillId="0" borderId="20" xfId="0" applyFont="1" applyBorder="1" applyAlignment="1">
      <alignment vertical="center"/>
    </xf>
    <xf numFmtId="0" fontId="0" fillId="0" borderId="20" xfId="0" applyFont="1" applyBorder="1" applyAlignment="1">
      <alignment horizontal="left" vertical="center"/>
    </xf>
    <xf numFmtId="0" fontId="0" fillId="9" borderId="20" xfId="0" applyFont="1" applyFill="1" applyBorder="1" applyAlignment="1">
      <alignment vertical="center"/>
    </xf>
    <xf numFmtId="0" fontId="8" fillId="9" borderId="20" xfId="0" applyFont="1" applyFill="1" applyBorder="1" applyAlignment="1">
      <alignment vertical="center"/>
    </xf>
    <xf numFmtId="0" fontId="0" fillId="9" borderId="20" xfId="0" applyFont="1" applyFill="1" applyBorder="1" applyAlignment="1">
      <alignment horizontal="center" vertical="center"/>
    </xf>
    <xf numFmtId="173" fontId="0" fillId="9" borderId="20" xfId="0" applyNumberFormat="1" applyFont="1" applyFill="1" applyBorder="1" applyAlignment="1">
      <alignment horizontal="right" vertical="center"/>
    </xf>
    <xf numFmtId="174" fontId="10" fillId="9" borderId="20" xfId="0" applyNumberFormat="1" applyFont="1" applyFill="1" applyBorder="1" applyAlignment="1">
      <alignment vertical="center"/>
    </xf>
    <xf numFmtId="0" fontId="14" fillId="9" borderId="20" xfId="0" applyFont="1" applyFill="1" applyBorder="1" applyAlignment="1">
      <alignment horizontal="center" vertical="center"/>
    </xf>
    <xf numFmtId="0" fontId="0" fillId="9" borderId="20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8" fillId="5" borderId="20" xfId="0" applyFont="1" applyFill="1" applyBorder="1" applyAlignment="1">
      <alignment vertical="center"/>
    </xf>
    <xf numFmtId="0" fontId="0" fillId="10" borderId="20" xfId="0" applyFont="1" applyFill="1" applyBorder="1" applyAlignment="1">
      <alignment horizontal="center" vertical="center"/>
    </xf>
    <xf numFmtId="0" fontId="14" fillId="10" borderId="20" xfId="0" applyFont="1" applyFill="1" applyBorder="1" applyAlignment="1">
      <alignment horizontal="center" vertical="center" wrapText="1"/>
    </xf>
    <xf numFmtId="0" fontId="0" fillId="13" borderId="20" xfId="0" applyFont="1" applyFill="1" applyBorder="1" applyAlignment="1">
      <alignment horizontal="center" vertical="center"/>
    </xf>
    <xf numFmtId="0" fontId="14" fillId="13" borderId="20" xfId="0" applyFont="1" applyFill="1" applyBorder="1" applyAlignment="1">
      <alignment horizontal="center" vertical="center" wrapText="1"/>
    </xf>
    <xf numFmtId="0" fontId="0" fillId="13" borderId="20" xfId="0" applyFont="1" applyFill="1" applyBorder="1" applyAlignment="1">
      <alignment horizontal="center" vertical="center"/>
    </xf>
    <xf numFmtId="0" fontId="14" fillId="14" borderId="20" xfId="0" applyFont="1" applyFill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/>
    </xf>
    <xf numFmtId="0" fontId="18" fillId="7" borderId="20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174" fontId="10" fillId="6" borderId="20" xfId="0" applyNumberFormat="1" applyFont="1" applyFill="1" applyBorder="1" applyAlignment="1">
      <alignment vertical="center"/>
    </xf>
    <xf numFmtId="0" fontId="0" fillId="14" borderId="20" xfId="0" applyFont="1" applyFill="1" applyBorder="1" applyAlignment="1">
      <alignment horizontal="center" vertical="center"/>
    </xf>
    <xf numFmtId="174" fontId="10" fillId="14" borderId="20" xfId="0" applyNumberFormat="1" applyFont="1" applyFill="1" applyBorder="1" applyAlignment="1">
      <alignment horizontal="right" vertical="center"/>
    </xf>
    <xf numFmtId="0" fontId="0" fillId="0" borderId="20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4" fillId="0" borderId="24" xfId="0" applyFont="1" applyBorder="1" applyAlignment="1">
      <alignment horizontal="center" vertical="center"/>
    </xf>
    <xf numFmtId="2" fontId="13" fillId="17" borderId="20" xfId="0" applyNumberFormat="1" applyFont="1" applyFill="1" applyBorder="1" applyAlignment="1">
      <alignment horizontal="center" vertical="center" wrapText="1"/>
    </xf>
    <xf numFmtId="2" fontId="13" fillId="18" borderId="20" xfId="0" applyNumberFormat="1" applyFont="1" applyFill="1" applyBorder="1" applyAlignment="1">
      <alignment horizontal="center" vertical="center" wrapText="1"/>
    </xf>
    <xf numFmtId="0" fontId="10" fillId="18" borderId="0" xfId="0" applyFont="1" applyFill="1" applyAlignment="1">
      <alignment horizontal="center"/>
    </xf>
    <xf numFmtId="0" fontId="11" fillId="18" borderId="0" xfId="0" applyFont="1" applyFill="1" applyAlignment="1">
      <alignment horizontal="center" vertical="center" wrapText="1"/>
    </xf>
    <xf numFmtId="0" fontId="11" fillId="18" borderId="20" xfId="0" applyFont="1" applyFill="1" applyBorder="1" applyAlignment="1">
      <alignment horizontal="center" vertical="center" wrapText="1"/>
    </xf>
    <xf numFmtId="0" fontId="12" fillId="18" borderId="2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2" borderId="20" xfId="0" applyFont="1" applyFill="1" applyBorder="1" applyAlignment="1"/>
    <xf numFmtId="2" fontId="0" fillId="2" borderId="20" xfId="0" applyNumberFormat="1" applyFont="1" applyFill="1" applyBorder="1" applyAlignment="1"/>
    <xf numFmtId="172" fontId="0" fillId="0" borderId="0" xfId="0" applyNumberFormat="1" applyFont="1" applyAlignment="1"/>
    <xf numFmtId="2" fontId="0" fillId="0" borderId="0" xfId="0" applyNumberFormat="1" applyFont="1" applyAlignment="1"/>
    <xf numFmtId="172" fontId="1" fillId="0" borderId="0" xfId="0" applyNumberFormat="1" applyFon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0" fillId="0" borderId="0" xfId="0" pivotButton="1" applyFont="1" applyAlignment="1"/>
    <xf numFmtId="0" fontId="0" fillId="0" borderId="0" xfId="0" applyNumberFormat="1" applyFont="1" applyAlignment="1"/>
    <xf numFmtId="0" fontId="0" fillId="0" borderId="0" xfId="0" applyFont="1" applyAlignment="1">
      <alignment horizontal="left" indent="1"/>
    </xf>
    <xf numFmtId="0" fontId="0" fillId="2" borderId="20" xfId="0" applyFont="1" applyFill="1" applyBorder="1" applyAlignment="1">
      <alignment horizontal="left"/>
    </xf>
    <xf numFmtId="172" fontId="19" fillId="19" borderId="20" xfId="0" applyNumberFormat="1" applyFont="1" applyFill="1" applyBorder="1" applyAlignment="1">
      <alignment horizontal="right" vertical="center" wrapText="1"/>
    </xf>
    <xf numFmtId="2" fontId="19" fillId="12" borderId="20" xfId="0" applyNumberFormat="1" applyFont="1" applyFill="1" applyBorder="1" applyAlignment="1">
      <alignment horizontal="right" vertical="center" wrapText="1"/>
    </xf>
    <xf numFmtId="0" fontId="19" fillId="12" borderId="0" xfId="0" applyFont="1" applyFill="1" applyAlignment="1">
      <alignment horizontal="center" wrapText="1"/>
    </xf>
    <xf numFmtId="0" fontId="19" fillId="12" borderId="0" xfId="0" applyFont="1" applyFill="1" applyAlignment="1">
      <alignment horizontal="center"/>
    </xf>
    <xf numFmtId="2" fontId="19" fillId="4" borderId="20" xfId="0" applyNumberFormat="1" applyFont="1" applyFill="1" applyBorder="1" applyAlignment="1">
      <alignment horizontal="right" vertical="center" wrapText="1"/>
    </xf>
    <xf numFmtId="0" fontId="19" fillId="4" borderId="20" xfId="0" applyFont="1" applyFill="1" applyBorder="1" applyAlignment="1">
      <alignment horizontal="center" vertical="center" wrapText="1"/>
    </xf>
    <xf numFmtId="172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21" fillId="0" borderId="25" xfId="0" applyFont="1" applyBorder="1" applyAlignment="1">
      <alignment horizontal="left"/>
    </xf>
    <xf numFmtId="0" fontId="21" fillId="0" borderId="25" xfId="0" applyNumberFormat="1" applyFont="1" applyBorder="1" applyAlignment="1"/>
    <xf numFmtId="2" fontId="0" fillId="2" borderId="1" xfId="0" applyNumberFormat="1" applyFont="1" applyFill="1" applyBorder="1" applyAlignment="1">
      <alignment horizontal="center" vertical="center" wrapText="1"/>
    </xf>
    <xf numFmtId="2" fontId="22" fillId="2" borderId="1" xfId="0" applyNumberFormat="1" applyFont="1" applyFill="1" applyBorder="1" applyAlignment="1">
      <alignment horizontal="center" vertical="center" wrapText="1"/>
    </xf>
    <xf numFmtId="0" fontId="21" fillId="20" borderId="25" xfId="0" applyFont="1" applyFill="1" applyBorder="1" applyAlignment="1"/>
    <xf numFmtId="0" fontId="0" fillId="0" borderId="0" xfId="0" applyFont="1" applyFill="1" applyAlignment="1"/>
    <xf numFmtId="0" fontId="0" fillId="0" borderId="0" xfId="0" applyFont="1" applyFill="1" applyAlignment="1">
      <alignment horizontal="right"/>
    </xf>
    <xf numFmtId="0" fontId="1" fillId="0" borderId="0" xfId="0" applyFont="1" applyFill="1" applyAlignment="1"/>
    <xf numFmtId="0" fontId="1" fillId="0" borderId="0" xfId="0" applyFont="1" applyFill="1"/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vertical="center"/>
    </xf>
    <xf numFmtId="0" fontId="1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21" borderId="1" xfId="0" applyFont="1" applyFill="1" applyBorder="1" applyAlignment="1"/>
    <xf numFmtId="2" fontId="21" fillId="0" borderId="25" xfId="0" applyNumberFormat="1" applyFont="1" applyBorder="1" applyAlignment="1"/>
    <xf numFmtId="0" fontId="0" fillId="22" borderId="1" xfId="0" applyFont="1" applyFill="1" applyBorder="1" applyAlignment="1"/>
    <xf numFmtId="0" fontId="0" fillId="23" borderId="1" xfId="0" applyFont="1" applyFill="1" applyBorder="1" applyAlignment="1"/>
    <xf numFmtId="0" fontId="1" fillId="24" borderId="1" xfId="0" applyFont="1" applyFill="1" applyBorder="1" applyAlignment="1"/>
    <xf numFmtId="0" fontId="0" fillId="0" borderId="26" xfId="0" applyFont="1" applyBorder="1" applyAlignment="1"/>
    <xf numFmtId="0" fontId="0" fillId="0" borderId="27" xfId="0" applyFont="1" applyBorder="1" applyAlignment="1"/>
    <xf numFmtId="0" fontId="0" fillId="0" borderId="28" xfId="0" applyFont="1" applyBorder="1" applyAlignment="1"/>
    <xf numFmtId="0" fontId="0" fillId="0" borderId="26" xfId="0" pivotButton="1" applyFont="1" applyBorder="1" applyAlignment="1"/>
    <xf numFmtId="0" fontId="0" fillId="0" borderId="29" xfId="0" applyFont="1" applyBorder="1" applyAlignment="1"/>
    <xf numFmtId="0" fontId="0" fillId="0" borderId="30" xfId="0" applyFont="1" applyBorder="1" applyAlignment="1"/>
    <xf numFmtId="0" fontId="0" fillId="0" borderId="31" xfId="0" applyFont="1" applyBorder="1" applyAlignment="1">
      <alignment wrapText="1"/>
    </xf>
    <xf numFmtId="0" fontId="0" fillId="0" borderId="26" xfId="0" applyFont="1" applyBorder="1" applyAlignment="1">
      <alignment wrapText="1"/>
    </xf>
    <xf numFmtId="0" fontId="0" fillId="5" borderId="1" xfId="0" applyFont="1" applyFill="1" applyBorder="1" applyAlignment="1"/>
    <xf numFmtId="2" fontId="0" fillId="0" borderId="1" xfId="0" applyNumberFormat="1" applyFont="1" applyFill="1" applyBorder="1" applyAlignment="1">
      <alignment horizontal="center"/>
    </xf>
    <xf numFmtId="2" fontId="0" fillId="25" borderId="1" xfId="0" applyNumberFormat="1" applyFont="1" applyFill="1" applyBorder="1" applyAlignment="1">
      <alignment horizontal="center" vertical="center" wrapText="1"/>
    </xf>
    <xf numFmtId="2" fontId="22" fillId="25" borderId="1" xfId="0" applyNumberFormat="1" applyFont="1" applyFill="1" applyBorder="1" applyAlignment="1">
      <alignment horizontal="center" vertical="center" wrapText="1"/>
    </xf>
    <xf numFmtId="172" fontId="0" fillId="0" borderId="26" xfId="0" applyNumberFormat="1" applyFont="1" applyBorder="1" applyAlignment="1"/>
    <xf numFmtId="172" fontId="0" fillId="0" borderId="31" xfId="0" applyNumberFormat="1" applyFont="1" applyBorder="1" applyAlignment="1"/>
    <xf numFmtId="172" fontId="0" fillId="0" borderId="29" xfId="0" applyNumberFormat="1" applyFont="1" applyBorder="1" applyAlignment="1"/>
    <xf numFmtId="172" fontId="0" fillId="0" borderId="32" xfId="0" applyNumberFormat="1" applyFont="1" applyBorder="1" applyAlignment="1"/>
    <xf numFmtId="172" fontId="0" fillId="0" borderId="30" xfId="0" applyNumberFormat="1" applyFont="1" applyBorder="1" applyAlignment="1"/>
    <xf numFmtId="172" fontId="0" fillId="0" borderId="33" xfId="0" applyNumberFormat="1" applyFont="1" applyBorder="1" applyAlignment="1"/>
    <xf numFmtId="0" fontId="0" fillId="0" borderId="34" xfId="0" applyFont="1" applyBorder="1" applyAlignment="1">
      <alignment wrapText="1"/>
    </xf>
    <xf numFmtId="172" fontId="0" fillId="0" borderId="34" xfId="0" applyNumberFormat="1" applyFont="1" applyBorder="1" applyAlignment="1"/>
    <xf numFmtId="172" fontId="0" fillId="0" borderId="35" xfId="0" applyNumberFormat="1" applyFont="1" applyBorder="1" applyAlignment="1"/>
    <xf numFmtId="172" fontId="23" fillId="0" borderId="26" xfId="0" applyNumberFormat="1" applyFont="1" applyBorder="1" applyAlignment="1"/>
    <xf numFmtId="172" fontId="23" fillId="0" borderId="34" xfId="0" applyNumberFormat="1" applyFont="1" applyBorder="1" applyAlignment="1"/>
    <xf numFmtId="172" fontId="23" fillId="0" borderId="31" xfId="0" applyNumberFormat="1" applyFont="1" applyBorder="1" applyAlignment="1"/>
    <xf numFmtId="0" fontId="23" fillId="0" borderId="29" xfId="0" applyFont="1" applyBorder="1" applyAlignment="1"/>
    <xf numFmtId="172" fontId="23" fillId="0" borderId="29" xfId="0" applyNumberFormat="1" applyFont="1" applyBorder="1" applyAlignment="1"/>
    <xf numFmtId="172" fontId="23" fillId="0" borderId="0" xfId="0" applyNumberFormat="1" applyFont="1" applyAlignment="1"/>
    <xf numFmtId="172" fontId="23" fillId="0" borderId="32" xfId="0" applyNumberFormat="1" applyFont="1" applyBorder="1" applyAlignment="1"/>
    <xf numFmtId="0" fontId="0" fillId="0" borderId="2" xfId="0" applyFont="1" applyFill="1" applyBorder="1" applyAlignment="1"/>
    <xf numFmtId="0" fontId="0" fillId="0" borderId="3" xfId="0" applyFont="1" applyFill="1" applyBorder="1" applyAlignment="1"/>
    <xf numFmtId="0" fontId="0" fillId="0" borderId="0" xfId="0" applyFont="1" applyFill="1" applyBorder="1" applyAlignment="1"/>
    <xf numFmtId="0" fontId="1" fillId="0" borderId="3" xfId="0" applyFont="1" applyFill="1" applyBorder="1" applyAlignment="1"/>
    <xf numFmtId="0" fontId="1" fillId="0" borderId="0" xfId="0" applyFont="1" applyFill="1" applyBorder="1" applyAlignment="1"/>
    <xf numFmtId="0" fontId="22" fillId="0" borderId="1" xfId="0" applyFont="1" applyFill="1" applyBorder="1" applyAlignment="1"/>
    <xf numFmtId="0" fontId="3" fillId="0" borderId="1" xfId="0" applyFont="1" applyFill="1" applyBorder="1" applyAlignment="1"/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/>
    <xf numFmtId="172" fontId="23" fillId="0" borderId="1" xfId="0" applyNumberFormat="1" applyFont="1" applyBorder="1" applyAlignment="1"/>
    <xf numFmtId="0" fontId="22" fillId="0" borderId="1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172" fontId="0" fillId="5" borderId="1" xfId="0" applyNumberFormat="1" applyFont="1" applyFill="1" applyBorder="1" applyAlignment="1">
      <alignment horizontal="center" vertical="center" wrapText="1"/>
    </xf>
    <xf numFmtId="2" fontId="0" fillId="5" borderId="1" xfId="0" applyNumberFormat="1" applyFont="1" applyFill="1" applyBorder="1" applyAlignment="1">
      <alignment horizontal="center" vertical="center" wrapText="1"/>
    </xf>
    <xf numFmtId="2" fontId="0" fillId="5" borderId="1" xfId="0" applyNumberFormat="1" applyFont="1" applyFill="1" applyBorder="1" applyAlignment="1">
      <alignment vertical="center" wrapText="1"/>
    </xf>
    <xf numFmtId="172" fontId="0" fillId="5" borderId="1" xfId="0" applyNumberFormat="1" applyFont="1" applyFill="1" applyBorder="1" applyAlignment="1"/>
    <xf numFmtId="2" fontId="0" fillId="5" borderId="1" xfId="0" applyNumberFormat="1" applyFont="1" applyFill="1" applyBorder="1" applyAlignment="1">
      <alignment wrapText="1"/>
    </xf>
    <xf numFmtId="0" fontId="0" fillId="5" borderId="1" xfId="0" applyFont="1" applyFill="1" applyBorder="1" applyAlignment="1">
      <alignment horizontal="right"/>
    </xf>
    <xf numFmtId="0" fontId="1" fillId="5" borderId="1" xfId="0" applyFont="1" applyFill="1" applyBorder="1" applyAlignment="1"/>
    <xf numFmtId="172" fontId="0" fillId="5" borderId="1" xfId="0" applyNumberFormat="1" applyFont="1" applyFill="1" applyBorder="1" applyAlignment="1">
      <alignment horizontal="right"/>
    </xf>
    <xf numFmtId="0" fontId="0" fillId="5" borderId="0" xfId="0" applyFont="1" applyFill="1" applyBorder="1" applyAlignment="1"/>
    <xf numFmtId="0" fontId="1" fillId="0" borderId="0" xfId="0" applyFont="1" applyFill="1" applyBorder="1"/>
    <xf numFmtId="0" fontId="0" fillId="5" borderId="21" xfId="0" applyFont="1" applyFill="1" applyBorder="1" applyAlignment="1">
      <alignment horizontal="right"/>
    </xf>
    <xf numFmtId="0" fontId="0" fillId="0" borderId="1" xfId="0" applyFont="1" applyBorder="1" applyAlignment="1"/>
    <xf numFmtId="173" fontId="0" fillId="5" borderId="1" xfId="0" applyNumberFormat="1" applyFont="1" applyFill="1" applyBorder="1" applyAlignment="1"/>
    <xf numFmtId="174" fontId="0" fillId="5" borderId="1" xfId="0" applyNumberFormat="1" applyFont="1" applyFill="1" applyBorder="1" applyAlignment="1">
      <alignment horizontal="right"/>
    </xf>
    <xf numFmtId="0" fontId="0" fillId="0" borderId="1" xfId="0" applyFont="1" applyBorder="1" applyAlignment="1">
      <alignment vertical="center"/>
    </xf>
    <xf numFmtId="0" fontId="0" fillId="26" borderId="1" xfId="0" applyFont="1" applyFill="1" applyBorder="1" applyAlignment="1"/>
    <xf numFmtId="0" fontId="0" fillId="27" borderId="1" xfId="0" applyFont="1" applyFill="1" applyBorder="1" applyAlignment="1"/>
    <xf numFmtId="173" fontId="0" fillId="27" borderId="1" xfId="0" applyNumberFormat="1" applyFont="1" applyFill="1" applyBorder="1" applyAlignment="1"/>
    <xf numFmtId="0" fontId="0" fillId="28" borderId="1" xfId="0" applyFont="1" applyFill="1" applyBorder="1" applyAlignment="1"/>
    <xf numFmtId="0" fontId="0" fillId="5" borderId="1" xfId="0" applyFont="1" applyFill="1" applyBorder="1" applyAlignment="1">
      <alignment vertical="center"/>
    </xf>
    <xf numFmtId="0" fontId="0" fillId="28" borderId="1" xfId="0" applyFont="1" applyFill="1" applyBorder="1" applyAlignment="1">
      <alignment vertical="center"/>
    </xf>
    <xf numFmtId="173" fontId="0" fillId="5" borderId="1" xfId="0" applyNumberFormat="1" applyFont="1" applyFill="1" applyBorder="1" applyAlignment="1">
      <alignment vertical="center"/>
    </xf>
    <xf numFmtId="174" fontId="0" fillId="5" borderId="1" xfId="0" applyNumberFormat="1" applyFont="1" applyFill="1" applyBorder="1" applyAlignment="1">
      <alignment vertical="center"/>
    </xf>
    <xf numFmtId="174" fontId="0" fillId="5" borderId="1" xfId="0" applyNumberFormat="1" applyFont="1" applyFill="1" applyBorder="1" applyAlignment="1"/>
    <xf numFmtId="0" fontId="0" fillId="5" borderId="1" xfId="0" applyFont="1" applyFill="1" applyBorder="1" applyAlignment="1">
      <alignment horizontal="left"/>
    </xf>
    <xf numFmtId="0" fontId="24" fillId="0" borderId="20" xfId="0" applyFont="1" applyBorder="1" applyAlignment="1">
      <alignment horizontal="right"/>
    </xf>
    <xf numFmtId="0" fontId="24" fillId="0" borderId="20" xfId="0" applyFont="1" applyBorder="1" applyAlignment="1"/>
    <xf numFmtId="0" fontId="25" fillId="0" borderId="20" xfId="0" applyFont="1" applyBorder="1" applyAlignment="1"/>
    <xf numFmtId="173" fontId="24" fillId="0" borderId="20" xfId="0" applyNumberFormat="1" applyFont="1" applyBorder="1" applyAlignment="1"/>
    <xf numFmtId="174" fontId="24" fillId="0" borderId="20" xfId="0" applyNumberFormat="1" applyFont="1" applyBorder="1" applyAlignment="1">
      <alignment horizontal="right"/>
    </xf>
    <xf numFmtId="172" fontId="24" fillId="0" borderId="20" xfId="0" applyNumberFormat="1" applyFont="1" applyBorder="1" applyAlignment="1">
      <alignment horizontal="right"/>
    </xf>
    <xf numFmtId="172" fontId="26" fillId="0" borderId="20" xfId="0" applyNumberFormat="1" applyFont="1" applyBorder="1" applyAlignment="1">
      <alignment horizontal="right"/>
    </xf>
    <xf numFmtId="172" fontId="26" fillId="0" borderId="20" xfId="0" applyNumberFormat="1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4" fillId="0" borderId="20" xfId="0" applyFont="1" applyBorder="1" applyAlignment="1">
      <alignment horizontal="right" vertical="center"/>
    </xf>
    <xf numFmtId="0" fontId="24" fillId="0" borderId="20" xfId="0" applyFont="1" applyBorder="1" applyAlignment="1">
      <alignment vertical="center"/>
    </xf>
    <xf numFmtId="0" fontId="25" fillId="0" borderId="20" xfId="0" applyFont="1" applyBorder="1" applyAlignment="1">
      <alignment vertical="center"/>
    </xf>
    <xf numFmtId="173" fontId="24" fillId="0" borderId="20" xfId="0" applyNumberFormat="1" applyFont="1" applyBorder="1" applyAlignment="1">
      <alignment vertical="center"/>
    </xf>
    <xf numFmtId="174" fontId="24" fillId="0" borderId="20" xfId="0" applyNumberFormat="1" applyFont="1" applyBorder="1" applyAlignment="1">
      <alignment horizontal="right" vertical="center"/>
    </xf>
    <xf numFmtId="172" fontId="24" fillId="0" borderId="20" xfId="0" applyNumberFormat="1" applyFont="1" applyBorder="1" applyAlignment="1">
      <alignment horizontal="right" vertical="center"/>
    </xf>
    <xf numFmtId="172" fontId="24" fillId="0" borderId="20" xfId="0" applyNumberFormat="1" applyFont="1" applyBorder="1" applyAlignment="1">
      <alignment vertical="center"/>
    </xf>
    <xf numFmtId="0" fontId="27" fillId="0" borderId="20" xfId="0" applyFont="1" applyBorder="1" applyAlignment="1">
      <alignment horizontal="center" vertical="center" wrapText="1"/>
    </xf>
    <xf numFmtId="0" fontId="24" fillId="29" borderId="20" xfId="0" applyFont="1" applyFill="1" applyBorder="1" applyAlignment="1">
      <alignment horizontal="right"/>
    </xf>
    <xf numFmtId="0" fontId="25" fillId="21" borderId="20" xfId="0" applyFont="1" applyFill="1" applyBorder="1" applyAlignment="1"/>
    <xf numFmtId="0" fontId="24" fillId="30" borderId="20" xfId="0" applyFont="1" applyFill="1" applyBorder="1" applyAlignment="1">
      <alignment horizontal="right"/>
    </xf>
    <xf numFmtId="0" fontId="24" fillId="5" borderId="20" xfId="0" applyFont="1" applyFill="1" applyBorder="1" applyAlignment="1">
      <alignment horizontal="right"/>
    </xf>
    <xf numFmtId="0" fontId="24" fillId="5" borderId="20" xfId="0" applyFont="1" applyFill="1" applyBorder="1" applyAlignment="1"/>
    <xf numFmtId="0" fontId="25" fillId="5" borderId="20" xfId="0" applyFont="1" applyFill="1" applyBorder="1" applyAlignment="1"/>
    <xf numFmtId="173" fontId="24" fillId="5" borderId="20" xfId="0" applyNumberFormat="1" applyFont="1" applyFill="1" applyBorder="1" applyAlignment="1"/>
    <xf numFmtId="174" fontId="24" fillId="5" borderId="20" xfId="0" applyNumberFormat="1" applyFont="1" applyFill="1" applyBorder="1" applyAlignment="1">
      <alignment horizontal="right"/>
    </xf>
    <xf numFmtId="172" fontId="24" fillId="0" borderId="20" xfId="0" applyNumberFormat="1" applyFont="1" applyBorder="1" applyAlignment="1"/>
    <xf numFmtId="0" fontId="25" fillId="27" borderId="20" xfId="0" applyFont="1" applyFill="1" applyBorder="1" applyAlignment="1"/>
    <xf numFmtId="0" fontId="24" fillId="27" borderId="20" xfId="0" applyFont="1" applyFill="1" applyBorder="1" applyAlignment="1"/>
    <xf numFmtId="173" fontId="24" fillId="27" borderId="20" xfId="0" applyNumberFormat="1" applyFont="1" applyFill="1" applyBorder="1" applyAlignment="1"/>
    <xf numFmtId="0" fontId="27" fillId="0" borderId="20" xfId="0" applyFont="1" applyBorder="1" applyAlignment="1">
      <alignment horizontal="center" wrapText="1"/>
    </xf>
    <xf numFmtId="0" fontId="25" fillId="26" borderId="20" xfId="0" applyFont="1" applyFill="1" applyBorder="1" applyAlignment="1"/>
    <xf numFmtId="0" fontId="27" fillId="0" borderId="20" xfId="0" applyFont="1" applyBorder="1" applyAlignment="1">
      <alignment horizontal="left" vertical="center" wrapText="1"/>
    </xf>
    <xf numFmtId="0" fontId="24" fillId="30" borderId="20" xfId="0" applyFont="1" applyFill="1" applyBorder="1" applyAlignment="1"/>
    <xf numFmtId="0" fontId="24" fillId="0" borderId="20" xfId="0" applyFont="1" applyBorder="1" applyAlignment="1">
      <alignment horizontal="right" vertical="center" wrapText="1"/>
    </xf>
    <xf numFmtId="0" fontId="24" fillId="0" borderId="20" xfId="0" applyFont="1" applyBorder="1" applyAlignment="1">
      <alignment vertical="center" wrapText="1"/>
    </xf>
    <xf numFmtId="0" fontId="24" fillId="6" borderId="20" xfId="0" applyFont="1" applyFill="1" applyBorder="1" applyAlignment="1">
      <alignment horizontal="right"/>
    </xf>
    <xf numFmtId="0" fontId="25" fillId="28" borderId="20" xfId="0" applyFont="1" applyFill="1" applyBorder="1" applyAlignment="1"/>
    <xf numFmtId="0" fontId="24" fillId="5" borderId="20" xfId="0" applyFont="1" applyFill="1" applyBorder="1" applyAlignment="1">
      <alignment horizontal="right" vertical="center"/>
    </xf>
    <xf numFmtId="0" fontId="24" fillId="5" borderId="20" xfId="0" applyFont="1" applyFill="1" applyBorder="1" applyAlignment="1">
      <alignment vertical="center"/>
    </xf>
    <xf numFmtId="0" fontId="25" fillId="5" borderId="20" xfId="0" applyFont="1" applyFill="1" applyBorder="1" applyAlignment="1">
      <alignment vertical="center"/>
    </xf>
    <xf numFmtId="173" fontId="24" fillId="5" borderId="20" xfId="0" applyNumberFormat="1" applyFont="1" applyFill="1" applyBorder="1" applyAlignment="1">
      <alignment vertical="center"/>
    </xf>
    <xf numFmtId="174" fontId="24" fillId="5" borderId="20" xfId="0" applyNumberFormat="1" applyFont="1" applyFill="1" applyBorder="1" applyAlignment="1">
      <alignment horizontal="right" vertical="center"/>
    </xf>
    <xf numFmtId="174" fontId="24" fillId="5" borderId="20" xfId="0" applyNumberFormat="1" applyFont="1" applyFill="1" applyBorder="1" applyAlignment="1"/>
    <xf numFmtId="0" fontId="25" fillId="28" borderId="20" xfId="0" applyFont="1" applyFill="1" applyBorder="1" applyAlignment="1">
      <alignment vertical="center"/>
    </xf>
    <xf numFmtId="174" fontId="24" fillId="5" borderId="20" xfId="0" applyNumberFormat="1" applyFont="1" applyFill="1" applyBorder="1" applyAlignment="1">
      <alignment vertical="center"/>
    </xf>
    <xf numFmtId="0" fontId="24" fillId="5" borderId="20" xfId="0" applyFont="1" applyFill="1" applyBorder="1" applyAlignment="1">
      <alignment horizontal="left"/>
    </xf>
    <xf numFmtId="0" fontId="25" fillId="5" borderId="20" xfId="0" applyFont="1" applyFill="1" applyBorder="1" applyAlignment="1">
      <alignment horizontal="left"/>
    </xf>
    <xf numFmtId="173" fontId="24" fillId="5" borderId="20" xfId="0" applyNumberFormat="1" applyFont="1" applyFill="1" applyBorder="1" applyAlignment="1">
      <alignment horizontal="right"/>
    </xf>
    <xf numFmtId="0" fontId="22" fillId="21" borderId="1" xfId="0" applyFont="1" applyFill="1" applyBorder="1" applyAlignment="1"/>
    <xf numFmtId="0" fontId="28" fillId="0" borderId="0" xfId="0" applyFont="1" applyAlignment="1">
      <alignment horizontal="center" vertical="center"/>
    </xf>
    <xf numFmtId="0" fontId="28" fillId="31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22" borderId="1" xfId="0" applyFont="1" applyFill="1" applyBorder="1" applyAlignment="1">
      <alignment horizontal="center" vertical="center"/>
    </xf>
    <xf numFmtId="172" fontId="28" fillId="5" borderId="1" xfId="0" applyNumberFormat="1" applyFont="1" applyFill="1" applyBorder="1" applyAlignment="1">
      <alignment horizontal="center" vertical="center"/>
    </xf>
    <xf numFmtId="0" fontId="28" fillId="24" borderId="1" xfId="0" applyFont="1" applyFill="1" applyBorder="1" applyAlignment="1">
      <alignment horizontal="center" vertical="center"/>
    </xf>
    <xf numFmtId="0" fontId="28" fillId="23" borderId="1" xfId="0" applyFont="1" applyFill="1" applyBorder="1" applyAlignment="1">
      <alignment horizontal="center" vertical="center"/>
    </xf>
    <xf numFmtId="0" fontId="28" fillId="32" borderId="1" xfId="0" applyFont="1" applyFill="1" applyBorder="1" applyAlignment="1">
      <alignment horizontal="center" vertical="center"/>
    </xf>
    <xf numFmtId="0" fontId="28" fillId="33" borderId="1" xfId="0" applyFont="1" applyFill="1" applyBorder="1" applyAlignment="1">
      <alignment horizontal="center" vertical="center"/>
    </xf>
    <xf numFmtId="0" fontId="29" fillId="22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9" fillId="24" borderId="1" xfId="0" applyFont="1" applyFill="1" applyBorder="1" applyAlignment="1">
      <alignment horizontal="center" vertical="center"/>
    </xf>
    <xf numFmtId="0" fontId="29" fillId="23" borderId="1" xfId="0" applyFont="1" applyFill="1" applyBorder="1" applyAlignment="1">
      <alignment horizontal="center" vertical="center"/>
    </xf>
    <xf numFmtId="172" fontId="5" fillId="0" borderId="1" xfId="0" applyNumberFormat="1" applyFont="1" applyBorder="1" applyAlignment="1">
      <alignment horizontal="center" vertical="center"/>
    </xf>
    <xf numFmtId="172" fontId="28" fillId="0" borderId="1" xfId="0" applyNumberFormat="1" applyFont="1" applyBorder="1" applyAlignment="1">
      <alignment horizontal="center" vertical="center"/>
    </xf>
    <xf numFmtId="0" fontId="28" fillId="34" borderId="1" xfId="0" applyFont="1" applyFill="1" applyBorder="1" applyAlignment="1">
      <alignment horizontal="center" vertical="center" wrapText="1"/>
    </xf>
    <xf numFmtId="2" fontId="28" fillId="0" borderId="1" xfId="0" applyNumberFormat="1" applyFont="1" applyBorder="1" applyAlignment="1">
      <alignment horizontal="center" vertical="center"/>
    </xf>
    <xf numFmtId="0" fontId="0" fillId="0" borderId="0" xfId="0" applyFont="1" applyAlignment="1"/>
    <xf numFmtId="2" fontId="0" fillId="0" borderId="36" xfId="0" applyNumberFormat="1" applyFont="1" applyBorder="1" applyAlignment="1"/>
    <xf numFmtId="0" fontId="0" fillId="0" borderId="20" xfId="0" applyFont="1" applyFill="1" applyBorder="1" applyAlignment="1"/>
    <xf numFmtId="0" fontId="0" fillId="0" borderId="20" xfId="0" applyFont="1" applyFill="1" applyBorder="1" applyAlignment="1">
      <alignment horizontal="right"/>
    </xf>
    <xf numFmtId="0" fontId="0" fillId="0" borderId="20" xfId="0" applyFont="1" applyFill="1" applyBorder="1" applyAlignment="1">
      <alignment horizontal="left"/>
    </xf>
    <xf numFmtId="2" fontId="0" fillId="0" borderId="20" xfId="0" applyNumberFormat="1" applyFont="1" applyFill="1" applyBorder="1" applyAlignment="1">
      <alignment horizontal="right"/>
    </xf>
    <xf numFmtId="2" fontId="0" fillId="0" borderId="21" xfId="0" applyNumberFormat="1" applyFont="1" applyFill="1" applyBorder="1" applyAlignment="1"/>
    <xf numFmtId="0" fontId="28" fillId="31" borderId="4" xfId="0" applyFont="1" applyFill="1" applyBorder="1" applyAlignment="1">
      <alignment horizontal="center" vertical="center"/>
    </xf>
    <xf numFmtId="0" fontId="0" fillId="5" borderId="4" xfId="0" applyFont="1" applyFill="1" applyBorder="1" applyAlignment="1">
      <alignment horizontal="right"/>
    </xf>
    <xf numFmtId="0" fontId="0" fillId="5" borderId="4" xfId="0" applyFont="1" applyFill="1" applyBorder="1" applyAlignment="1"/>
    <xf numFmtId="0" fontId="0" fillId="5" borderId="4" xfId="0" applyFont="1" applyFill="1" applyBorder="1" applyAlignment="1">
      <alignment vertical="center"/>
    </xf>
    <xf numFmtId="0" fontId="28" fillId="35" borderId="5" xfId="0" applyFont="1" applyFill="1" applyBorder="1" applyAlignment="1">
      <alignment horizontal="center" vertical="center" wrapText="1"/>
    </xf>
    <xf numFmtId="2" fontId="28" fillId="0" borderId="5" xfId="0" applyNumberFormat="1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31" borderId="7" xfId="0" applyFont="1" applyFill="1" applyBorder="1" applyAlignment="1">
      <alignment horizontal="center" vertical="center"/>
    </xf>
    <xf numFmtId="0" fontId="28" fillId="36" borderId="7" xfId="0" applyFont="1" applyFill="1" applyBorder="1" applyAlignment="1">
      <alignment horizontal="center" vertical="center"/>
    </xf>
    <xf numFmtId="0" fontId="28" fillId="37" borderId="7" xfId="0" applyFont="1" applyFill="1" applyBorder="1" applyAlignment="1">
      <alignment horizontal="center" vertical="center"/>
    </xf>
    <xf numFmtId="2" fontId="30" fillId="38" borderId="7" xfId="0" applyNumberFormat="1" applyFont="1" applyFill="1" applyBorder="1" applyAlignment="1">
      <alignment horizontal="center" vertical="center" wrapText="1"/>
    </xf>
    <xf numFmtId="0" fontId="28" fillId="39" borderId="7" xfId="0" applyFont="1" applyFill="1" applyBorder="1" applyAlignment="1">
      <alignment horizontal="center" vertical="center"/>
    </xf>
    <xf numFmtId="0" fontId="28" fillId="35" borderId="7" xfId="0" applyFont="1" applyFill="1" applyBorder="1" applyAlignment="1">
      <alignment horizontal="center" vertical="center" wrapText="1"/>
    </xf>
    <xf numFmtId="0" fontId="28" fillId="34" borderId="8" xfId="0" applyFont="1" applyFill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23" borderId="11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172" fontId="28" fillId="5" borderId="11" xfId="0" applyNumberFormat="1" applyFont="1" applyFill="1" applyBorder="1" applyAlignment="1">
      <alignment horizontal="center" vertical="center"/>
    </xf>
    <xf numFmtId="172" fontId="5" fillId="0" borderId="11" xfId="0" applyNumberFormat="1" applyFont="1" applyBorder="1" applyAlignment="1">
      <alignment horizontal="center" vertical="center"/>
    </xf>
    <xf numFmtId="172" fontId="28" fillId="0" borderId="11" xfId="0" applyNumberFormat="1" applyFont="1" applyBorder="1" applyAlignment="1">
      <alignment horizontal="center" vertical="center"/>
    </xf>
    <xf numFmtId="0" fontId="28" fillId="31" borderId="0" xfId="0" applyFont="1" applyFill="1" applyBorder="1" applyAlignment="1">
      <alignment horizontal="center" vertical="center"/>
    </xf>
    <xf numFmtId="0" fontId="28" fillId="31" borderId="12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36" borderId="12" xfId="0" applyFont="1" applyFill="1" applyBorder="1" applyAlignment="1">
      <alignment horizontal="center" vertical="center"/>
    </xf>
    <xf numFmtId="0" fontId="28" fillId="37" borderId="12" xfId="0" applyFont="1" applyFill="1" applyBorder="1" applyAlignment="1">
      <alignment horizontal="center" vertical="center"/>
    </xf>
    <xf numFmtId="2" fontId="30" fillId="38" borderId="12" xfId="0" applyNumberFormat="1" applyFont="1" applyFill="1" applyBorder="1" applyAlignment="1">
      <alignment horizontal="center" vertical="center" wrapText="1"/>
    </xf>
    <xf numFmtId="0" fontId="28" fillId="39" borderId="12" xfId="0" applyFont="1" applyFill="1" applyBorder="1" applyAlignment="1">
      <alignment horizontal="center" vertical="center"/>
    </xf>
    <xf numFmtId="0" fontId="28" fillId="35" borderId="12" xfId="0" applyFont="1" applyFill="1" applyBorder="1" applyAlignment="1">
      <alignment horizontal="center" vertical="center" wrapText="1"/>
    </xf>
    <xf numFmtId="0" fontId="28" fillId="34" borderId="14" xfId="0" applyFont="1" applyFill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172" fontId="28" fillId="0" borderId="17" xfId="0" applyNumberFormat="1" applyFont="1" applyBorder="1" applyAlignment="1">
      <alignment horizontal="center" vertical="center"/>
    </xf>
    <xf numFmtId="172" fontId="28" fillId="0" borderId="18" xfId="0" applyNumberFormat="1" applyFont="1" applyBorder="1" applyAlignment="1">
      <alignment horizontal="center" vertical="center"/>
    </xf>
    <xf numFmtId="0" fontId="0" fillId="0" borderId="19" xfId="0" applyFont="1" applyFill="1" applyBorder="1" applyAlignment="1"/>
    <xf numFmtId="173" fontId="24" fillId="0" borderId="0" xfId="0" applyNumberFormat="1" applyFont="1" applyBorder="1" applyAlignment="1"/>
    <xf numFmtId="0" fontId="0" fillId="5" borderId="0" xfId="0" applyFont="1" applyFill="1" applyBorder="1" applyAlignment="1">
      <alignment horizontal="right"/>
    </xf>
    <xf numFmtId="0" fontId="28" fillId="23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72" fontId="28" fillId="5" borderId="0" xfId="0" applyNumberFormat="1" applyFont="1" applyFill="1" applyBorder="1" applyAlignment="1">
      <alignment horizontal="center" vertical="center"/>
    </xf>
    <xf numFmtId="2" fontId="28" fillId="0" borderId="0" xfId="0" applyNumberFormat="1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1" xfId="0" applyFont="1" applyFill="1" applyBorder="1"/>
    <xf numFmtId="0" fontId="23" fillId="0" borderId="26" xfId="0" applyFont="1" applyFill="1" applyBorder="1" applyAlignment="1">
      <alignment horizontal="center" vertical="center" wrapText="1"/>
    </xf>
    <xf numFmtId="0" fontId="23" fillId="0" borderId="34" xfId="0" applyFont="1" applyFill="1" applyBorder="1" applyAlignment="1">
      <alignment horizontal="center" vertical="center" wrapText="1"/>
    </xf>
    <xf numFmtId="0" fontId="23" fillId="0" borderId="3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3" fillId="0" borderId="1" xfId="0" applyFont="1" applyFill="1" applyBorder="1" applyAlignment="1">
      <alignment horizontal="center"/>
    </xf>
    <xf numFmtId="0" fontId="22" fillId="0" borderId="20" xfId="0" applyFont="1" applyFill="1" applyBorder="1" applyAlignment="1"/>
    <xf numFmtId="0" fontId="0" fillId="2" borderId="20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/>
    </xf>
    <xf numFmtId="2" fontId="0" fillId="2" borderId="20" xfId="0" applyNumberFormat="1" applyFont="1" applyFill="1" applyBorder="1" applyAlignment="1">
      <alignment horizontal="center" vertical="center"/>
    </xf>
    <xf numFmtId="2" fontId="0" fillId="2" borderId="21" xfId="0" applyNumberFormat="1" applyFont="1" applyFill="1" applyBorder="1" applyAlignment="1">
      <alignment horizontal="center" vertical="center"/>
    </xf>
    <xf numFmtId="2" fontId="0" fillId="0" borderId="20" xfId="0" applyNumberFormat="1" applyFont="1" applyFill="1" applyBorder="1" applyAlignment="1"/>
    <xf numFmtId="2" fontId="1" fillId="0" borderId="20" xfId="0" applyNumberFormat="1" applyFont="1" applyFill="1" applyBorder="1"/>
    <xf numFmtId="2" fontId="0" fillId="0" borderId="37" xfId="0" applyNumberFormat="1" applyFont="1" applyFill="1" applyBorder="1" applyAlignment="1"/>
    <xf numFmtId="2" fontId="0" fillId="0" borderId="37" xfId="0" applyNumberFormat="1" applyFont="1" applyFill="1" applyBorder="1" applyAlignment="1">
      <alignment horizontal="right"/>
    </xf>
    <xf numFmtId="2" fontId="0" fillId="0" borderId="0" xfId="0" applyNumberFormat="1" applyFont="1" applyFill="1" applyBorder="1" applyAlignment="1"/>
    <xf numFmtId="2" fontId="1" fillId="0" borderId="0" xfId="0" applyNumberFormat="1" applyFont="1" applyFill="1" applyBorder="1"/>
    <xf numFmtId="2" fontId="0" fillId="0" borderId="36" xfId="0" applyNumberFormat="1" applyFont="1" applyFill="1" applyBorder="1" applyAlignment="1"/>
    <xf numFmtId="0" fontId="1" fillId="0" borderId="20" xfId="0" applyFont="1" applyFill="1" applyBorder="1" applyAlignment="1"/>
    <xf numFmtId="0" fontId="10" fillId="0" borderId="36" xfId="0" applyFont="1" applyBorder="1" applyAlignment="1">
      <alignment horizontal="center" vertical="center"/>
    </xf>
    <xf numFmtId="0" fontId="1" fillId="0" borderId="36" xfId="0" applyFont="1" applyBorder="1"/>
    <xf numFmtId="0" fontId="0" fillId="0" borderId="36" xfId="0" applyFont="1" applyBorder="1" applyAlignment="1"/>
    <xf numFmtId="0" fontId="0" fillId="0" borderId="0" xfId="0" applyFont="1" applyAlignment="1"/>
    <xf numFmtId="0" fontId="1" fillId="0" borderId="23" xfId="0" applyFont="1" applyBorder="1"/>
    <xf numFmtId="2" fontId="0" fillId="0" borderId="36" xfId="0" applyNumberFormat="1" applyFont="1" applyBorder="1" applyAlignment="1"/>
    <xf numFmtId="0" fontId="31" fillId="0" borderId="19" xfId="0" applyFont="1" applyFill="1" applyBorder="1" applyAlignment="1">
      <alignment horizontal="center" vertical="center" textRotation="180"/>
    </xf>
    <xf numFmtId="0" fontId="31" fillId="0" borderId="2" xfId="0" applyFont="1" applyFill="1" applyBorder="1" applyAlignment="1">
      <alignment horizontal="center" vertical="center" textRotation="180"/>
    </xf>
    <xf numFmtId="0" fontId="31" fillId="0" borderId="12" xfId="0" applyFont="1" applyFill="1" applyBorder="1" applyAlignment="1">
      <alignment horizontal="center" vertical="center" textRotation="180"/>
    </xf>
    <xf numFmtId="0" fontId="4" fillId="0" borderId="19" xfId="0" applyFont="1" applyFill="1" applyBorder="1" applyAlignment="1">
      <alignment horizontal="center" vertical="center" textRotation="180"/>
    </xf>
    <xf numFmtId="0" fontId="4" fillId="0" borderId="2" xfId="0" applyFont="1" applyFill="1" applyBorder="1" applyAlignment="1">
      <alignment horizontal="center" vertical="center" textRotation="180"/>
    </xf>
    <xf numFmtId="0" fontId="4" fillId="0" borderId="12" xfId="0" applyFont="1" applyFill="1" applyBorder="1" applyAlignment="1">
      <alignment horizontal="center" vertical="center" textRotation="180"/>
    </xf>
    <xf numFmtId="0" fontId="31" fillId="0" borderId="19" xfId="0" applyFont="1" applyFill="1" applyBorder="1" applyAlignment="1">
      <alignment horizontal="center" vertical="center" textRotation="180" wrapText="1"/>
    </xf>
    <xf numFmtId="0" fontId="31" fillId="0" borderId="2" xfId="0" applyFont="1" applyFill="1" applyBorder="1" applyAlignment="1">
      <alignment horizontal="center" vertical="center" textRotation="180" wrapText="1"/>
    </xf>
    <xf numFmtId="0" fontId="31" fillId="0" borderId="12" xfId="0" applyFont="1" applyFill="1" applyBorder="1" applyAlignment="1">
      <alignment horizontal="center" vertical="center" textRotation="180" wrapText="1"/>
    </xf>
    <xf numFmtId="0" fontId="22" fillId="0" borderId="1" xfId="0" applyFont="1" applyBorder="1" applyAlignment="1">
      <alignment horizontal="center"/>
    </xf>
  </cellXfs>
  <cellStyles count="1">
    <cellStyle name="Normal" xfId="0" builtinId="0"/>
  </cellStyles>
  <dxfs count="3">
    <dxf>
      <alignment wrapText="1" readingOrder="0"/>
    </dxf>
    <dxf>
      <numFmt numFmtId="172" formatCode="0.00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Abatia parviflora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'Graficos altura'!$A$6</c:f>
              <c:strCache>
                <c:ptCount val="1"/>
                <c:pt idx="0">
                  <c:v>50771</c:v>
                </c:pt>
              </c:strCache>
            </c:strRef>
          </c:tx>
          <c:cat>
            <c:strRef>
              <c:f>'Graficos altura'!$B$4:$E$4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altura'!$B$6:$E$6</c:f>
              <c:numCache>
                <c:formatCode>General</c:formatCode>
                <c:ptCount val="4"/>
                <c:pt idx="0">
                  <c:v>53</c:v>
                </c:pt>
                <c:pt idx="1">
                  <c:v>70</c:v>
                </c:pt>
                <c:pt idx="2">
                  <c:v>80</c:v>
                </c:pt>
                <c:pt idx="3">
                  <c:v>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43296"/>
        <c:axId val="82548992"/>
      </c:lineChart>
      <c:catAx>
        <c:axId val="7954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2548992"/>
        <c:crosses val="autoZero"/>
        <c:auto val="1"/>
        <c:lblAlgn val="ctr"/>
        <c:lblOffset val="100"/>
        <c:noMultiLvlLbl val="0"/>
      </c:catAx>
      <c:valAx>
        <c:axId val="82548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cm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954329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740859125282601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diametros'!$G$22</c:f>
              <c:strCache>
                <c:ptCount val="1"/>
                <c:pt idx="0">
                  <c:v>50815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pPr>
              <a:solidFill>
                <a:schemeClr val="accent2"/>
              </a:solidFill>
              <a:ln w="6350" cap="flat" cmpd="sng" algn="ctr">
                <a:solidFill>
                  <a:schemeClr val="accent2"/>
                </a:solidFill>
                <a:prstDash val="solid"/>
                <a:round/>
              </a:ln>
              <a:effectLst/>
            </c:spPr>
          </c:marker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diametros'!$H$22:$K$22</c:f>
              <c:numCache>
                <c:formatCode>0.00</c:formatCode>
                <c:ptCount val="4"/>
                <c:pt idx="0">
                  <c:v>1.3643333333333334</c:v>
                </c:pt>
                <c:pt idx="1">
                  <c:v>1.6830000000000001</c:v>
                </c:pt>
                <c:pt idx="2">
                  <c:v>1.6833333333333333</c:v>
                </c:pt>
                <c:pt idx="3">
                  <c:v>1.89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37440"/>
        <c:axId val="107452288"/>
      </c:lineChart>
      <c:catAx>
        <c:axId val="10743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Meses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452288"/>
        <c:crosses val="autoZero"/>
        <c:auto val="1"/>
        <c:lblAlgn val="ctr"/>
        <c:lblOffset val="100"/>
        <c:noMultiLvlLbl val="0"/>
      </c:catAx>
      <c:valAx>
        <c:axId val="1074522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43744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mensual de crecimiento-Diametro (Arbustos)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Crecimiento!$J$4</c:f>
              <c:strCache>
                <c:ptCount val="1"/>
                <c:pt idx="0">
                  <c:v>Tasa mensual de crecimiento en diámetro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Crecimiento!$G$67:$G$87</c:f>
              <c:strCache>
                <c:ptCount val="21"/>
                <c:pt idx="0">
                  <c:v>Ageratina aristei</c:v>
                </c:pt>
                <c:pt idx="1">
                  <c:v>Ageratina ampla</c:v>
                </c:pt>
                <c:pt idx="2">
                  <c:v>Tibouchina mollis</c:v>
                </c:pt>
                <c:pt idx="3">
                  <c:v>Baccharis salicina</c:v>
                </c:pt>
                <c:pt idx="4">
                  <c:v>Barnadesia spinosa</c:v>
                </c:pt>
                <c:pt idx="5">
                  <c:v>Baccharis bogotensis</c:v>
                </c:pt>
                <c:pt idx="6">
                  <c:v>Ageratina asclepiadea</c:v>
                </c:pt>
                <c:pt idx="7">
                  <c:v>Lupinus bogotensis</c:v>
                </c:pt>
                <c:pt idx="8">
                  <c:v>Citharexylum sulcatum</c:v>
                </c:pt>
                <c:pt idx="9">
                  <c:v>Morella parvifolia</c:v>
                </c:pt>
                <c:pt idx="10">
                  <c:v>Lycianthes lycioides</c:v>
                </c:pt>
                <c:pt idx="11">
                  <c:v>Cestrum mutisii</c:v>
                </c:pt>
                <c:pt idx="12">
                  <c:v>Cestrum buxifolium</c:v>
                </c:pt>
                <c:pt idx="13">
                  <c:v>Solanum oblongifolium</c:v>
                </c:pt>
                <c:pt idx="14">
                  <c:v>Holodiscus Argenteus</c:v>
                </c:pt>
                <c:pt idx="15">
                  <c:v>Piper bogotense</c:v>
                </c:pt>
                <c:pt idx="16">
                  <c:v>Piper aff. umbellatum</c:v>
                </c:pt>
                <c:pt idx="17">
                  <c:v>Myrsine dependens</c:v>
                </c:pt>
                <c:pt idx="18">
                  <c:v>Myrsine guianensis</c:v>
                </c:pt>
                <c:pt idx="19">
                  <c:v>Capsicum pubescens</c:v>
                </c:pt>
                <c:pt idx="20">
                  <c:v>Physalis peruviana</c:v>
                </c:pt>
              </c:strCache>
            </c:strRef>
          </c:cat>
          <c:val>
            <c:numRef>
              <c:f>Crecimiento!$J$67:$J$87</c:f>
              <c:numCache>
                <c:formatCode>0,000</c:formatCode>
                <c:ptCount val="21"/>
                <c:pt idx="0">
                  <c:v>0.11154166666666666</c:v>
                </c:pt>
                <c:pt idx="1">
                  <c:v>0.12848333333333337</c:v>
                </c:pt>
                <c:pt idx="2">
                  <c:v>0.128</c:v>
                </c:pt>
                <c:pt idx="3">
                  <c:v>0.19556666666666669</c:v>
                </c:pt>
                <c:pt idx="4">
                  <c:v>5.4999999999999993E-2</c:v>
                </c:pt>
                <c:pt idx="5">
                  <c:v>0.17522222222222217</c:v>
                </c:pt>
                <c:pt idx="6">
                  <c:v>0.15877083333333328</c:v>
                </c:pt>
                <c:pt idx="7">
                  <c:v>0.31225000000000008</c:v>
                </c:pt>
                <c:pt idx="8">
                  <c:v>3.9291975308641973E-2</c:v>
                </c:pt>
                <c:pt idx="9">
                  <c:v>0.10980000000000001</c:v>
                </c:pt>
                <c:pt idx="10">
                  <c:v>0.12064768518518519</c:v>
                </c:pt>
                <c:pt idx="11">
                  <c:v>0.11178511904761905</c:v>
                </c:pt>
                <c:pt idx="12">
                  <c:v>2.8555555555555567E-2</c:v>
                </c:pt>
                <c:pt idx="13">
                  <c:v>0.1449375</c:v>
                </c:pt>
                <c:pt idx="14">
                  <c:v>4.2333333333333334E-2</c:v>
                </c:pt>
                <c:pt idx="15">
                  <c:v>0.13083333333333327</c:v>
                </c:pt>
                <c:pt idx="16">
                  <c:v>0</c:v>
                </c:pt>
                <c:pt idx="17">
                  <c:v>0.11594351851851847</c:v>
                </c:pt>
                <c:pt idx="18">
                  <c:v>6.0833333333333295E-2</c:v>
                </c:pt>
                <c:pt idx="19">
                  <c:v>0.10716666666666666</c:v>
                </c:pt>
                <c:pt idx="20">
                  <c:v>0.25666666666666665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964480"/>
        <c:axId val="106966400"/>
      </c:barChart>
      <c:catAx>
        <c:axId val="106964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966400"/>
        <c:crossesAt val="0"/>
        <c:auto val="1"/>
        <c:lblAlgn val="ctr"/>
        <c:lblOffset val="100"/>
        <c:noMultiLvlLbl val="0"/>
      </c:catAx>
      <c:valAx>
        <c:axId val="10696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964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Crecimiento total-Altura (Arbustos)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Crecimiento!$I$4</c:f>
              <c:strCache>
                <c:ptCount val="1"/>
                <c:pt idx="0">
                  <c:v>Crecimiento total en altura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Crecimiento!$G$67:$G$87</c:f>
              <c:strCache>
                <c:ptCount val="21"/>
                <c:pt idx="0">
                  <c:v>Ageratina aristei</c:v>
                </c:pt>
                <c:pt idx="1">
                  <c:v>Ageratina ampla</c:v>
                </c:pt>
                <c:pt idx="2">
                  <c:v>Tibouchina mollis</c:v>
                </c:pt>
                <c:pt idx="3">
                  <c:v>Baccharis salicina</c:v>
                </c:pt>
                <c:pt idx="4">
                  <c:v>Barnadesia spinosa</c:v>
                </c:pt>
                <c:pt idx="5">
                  <c:v>Baccharis bogotensis</c:v>
                </c:pt>
                <c:pt idx="6">
                  <c:v>Ageratina asclepiadea</c:v>
                </c:pt>
                <c:pt idx="7">
                  <c:v>Lupinus bogotensis</c:v>
                </c:pt>
                <c:pt idx="8">
                  <c:v>Citharexylum sulcatum</c:v>
                </c:pt>
                <c:pt idx="9">
                  <c:v>Morella parvifolia</c:v>
                </c:pt>
                <c:pt idx="10">
                  <c:v>Lycianthes lycioides</c:v>
                </c:pt>
                <c:pt idx="11">
                  <c:v>Cestrum mutisii</c:v>
                </c:pt>
                <c:pt idx="12">
                  <c:v>Cestrum buxifolium</c:v>
                </c:pt>
                <c:pt idx="13">
                  <c:v>Solanum oblongifolium</c:v>
                </c:pt>
                <c:pt idx="14">
                  <c:v>Holodiscus Argenteus</c:v>
                </c:pt>
                <c:pt idx="15">
                  <c:v>Piper bogotense</c:v>
                </c:pt>
                <c:pt idx="16">
                  <c:v>Piper aff. umbellatum</c:v>
                </c:pt>
                <c:pt idx="17">
                  <c:v>Myrsine dependens</c:v>
                </c:pt>
                <c:pt idx="18">
                  <c:v>Myrsine guianensis</c:v>
                </c:pt>
                <c:pt idx="19">
                  <c:v>Capsicum pubescens</c:v>
                </c:pt>
                <c:pt idx="20">
                  <c:v>Physalis peruviana</c:v>
                </c:pt>
              </c:strCache>
            </c:strRef>
          </c:cat>
          <c:val>
            <c:numRef>
              <c:f>Crecimiento!$I$67:$I$87</c:f>
              <c:numCache>
                <c:formatCode>0,000</c:formatCode>
                <c:ptCount val="21"/>
                <c:pt idx="0">
                  <c:v>33.975000000000001</c:v>
                </c:pt>
                <c:pt idx="1">
                  <c:v>33.005000000000003</c:v>
                </c:pt>
                <c:pt idx="2">
                  <c:v>33</c:v>
                </c:pt>
                <c:pt idx="3">
                  <c:v>20.599999999999994</c:v>
                </c:pt>
                <c:pt idx="4">
                  <c:v>17.5</c:v>
                </c:pt>
                <c:pt idx="5">
                  <c:v>16.130000000000024</c:v>
                </c:pt>
                <c:pt idx="6">
                  <c:v>16.115000000000002</c:v>
                </c:pt>
                <c:pt idx="7">
                  <c:v>15</c:v>
                </c:pt>
                <c:pt idx="8">
                  <c:v>13.915555555555553</c:v>
                </c:pt>
                <c:pt idx="9">
                  <c:v>13.200000000000003</c:v>
                </c:pt>
                <c:pt idx="10">
                  <c:v>8.9849999999999977</c:v>
                </c:pt>
                <c:pt idx="11">
                  <c:v>7.2149999999999999</c:v>
                </c:pt>
                <c:pt idx="12">
                  <c:v>6.3149999999999995</c:v>
                </c:pt>
                <c:pt idx="13">
                  <c:v>5.9125000000000005</c:v>
                </c:pt>
                <c:pt idx="14">
                  <c:v>4.5</c:v>
                </c:pt>
                <c:pt idx="15">
                  <c:v>4.2</c:v>
                </c:pt>
                <c:pt idx="16">
                  <c:v>4</c:v>
                </c:pt>
                <c:pt idx="17">
                  <c:v>3.8700000000000023</c:v>
                </c:pt>
                <c:pt idx="18">
                  <c:v>2.6999999999999993</c:v>
                </c:pt>
                <c:pt idx="19">
                  <c:v>1.6099999999999994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020288"/>
        <c:axId val="107022208"/>
      </c:barChart>
      <c:catAx>
        <c:axId val="107020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022208"/>
        <c:crossesAt val="0"/>
        <c:auto val="1"/>
        <c:lblAlgn val="ctr"/>
        <c:lblOffset val="100"/>
        <c:noMultiLvlLbl val="0"/>
      </c:catAx>
      <c:valAx>
        <c:axId val="1070222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020288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Crecimiento total-Diametro (Arbustos)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Crecimiento!$K$4</c:f>
              <c:strCache>
                <c:ptCount val="1"/>
                <c:pt idx="0">
                  <c:v>Crecimiento total en diámetro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Crecimiento!$G$67:$G$87</c:f>
              <c:strCache>
                <c:ptCount val="21"/>
                <c:pt idx="0">
                  <c:v>Ageratina aristei</c:v>
                </c:pt>
                <c:pt idx="1">
                  <c:v>Ageratina ampla</c:v>
                </c:pt>
                <c:pt idx="2">
                  <c:v>Tibouchina mollis</c:v>
                </c:pt>
                <c:pt idx="3">
                  <c:v>Baccharis salicina</c:v>
                </c:pt>
                <c:pt idx="4">
                  <c:v>Barnadesia spinosa</c:v>
                </c:pt>
                <c:pt idx="5">
                  <c:v>Baccharis bogotensis</c:v>
                </c:pt>
                <c:pt idx="6">
                  <c:v>Ageratina asclepiadea</c:v>
                </c:pt>
                <c:pt idx="7">
                  <c:v>Lupinus bogotensis</c:v>
                </c:pt>
                <c:pt idx="8">
                  <c:v>Citharexylum sulcatum</c:v>
                </c:pt>
                <c:pt idx="9">
                  <c:v>Morella parvifolia</c:v>
                </c:pt>
                <c:pt idx="10">
                  <c:v>Lycianthes lycioides</c:v>
                </c:pt>
                <c:pt idx="11">
                  <c:v>Cestrum mutisii</c:v>
                </c:pt>
                <c:pt idx="12">
                  <c:v>Cestrum buxifolium</c:v>
                </c:pt>
                <c:pt idx="13">
                  <c:v>Solanum oblongifolium</c:v>
                </c:pt>
                <c:pt idx="14">
                  <c:v>Holodiscus Argenteus</c:v>
                </c:pt>
                <c:pt idx="15">
                  <c:v>Piper bogotense</c:v>
                </c:pt>
                <c:pt idx="16">
                  <c:v>Piper aff. umbellatum</c:v>
                </c:pt>
                <c:pt idx="17">
                  <c:v>Myrsine dependens</c:v>
                </c:pt>
                <c:pt idx="18">
                  <c:v>Myrsine guianensis</c:v>
                </c:pt>
                <c:pt idx="19">
                  <c:v>Capsicum pubescens</c:v>
                </c:pt>
                <c:pt idx="20">
                  <c:v>Physalis peruviana</c:v>
                </c:pt>
              </c:strCache>
            </c:strRef>
          </c:cat>
          <c:val>
            <c:numRef>
              <c:f>Crecimiento!$K$67:$K$87</c:f>
              <c:numCache>
                <c:formatCode>0,000</c:formatCode>
                <c:ptCount val="21"/>
                <c:pt idx="0">
                  <c:v>0.33462500000000001</c:v>
                </c:pt>
                <c:pt idx="1">
                  <c:v>0.38545000000000007</c:v>
                </c:pt>
                <c:pt idx="2">
                  <c:v>0.38400000000000001</c:v>
                </c:pt>
                <c:pt idx="3">
                  <c:v>0.58670000000000011</c:v>
                </c:pt>
                <c:pt idx="4">
                  <c:v>0.16499999999999998</c:v>
                </c:pt>
                <c:pt idx="5">
                  <c:v>0.5256666666666665</c:v>
                </c:pt>
                <c:pt idx="6">
                  <c:v>0.47631249999999992</c:v>
                </c:pt>
                <c:pt idx="7">
                  <c:v>0.93675000000000019</c:v>
                </c:pt>
                <c:pt idx="8">
                  <c:v>0.11787592592592594</c:v>
                </c:pt>
                <c:pt idx="9">
                  <c:v>0.32940000000000003</c:v>
                </c:pt>
                <c:pt idx="10">
                  <c:v>0.36194305555555556</c:v>
                </c:pt>
                <c:pt idx="11">
                  <c:v>0.33535535714285714</c:v>
                </c:pt>
                <c:pt idx="12">
                  <c:v>8.5666666666666696E-2</c:v>
                </c:pt>
                <c:pt idx="13">
                  <c:v>0.43481249999999994</c:v>
                </c:pt>
                <c:pt idx="14">
                  <c:v>0.127</c:v>
                </c:pt>
                <c:pt idx="15">
                  <c:v>0.39249999999999985</c:v>
                </c:pt>
                <c:pt idx="16">
                  <c:v>0</c:v>
                </c:pt>
                <c:pt idx="17">
                  <c:v>0.34783055555555542</c:v>
                </c:pt>
                <c:pt idx="18">
                  <c:v>0.18249999999999988</c:v>
                </c:pt>
                <c:pt idx="19">
                  <c:v>0.32149999999999995</c:v>
                </c:pt>
                <c:pt idx="20">
                  <c:v>0.76999999999999991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043072"/>
        <c:axId val="107061632"/>
      </c:barChart>
      <c:catAx>
        <c:axId val="107043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061632"/>
        <c:crossesAt val="0"/>
        <c:auto val="1"/>
        <c:lblAlgn val="ctr"/>
        <c:lblOffset val="100"/>
        <c:noMultiLvlLbl val="0"/>
      </c:catAx>
      <c:valAx>
        <c:axId val="10706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0430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Tasa mensual de crecimiento-Altura (Hierbas terrestres)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Crecimiento!$I$93</c:f>
              <c:strCache>
                <c:ptCount val="1"/>
                <c:pt idx="0">
                  <c:v>Crecimiento total en altura (cm)</c:v>
                </c:pt>
              </c:strCache>
            </c:strRef>
          </c:tx>
          <c:invertIfNegative val="0"/>
          <c:cat>
            <c:strRef>
              <c:f>Crecimiento!$G$88:$G$90</c:f>
              <c:strCache>
                <c:ptCount val="3"/>
                <c:pt idx="0">
                  <c:v>Bomarea aff. multiflora </c:v>
                </c:pt>
                <c:pt idx="1">
                  <c:v>Phytolacca bogotensis</c:v>
                </c:pt>
                <c:pt idx="2">
                  <c:v>Gaultheria myrsinoides</c:v>
                </c:pt>
              </c:strCache>
            </c:strRef>
          </c:cat>
          <c:val>
            <c:numRef>
              <c:f>Crecimiento!$I$88:$I$90</c:f>
              <c:numCache>
                <c:formatCode>0,000</c:formatCode>
                <c:ptCount val="3"/>
                <c:pt idx="0">
                  <c:v>20.629999999999995</c:v>
                </c:pt>
                <c:pt idx="1">
                  <c:v>6.1000000000000014</c:v>
                </c:pt>
                <c:pt idx="2">
                  <c:v>1.9000000000000004</c:v>
                </c:pt>
              </c:numCache>
            </c:numRef>
          </c:val>
        </c:ser>
        <c:ser>
          <c:idx val="0"/>
          <c:order val="1"/>
          <c:tx>
            <c:strRef>
              <c:f>Crecimiento!$H$93</c:f>
              <c:strCache>
                <c:ptCount val="1"/>
                <c:pt idx="0">
                  <c:v>Tasa mensual de crecimiento en altura (cm/mes)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Crecimiento!$G$88:$G$90</c:f>
              <c:strCache>
                <c:ptCount val="3"/>
                <c:pt idx="0">
                  <c:v>Bomarea aff. multiflora </c:v>
                </c:pt>
                <c:pt idx="1">
                  <c:v>Phytolacca bogotensis</c:v>
                </c:pt>
                <c:pt idx="2">
                  <c:v>Gaultheria myrsinoides</c:v>
                </c:pt>
              </c:strCache>
            </c:strRef>
          </c:cat>
          <c:val>
            <c:numRef>
              <c:f>Crecimiento!$H$88:$H$90</c:f>
              <c:numCache>
                <c:formatCode>0,000</c:formatCode>
                <c:ptCount val="3"/>
                <c:pt idx="0">
                  <c:v>6.8766666666666652</c:v>
                </c:pt>
                <c:pt idx="1">
                  <c:v>2.0333333333333337</c:v>
                </c:pt>
                <c:pt idx="2">
                  <c:v>0.63333333333333341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095552"/>
        <c:axId val="107097472"/>
      </c:barChart>
      <c:catAx>
        <c:axId val="107095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097472"/>
        <c:crossesAt val="0"/>
        <c:auto val="1"/>
        <c:lblAlgn val="ctr"/>
        <c:lblOffset val="100"/>
        <c:noMultiLvlLbl val="0"/>
      </c:catAx>
      <c:valAx>
        <c:axId val="107097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095552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mensual de crecimiento-Diametro (Hierbas</a:t>
            </a:r>
            <a:r>
              <a:rPr lang="es-CO" baseline="0"/>
              <a:t> terrestres</a:t>
            </a:r>
            <a:r>
              <a:rPr lang="es-CO"/>
              <a:t>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Crecimiento!$K$93</c:f>
              <c:strCache>
                <c:ptCount val="1"/>
                <c:pt idx="0">
                  <c:v>Crecimiento total en diámetro (cm)</c:v>
                </c:pt>
              </c:strCache>
            </c:strRef>
          </c:tx>
          <c:invertIfNegative val="0"/>
          <c:cat>
            <c:strRef>
              <c:f>Crecimiento!$G$88:$G$90</c:f>
              <c:strCache>
                <c:ptCount val="3"/>
                <c:pt idx="0">
                  <c:v>Bomarea aff. multiflora </c:v>
                </c:pt>
                <c:pt idx="1">
                  <c:v>Phytolacca bogotensis</c:v>
                </c:pt>
                <c:pt idx="2">
                  <c:v>Gaultheria myrsinoides</c:v>
                </c:pt>
              </c:strCache>
            </c:strRef>
          </c:cat>
          <c:val>
            <c:numRef>
              <c:f>Crecimiento!$K$88:$K$90</c:f>
              <c:numCache>
                <c:formatCode>0,000</c:formatCode>
                <c:ptCount val="3"/>
                <c:pt idx="0">
                  <c:v>0.16925000000000012</c:v>
                </c:pt>
                <c:pt idx="1">
                  <c:v>5.337499999999995E-2</c:v>
                </c:pt>
                <c:pt idx="2">
                  <c:v>6.4000000000000029E-2</c:v>
                </c:pt>
              </c:numCache>
            </c:numRef>
          </c:val>
        </c:ser>
        <c:ser>
          <c:idx val="0"/>
          <c:order val="1"/>
          <c:tx>
            <c:strRef>
              <c:f>Crecimiento!$J$93</c:f>
              <c:strCache>
                <c:ptCount val="1"/>
                <c:pt idx="0">
                  <c:v>Tasa mensual de crecimiento en diámetro (cm/mes)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Crecimiento!$G$88:$G$90</c:f>
              <c:strCache>
                <c:ptCount val="3"/>
                <c:pt idx="0">
                  <c:v>Bomarea aff. multiflora </c:v>
                </c:pt>
                <c:pt idx="1">
                  <c:v>Phytolacca bogotensis</c:v>
                </c:pt>
                <c:pt idx="2">
                  <c:v>Gaultheria myrsinoides</c:v>
                </c:pt>
              </c:strCache>
            </c:strRef>
          </c:cat>
          <c:val>
            <c:numRef>
              <c:f>Crecimiento!$J$88:$J$90</c:f>
              <c:numCache>
                <c:formatCode>0,000</c:formatCode>
                <c:ptCount val="3"/>
                <c:pt idx="0">
                  <c:v>5.6416666666666705E-2</c:v>
                </c:pt>
                <c:pt idx="1">
                  <c:v>1.779166666666665E-2</c:v>
                </c:pt>
                <c:pt idx="2">
                  <c:v>2.1333333333333343E-2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143936"/>
        <c:axId val="107145856"/>
      </c:barChart>
      <c:catAx>
        <c:axId val="1071439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145856"/>
        <c:crossesAt val="0"/>
        <c:auto val="1"/>
        <c:lblAlgn val="ctr"/>
        <c:lblOffset val="100"/>
        <c:noMultiLvlLbl val="0"/>
      </c:catAx>
      <c:valAx>
        <c:axId val="10714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143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Crecimiento total-Altura (Hierbas terrestres)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Crecimiento!$I$4</c:f>
              <c:strCache>
                <c:ptCount val="1"/>
                <c:pt idx="0">
                  <c:v>Crecimiento total en altura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Crecimiento!$G$88:$G$90</c:f>
              <c:strCache>
                <c:ptCount val="3"/>
                <c:pt idx="0">
                  <c:v>Bomarea aff. multiflora </c:v>
                </c:pt>
                <c:pt idx="1">
                  <c:v>Phytolacca bogotensis</c:v>
                </c:pt>
                <c:pt idx="2">
                  <c:v>Gaultheria myrsinoides</c:v>
                </c:pt>
              </c:strCache>
            </c:strRef>
          </c:cat>
          <c:val>
            <c:numRef>
              <c:f>Crecimiento!$I$88:$I$90</c:f>
              <c:numCache>
                <c:formatCode>0,000</c:formatCode>
                <c:ptCount val="3"/>
                <c:pt idx="0">
                  <c:v>20.629999999999995</c:v>
                </c:pt>
                <c:pt idx="1">
                  <c:v>6.1000000000000014</c:v>
                </c:pt>
                <c:pt idx="2">
                  <c:v>1.9000000000000004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240448"/>
        <c:axId val="107254912"/>
      </c:barChart>
      <c:catAx>
        <c:axId val="107240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254912"/>
        <c:crossesAt val="0"/>
        <c:auto val="1"/>
        <c:lblAlgn val="ctr"/>
        <c:lblOffset val="100"/>
        <c:noMultiLvlLbl val="0"/>
      </c:catAx>
      <c:valAx>
        <c:axId val="1072549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240448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Crecimiento total-Diametro (Hierbas terrestres)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Crecimiento!$K$4</c:f>
              <c:strCache>
                <c:ptCount val="1"/>
                <c:pt idx="0">
                  <c:v>Crecimiento total en diámetro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Crecimiento!$G$88:$G$90</c:f>
              <c:strCache>
                <c:ptCount val="3"/>
                <c:pt idx="0">
                  <c:v>Bomarea aff. multiflora </c:v>
                </c:pt>
                <c:pt idx="1">
                  <c:v>Phytolacca bogotensis</c:v>
                </c:pt>
                <c:pt idx="2">
                  <c:v>Gaultheria myrsinoides</c:v>
                </c:pt>
              </c:strCache>
            </c:strRef>
          </c:cat>
          <c:val>
            <c:numRef>
              <c:f>Crecimiento!$K$88:$K$90</c:f>
              <c:numCache>
                <c:formatCode>0,000</c:formatCode>
                <c:ptCount val="3"/>
                <c:pt idx="0">
                  <c:v>0.16925000000000012</c:v>
                </c:pt>
                <c:pt idx="1">
                  <c:v>5.337499999999995E-2</c:v>
                </c:pt>
                <c:pt idx="2">
                  <c:v>6.4000000000000029E-2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288064"/>
        <c:axId val="107289984"/>
      </c:barChart>
      <c:catAx>
        <c:axId val="107288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289984"/>
        <c:crossesAt val="0"/>
        <c:auto val="1"/>
        <c:lblAlgn val="ctr"/>
        <c:lblOffset val="100"/>
        <c:noMultiLvlLbl val="0"/>
      </c:catAx>
      <c:valAx>
        <c:axId val="10728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288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Tasa mensual de crecimiento-Altura (Palmas)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Crecimiento!$I$93</c:f>
              <c:strCache>
                <c:ptCount val="1"/>
                <c:pt idx="0">
                  <c:v>Crecimiento total en altura (cm)</c:v>
                </c:pt>
              </c:strCache>
            </c:strRef>
          </c:tx>
          <c:invertIfNegative val="0"/>
          <c:cat>
            <c:strRef>
              <c:f>Crecimiento!$G$91:$G$92</c:f>
              <c:strCache>
                <c:ptCount val="2"/>
                <c:pt idx="0">
                  <c:v>Ceroxylon quindiuense</c:v>
                </c:pt>
                <c:pt idx="1">
                  <c:v>Geonoma aff. Orbygniana</c:v>
                </c:pt>
              </c:strCache>
            </c:strRef>
          </c:cat>
          <c:val>
            <c:numRef>
              <c:f>Crecimiento!$I$91:$I$92</c:f>
              <c:numCache>
                <c:formatCode>0,000</c:formatCode>
                <c:ptCount val="2"/>
                <c:pt idx="0">
                  <c:v>32.450000000000003</c:v>
                </c:pt>
                <c:pt idx="1">
                  <c:v>11.329999999999998</c:v>
                </c:pt>
              </c:numCache>
            </c:numRef>
          </c:val>
        </c:ser>
        <c:ser>
          <c:idx val="0"/>
          <c:order val="1"/>
          <c:tx>
            <c:strRef>
              <c:f>Crecimiento!$H$93</c:f>
              <c:strCache>
                <c:ptCount val="1"/>
                <c:pt idx="0">
                  <c:v>Tasa mensual de crecimiento en altura (cm/mes)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Crecimiento!$G$91:$G$92</c:f>
              <c:strCache>
                <c:ptCount val="2"/>
                <c:pt idx="0">
                  <c:v>Ceroxylon quindiuense</c:v>
                </c:pt>
                <c:pt idx="1">
                  <c:v>Geonoma aff. Orbygniana</c:v>
                </c:pt>
              </c:strCache>
            </c:strRef>
          </c:cat>
          <c:val>
            <c:numRef>
              <c:f>Crecimiento!$H$91:$H$92</c:f>
              <c:numCache>
                <c:formatCode>0,000</c:formatCode>
                <c:ptCount val="2"/>
                <c:pt idx="0">
                  <c:v>10.816666666666668</c:v>
                </c:pt>
                <c:pt idx="1">
                  <c:v>3.776666666666666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332352"/>
        <c:axId val="107334272"/>
      </c:barChart>
      <c:catAx>
        <c:axId val="107332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334272"/>
        <c:crossesAt val="0"/>
        <c:auto val="1"/>
        <c:lblAlgn val="ctr"/>
        <c:lblOffset val="100"/>
        <c:noMultiLvlLbl val="0"/>
      </c:catAx>
      <c:valAx>
        <c:axId val="107334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332352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Crecimiento total-Altura (Palmas)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Crecimiento!$I$4</c:f>
              <c:strCache>
                <c:ptCount val="1"/>
                <c:pt idx="0">
                  <c:v>Crecimiento total en altura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Crecimiento!$G$91:$G$92</c:f>
              <c:strCache>
                <c:ptCount val="2"/>
                <c:pt idx="0">
                  <c:v>Ceroxylon quindiuense</c:v>
                </c:pt>
                <c:pt idx="1">
                  <c:v>Geonoma aff. Orbygniana</c:v>
                </c:pt>
              </c:strCache>
            </c:strRef>
          </c:cat>
          <c:val>
            <c:numRef>
              <c:f>Crecimiento!$I$91:$I$92</c:f>
              <c:numCache>
                <c:formatCode>0,000</c:formatCode>
                <c:ptCount val="2"/>
                <c:pt idx="0">
                  <c:v>32.450000000000003</c:v>
                </c:pt>
                <c:pt idx="1">
                  <c:v>11.329999999999998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7371520"/>
        <c:axId val="107385984"/>
      </c:barChart>
      <c:catAx>
        <c:axId val="10737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385984"/>
        <c:crossesAt val="0"/>
        <c:auto val="1"/>
        <c:lblAlgn val="ctr"/>
        <c:lblOffset val="100"/>
        <c:noMultiLvlLbl val="0"/>
      </c:catAx>
      <c:valAx>
        <c:axId val="1073859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7371520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diametros'!$G$24</c:f>
              <c:strCache>
                <c:ptCount val="1"/>
                <c:pt idx="0">
                  <c:v>50757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diametros'!$H$24:$K$24</c:f>
              <c:numCache>
                <c:formatCode>0.00</c:formatCode>
                <c:ptCount val="4"/>
                <c:pt idx="0">
                  <c:v>0.57300000000000006</c:v>
                </c:pt>
                <c:pt idx="1">
                  <c:v>0.66</c:v>
                </c:pt>
                <c:pt idx="2">
                  <c:v>0.66</c:v>
                </c:pt>
                <c:pt idx="3">
                  <c:v>0.73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diametros'!$G$25</c:f>
              <c:strCache>
                <c:ptCount val="1"/>
                <c:pt idx="0">
                  <c:v>50830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diametros'!$H$25:$K$25</c:f>
              <c:numCache>
                <c:formatCode>0.00</c:formatCode>
                <c:ptCount val="4"/>
                <c:pt idx="0">
                  <c:v>0.82169999999999987</c:v>
                </c:pt>
                <c:pt idx="1">
                  <c:v>0.96599999999999997</c:v>
                </c:pt>
                <c:pt idx="2">
                  <c:v>0.96599999999999997</c:v>
                </c:pt>
                <c:pt idx="3">
                  <c:v>0.98111111111111116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diametros'!$G$26</c:f>
              <c:strCache>
                <c:ptCount val="1"/>
                <c:pt idx="0">
                  <c:v>50857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diametros'!$H$26:$K$26</c:f>
              <c:numCache>
                <c:formatCode>0.00</c:formatCode>
                <c:ptCount val="4"/>
                <c:pt idx="0">
                  <c:v>1.2829999999999999</c:v>
                </c:pt>
                <c:pt idx="1">
                  <c:v>1.363</c:v>
                </c:pt>
                <c:pt idx="2">
                  <c:v>1.6475</c:v>
                </c:pt>
                <c:pt idx="3">
                  <c:v>1.7100000000000002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82112"/>
        <c:axId val="107492864"/>
      </c:lineChart>
      <c:catAx>
        <c:axId val="10748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492864"/>
        <c:crosses val="autoZero"/>
        <c:auto val="1"/>
        <c:lblAlgn val="ctr"/>
        <c:lblOffset val="100"/>
        <c:noMultiLvlLbl val="0"/>
      </c:catAx>
      <c:valAx>
        <c:axId val="107492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482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740859125282601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diametros'!$G$28</c:f>
              <c:strCache>
                <c:ptCount val="1"/>
                <c:pt idx="0">
                  <c:v>50853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diametros'!$H$28:$K$28</c:f>
              <c:numCache>
                <c:formatCode>0.00</c:formatCode>
                <c:ptCount val="4"/>
                <c:pt idx="0">
                  <c:v>0.6663</c:v>
                </c:pt>
                <c:pt idx="1">
                  <c:v>0.77</c:v>
                </c:pt>
                <c:pt idx="2">
                  <c:v>0.86099999999999999</c:v>
                </c:pt>
                <c:pt idx="3">
                  <c:v>1.2530000000000001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09248"/>
        <c:axId val="107528192"/>
      </c:lineChart>
      <c:catAx>
        <c:axId val="10750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528192"/>
        <c:crosses val="autoZero"/>
        <c:auto val="1"/>
        <c:lblAlgn val="ctr"/>
        <c:lblOffset val="100"/>
        <c:noMultiLvlLbl val="0"/>
      </c:catAx>
      <c:valAx>
        <c:axId val="107528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509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diametros'!$G$30</c:f>
              <c:strCache>
                <c:ptCount val="1"/>
                <c:pt idx="0">
                  <c:v>50594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diametros'!$H$30:$K$30</c:f>
              <c:numCache>
                <c:formatCode>0.00</c:formatCode>
                <c:ptCount val="4"/>
                <c:pt idx="0">
                  <c:v>1.512</c:v>
                </c:pt>
                <c:pt idx="1">
                  <c:v>1.512</c:v>
                </c:pt>
                <c:pt idx="2">
                  <c:v>1.512</c:v>
                </c:pt>
                <c:pt idx="3">
                  <c:v>1.512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diametros'!$G$31</c:f>
              <c:strCache>
                <c:ptCount val="1"/>
                <c:pt idx="0">
                  <c:v>50664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diametros'!$H$31:$K$31</c:f>
              <c:numCache>
                <c:formatCode>0.00</c:formatCode>
                <c:ptCount val="4"/>
                <c:pt idx="0">
                  <c:v>0.6166666666666667</c:v>
                </c:pt>
                <c:pt idx="1">
                  <c:v>0.754</c:v>
                </c:pt>
                <c:pt idx="2">
                  <c:v>0.89100000000000001</c:v>
                </c:pt>
                <c:pt idx="3">
                  <c:v>1.0281666666666667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diametros'!$G$32</c:f>
              <c:strCache>
                <c:ptCount val="1"/>
                <c:pt idx="0">
                  <c:v>50712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diametros'!$H$32:$K$32</c:f>
              <c:numCache>
                <c:formatCode>0.00</c:formatCode>
                <c:ptCount val="4"/>
                <c:pt idx="0">
                  <c:v>0.7347999999999999</c:v>
                </c:pt>
                <c:pt idx="1">
                  <c:v>1.04</c:v>
                </c:pt>
                <c:pt idx="2">
                  <c:v>1.0396000000000001</c:v>
                </c:pt>
                <c:pt idx="3">
                  <c:v>1.0958000000000001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53920"/>
        <c:axId val="107556224"/>
      </c:lineChart>
      <c:catAx>
        <c:axId val="10755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556224"/>
        <c:crosses val="autoZero"/>
        <c:auto val="1"/>
        <c:lblAlgn val="ctr"/>
        <c:lblOffset val="100"/>
        <c:noMultiLvlLbl val="0"/>
      </c:catAx>
      <c:valAx>
        <c:axId val="107556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5539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740859125282601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diametros'!$G$34</c:f>
              <c:strCache>
                <c:ptCount val="1"/>
                <c:pt idx="0">
                  <c:v>50840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diametros'!$H$34:$K$34</c:f>
              <c:numCache>
                <c:formatCode>0.00</c:formatCode>
                <c:ptCount val="4"/>
                <c:pt idx="0">
                  <c:v>0.28500000000000003</c:v>
                </c:pt>
                <c:pt idx="1">
                  <c:v>0.44</c:v>
                </c:pt>
                <c:pt idx="2">
                  <c:v>0.44</c:v>
                </c:pt>
                <c:pt idx="3">
                  <c:v>0.45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76320"/>
        <c:axId val="107582976"/>
      </c:lineChart>
      <c:catAx>
        <c:axId val="10757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582976"/>
        <c:crosses val="autoZero"/>
        <c:auto val="1"/>
        <c:lblAlgn val="ctr"/>
        <c:lblOffset val="100"/>
        <c:noMultiLvlLbl val="0"/>
      </c:catAx>
      <c:valAx>
        <c:axId val="107582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576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diametros'!$G$36</c:f>
              <c:strCache>
                <c:ptCount val="1"/>
                <c:pt idx="0">
                  <c:v>50876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diametros'!$H$36:$K$36</c:f>
              <c:numCache>
                <c:formatCode>0.00</c:formatCode>
                <c:ptCount val="4"/>
                <c:pt idx="0">
                  <c:v>0.48399999999999999</c:v>
                </c:pt>
                <c:pt idx="1">
                  <c:v>0.54300000000000004</c:v>
                </c:pt>
                <c:pt idx="2">
                  <c:v>0.62600000000000011</c:v>
                </c:pt>
                <c:pt idx="3">
                  <c:v>0.75777777777777777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07168"/>
        <c:axId val="107609472"/>
      </c:lineChart>
      <c:catAx>
        <c:axId val="10760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609472"/>
        <c:crosses val="autoZero"/>
        <c:auto val="1"/>
        <c:lblAlgn val="ctr"/>
        <c:lblOffset val="100"/>
        <c:noMultiLvlLbl val="0"/>
      </c:catAx>
      <c:valAx>
        <c:axId val="107609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6071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diametros'!$G$38</c:f>
              <c:strCache>
                <c:ptCount val="1"/>
                <c:pt idx="0">
                  <c:v>50748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diametros'!$H$38:$K$38</c:f>
              <c:numCache>
                <c:formatCode>0.00</c:formatCode>
                <c:ptCount val="4"/>
                <c:pt idx="0">
                  <c:v>0.41999999999999993</c:v>
                </c:pt>
                <c:pt idx="1">
                  <c:v>0.51</c:v>
                </c:pt>
                <c:pt idx="2">
                  <c:v>0.54300000000000004</c:v>
                </c:pt>
                <c:pt idx="3">
                  <c:v>0.58925000000000005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95104"/>
        <c:axId val="107705856"/>
      </c:lineChart>
      <c:catAx>
        <c:axId val="1076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705856"/>
        <c:crosses val="autoZero"/>
        <c:auto val="1"/>
        <c:lblAlgn val="ctr"/>
        <c:lblOffset val="100"/>
        <c:noMultiLvlLbl val="0"/>
      </c:catAx>
      <c:valAx>
        <c:axId val="107705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695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diametros'!$G$40</c:f>
              <c:strCache>
                <c:ptCount val="1"/>
                <c:pt idx="0">
                  <c:v>50542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diametros'!$H$40:$K$40</c:f>
              <c:numCache>
                <c:formatCode>0.00</c:formatCode>
                <c:ptCount val="4"/>
                <c:pt idx="0">
                  <c:v>1.4095714285714285</c:v>
                </c:pt>
                <c:pt idx="1">
                  <c:v>1.41</c:v>
                </c:pt>
                <c:pt idx="2">
                  <c:v>1.5447142857142857</c:v>
                </c:pt>
                <c:pt idx="3">
                  <c:v>1.6914285714285715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diametros'!$G$41</c:f>
              <c:strCache>
                <c:ptCount val="1"/>
                <c:pt idx="0">
                  <c:v>50262_01_12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diametros'!$H$41:$K$41</c:f>
              <c:numCache>
                <c:formatCode>0.00</c:formatCode>
                <c:ptCount val="4"/>
                <c:pt idx="0">
                  <c:v>1.6202999999999999</c:v>
                </c:pt>
                <c:pt idx="1">
                  <c:v>1.6379999999999999</c:v>
                </c:pt>
                <c:pt idx="2">
                  <c:v>1.6381000000000001</c:v>
                </c:pt>
                <c:pt idx="3">
                  <c:v>1.6477999999999997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diametros'!$G$42</c:f>
              <c:strCache>
                <c:ptCount val="1"/>
                <c:pt idx="0">
                  <c:v>50262_01_18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diametros'!$H$42:$K$42</c:f>
              <c:numCache>
                <c:formatCode>0.00</c:formatCode>
                <c:ptCount val="4"/>
                <c:pt idx="0">
                  <c:v>1.7667999999999999</c:v>
                </c:pt>
                <c:pt idx="1">
                  <c:v>1.7669999999999999</c:v>
                </c:pt>
                <c:pt idx="2">
                  <c:v>1.7672000000000001</c:v>
                </c:pt>
                <c:pt idx="3">
                  <c:v>1.7925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44256"/>
        <c:axId val="107755008"/>
      </c:lineChart>
      <c:catAx>
        <c:axId val="10774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755008"/>
        <c:crosses val="autoZero"/>
        <c:auto val="1"/>
        <c:lblAlgn val="ctr"/>
        <c:lblOffset val="100"/>
        <c:noMultiLvlLbl val="0"/>
      </c:catAx>
      <c:valAx>
        <c:axId val="107755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7442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diametros'!$G$44</c:f>
              <c:strCache>
                <c:ptCount val="1"/>
                <c:pt idx="0">
                  <c:v>50525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diametros'!$H$44:$K$44</c:f>
              <c:numCache>
                <c:formatCode>0.00</c:formatCode>
                <c:ptCount val="4"/>
                <c:pt idx="0">
                  <c:v>0.87250000000000005</c:v>
                </c:pt>
                <c:pt idx="1">
                  <c:v>1.0109999999999999</c:v>
                </c:pt>
                <c:pt idx="2">
                  <c:v>1.0249999999999999</c:v>
                </c:pt>
                <c:pt idx="3">
                  <c:v>1.2549999999999999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diametros'!$G$45</c:f>
              <c:strCache>
                <c:ptCount val="1"/>
                <c:pt idx="0">
                  <c:v>50601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diametros'!$H$45:$K$45</c:f>
              <c:numCache>
                <c:formatCode>0.00</c:formatCode>
                <c:ptCount val="4"/>
                <c:pt idx="0">
                  <c:v>0.91116666666666657</c:v>
                </c:pt>
                <c:pt idx="1">
                  <c:v>1.1259999999999999</c:v>
                </c:pt>
                <c:pt idx="2">
                  <c:v>1.1483333333333332</c:v>
                </c:pt>
                <c:pt idx="3">
                  <c:v>1.1716666666666666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79968"/>
        <c:axId val="107798912"/>
      </c:lineChart>
      <c:catAx>
        <c:axId val="10777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798912"/>
        <c:crosses val="autoZero"/>
        <c:auto val="1"/>
        <c:lblAlgn val="ctr"/>
        <c:lblOffset val="100"/>
        <c:noMultiLvlLbl val="0"/>
      </c:catAx>
      <c:valAx>
        <c:axId val="10779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7799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diametros'!$G$50</c:f>
              <c:strCache>
                <c:ptCount val="1"/>
                <c:pt idx="0">
                  <c:v>50767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diametros'!$H$50:$K$50</c:f>
              <c:numCache>
                <c:formatCode>0.00</c:formatCode>
                <c:ptCount val="4"/>
                <c:pt idx="0">
                  <c:v>0.97699999999999998</c:v>
                </c:pt>
                <c:pt idx="1">
                  <c:v>1.5029999999999999</c:v>
                </c:pt>
                <c:pt idx="2">
                  <c:v>1.5029999999999999</c:v>
                </c:pt>
                <c:pt idx="3">
                  <c:v>1.81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19008"/>
        <c:axId val="107821312"/>
      </c:lineChart>
      <c:catAx>
        <c:axId val="10781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821312"/>
        <c:crosses val="autoZero"/>
        <c:auto val="1"/>
        <c:lblAlgn val="ctr"/>
        <c:lblOffset val="100"/>
        <c:noMultiLvlLbl val="0"/>
      </c:catAx>
      <c:valAx>
        <c:axId val="107821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8190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Aegiphila bogotensis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'Graficos altura'!$A$8</c:f>
              <c:strCache>
                <c:ptCount val="1"/>
                <c:pt idx="0">
                  <c:v>50754</c:v>
                </c:pt>
              </c:strCache>
            </c:strRef>
          </c:tx>
          <c:cat>
            <c:strRef>
              <c:f>'Graficos altura'!$B$4:$E$4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altura'!$B$8:$E$8</c:f>
              <c:numCache>
                <c:formatCode>General</c:formatCode>
                <c:ptCount val="4"/>
                <c:pt idx="0">
                  <c:v>137.4</c:v>
                </c:pt>
                <c:pt idx="1">
                  <c:v>139.6</c:v>
                </c:pt>
                <c:pt idx="2">
                  <c:v>144.30000000000001</c:v>
                </c:pt>
                <c:pt idx="3">
                  <c:v>172.5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'Graficos altura'!$A$9</c:f>
              <c:strCache>
                <c:ptCount val="1"/>
                <c:pt idx="0">
                  <c:v>50820</c:v>
                </c:pt>
              </c:strCache>
            </c:strRef>
          </c:tx>
          <c:cat>
            <c:strRef>
              <c:f>'Graficos altura'!$B$4:$E$4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altura'!$B$9:$E$9</c:f>
              <c:numCache>
                <c:formatCode>General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74432"/>
        <c:axId val="82676736"/>
      </c:lineChart>
      <c:catAx>
        <c:axId val="8267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2676736"/>
        <c:crosses val="autoZero"/>
        <c:auto val="1"/>
        <c:lblAlgn val="ctr"/>
        <c:lblOffset val="100"/>
        <c:noMultiLvlLbl val="0"/>
      </c:catAx>
      <c:valAx>
        <c:axId val="82676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cm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267443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diametros'!$G$54</c:f>
              <c:strCache>
                <c:ptCount val="1"/>
                <c:pt idx="0">
                  <c:v>50535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diametros'!$H$54:$K$54</c:f>
              <c:numCache>
                <c:formatCode>0.00</c:formatCode>
                <c:ptCount val="4"/>
                <c:pt idx="0">
                  <c:v>0.185</c:v>
                </c:pt>
                <c:pt idx="1">
                  <c:v>0.22</c:v>
                </c:pt>
                <c:pt idx="2">
                  <c:v>0.23</c:v>
                </c:pt>
                <c:pt idx="3">
                  <c:v>0.23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diametros'!$G$55</c:f>
              <c:strCache>
                <c:ptCount val="1"/>
                <c:pt idx="0">
                  <c:v>50858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diametros'!$H$55:$K$55</c:f>
              <c:numCache>
                <c:formatCode>0.00</c:formatCode>
                <c:ptCount val="4"/>
                <c:pt idx="0">
                  <c:v>0.17033333333333331</c:v>
                </c:pt>
                <c:pt idx="1">
                  <c:v>0.192</c:v>
                </c:pt>
                <c:pt idx="2">
                  <c:v>0.20733333333333334</c:v>
                </c:pt>
                <c:pt idx="3">
                  <c:v>0.29666666666666669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54464"/>
        <c:axId val="107861120"/>
      </c:lineChart>
      <c:catAx>
        <c:axId val="10785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861120"/>
        <c:crosses val="autoZero"/>
        <c:auto val="1"/>
        <c:lblAlgn val="ctr"/>
        <c:lblOffset val="100"/>
        <c:noMultiLvlLbl val="0"/>
      </c:catAx>
      <c:valAx>
        <c:axId val="10786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8544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diametros'!$G$57</c:f>
              <c:strCache>
                <c:ptCount val="1"/>
                <c:pt idx="0">
                  <c:v>50146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diametros'!$H$57:$K$57</c:f>
              <c:numCache>
                <c:formatCode>0.00</c:formatCode>
                <c:ptCount val="4"/>
                <c:pt idx="0">
                  <c:v>1.3049999999999999</c:v>
                </c:pt>
                <c:pt idx="1">
                  <c:v>1.325</c:v>
                </c:pt>
                <c:pt idx="2">
                  <c:v>1.34</c:v>
                </c:pt>
                <c:pt idx="3">
                  <c:v>1.86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diametros'!$G$58</c:f>
              <c:strCache>
                <c:ptCount val="1"/>
                <c:pt idx="0">
                  <c:v>50688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diametros'!$H$58:$K$58</c:f>
              <c:numCache>
                <c:formatCode>0.00</c:formatCode>
                <c:ptCount val="4"/>
                <c:pt idx="0">
                  <c:v>1.1200000000000001</c:v>
                </c:pt>
                <c:pt idx="1">
                  <c:v>1.24</c:v>
                </c:pt>
                <c:pt idx="2">
                  <c:v>1.4066250000000002</c:v>
                </c:pt>
                <c:pt idx="3">
                  <c:v>1.4497499999999999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diametros'!$G$59</c:f>
              <c:strCache>
                <c:ptCount val="1"/>
                <c:pt idx="0">
                  <c:v>50758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diametros'!$H$59:$K$59</c:f>
              <c:numCache>
                <c:formatCode>0.00</c:formatCode>
                <c:ptCount val="4"/>
                <c:pt idx="0">
                  <c:v>1.1469</c:v>
                </c:pt>
                <c:pt idx="1">
                  <c:v>1.198</c:v>
                </c:pt>
                <c:pt idx="2">
                  <c:v>1.2425000000000002</c:v>
                </c:pt>
                <c:pt idx="3">
                  <c:v>1.2885714285714287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diametros'!$G$60</c:f>
              <c:strCache>
                <c:ptCount val="1"/>
                <c:pt idx="0">
                  <c:v>50812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diametros'!$H$60:$K$60</c:f>
              <c:numCache>
                <c:formatCode>0.00</c:formatCode>
                <c:ptCount val="4"/>
                <c:pt idx="0">
                  <c:v>0.64500000000000002</c:v>
                </c:pt>
                <c:pt idx="1">
                  <c:v>0.68700000000000006</c:v>
                </c:pt>
                <c:pt idx="2">
                  <c:v>0.72</c:v>
                </c:pt>
                <c:pt idx="3">
                  <c:v>0.96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53152"/>
        <c:axId val="107968000"/>
      </c:lineChart>
      <c:catAx>
        <c:axId val="1079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7968000"/>
        <c:crosses val="autoZero"/>
        <c:auto val="1"/>
        <c:lblAlgn val="ctr"/>
        <c:lblOffset val="100"/>
        <c:noMultiLvlLbl val="0"/>
      </c:catAx>
      <c:valAx>
        <c:axId val="107968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7953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diametros'!$G$62</c:f>
              <c:strCache>
                <c:ptCount val="1"/>
                <c:pt idx="0">
                  <c:v>50467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diametros'!$H$62:$K$62</c:f>
              <c:numCache>
                <c:formatCode>0.00</c:formatCode>
                <c:ptCount val="4"/>
                <c:pt idx="0">
                  <c:v>1.4354000000000002</c:v>
                </c:pt>
                <c:pt idx="1">
                  <c:v>1.446</c:v>
                </c:pt>
                <c:pt idx="2">
                  <c:v>1.4458000000000002</c:v>
                </c:pt>
                <c:pt idx="3">
                  <c:v>1.4611000000000003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diametros'!$G$63</c:f>
              <c:strCache>
                <c:ptCount val="1"/>
                <c:pt idx="0">
                  <c:v>50595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diametros'!$H$63:$K$63</c:f>
              <c:numCache>
                <c:formatCode>0.00</c:formatCode>
                <c:ptCount val="4"/>
                <c:pt idx="0">
                  <c:v>1.7389999999999999</c:v>
                </c:pt>
                <c:pt idx="1">
                  <c:v>1.77</c:v>
                </c:pt>
                <c:pt idx="2">
                  <c:v>1.7696666666666665</c:v>
                </c:pt>
                <c:pt idx="3">
                  <c:v>1.843333333333333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diametros'!$G$64</c:f>
              <c:strCache>
                <c:ptCount val="1"/>
                <c:pt idx="0">
                  <c:v>50626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diametros'!$H$64:$K$64</c:f>
              <c:numCache>
                <c:formatCode>0.00</c:formatCode>
                <c:ptCount val="4"/>
                <c:pt idx="0">
                  <c:v>1.1779999999999999</c:v>
                </c:pt>
                <c:pt idx="1">
                  <c:v>1.34</c:v>
                </c:pt>
                <c:pt idx="2">
                  <c:v>1.34</c:v>
                </c:pt>
                <c:pt idx="3">
                  <c:v>1.45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diametros'!$G$65</c:f>
              <c:strCache>
                <c:ptCount val="1"/>
                <c:pt idx="0">
                  <c:v>50636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diametros'!$H$65:$K$65</c:f>
              <c:numCache>
                <c:formatCode>0.00</c:formatCode>
                <c:ptCount val="4"/>
                <c:pt idx="0">
                  <c:v>1.34</c:v>
                </c:pt>
                <c:pt idx="1">
                  <c:v>1.369</c:v>
                </c:pt>
                <c:pt idx="2">
                  <c:v>1.369</c:v>
                </c:pt>
                <c:pt idx="3">
                  <c:v>1.38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diametros'!$G$66</c:f>
              <c:strCache>
                <c:ptCount val="1"/>
                <c:pt idx="0">
                  <c:v>50733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diametros'!$H$66:$K$66</c:f>
              <c:numCache>
                <c:formatCode>0.00</c:formatCode>
                <c:ptCount val="4"/>
                <c:pt idx="0">
                  <c:v>1.0820000000000001</c:v>
                </c:pt>
                <c:pt idx="1">
                  <c:v>1.1060000000000001</c:v>
                </c:pt>
                <c:pt idx="2">
                  <c:v>1.44</c:v>
                </c:pt>
                <c:pt idx="3">
                  <c:v>1.45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'Graficos diametros'!$G$67</c:f>
              <c:strCache>
                <c:ptCount val="1"/>
                <c:pt idx="0">
                  <c:v>50818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diametros'!$H$67:$K$67</c:f>
              <c:numCache>
                <c:formatCode>0.00</c:formatCode>
                <c:ptCount val="4"/>
                <c:pt idx="0">
                  <c:v>1.1459999999999999</c:v>
                </c:pt>
                <c:pt idx="1">
                  <c:v>1.1459999999999999</c:v>
                </c:pt>
                <c:pt idx="2">
                  <c:v>1.1459999999999999</c:v>
                </c:pt>
                <c:pt idx="3">
                  <c:v>1.1766666666666667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'Graficos diametros'!$G$68</c:f>
              <c:strCache>
                <c:ptCount val="1"/>
                <c:pt idx="0">
                  <c:v>50860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diametros'!$H$68:$K$68</c:f>
              <c:numCache>
                <c:formatCode>0.00</c:formatCode>
                <c:ptCount val="4"/>
                <c:pt idx="0">
                  <c:v>0.70377777777777772</c:v>
                </c:pt>
                <c:pt idx="1">
                  <c:v>0.72499999999999998</c:v>
                </c:pt>
                <c:pt idx="2">
                  <c:v>0.85899999999999999</c:v>
                </c:pt>
                <c:pt idx="3">
                  <c:v>1.12375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'Graficos diametros'!$G$69</c:f>
              <c:strCache>
                <c:ptCount val="1"/>
                <c:pt idx="0">
                  <c:v>50749_02_13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diametros'!$H$69:$K$69</c:f>
              <c:numCache>
                <c:formatCode>0.00</c:formatCode>
                <c:ptCount val="4"/>
                <c:pt idx="0">
                  <c:v>1.4363733614043555</c:v>
                </c:pt>
                <c:pt idx="1">
                  <c:v>1.512</c:v>
                </c:pt>
                <c:pt idx="2">
                  <c:v>1.5142500000000001</c:v>
                </c:pt>
                <c:pt idx="3">
                  <c:v>1.6071249999999999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'Graficos diametros'!$G$70</c:f>
              <c:strCache>
                <c:ptCount val="1"/>
                <c:pt idx="0">
                  <c:v>50749_03_17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diametros'!$H$70:$K$70</c:f>
              <c:numCache>
                <c:formatCode>0.00</c:formatCode>
                <c:ptCount val="4"/>
                <c:pt idx="0">
                  <c:v>1.4319999999999999</c:v>
                </c:pt>
                <c:pt idx="1">
                  <c:v>1.47</c:v>
                </c:pt>
                <c:pt idx="2">
                  <c:v>1.47</c:v>
                </c:pt>
                <c:pt idx="3">
                  <c:v>1.62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'Graficos diametros'!$G$71</c:f>
              <c:strCache>
                <c:ptCount val="1"/>
                <c:pt idx="0">
                  <c:v>50810_03_17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diametros'!$H$71:$K$71</c:f>
              <c:numCache>
                <c:formatCode>0.00</c:formatCode>
                <c:ptCount val="4"/>
                <c:pt idx="0">
                  <c:v>1.941875</c:v>
                </c:pt>
                <c:pt idx="1">
                  <c:v>1.96</c:v>
                </c:pt>
                <c:pt idx="2">
                  <c:v>1.9616250000000002</c:v>
                </c:pt>
                <c:pt idx="3">
                  <c:v>2.0157142857142856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'Graficos diametros'!$G$72</c:f>
              <c:strCache>
                <c:ptCount val="1"/>
                <c:pt idx="0">
                  <c:v>50810_04_03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diametros'!$H$72:$K$72</c:f>
              <c:numCache>
                <c:formatCode>0.00</c:formatCode>
                <c:ptCount val="4"/>
                <c:pt idx="0">
                  <c:v>1.5946</c:v>
                </c:pt>
                <c:pt idx="1">
                  <c:v>1.6639999999999999</c:v>
                </c:pt>
                <c:pt idx="2">
                  <c:v>1.7076999999999998</c:v>
                </c:pt>
                <c:pt idx="3">
                  <c:v>1.7932222222222221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37248"/>
        <c:axId val="108039552"/>
      </c:lineChart>
      <c:catAx>
        <c:axId val="10803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039552"/>
        <c:crosses val="autoZero"/>
        <c:auto val="1"/>
        <c:lblAlgn val="ctr"/>
        <c:lblOffset val="100"/>
        <c:noMultiLvlLbl val="0"/>
      </c:catAx>
      <c:valAx>
        <c:axId val="108039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037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diametros'!$G$77</c:f>
              <c:strCache>
                <c:ptCount val="1"/>
                <c:pt idx="0">
                  <c:v>50104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diametros'!$H$77:$K$77</c:f>
              <c:numCache>
                <c:formatCode>0.00</c:formatCode>
                <c:ptCount val="4"/>
                <c:pt idx="0">
                  <c:v>1.496</c:v>
                </c:pt>
                <c:pt idx="1">
                  <c:v>1.496</c:v>
                </c:pt>
                <c:pt idx="2">
                  <c:v>1.496</c:v>
                </c:pt>
                <c:pt idx="3">
                  <c:v>1.496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diametros'!$G$78</c:f>
              <c:strCache>
                <c:ptCount val="1"/>
                <c:pt idx="0">
                  <c:v>50184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diametros'!$H$78:$K$78</c:f>
              <c:numCache>
                <c:formatCode>0.00</c:formatCode>
                <c:ptCount val="4"/>
                <c:pt idx="0">
                  <c:v>0.98699999999999988</c:v>
                </c:pt>
                <c:pt idx="1">
                  <c:v>0.98699999999999999</c:v>
                </c:pt>
                <c:pt idx="2">
                  <c:v>0.98699999999999988</c:v>
                </c:pt>
                <c:pt idx="3">
                  <c:v>1.0774999999999999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diametros'!$G$79</c:f>
              <c:strCache>
                <c:ptCount val="1"/>
                <c:pt idx="0">
                  <c:v>50267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diametros'!$H$79:$K$79</c:f>
              <c:numCache>
                <c:formatCode>0.00</c:formatCode>
                <c:ptCount val="4"/>
                <c:pt idx="0">
                  <c:v>1.2444000000000002</c:v>
                </c:pt>
                <c:pt idx="1">
                  <c:v>1.272</c:v>
                </c:pt>
                <c:pt idx="2">
                  <c:v>1.2721</c:v>
                </c:pt>
                <c:pt idx="3">
                  <c:v>1.3479000000000001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diametros'!$G$80</c:f>
              <c:strCache>
                <c:ptCount val="1"/>
                <c:pt idx="0">
                  <c:v>50462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diametros'!$H$80:$K$80</c:f>
              <c:numCache>
                <c:formatCode>0.00</c:formatCode>
                <c:ptCount val="4"/>
                <c:pt idx="0">
                  <c:v>1.4853333333333332</c:v>
                </c:pt>
                <c:pt idx="1">
                  <c:v>1.4850000000000001</c:v>
                </c:pt>
                <c:pt idx="2">
                  <c:v>1.4853333333333332</c:v>
                </c:pt>
                <c:pt idx="3">
                  <c:v>1.5066666666666668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diametros'!$G$81</c:f>
              <c:strCache>
                <c:ptCount val="1"/>
                <c:pt idx="0">
                  <c:v>50563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diametros'!$H$81:$K$81</c:f>
              <c:numCache>
                <c:formatCode>0.00</c:formatCode>
                <c:ptCount val="4"/>
                <c:pt idx="0">
                  <c:v>0.91679999999999995</c:v>
                </c:pt>
                <c:pt idx="1">
                  <c:v>0.95099999999999996</c:v>
                </c:pt>
                <c:pt idx="2">
                  <c:v>1.0867</c:v>
                </c:pt>
                <c:pt idx="3">
                  <c:v>1.1400999999999999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'Graficos diametros'!$G$82</c:f>
              <c:strCache>
                <c:ptCount val="1"/>
                <c:pt idx="0">
                  <c:v>50819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diametros'!$H$82:$K$82</c:f>
              <c:numCache>
                <c:formatCode>0.00</c:formatCode>
                <c:ptCount val="4"/>
                <c:pt idx="0">
                  <c:v>0.96</c:v>
                </c:pt>
                <c:pt idx="1">
                  <c:v>1.268</c:v>
                </c:pt>
                <c:pt idx="2">
                  <c:v>1.274</c:v>
                </c:pt>
                <c:pt idx="3">
                  <c:v>1.274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'Graficos diametros'!$G$83</c:f>
              <c:strCache>
                <c:ptCount val="1"/>
                <c:pt idx="0">
                  <c:v>50616_01_05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diametros'!$H$83:$K$83</c:f>
              <c:numCache>
                <c:formatCode>0.00</c:formatCode>
                <c:ptCount val="4"/>
                <c:pt idx="0">
                  <c:v>1.3497000000000001</c:v>
                </c:pt>
                <c:pt idx="1">
                  <c:v>1.3819999999999999</c:v>
                </c:pt>
                <c:pt idx="2">
                  <c:v>1.4238000000000002</c:v>
                </c:pt>
                <c:pt idx="3">
                  <c:v>1.4248000000000001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'Graficos diametros'!$G$84</c:f>
              <c:strCache>
                <c:ptCount val="1"/>
                <c:pt idx="0">
                  <c:v>50616_01_13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diametros'!$H$84:$K$84</c:f>
              <c:numCache>
                <c:formatCode>0.00</c:formatCode>
                <c:ptCount val="4"/>
                <c:pt idx="0">
                  <c:v>1.1775000000000002</c:v>
                </c:pt>
                <c:pt idx="1">
                  <c:v>1.1779999999999999</c:v>
                </c:pt>
                <c:pt idx="2">
                  <c:v>1.1775000000000002</c:v>
                </c:pt>
                <c:pt idx="3">
                  <c:v>1.1775000000000002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'Graficos diametros'!$G$97</c:f>
              <c:strCache>
                <c:ptCount val="1"/>
                <c:pt idx="0">
                  <c:v>50827</c:v>
                </c:pt>
              </c:strCache>
            </c:strRef>
          </c:tx>
          <c:val>
            <c:numRef>
              <c:f>'Graficos diametros'!$H$97:$K$97</c:f>
              <c:numCache>
                <c:formatCode>0.00</c:formatCode>
                <c:ptCount val="4"/>
                <c:pt idx="0">
                  <c:v>0.5031000000000001</c:v>
                </c:pt>
                <c:pt idx="1">
                  <c:v>0.63900000000000001</c:v>
                </c:pt>
                <c:pt idx="2">
                  <c:v>0.69611111111111112</c:v>
                </c:pt>
                <c:pt idx="3">
                  <c:v>0.73624999999999996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51936"/>
        <c:axId val="108154240"/>
      </c:lineChart>
      <c:catAx>
        <c:axId val="10815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154240"/>
        <c:crosses val="autoZero"/>
        <c:auto val="1"/>
        <c:lblAlgn val="ctr"/>
        <c:lblOffset val="100"/>
        <c:noMultiLvlLbl val="0"/>
      </c:catAx>
      <c:valAx>
        <c:axId val="10815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151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diametros'!$G$74</c:f>
              <c:strCache>
                <c:ptCount val="1"/>
                <c:pt idx="0">
                  <c:v>50747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diametros'!$H$74:$K$74</c:f>
              <c:numCache>
                <c:formatCode>0.00</c:formatCode>
                <c:ptCount val="4"/>
                <c:pt idx="0">
                  <c:v>1.5920000000000001</c:v>
                </c:pt>
                <c:pt idx="1">
                  <c:v>1.5920000000000001</c:v>
                </c:pt>
                <c:pt idx="2">
                  <c:v>1.5920000000000001</c:v>
                </c:pt>
                <c:pt idx="3">
                  <c:v>1.6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diametros'!$G$75</c:f>
              <c:strCache>
                <c:ptCount val="1"/>
                <c:pt idx="0">
                  <c:v>50764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diametros'!$H$75:$K$75</c:f>
              <c:numCache>
                <c:formatCode>0.00</c:formatCode>
                <c:ptCount val="4"/>
                <c:pt idx="0">
                  <c:v>1.3495999999999999</c:v>
                </c:pt>
                <c:pt idx="1">
                  <c:v>1.36</c:v>
                </c:pt>
                <c:pt idx="2">
                  <c:v>1.4397777777777778</c:v>
                </c:pt>
                <c:pt idx="3">
                  <c:v>1.4845555555555556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83552"/>
        <c:axId val="108185856"/>
      </c:lineChart>
      <c:catAx>
        <c:axId val="10818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185856"/>
        <c:crosses val="autoZero"/>
        <c:auto val="1"/>
        <c:lblAlgn val="ctr"/>
        <c:lblOffset val="100"/>
        <c:noMultiLvlLbl val="0"/>
      </c:catAx>
      <c:valAx>
        <c:axId val="108185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1835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diametros'!$G$88</c:f>
              <c:strCache>
                <c:ptCount val="1"/>
                <c:pt idx="0">
                  <c:v>50087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diametros'!$H$88:$K$88</c:f>
              <c:numCache>
                <c:formatCode>0.00</c:formatCode>
                <c:ptCount val="4"/>
                <c:pt idx="0">
                  <c:v>1.4613750000000001</c:v>
                </c:pt>
                <c:pt idx="1">
                  <c:v>1.65</c:v>
                </c:pt>
                <c:pt idx="2">
                  <c:v>1.8499999999999999</c:v>
                </c:pt>
                <c:pt idx="3">
                  <c:v>2.0657142857142854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diametros'!$G$89</c:f>
              <c:strCache>
                <c:ptCount val="1"/>
                <c:pt idx="0">
                  <c:v>50323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diametros'!$H$89:$K$89</c:f>
              <c:numCache>
                <c:formatCode>0.00</c:formatCode>
                <c:ptCount val="4"/>
                <c:pt idx="0">
                  <c:v>1.1740000000000002</c:v>
                </c:pt>
                <c:pt idx="1">
                  <c:v>1.5860000000000001</c:v>
                </c:pt>
                <c:pt idx="2">
                  <c:v>1.675</c:v>
                </c:pt>
                <c:pt idx="3">
                  <c:v>1.8816666666666666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diametros'!$G$90</c:f>
              <c:strCache>
                <c:ptCount val="1"/>
                <c:pt idx="0">
                  <c:v>50459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diametros'!$H$90:$K$90</c:f>
              <c:numCache>
                <c:formatCode>0.00</c:formatCode>
                <c:ptCount val="4"/>
                <c:pt idx="0">
                  <c:v>1.68</c:v>
                </c:pt>
                <c:pt idx="1">
                  <c:v>2</c:v>
                </c:pt>
                <c:pt idx="2">
                  <c:v>2.0516666666666667</c:v>
                </c:pt>
                <c:pt idx="3">
                  <c:v>2.0516666666666667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diametros'!$G$91</c:f>
              <c:strCache>
                <c:ptCount val="1"/>
                <c:pt idx="0">
                  <c:v>50558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diametros'!$H$91:$K$91</c:f>
              <c:numCache>
                <c:formatCode>0.00</c:formatCode>
                <c:ptCount val="4"/>
                <c:pt idx="0">
                  <c:v>1.3161</c:v>
                </c:pt>
                <c:pt idx="1">
                  <c:v>1.3080000000000001</c:v>
                </c:pt>
                <c:pt idx="2">
                  <c:v>1.3445555555555555</c:v>
                </c:pt>
                <c:pt idx="3">
                  <c:v>1.3958888888888887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diametros'!$G$92</c:f>
              <c:strCache>
                <c:ptCount val="1"/>
                <c:pt idx="0">
                  <c:v>50602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diametros'!$H$92:$K$92</c:f>
              <c:numCache>
                <c:formatCode>0.00</c:formatCode>
                <c:ptCount val="4"/>
                <c:pt idx="0">
                  <c:v>1.3689999999999998</c:v>
                </c:pt>
                <c:pt idx="1">
                  <c:v>1.369</c:v>
                </c:pt>
                <c:pt idx="2">
                  <c:v>1.43</c:v>
                </c:pt>
                <c:pt idx="3">
                  <c:v>1.5449999999999999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'Graficos diametros'!$G$94</c:f>
              <c:strCache>
                <c:ptCount val="1"/>
                <c:pt idx="0">
                  <c:v>50724</c:v>
                </c:pt>
              </c:strCache>
            </c:strRef>
          </c:tx>
          <c:val>
            <c:numRef>
              <c:f>'Graficos diametros'!$H$94:$K$94</c:f>
              <c:numCache>
                <c:formatCode>0.00</c:formatCode>
                <c:ptCount val="4"/>
                <c:pt idx="0">
                  <c:v>1.3227</c:v>
                </c:pt>
                <c:pt idx="1">
                  <c:v>1.3919999999999999</c:v>
                </c:pt>
                <c:pt idx="2">
                  <c:v>1.6064000000000001</c:v>
                </c:pt>
                <c:pt idx="3">
                  <c:v>1.6654285714285713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'Graficos diametros'!$G$95</c:f>
              <c:strCache>
                <c:ptCount val="1"/>
                <c:pt idx="0">
                  <c:v>50726</c:v>
                </c:pt>
              </c:strCache>
            </c:strRef>
          </c:tx>
          <c:val>
            <c:numRef>
              <c:f>'Graficos diametros'!$H$95:$K$95</c:f>
              <c:numCache>
                <c:formatCode>0.00</c:formatCode>
                <c:ptCount val="4"/>
                <c:pt idx="0">
                  <c:v>1.293625</c:v>
                </c:pt>
                <c:pt idx="1">
                  <c:v>1.448</c:v>
                </c:pt>
                <c:pt idx="2">
                  <c:v>1.5652500000000003</c:v>
                </c:pt>
                <c:pt idx="3">
                  <c:v>1.7349999999999999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223104"/>
        <c:axId val="108237952"/>
      </c:lineChart>
      <c:catAx>
        <c:axId val="10822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237952"/>
        <c:crosses val="autoZero"/>
        <c:auto val="1"/>
        <c:lblAlgn val="ctr"/>
        <c:lblOffset val="100"/>
        <c:noMultiLvlLbl val="0"/>
      </c:catAx>
      <c:valAx>
        <c:axId val="10823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223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diametros'!$G$93</c:f>
              <c:strCache>
                <c:ptCount val="1"/>
                <c:pt idx="0">
                  <c:v>50632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diametros'!$H$93:$K$93</c:f>
              <c:numCache>
                <c:formatCode>0.00</c:formatCode>
                <c:ptCount val="4"/>
                <c:pt idx="0">
                  <c:v>1.6617000000000002</c:v>
                </c:pt>
                <c:pt idx="1">
                  <c:v>1.6619999999999999</c:v>
                </c:pt>
                <c:pt idx="2">
                  <c:v>1.6649999999999998</c:v>
                </c:pt>
                <c:pt idx="3">
                  <c:v>1.6833333333333333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274432"/>
        <c:axId val="108276736"/>
      </c:lineChart>
      <c:catAx>
        <c:axId val="10827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276736"/>
        <c:crosses val="autoZero"/>
        <c:auto val="1"/>
        <c:lblAlgn val="ctr"/>
        <c:lblOffset val="100"/>
        <c:noMultiLvlLbl val="0"/>
      </c:catAx>
      <c:valAx>
        <c:axId val="108276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274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diametros'!$G$99</c:f>
              <c:strCache>
                <c:ptCount val="1"/>
                <c:pt idx="0">
                  <c:v>50735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diametros'!$H$99:$K$99</c:f>
              <c:numCache>
                <c:formatCode>0.00</c:formatCode>
                <c:ptCount val="4"/>
                <c:pt idx="0">
                  <c:v>0.68100000000000005</c:v>
                </c:pt>
                <c:pt idx="1">
                  <c:v>0.68100000000000005</c:v>
                </c:pt>
                <c:pt idx="2">
                  <c:v>0.83</c:v>
                </c:pt>
                <c:pt idx="3">
                  <c:v>0.86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diametros'!$G$100</c:f>
              <c:strCache>
                <c:ptCount val="1"/>
                <c:pt idx="0">
                  <c:v>50756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diametros'!$H$100:$K$100</c:f>
              <c:numCache>
                <c:formatCode>0.00</c:formatCode>
                <c:ptCount val="4"/>
                <c:pt idx="0">
                  <c:v>1.075</c:v>
                </c:pt>
                <c:pt idx="1">
                  <c:v>1.1479999999999999</c:v>
                </c:pt>
                <c:pt idx="2">
                  <c:v>1.2</c:v>
                </c:pt>
                <c:pt idx="3">
                  <c:v>1.21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diametros'!$G$101</c:f>
              <c:strCache>
                <c:ptCount val="1"/>
                <c:pt idx="0">
                  <c:v>50836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diametros'!$H$101:$K$101</c:f>
              <c:numCache>
                <c:formatCode>0.00</c:formatCode>
                <c:ptCount val="4"/>
                <c:pt idx="0">
                  <c:v>0.87475000000000003</c:v>
                </c:pt>
                <c:pt idx="1">
                  <c:v>0.94599999999999995</c:v>
                </c:pt>
                <c:pt idx="2">
                  <c:v>0.99562500000000009</c:v>
                </c:pt>
                <c:pt idx="3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diametros'!$G$102</c:f>
              <c:strCache>
                <c:ptCount val="1"/>
                <c:pt idx="0">
                  <c:v>50859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diametros'!$H$102:$K$102</c:f>
              <c:numCache>
                <c:formatCode>0.00</c:formatCode>
                <c:ptCount val="4"/>
                <c:pt idx="0">
                  <c:v>0.67030000000000001</c:v>
                </c:pt>
                <c:pt idx="1">
                  <c:v>0.72599999999999998</c:v>
                </c:pt>
                <c:pt idx="2">
                  <c:v>0.78870000000000007</c:v>
                </c:pt>
                <c:pt idx="3">
                  <c:v>0.82899999999999996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11680"/>
        <c:axId val="108313984"/>
      </c:lineChart>
      <c:catAx>
        <c:axId val="10831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313984"/>
        <c:crosses val="autoZero"/>
        <c:auto val="1"/>
        <c:lblAlgn val="ctr"/>
        <c:lblOffset val="100"/>
        <c:noMultiLvlLbl val="0"/>
      </c:catAx>
      <c:valAx>
        <c:axId val="10831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3116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diametros'!$G$106</c:f>
              <c:strCache>
                <c:ptCount val="1"/>
                <c:pt idx="0">
                  <c:v>50617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diametros'!$H$106:$K$106</c:f>
              <c:numCache>
                <c:formatCode>0.00</c:formatCode>
                <c:ptCount val="4"/>
                <c:pt idx="0">
                  <c:v>2.1008452488130183</c:v>
                </c:pt>
                <c:pt idx="1">
                  <c:v>2.3199999999999998</c:v>
                </c:pt>
                <c:pt idx="2">
                  <c:v>2.3199999999999998</c:v>
                </c:pt>
                <c:pt idx="3">
                  <c:v>2.3199999999999998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diametros'!$G$107</c:f>
              <c:strCache>
                <c:ptCount val="1"/>
                <c:pt idx="0">
                  <c:v>50635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diametros'!$H$107:$K$107</c:f>
              <c:numCache>
                <c:formatCode>0.00</c:formatCode>
                <c:ptCount val="4"/>
                <c:pt idx="0">
                  <c:v>1.113</c:v>
                </c:pt>
                <c:pt idx="1">
                  <c:v>1.232</c:v>
                </c:pt>
                <c:pt idx="2">
                  <c:v>1.2534000000000003</c:v>
                </c:pt>
                <c:pt idx="3">
                  <c:v>1.3236000000000003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17024"/>
        <c:axId val="108419328"/>
      </c:lineChart>
      <c:catAx>
        <c:axId val="1084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419328"/>
        <c:crosses val="autoZero"/>
        <c:auto val="1"/>
        <c:lblAlgn val="ctr"/>
        <c:lblOffset val="100"/>
        <c:noMultiLvlLbl val="0"/>
      </c:catAx>
      <c:valAx>
        <c:axId val="108419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4170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diametros'!$G$120</c:f>
              <c:strCache>
                <c:ptCount val="1"/>
                <c:pt idx="0">
                  <c:v>50454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diametros'!$H$120:$K$120</c:f>
              <c:numCache>
                <c:formatCode>0.00</c:formatCode>
                <c:ptCount val="4"/>
                <c:pt idx="0">
                  <c:v>0.46766666666666667</c:v>
                </c:pt>
                <c:pt idx="1">
                  <c:v>0.49299999999999999</c:v>
                </c:pt>
                <c:pt idx="2">
                  <c:v>0.60183333333333333</c:v>
                </c:pt>
                <c:pt idx="3">
                  <c:v>0.66016666666666668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diametros'!$G$121</c:f>
              <c:strCache>
                <c:ptCount val="1"/>
                <c:pt idx="0">
                  <c:v>50570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diametros'!$H$121:$K$121</c:f>
              <c:numCache>
                <c:formatCode>0.00</c:formatCode>
                <c:ptCount val="4"/>
                <c:pt idx="0">
                  <c:v>0.37212499999999998</c:v>
                </c:pt>
                <c:pt idx="1">
                  <c:v>0.39600000000000002</c:v>
                </c:pt>
                <c:pt idx="2">
                  <c:v>0.43712500000000004</c:v>
                </c:pt>
                <c:pt idx="3">
                  <c:v>0.49524999999999997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diametros'!$G$122</c:f>
              <c:strCache>
                <c:ptCount val="1"/>
                <c:pt idx="0">
                  <c:v>50710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diametros'!$H$122:$K$122</c:f>
              <c:numCache>
                <c:formatCode>0.00</c:formatCode>
                <c:ptCount val="4"/>
                <c:pt idx="0">
                  <c:v>1.2486666666666668</c:v>
                </c:pt>
                <c:pt idx="1">
                  <c:v>1.427</c:v>
                </c:pt>
                <c:pt idx="2">
                  <c:v>1.4266666666666665</c:v>
                </c:pt>
                <c:pt idx="3">
                  <c:v>1.595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diametros'!$G$123</c:f>
              <c:strCache>
                <c:ptCount val="1"/>
                <c:pt idx="0">
                  <c:v>50716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diametros'!$H$123:$K$123</c:f>
              <c:numCache>
                <c:formatCode>0.00</c:formatCode>
                <c:ptCount val="4"/>
                <c:pt idx="0">
                  <c:v>0.23600000000000002</c:v>
                </c:pt>
                <c:pt idx="1">
                  <c:v>0.28000000000000003</c:v>
                </c:pt>
                <c:pt idx="2">
                  <c:v>0.28000000000000003</c:v>
                </c:pt>
                <c:pt idx="3">
                  <c:v>0.36999999999999994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diametros'!$G$124</c:f>
              <c:strCache>
                <c:ptCount val="1"/>
                <c:pt idx="0">
                  <c:v>50789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diametros'!$H$124:$K$124</c:f>
              <c:numCache>
                <c:formatCode>0.00</c:formatCode>
                <c:ptCount val="4"/>
                <c:pt idx="0">
                  <c:v>1.0669999999999999</c:v>
                </c:pt>
                <c:pt idx="1">
                  <c:v>1.2829999999999999</c:v>
                </c:pt>
                <c:pt idx="2">
                  <c:v>1.2892000000000001</c:v>
                </c:pt>
                <c:pt idx="3">
                  <c:v>1.2892000000000001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50944"/>
        <c:axId val="108453248"/>
      </c:lineChart>
      <c:catAx>
        <c:axId val="10845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453248"/>
        <c:crosses val="autoZero"/>
        <c:auto val="1"/>
        <c:lblAlgn val="ctr"/>
        <c:lblOffset val="100"/>
        <c:noMultiLvlLbl val="0"/>
      </c:catAx>
      <c:valAx>
        <c:axId val="108453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4509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Ageratina ampla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'Graficos altura'!$A$11</c:f>
              <c:strCache>
                <c:ptCount val="1"/>
                <c:pt idx="0">
                  <c:v>50707</c:v>
                </c:pt>
              </c:strCache>
            </c:strRef>
          </c:tx>
          <c:cat>
            <c:strRef>
              <c:f>'Graficos altura'!$B$4:$E$4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altura'!$B$11:$E$11</c:f>
              <c:numCache>
                <c:formatCode>General</c:formatCode>
                <c:ptCount val="4"/>
                <c:pt idx="0">
                  <c:v>27</c:v>
                </c:pt>
                <c:pt idx="1">
                  <c:v>30</c:v>
                </c:pt>
                <c:pt idx="2">
                  <c:v>40</c:v>
                </c:pt>
                <c:pt idx="3">
                  <c:v>46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'Graficos altura'!$A$12</c:f>
              <c:strCache>
                <c:ptCount val="1"/>
                <c:pt idx="0">
                  <c:v>50863</c:v>
                </c:pt>
              </c:strCache>
            </c:strRef>
          </c:tx>
          <c:cat>
            <c:strRef>
              <c:f>'Graficos altura'!$B$4:$E$4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altura'!$B$12:$E$12</c:f>
              <c:numCache>
                <c:formatCode>General</c:formatCode>
                <c:ptCount val="4"/>
                <c:pt idx="0">
                  <c:v>48</c:v>
                </c:pt>
                <c:pt idx="1">
                  <c:v>64</c:v>
                </c:pt>
                <c:pt idx="2">
                  <c:v>79.34</c:v>
                </c:pt>
                <c:pt idx="3">
                  <c:v>95.01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903040"/>
        <c:axId val="82905344"/>
      </c:lineChart>
      <c:catAx>
        <c:axId val="829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2905344"/>
        <c:crosses val="autoZero"/>
        <c:auto val="1"/>
        <c:lblAlgn val="ctr"/>
        <c:lblOffset val="100"/>
        <c:noMultiLvlLbl val="0"/>
      </c:catAx>
      <c:valAx>
        <c:axId val="8290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cm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2903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diametros'!$G$128</c:f>
              <c:strCache>
                <c:ptCount val="1"/>
                <c:pt idx="0">
                  <c:v>50620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diametros'!$H$128:$K$128</c:f>
              <c:numCache>
                <c:formatCode>0.00</c:formatCode>
                <c:ptCount val="4"/>
                <c:pt idx="0">
                  <c:v>1.5</c:v>
                </c:pt>
                <c:pt idx="1">
                  <c:v>1.67</c:v>
                </c:pt>
                <c:pt idx="2">
                  <c:v>1.7733333333333334</c:v>
                </c:pt>
                <c:pt idx="3">
                  <c:v>1.8140000000000001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diametros'!$G$129</c:f>
              <c:strCache>
                <c:ptCount val="1"/>
                <c:pt idx="0">
                  <c:v>50886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diametros'!$H$129:$K$129</c:f>
              <c:numCache>
                <c:formatCode>0.00</c:formatCode>
                <c:ptCount val="4"/>
                <c:pt idx="0">
                  <c:v>0.36760000000000004</c:v>
                </c:pt>
                <c:pt idx="1">
                  <c:v>0.38100000000000001</c:v>
                </c:pt>
                <c:pt idx="2">
                  <c:v>0.39200000000000002</c:v>
                </c:pt>
                <c:pt idx="3">
                  <c:v>0.56399999999999995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90752"/>
        <c:axId val="108493056"/>
      </c:lineChart>
      <c:catAx>
        <c:axId val="10849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493056"/>
        <c:crosses val="autoZero"/>
        <c:auto val="1"/>
        <c:lblAlgn val="ctr"/>
        <c:lblOffset val="100"/>
        <c:noMultiLvlLbl val="0"/>
      </c:catAx>
      <c:valAx>
        <c:axId val="108493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490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diametros'!$G$137</c:f>
              <c:strCache>
                <c:ptCount val="1"/>
                <c:pt idx="0">
                  <c:v>50843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diametros'!$H$137:$K$137</c:f>
              <c:numCache>
                <c:formatCode>0.00</c:formatCode>
                <c:ptCount val="4"/>
                <c:pt idx="0">
                  <c:v>0.6794</c:v>
                </c:pt>
                <c:pt idx="1">
                  <c:v>0.80300000000000005</c:v>
                </c:pt>
                <c:pt idx="2">
                  <c:v>1.038</c:v>
                </c:pt>
                <c:pt idx="3">
                  <c:v>1.2810000000000001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13152"/>
        <c:axId val="108532096"/>
      </c:lineChart>
      <c:catAx>
        <c:axId val="10851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532096"/>
        <c:crosses val="autoZero"/>
        <c:auto val="1"/>
        <c:lblAlgn val="ctr"/>
        <c:lblOffset val="100"/>
        <c:noMultiLvlLbl val="0"/>
      </c:catAx>
      <c:valAx>
        <c:axId val="108532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513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diametros'!$G$256</c:f>
              <c:strCache>
                <c:ptCount val="1"/>
                <c:pt idx="0">
                  <c:v>50662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diametros'!$H$256:$K$256</c:f>
              <c:numCache>
                <c:formatCode>0.00</c:formatCode>
                <c:ptCount val="4"/>
                <c:pt idx="0">
                  <c:v>0.51300000000000001</c:v>
                </c:pt>
                <c:pt idx="1">
                  <c:v>0.57999999999999996</c:v>
                </c:pt>
                <c:pt idx="2">
                  <c:v>0.66</c:v>
                </c:pt>
                <c:pt idx="3">
                  <c:v>0.94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56288"/>
        <c:axId val="108558592"/>
      </c:lineChart>
      <c:catAx>
        <c:axId val="10855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558592"/>
        <c:crosses val="autoZero"/>
        <c:auto val="1"/>
        <c:lblAlgn val="ctr"/>
        <c:lblOffset val="100"/>
        <c:noMultiLvlLbl val="0"/>
      </c:catAx>
      <c:valAx>
        <c:axId val="108558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5562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diametros'!$G$146</c:f>
              <c:strCache>
                <c:ptCount val="1"/>
                <c:pt idx="0">
                  <c:v>50518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diametros'!$H$146:$K$146</c:f>
              <c:numCache>
                <c:formatCode>0.00</c:formatCode>
                <c:ptCount val="4"/>
                <c:pt idx="0">
                  <c:v>1.5199999999999998</c:v>
                </c:pt>
                <c:pt idx="1">
                  <c:v>2.4470000000000001</c:v>
                </c:pt>
                <c:pt idx="2">
                  <c:v>2.5539999999999998</c:v>
                </c:pt>
                <c:pt idx="3">
                  <c:v>3.0709999999999997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diametros'!$G$147</c:f>
              <c:strCache>
                <c:ptCount val="1"/>
                <c:pt idx="0">
                  <c:v>50520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diametros'!$H$147:$K$147</c:f>
              <c:numCache>
                <c:formatCode>0.00</c:formatCode>
                <c:ptCount val="4"/>
                <c:pt idx="0">
                  <c:v>1.2316666666666667</c:v>
                </c:pt>
                <c:pt idx="1">
                  <c:v>1.5169999999999999</c:v>
                </c:pt>
                <c:pt idx="2">
                  <c:v>1.57</c:v>
                </c:pt>
                <c:pt idx="3">
                  <c:v>1.7391666666666667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diametros'!$G$148</c:f>
              <c:strCache>
                <c:ptCount val="1"/>
                <c:pt idx="0">
                  <c:v>50555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diametros'!$H$148:$K$148</c:f>
              <c:numCache>
                <c:formatCode>0.00</c:formatCode>
                <c:ptCount val="4"/>
                <c:pt idx="0">
                  <c:v>1.089</c:v>
                </c:pt>
                <c:pt idx="1">
                  <c:v>1.1599999999999999</c:v>
                </c:pt>
                <c:pt idx="2">
                  <c:v>1.27</c:v>
                </c:pt>
                <c:pt idx="3">
                  <c:v>1.34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diametros'!$G$149</c:f>
              <c:strCache>
                <c:ptCount val="1"/>
                <c:pt idx="0">
                  <c:v>50628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diametros'!$H$149:$K$149</c:f>
              <c:numCache>
                <c:formatCode>0.00</c:formatCode>
                <c:ptCount val="4"/>
                <c:pt idx="0">
                  <c:v>1.6</c:v>
                </c:pt>
                <c:pt idx="1">
                  <c:v>1.6</c:v>
                </c:pt>
                <c:pt idx="2">
                  <c:v>2.2599999999999998</c:v>
                </c:pt>
                <c:pt idx="3">
                  <c:v>2.59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diametros'!$G$150</c:f>
              <c:strCache>
                <c:ptCount val="1"/>
                <c:pt idx="0">
                  <c:v>50723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diametros'!$H$150:$K$150</c:f>
              <c:numCache>
                <c:formatCode>0.00</c:formatCode>
                <c:ptCount val="4"/>
                <c:pt idx="0">
                  <c:v>1.3</c:v>
                </c:pt>
                <c:pt idx="1">
                  <c:v>1.5349999999999999</c:v>
                </c:pt>
                <c:pt idx="2">
                  <c:v>1.7250000000000001</c:v>
                </c:pt>
                <c:pt idx="3">
                  <c:v>1.9375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59840"/>
        <c:axId val="108662144"/>
      </c:lineChart>
      <c:catAx>
        <c:axId val="10865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662144"/>
        <c:crosses val="autoZero"/>
        <c:auto val="1"/>
        <c:lblAlgn val="ctr"/>
        <c:lblOffset val="100"/>
        <c:noMultiLvlLbl val="0"/>
      </c:catAx>
      <c:valAx>
        <c:axId val="10866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6598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diametros'!$G$159</c:f>
              <c:strCache>
                <c:ptCount val="1"/>
                <c:pt idx="0">
                  <c:v>50584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diametros'!$H$159:$K$159</c:f>
              <c:numCache>
                <c:formatCode>0.00</c:formatCode>
                <c:ptCount val="4"/>
                <c:pt idx="0">
                  <c:v>1.1538733374162413</c:v>
                </c:pt>
                <c:pt idx="1">
                  <c:v>1.1539999999999999</c:v>
                </c:pt>
                <c:pt idx="2">
                  <c:v>1.22</c:v>
                </c:pt>
                <c:pt idx="3">
                  <c:v>1.3456666666666666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86336"/>
        <c:axId val="108713472"/>
      </c:lineChart>
      <c:catAx>
        <c:axId val="10868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713472"/>
        <c:crosses val="autoZero"/>
        <c:auto val="1"/>
        <c:lblAlgn val="ctr"/>
        <c:lblOffset val="100"/>
        <c:noMultiLvlLbl val="0"/>
      </c:catAx>
      <c:valAx>
        <c:axId val="108713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686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diametros'!$G$161</c:f>
              <c:strCache>
                <c:ptCount val="1"/>
                <c:pt idx="0">
                  <c:v>50703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diametros'!$H$161:$K$161</c:f>
              <c:numCache>
                <c:formatCode>0.00</c:formatCode>
                <c:ptCount val="4"/>
                <c:pt idx="0">
                  <c:v>1.3045714285714285</c:v>
                </c:pt>
                <c:pt idx="1">
                  <c:v>1.3360000000000001</c:v>
                </c:pt>
                <c:pt idx="2">
                  <c:v>1.413</c:v>
                </c:pt>
                <c:pt idx="3">
                  <c:v>1.4157142857142857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37664"/>
        <c:axId val="108739968"/>
      </c:lineChart>
      <c:catAx>
        <c:axId val="10873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739968"/>
        <c:crosses val="autoZero"/>
        <c:auto val="1"/>
        <c:lblAlgn val="ctr"/>
        <c:lblOffset val="100"/>
        <c:noMultiLvlLbl val="0"/>
      </c:catAx>
      <c:valAx>
        <c:axId val="108739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7376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diametros'!$G$163</c:f>
              <c:strCache>
                <c:ptCount val="1"/>
                <c:pt idx="0">
                  <c:v>50831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diametros'!$H$163:$K$163</c:f>
              <c:numCache>
                <c:formatCode>0.00</c:formatCode>
                <c:ptCount val="4"/>
                <c:pt idx="0">
                  <c:v>1.2595000000000001</c:v>
                </c:pt>
                <c:pt idx="1">
                  <c:v>1.5089999999999999</c:v>
                </c:pt>
                <c:pt idx="2">
                  <c:v>1.6065999999999998</c:v>
                </c:pt>
                <c:pt idx="3">
                  <c:v>1.6744444444444446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diametros'!$G$164</c:f>
              <c:strCache>
                <c:ptCount val="1"/>
                <c:pt idx="0">
                  <c:v>50878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diametros'!$H$164:$K$164</c:f>
              <c:numCache>
                <c:formatCode>0.00</c:formatCode>
                <c:ptCount val="4"/>
                <c:pt idx="0">
                  <c:v>0.57833333333333337</c:v>
                </c:pt>
                <c:pt idx="1">
                  <c:v>0.70599999999999996</c:v>
                </c:pt>
                <c:pt idx="2">
                  <c:v>0.85000000000000009</c:v>
                </c:pt>
                <c:pt idx="3">
                  <c:v>1.1133333333333333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69280"/>
        <c:axId val="108771584"/>
      </c:lineChart>
      <c:catAx>
        <c:axId val="1087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771584"/>
        <c:crosses val="autoZero"/>
        <c:auto val="1"/>
        <c:lblAlgn val="ctr"/>
        <c:lblOffset val="100"/>
        <c:noMultiLvlLbl val="0"/>
      </c:catAx>
      <c:valAx>
        <c:axId val="10877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769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diametros'!$G$192</c:f>
              <c:strCache>
                <c:ptCount val="1"/>
                <c:pt idx="0">
                  <c:v>50295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diametros'!$H$192:$K$192</c:f>
              <c:numCache>
                <c:formatCode>0.00</c:formatCode>
                <c:ptCount val="4"/>
                <c:pt idx="0">
                  <c:v>0.86199999999999999</c:v>
                </c:pt>
                <c:pt idx="1">
                  <c:v>0.88500000000000001</c:v>
                </c:pt>
                <c:pt idx="2">
                  <c:v>0.95</c:v>
                </c:pt>
                <c:pt idx="3">
                  <c:v>0.9850000000000001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diametros'!$G$193</c:f>
              <c:strCache>
                <c:ptCount val="1"/>
                <c:pt idx="0">
                  <c:v>50750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diametros'!$H$193:$K$193</c:f>
              <c:numCache>
                <c:formatCode>0.00</c:formatCode>
                <c:ptCount val="4"/>
                <c:pt idx="0">
                  <c:v>1.2490000000000001</c:v>
                </c:pt>
                <c:pt idx="1">
                  <c:v>1.2490000000000001</c:v>
                </c:pt>
                <c:pt idx="2">
                  <c:v>1.2490000000000001</c:v>
                </c:pt>
                <c:pt idx="3">
                  <c:v>1.4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diametros'!$G$194</c:f>
              <c:strCache>
                <c:ptCount val="1"/>
                <c:pt idx="0">
                  <c:v>50828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diametros'!$H$194:$K$194</c:f>
              <c:numCache>
                <c:formatCode>0.00</c:formatCode>
                <c:ptCount val="4"/>
                <c:pt idx="0">
                  <c:v>0.60609999999999997</c:v>
                </c:pt>
                <c:pt idx="1">
                  <c:v>0.70599999999999996</c:v>
                </c:pt>
                <c:pt idx="2">
                  <c:v>0.71360000000000001</c:v>
                </c:pt>
                <c:pt idx="3">
                  <c:v>0.76555555555555543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diametros'!$G$195</c:f>
              <c:strCache>
                <c:ptCount val="1"/>
                <c:pt idx="0">
                  <c:v>50871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diametros'!$H$195:$K$195</c:f>
              <c:numCache>
                <c:formatCode>0.00</c:formatCode>
                <c:ptCount val="4"/>
                <c:pt idx="0">
                  <c:v>0.36350000000000005</c:v>
                </c:pt>
                <c:pt idx="1">
                  <c:v>0.39900000000000002</c:v>
                </c:pt>
                <c:pt idx="2">
                  <c:v>0.45610000000000001</c:v>
                </c:pt>
                <c:pt idx="3">
                  <c:v>0.69410000000000005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diametros'!$G$196</c:f>
              <c:strCache>
                <c:ptCount val="1"/>
                <c:pt idx="0">
                  <c:v>50879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diametros'!$H$196:$K$196</c:f>
              <c:numCache>
                <c:formatCode>0.00</c:formatCode>
                <c:ptCount val="4"/>
                <c:pt idx="0">
                  <c:v>0.26279999999999998</c:v>
                </c:pt>
                <c:pt idx="1">
                  <c:v>0.29599999999999999</c:v>
                </c:pt>
                <c:pt idx="2">
                  <c:v>0.3342</c:v>
                </c:pt>
                <c:pt idx="3">
                  <c:v>0.55930000000000002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06912"/>
        <c:axId val="108809216"/>
      </c:lineChart>
      <c:catAx>
        <c:axId val="10880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809216"/>
        <c:crosses val="autoZero"/>
        <c:auto val="1"/>
        <c:lblAlgn val="ctr"/>
        <c:lblOffset val="100"/>
        <c:noMultiLvlLbl val="0"/>
      </c:catAx>
      <c:valAx>
        <c:axId val="10880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8069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diametros'!$G$198</c:f>
              <c:strCache>
                <c:ptCount val="1"/>
                <c:pt idx="0">
                  <c:v>50638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diametros'!$H$198:$K$198</c:f>
              <c:numCache>
                <c:formatCode>0.00</c:formatCode>
                <c:ptCount val="4"/>
                <c:pt idx="0">
                  <c:v>0.60866666666666669</c:v>
                </c:pt>
                <c:pt idx="1">
                  <c:v>0.83699999999999997</c:v>
                </c:pt>
                <c:pt idx="2">
                  <c:v>0.8966666666666665</c:v>
                </c:pt>
                <c:pt idx="3">
                  <c:v>1.093333333333333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diametros'!$G$199</c:f>
              <c:strCache>
                <c:ptCount val="1"/>
                <c:pt idx="0">
                  <c:v>50763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diametros'!$H$199:$K$199</c:f>
              <c:numCache>
                <c:formatCode>0.00</c:formatCode>
                <c:ptCount val="4"/>
                <c:pt idx="0">
                  <c:v>1.3539999999999999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42368"/>
        <c:axId val="108922752"/>
      </c:lineChart>
      <c:catAx>
        <c:axId val="10884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922752"/>
        <c:crosses val="autoZero"/>
        <c:auto val="1"/>
        <c:lblAlgn val="ctr"/>
        <c:lblOffset val="100"/>
        <c:noMultiLvlLbl val="0"/>
      </c:catAx>
      <c:valAx>
        <c:axId val="108922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842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diametros'!$G$201</c:f>
              <c:strCache>
                <c:ptCount val="1"/>
                <c:pt idx="0">
                  <c:v>50505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diametros'!$H$201:$K$201</c:f>
              <c:numCache>
                <c:formatCode>0.00</c:formatCode>
                <c:ptCount val="4"/>
                <c:pt idx="0">
                  <c:v>1.3049999999999999</c:v>
                </c:pt>
                <c:pt idx="1">
                  <c:v>1.3049999999999999</c:v>
                </c:pt>
                <c:pt idx="2">
                  <c:v>1.3049999999999999</c:v>
                </c:pt>
                <c:pt idx="3">
                  <c:v>1.42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diametros'!$G$202</c:f>
              <c:strCache>
                <c:ptCount val="1"/>
                <c:pt idx="0">
                  <c:v>50736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diametros'!$H$202:$K$202</c:f>
              <c:numCache>
                <c:formatCode>0.00</c:formatCode>
                <c:ptCount val="4"/>
                <c:pt idx="0">
                  <c:v>1.42</c:v>
                </c:pt>
                <c:pt idx="1">
                  <c:v>1.52</c:v>
                </c:pt>
                <c:pt idx="2">
                  <c:v>1.5538000000000001</c:v>
                </c:pt>
                <c:pt idx="3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diametros'!$G$203</c:f>
              <c:strCache>
                <c:ptCount val="1"/>
                <c:pt idx="0">
                  <c:v>50885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diametros'!$H$203:$K$203</c:f>
              <c:numCache>
                <c:formatCode>0.00</c:formatCode>
                <c:ptCount val="4"/>
                <c:pt idx="0">
                  <c:v>0.20910000000000001</c:v>
                </c:pt>
                <c:pt idx="1">
                  <c:v>0.217</c:v>
                </c:pt>
                <c:pt idx="2">
                  <c:v>0.2238</c:v>
                </c:pt>
                <c:pt idx="3">
                  <c:v>0.33189999999999997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diametros'!$G$204</c:f>
              <c:strCache>
                <c:ptCount val="1"/>
                <c:pt idx="0">
                  <c:v>50887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diametros'!$H$204:$K$204</c:f>
              <c:numCache>
                <c:formatCode>0.00</c:formatCode>
                <c:ptCount val="4"/>
                <c:pt idx="0">
                  <c:v>0.26088888888888889</c:v>
                </c:pt>
                <c:pt idx="1">
                  <c:v>0.26700000000000002</c:v>
                </c:pt>
                <c:pt idx="2">
                  <c:v>0.27122222222222225</c:v>
                </c:pt>
                <c:pt idx="3">
                  <c:v>0.3255555555555556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53600"/>
        <c:axId val="108955904"/>
      </c:lineChart>
      <c:catAx>
        <c:axId val="10895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955904"/>
        <c:crosses val="autoZero"/>
        <c:auto val="1"/>
        <c:lblAlgn val="ctr"/>
        <c:lblOffset val="100"/>
        <c:noMultiLvlLbl val="0"/>
      </c:catAx>
      <c:valAx>
        <c:axId val="108955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953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Abatia parviflora</a:t>
            </a:r>
          </a:p>
        </c:rich>
      </c:tx>
      <c:layout>
        <c:manualLayout>
          <c:xMode val="edge"/>
          <c:yMode val="edge"/>
          <c:x val="0.24039447731755423"/>
          <c:y val="2.88288288288288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98263678578642"/>
          <c:y val="0.18235128517927676"/>
          <c:w val="0.6863402133904859"/>
          <c:h val="0.50889068596155207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diametros'!$G$5</c:f>
              <c:strCache>
                <c:ptCount val="1"/>
                <c:pt idx="0">
                  <c:v>50771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diametros'!$H$5:$K$5</c:f>
              <c:numCache>
                <c:formatCode>0.00</c:formatCode>
                <c:ptCount val="4"/>
                <c:pt idx="0">
                  <c:v>0.68700000000000006</c:v>
                </c:pt>
                <c:pt idx="1">
                  <c:v>1.17</c:v>
                </c:pt>
                <c:pt idx="2">
                  <c:v>1.27</c:v>
                </c:pt>
                <c:pt idx="3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922496"/>
        <c:axId val="82937344"/>
      </c:lineChart>
      <c:catAx>
        <c:axId val="8292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2937344"/>
        <c:crosses val="autoZero"/>
        <c:auto val="1"/>
        <c:lblAlgn val="ctr"/>
        <c:lblOffset val="100"/>
        <c:noMultiLvlLbl val="0"/>
      </c:catAx>
      <c:valAx>
        <c:axId val="82937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82922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439842209072979"/>
          <c:y val="0.84084386748953677"/>
          <c:w val="0.23360946745562128"/>
          <c:h val="0.1303273036816343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diametros'!$G$215</c:f>
              <c:strCache>
                <c:ptCount val="1"/>
                <c:pt idx="0">
                  <c:v>50587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diametros'!$H$215:$K$215</c:f>
              <c:numCache>
                <c:formatCode>0.00</c:formatCode>
                <c:ptCount val="4"/>
                <c:pt idx="0">
                  <c:v>1.1125</c:v>
                </c:pt>
                <c:pt idx="1">
                  <c:v>1.117</c:v>
                </c:pt>
                <c:pt idx="2">
                  <c:v>1.21</c:v>
                </c:pt>
                <c:pt idx="3">
                  <c:v>1.25875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diametros'!$G$216</c:f>
              <c:strCache>
                <c:ptCount val="1"/>
                <c:pt idx="0">
                  <c:v>50778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diametros'!$H$216:$K$216</c:f>
              <c:numCache>
                <c:formatCode>0.00</c:formatCode>
                <c:ptCount val="4"/>
                <c:pt idx="0">
                  <c:v>1.0044999999999999</c:v>
                </c:pt>
                <c:pt idx="1">
                  <c:v>1.0489999999999999</c:v>
                </c:pt>
                <c:pt idx="2">
                  <c:v>1.1000000000000001</c:v>
                </c:pt>
                <c:pt idx="3">
                  <c:v>1.2749999999999999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89056"/>
        <c:axId val="108991616"/>
      </c:lineChart>
      <c:catAx>
        <c:axId val="10898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8991616"/>
        <c:crosses val="autoZero"/>
        <c:auto val="1"/>
        <c:lblAlgn val="ctr"/>
        <c:lblOffset val="100"/>
        <c:noMultiLvlLbl val="0"/>
      </c:catAx>
      <c:valAx>
        <c:axId val="108991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89890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diametros'!$G$218</c:f>
              <c:strCache>
                <c:ptCount val="1"/>
                <c:pt idx="0">
                  <c:v>50476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diametros'!$H$218:$K$218</c:f>
              <c:numCache>
                <c:formatCode>0.00</c:formatCode>
                <c:ptCount val="4"/>
                <c:pt idx="0">
                  <c:v>0.69125000000000014</c:v>
                </c:pt>
                <c:pt idx="1">
                  <c:v>0.97699999999999998</c:v>
                </c:pt>
                <c:pt idx="2">
                  <c:v>1.0162500000000001</c:v>
                </c:pt>
                <c:pt idx="3">
                  <c:v>1.046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diametros'!$G$219</c:f>
              <c:strCache>
                <c:ptCount val="1"/>
                <c:pt idx="0">
                  <c:v>50566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diametros'!$H$219:$K$219</c:f>
              <c:numCache>
                <c:formatCode>0.00</c:formatCode>
                <c:ptCount val="4"/>
                <c:pt idx="0">
                  <c:v>1.1599999999999999</c:v>
                </c:pt>
                <c:pt idx="1">
                  <c:v>1.1599999999999999</c:v>
                </c:pt>
                <c:pt idx="2">
                  <c:v>1.1599999999999999</c:v>
                </c:pt>
                <c:pt idx="3">
                  <c:v>1.37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diametros'!$G$220</c:f>
              <c:strCache>
                <c:ptCount val="1"/>
                <c:pt idx="0">
                  <c:v>50633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diametros'!$H$220:$K$220</c:f>
              <c:numCache>
                <c:formatCode>0.00</c:formatCode>
                <c:ptCount val="4"/>
                <c:pt idx="0">
                  <c:v>0.45333333333333337</c:v>
                </c:pt>
                <c:pt idx="1">
                  <c:v>0.56699999999999995</c:v>
                </c:pt>
                <c:pt idx="2">
                  <c:v>0.6283333333333333</c:v>
                </c:pt>
                <c:pt idx="3">
                  <c:v>0.72666666666666657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diametros'!$G$221</c:f>
              <c:strCache>
                <c:ptCount val="1"/>
                <c:pt idx="0">
                  <c:v>50838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diametros'!$H$221:$K$221</c:f>
              <c:numCache>
                <c:formatCode>0.00</c:formatCode>
                <c:ptCount val="4"/>
                <c:pt idx="0">
                  <c:v>0.60299999999999998</c:v>
                </c:pt>
                <c:pt idx="1">
                  <c:v>0.66100000000000003</c:v>
                </c:pt>
                <c:pt idx="2">
                  <c:v>0.67870000000000008</c:v>
                </c:pt>
                <c:pt idx="3">
                  <c:v>0.79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diametros'!$G$222</c:f>
              <c:strCache>
                <c:ptCount val="1"/>
                <c:pt idx="0">
                  <c:v>50874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diametros'!$H$222:$K$222</c:f>
              <c:numCache>
                <c:formatCode>0.00</c:formatCode>
                <c:ptCount val="4"/>
                <c:pt idx="0">
                  <c:v>0.43900000000000006</c:v>
                </c:pt>
                <c:pt idx="1">
                  <c:v>0.51600000000000001</c:v>
                </c:pt>
                <c:pt idx="2">
                  <c:v>0.64266666666666672</c:v>
                </c:pt>
                <c:pt idx="3">
                  <c:v>0.79999999999999993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48192"/>
        <c:axId val="109050496"/>
      </c:lineChart>
      <c:catAx>
        <c:axId val="10904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050496"/>
        <c:crosses val="autoZero"/>
        <c:auto val="1"/>
        <c:lblAlgn val="ctr"/>
        <c:lblOffset val="100"/>
        <c:noMultiLvlLbl val="0"/>
      </c:catAx>
      <c:valAx>
        <c:axId val="109050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048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diametros'!$G$226</c:f>
              <c:strCache>
                <c:ptCount val="1"/>
                <c:pt idx="0">
                  <c:v>50795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diametros'!$H$226:$K$226</c:f>
              <c:numCache>
                <c:formatCode>0.00</c:formatCode>
                <c:ptCount val="4"/>
                <c:pt idx="0">
                  <c:v>1.2383</c:v>
                </c:pt>
                <c:pt idx="1">
                  <c:v>1.3089999999999999</c:v>
                </c:pt>
                <c:pt idx="2">
                  <c:v>1.3706666666666667</c:v>
                </c:pt>
                <c:pt idx="3">
                  <c:v>1.3867500000000001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70592"/>
        <c:axId val="109077248"/>
      </c:lineChart>
      <c:catAx>
        <c:axId val="10907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077248"/>
        <c:crosses val="autoZero"/>
        <c:auto val="1"/>
        <c:lblAlgn val="ctr"/>
        <c:lblOffset val="100"/>
        <c:noMultiLvlLbl val="0"/>
      </c:catAx>
      <c:valAx>
        <c:axId val="109077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070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diametros'!$G$228</c:f>
              <c:strCache>
                <c:ptCount val="1"/>
                <c:pt idx="0">
                  <c:v>50867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diametros'!$H$228:$K$228</c:f>
              <c:numCache>
                <c:formatCode>0.00</c:formatCode>
                <c:ptCount val="4"/>
                <c:pt idx="0">
                  <c:v>0.56774999999999998</c:v>
                </c:pt>
                <c:pt idx="1">
                  <c:v>0.73</c:v>
                </c:pt>
                <c:pt idx="2">
                  <c:v>0.76137500000000002</c:v>
                </c:pt>
                <c:pt idx="3">
                  <c:v>0.83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09632"/>
        <c:axId val="109111936"/>
      </c:lineChart>
      <c:catAx>
        <c:axId val="1091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111936"/>
        <c:crosses val="autoZero"/>
        <c:auto val="1"/>
        <c:lblAlgn val="ctr"/>
        <c:lblOffset val="100"/>
        <c:noMultiLvlLbl val="0"/>
      </c:catAx>
      <c:valAx>
        <c:axId val="10911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1096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diametros'!$G$230</c:f>
              <c:strCache>
                <c:ptCount val="1"/>
                <c:pt idx="0">
                  <c:v>50782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diametros'!$H$230:$K$230</c:f>
              <c:numCache>
                <c:formatCode>0.00</c:formatCode>
                <c:ptCount val="4"/>
                <c:pt idx="0">
                  <c:v>1.2250000000000001</c:v>
                </c:pt>
                <c:pt idx="1">
                  <c:v>1.296</c:v>
                </c:pt>
                <c:pt idx="2">
                  <c:v>1.3399999999999999</c:v>
                </c:pt>
                <c:pt idx="3">
                  <c:v>1.3619999999999999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93472"/>
        <c:axId val="109208320"/>
      </c:lineChart>
      <c:catAx>
        <c:axId val="10919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208320"/>
        <c:crosses val="autoZero"/>
        <c:auto val="1"/>
        <c:lblAlgn val="ctr"/>
        <c:lblOffset val="100"/>
        <c:noMultiLvlLbl val="0"/>
      </c:catAx>
      <c:valAx>
        <c:axId val="10920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1934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diametros'!$G$239</c:f>
              <c:strCache>
                <c:ptCount val="1"/>
                <c:pt idx="0">
                  <c:v>50571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diametros'!$H$239:$K$239</c:f>
              <c:numCache>
                <c:formatCode>0.00</c:formatCode>
                <c:ptCount val="4"/>
                <c:pt idx="0">
                  <c:v>0.87487500000000007</c:v>
                </c:pt>
                <c:pt idx="1">
                  <c:v>1.036</c:v>
                </c:pt>
                <c:pt idx="2">
                  <c:v>1.036</c:v>
                </c:pt>
                <c:pt idx="3">
                  <c:v>1.0483333333333333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diametros'!$G$240</c:f>
              <c:strCache>
                <c:ptCount val="1"/>
                <c:pt idx="0">
                  <c:v>50596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diametros'!$H$240:$K$240</c:f>
              <c:numCache>
                <c:formatCode>0.00</c:formatCode>
                <c:ptCount val="4"/>
                <c:pt idx="0">
                  <c:v>1.1043333333333332</c:v>
                </c:pt>
                <c:pt idx="1">
                  <c:v>1.409</c:v>
                </c:pt>
                <c:pt idx="2">
                  <c:v>1.4916666666666665</c:v>
                </c:pt>
                <c:pt idx="3">
                  <c:v>1.5683333333333331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diametros'!$G$241</c:f>
              <c:strCache>
                <c:ptCount val="1"/>
                <c:pt idx="0">
                  <c:v>50883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diametros'!$H$241:$K$241</c:f>
              <c:numCache>
                <c:formatCode>0.00</c:formatCode>
                <c:ptCount val="4"/>
                <c:pt idx="0">
                  <c:v>0.23700000000000002</c:v>
                </c:pt>
                <c:pt idx="1">
                  <c:v>0.28349999999999997</c:v>
                </c:pt>
                <c:pt idx="2">
                  <c:v>0.42749999999999999</c:v>
                </c:pt>
                <c:pt idx="3">
                  <c:v>0.63624999999999998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42240"/>
        <c:axId val="109244800"/>
      </c:lineChart>
      <c:catAx>
        <c:axId val="10924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244800"/>
        <c:crosses val="autoZero"/>
        <c:auto val="1"/>
        <c:lblAlgn val="ctr"/>
        <c:lblOffset val="100"/>
        <c:noMultiLvlLbl val="0"/>
      </c:catAx>
      <c:valAx>
        <c:axId val="109244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2422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diametros'!$G$243</c:f>
              <c:strCache>
                <c:ptCount val="1"/>
                <c:pt idx="0">
                  <c:v>50580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diametros'!$H$243:$K$243</c:f>
              <c:numCache>
                <c:formatCode>0.00</c:formatCode>
                <c:ptCount val="4"/>
                <c:pt idx="0">
                  <c:v>1.7649999999999999</c:v>
                </c:pt>
                <c:pt idx="1">
                  <c:v>1.85</c:v>
                </c:pt>
                <c:pt idx="2">
                  <c:v>1.85</c:v>
                </c:pt>
                <c:pt idx="3">
                  <c:v>1.8925000000000001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68992"/>
        <c:axId val="109271296"/>
      </c:lineChart>
      <c:catAx>
        <c:axId val="10926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271296"/>
        <c:crosses val="autoZero"/>
        <c:auto val="1"/>
        <c:lblAlgn val="ctr"/>
        <c:lblOffset val="100"/>
        <c:noMultiLvlLbl val="0"/>
      </c:catAx>
      <c:valAx>
        <c:axId val="109271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268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diametros'!$G$245</c:f>
              <c:strCache>
                <c:ptCount val="1"/>
                <c:pt idx="0">
                  <c:v>50545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diametros'!$H$245:$K$245</c:f>
              <c:numCache>
                <c:formatCode>0.00</c:formatCode>
                <c:ptCount val="4"/>
                <c:pt idx="0">
                  <c:v>0.95760000000000001</c:v>
                </c:pt>
                <c:pt idx="1">
                  <c:v>1.0740000000000001</c:v>
                </c:pt>
                <c:pt idx="2">
                  <c:v>1.1138000000000001</c:v>
                </c:pt>
                <c:pt idx="3">
                  <c:v>1.1138000000000001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diametros'!$G$246</c:f>
              <c:strCache>
                <c:ptCount val="1"/>
                <c:pt idx="0">
                  <c:v>50725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diametros'!$H$246:$K$246</c:f>
              <c:numCache>
                <c:formatCode>0.00</c:formatCode>
                <c:ptCount val="4"/>
                <c:pt idx="0">
                  <c:v>1.1123333333333334</c:v>
                </c:pt>
                <c:pt idx="1">
                  <c:v>1.1419999999999999</c:v>
                </c:pt>
                <c:pt idx="2">
                  <c:v>1.1816666666666666</c:v>
                </c:pt>
                <c:pt idx="3">
                  <c:v>1.4343333333333332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diametros'!$G$247</c:f>
              <c:strCache>
                <c:ptCount val="1"/>
                <c:pt idx="0">
                  <c:v>50732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diametros'!$H$247:$K$247</c:f>
              <c:numCache>
                <c:formatCode>0.00</c:formatCode>
                <c:ptCount val="4"/>
                <c:pt idx="0">
                  <c:v>1.3501000000000001</c:v>
                </c:pt>
                <c:pt idx="1">
                  <c:v>1.393</c:v>
                </c:pt>
                <c:pt idx="2">
                  <c:v>1.4593</c:v>
                </c:pt>
                <c:pt idx="3">
                  <c:v>1.5183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diametros'!$G$248</c:f>
              <c:strCache>
                <c:ptCount val="1"/>
                <c:pt idx="0">
                  <c:v>50833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diametros'!$H$248:$K$248</c:f>
              <c:numCache>
                <c:formatCode>0.00</c:formatCode>
                <c:ptCount val="4"/>
                <c:pt idx="0">
                  <c:v>0.83274999999999988</c:v>
                </c:pt>
                <c:pt idx="1">
                  <c:v>0.89</c:v>
                </c:pt>
                <c:pt idx="2">
                  <c:v>1</c:v>
                </c:pt>
                <c:pt idx="3">
                  <c:v>1.1612499999999999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diametros'!$G$249</c:f>
              <c:strCache>
                <c:ptCount val="1"/>
                <c:pt idx="0">
                  <c:v>50888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diametros'!$H$249:$K$249</c:f>
              <c:numCache>
                <c:formatCode>0.00</c:formatCode>
                <c:ptCount val="4"/>
                <c:pt idx="0">
                  <c:v>0.3076666666666667</c:v>
                </c:pt>
                <c:pt idx="1">
                  <c:v>0.34200000000000003</c:v>
                </c:pt>
                <c:pt idx="2">
                  <c:v>0.38500000000000001</c:v>
                </c:pt>
                <c:pt idx="3">
                  <c:v>0.57166666666666666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80736"/>
        <c:axId val="109383040"/>
      </c:lineChart>
      <c:catAx>
        <c:axId val="10938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383040"/>
        <c:crosses val="autoZero"/>
        <c:auto val="1"/>
        <c:lblAlgn val="ctr"/>
        <c:lblOffset val="100"/>
        <c:noMultiLvlLbl val="0"/>
      </c:catAx>
      <c:valAx>
        <c:axId val="109383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3807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diametros'!$G$251</c:f>
              <c:strCache>
                <c:ptCount val="1"/>
                <c:pt idx="0">
                  <c:v>50389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diametros'!$H$251:$K$251</c:f>
              <c:numCache>
                <c:formatCode>0.00</c:formatCode>
                <c:ptCount val="4"/>
                <c:pt idx="0">
                  <c:v>1.6552114081557117</c:v>
                </c:pt>
                <c:pt idx="1">
                  <c:v>1.655</c:v>
                </c:pt>
                <c:pt idx="2">
                  <c:v>1.655</c:v>
                </c:pt>
                <c:pt idx="3">
                  <c:v>1.655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diametros'!$G$252</c:f>
              <c:strCache>
                <c:ptCount val="1"/>
                <c:pt idx="0">
                  <c:v>50547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diametros'!$H$252:$K$252</c:f>
              <c:numCache>
                <c:formatCode>0.00</c:formatCode>
                <c:ptCount val="4"/>
                <c:pt idx="0">
                  <c:v>1.2414085561167836</c:v>
                </c:pt>
                <c:pt idx="1">
                  <c:v>1.2869999999999999</c:v>
                </c:pt>
                <c:pt idx="2">
                  <c:v>1.3466666666666667</c:v>
                </c:pt>
                <c:pt idx="3">
                  <c:v>1.5166666666666666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diametros'!$G$253</c:f>
              <c:strCache>
                <c:ptCount val="1"/>
                <c:pt idx="0">
                  <c:v>50676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diametros'!$H$253:$K$253</c:f>
              <c:numCache>
                <c:formatCode>0.00</c:formatCode>
                <c:ptCount val="4"/>
                <c:pt idx="0">
                  <c:v>2.8902537665488195</c:v>
                </c:pt>
                <c:pt idx="1">
                  <c:v>2.89</c:v>
                </c:pt>
                <c:pt idx="2">
                  <c:v>2.89</c:v>
                </c:pt>
                <c:pt idx="3">
                  <c:v>3.13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diametros'!$G$254</c:f>
              <c:strCache>
                <c:ptCount val="1"/>
                <c:pt idx="0">
                  <c:v>50884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diametros'!$H$254:$K$254</c:f>
              <c:numCache>
                <c:formatCode>0.00</c:formatCode>
                <c:ptCount val="4"/>
                <c:pt idx="0">
                  <c:v>0.29050000000000004</c:v>
                </c:pt>
                <c:pt idx="1">
                  <c:v>0.34</c:v>
                </c:pt>
                <c:pt idx="2">
                  <c:v>0.42125000000000001</c:v>
                </c:pt>
                <c:pt idx="3">
                  <c:v>0.56999999999999995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13888"/>
        <c:axId val="109424640"/>
      </c:lineChart>
      <c:catAx>
        <c:axId val="1094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424640"/>
        <c:crosses val="autoZero"/>
        <c:auto val="1"/>
        <c:lblAlgn val="ctr"/>
        <c:lblOffset val="100"/>
        <c:noMultiLvlLbl val="0"/>
      </c:catAx>
      <c:valAx>
        <c:axId val="109424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413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diametros'!$G$262</c:f>
              <c:strCache>
                <c:ptCount val="1"/>
                <c:pt idx="0">
                  <c:v>50744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diametros'!$H$262:$K$262</c:f>
              <c:numCache>
                <c:formatCode>0.00</c:formatCode>
                <c:ptCount val="4"/>
                <c:pt idx="0">
                  <c:v>1.4960564650638162</c:v>
                </c:pt>
                <c:pt idx="1">
                  <c:v>1.52</c:v>
                </c:pt>
                <c:pt idx="2">
                  <c:v>1.78</c:v>
                </c:pt>
                <c:pt idx="3">
                  <c:v>1.78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diametros'!$G$263</c:f>
              <c:strCache>
                <c:ptCount val="1"/>
                <c:pt idx="0">
                  <c:v>50865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diametros'!$H$263:$K$263</c:f>
              <c:numCache>
                <c:formatCode>0.00</c:formatCode>
                <c:ptCount val="4"/>
                <c:pt idx="0">
                  <c:v>0.73870000000000002</c:v>
                </c:pt>
                <c:pt idx="1">
                  <c:v>0.92</c:v>
                </c:pt>
                <c:pt idx="2">
                  <c:v>1.06</c:v>
                </c:pt>
                <c:pt idx="3">
                  <c:v>1.1930000000000001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57792"/>
        <c:axId val="109460096"/>
      </c:lineChart>
      <c:catAx>
        <c:axId val="10945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460096"/>
        <c:crosses val="autoZero"/>
        <c:auto val="1"/>
        <c:lblAlgn val="ctr"/>
        <c:lblOffset val="100"/>
        <c:noMultiLvlLbl val="0"/>
      </c:catAx>
      <c:valAx>
        <c:axId val="109460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457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8235120609923761"/>
          <c:w val="0.73367734693540665"/>
          <c:h val="0.5131963050073286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diametros'!$G$7</c:f>
              <c:strCache>
                <c:ptCount val="1"/>
                <c:pt idx="0">
                  <c:v>50754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diametros'!$H$7:$K$7</c:f>
              <c:numCache>
                <c:formatCode>0.00</c:formatCode>
                <c:ptCount val="4"/>
                <c:pt idx="0">
                  <c:v>1.6616000000000004</c:v>
                </c:pt>
                <c:pt idx="1">
                  <c:v>1.6890000000000001</c:v>
                </c:pt>
                <c:pt idx="2">
                  <c:v>1.7284999999999999</c:v>
                </c:pt>
                <c:pt idx="3">
                  <c:v>2.0785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diametros'!$G$8</c:f>
              <c:strCache>
                <c:ptCount val="1"/>
                <c:pt idx="0">
                  <c:v>50820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diametros'!$H$8:$K$8</c:f>
              <c:numCache>
                <c:formatCode>0.00</c:formatCode>
                <c:ptCount val="4"/>
                <c:pt idx="0">
                  <c:v>1.623</c:v>
                </c:pt>
                <c:pt idx="1">
                  <c:v>1.6259999999999999</c:v>
                </c:pt>
                <c:pt idx="2">
                  <c:v>1.6259999999999999</c:v>
                </c:pt>
                <c:pt idx="3">
                  <c:v>1.6259999999999999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06048"/>
        <c:axId val="82707200"/>
      </c:lineChart>
      <c:catAx>
        <c:axId val="8310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2707200"/>
        <c:crosses val="autoZero"/>
        <c:auto val="1"/>
        <c:lblAlgn val="ctr"/>
        <c:lblOffset val="100"/>
        <c:noMultiLvlLbl val="0"/>
      </c:catAx>
      <c:valAx>
        <c:axId val="82707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8310604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diametros'!$G$265</c:f>
              <c:strCache>
                <c:ptCount val="1"/>
                <c:pt idx="0">
                  <c:v>50846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diametros'!$H$265:$K$265</c:f>
              <c:numCache>
                <c:formatCode>0.00</c:formatCode>
                <c:ptCount val="4"/>
                <c:pt idx="0">
                  <c:v>1.525166666666667</c:v>
                </c:pt>
                <c:pt idx="1">
                  <c:v>1.601</c:v>
                </c:pt>
                <c:pt idx="2">
                  <c:v>1.7288333333333334</c:v>
                </c:pt>
                <c:pt idx="3">
                  <c:v>1.9949999999999999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diametros'!$G$266</c:f>
              <c:strCache>
                <c:ptCount val="1"/>
                <c:pt idx="0">
                  <c:v>50854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diametros'!$H$266:$K$266</c:f>
              <c:numCache>
                <c:formatCode>0.00</c:formatCode>
                <c:ptCount val="4"/>
                <c:pt idx="0">
                  <c:v>0.92174999999999996</c:v>
                </c:pt>
                <c:pt idx="1">
                  <c:v>0.97599999999999998</c:v>
                </c:pt>
                <c:pt idx="2">
                  <c:v>1.162625</c:v>
                </c:pt>
                <c:pt idx="3">
                  <c:v>1.48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97344"/>
        <c:axId val="109504000"/>
      </c:lineChart>
      <c:catAx>
        <c:axId val="10949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504000"/>
        <c:crosses val="autoZero"/>
        <c:auto val="1"/>
        <c:lblAlgn val="ctr"/>
        <c:lblOffset val="100"/>
        <c:noMultiLvlLbl val="0"/>
      </c:catAx>
      <c:valAx>
        <c:axId val="10950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4973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diametros'!$G$279</c:f>
              <c:strCache>
                <c:ptCount val="1"/>
                <c:pt idx="0">
                  <c:v>50845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diametros'!$H$279:$K$279</c:f>
              <c:numCache>
                <c:formatCode>0.00</c:formatCode>
                <c:ptCount val="4"/>
                <c:pt idx="0">
                  <c:v>0.48419999999999996</c:v>
                </c:pt>
                <c:pt idx="1">
                  <c:v>0.51200000000000001</c:v>
                </c:pt>
                <c:pt idx="2">
                  <c:v>0.60270000000000001</c:v>
                </c:pt>
                <c:pt idx="3">
                  <c:v>0.65500000000000003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85152"/>
        <c:axId val="109587456"/>
      </c:lineChart>
      <c:catAx>
        <c:axId val="1095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587456"/>
        <c:crosses val="autoZero"/>
        <c:auto val="1"/>
        <c:lblAlgn val="ctr"/>
        <c:lblOffset val="100"/>
        <c:noMultiLvlLbl val="0"/>
      </c:catAx>
      <c:valAx>
        <c:axId val="109587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585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diametros'!$G$289</c:f>
              <c:strCache>
                <c:ptCount val="1"/>
                <c:pt idx="0">
                  <c:v>50678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diametros'!$H$289:$K$289</c:f>
              <c:numCache>
                <c:formatCode>0.00</c:formatCode>
                <c:ptCount val="4"/>
                <c:pt idx="0">
                  <c:v>1.0609999999999999</c:v>
                </c:pt>
                <c:pt idx="1">
                  <c:v>1.4</c:v>
                </c:pt>
                <c:pt idx="2">
                  <c:v>1.4</c:v>
                </c:pt>
                <c:pt idx="3">
                  <c:v>1.41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diametros'!$G$290</c:f>
              <c:strCache>
                <c:ptCount val="1"/>
                <c:pt idx="0">
                  <c:v>50825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diametros'!$H$290:$K$290</c:f>
              <c:numCache>
                <c:formatCode>0.00</c:formatCode>
                <c:ptCount val="4"/>
                <c:pt idx="0">
                  <c:v>1.9258333333333333</c:v>
                </c:pt>
                <c:pt idx="1">
                  <c:v>2.06</c:v>
                </c:pt>
                <c:pt idx="2">
                  <c:v>2.2466666666666666</c:v>
                </c:pt>
                <c:pt idx="3">
                  <c:v>2.4950000000000006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08320"/>
        <c:axId val="109619072"/>
      </c:lineChart>
      <c:catAx>
        <c:axId val="10960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619072"/>
        <c:crosses val="autoZero"/>
        <c:auto val="1"/>
        <c:lblAlgn val="ctr"/>
        <c:lblOffset val="100"/>
        <c:noMultiLvlLbl val="0"/>
      </c:catAx>
      <c:valAx>
        <c:axId val="109619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608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diametros'!$G$292</c:f>
              <c:strCache>
                <c:ptCount val="1"/>
                <c:pt idx="0">
                  <c:v>50773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diametros'!$H$292:$K$292</c:f>
              <c:numCache>
                <c:formatCode>0.00</c:formatCode>
                <c:ptCount val="4"/>
                <c:pt idx="0">
                  <c:v>0.99199999999999999</c:v>
                </c:pt>
                <c:pt idx="1">
                  <c:v>1.107</c:v>
                </c:pt>
                <c:pt idx="2">
                  <c:v>1.35</c:v>
                </c:pt>
                <c:pt idx="3">
                  <c:v>1.44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diametros'!$G$293</c:f>
              <c:strCache>
                <c:ptCount val="1"/>
                <c:pt idx="0">
                  <c:v>50797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diametros'!$H$293:$K$293</c:f>
              <c:numCache>
                <c:formatCode>0.00</c:formatCode>
                <c:ptCount val="4"/>
                <c:pt idx="0">
                  <c:v>1.6519999999999999</c:v>
                </c:pt>
                <c:pt idx="1">
                  <c:v>1.6579999999999999</c:v>
                </c:pt>
                <c:pt idx="2">
                  <c:v>1.6791999999999998</c:v>
                </c:pt>
                <c:pt idx="3">
                  <c:v>1.6994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diametros'!$G$294</c:f>
              <c:strCache>
                <c:ptCount val="1"/>
                <c:pt idx="0">
                  <c:v>50816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diametros'!$H$294:$K$294</c:f>
              <c:numCache>
                <c:formatCode>0.00</c:formatCode>
                <c:ptCount val="4"/>
                <c:pt idx="0">
                  <c:v>0.99320000000000008</c:v>
                </c:pt>
                <c:pt idx="1">
                  <c:v>1.0960000000000001</c:v>
                </c:pt>
                <c:pt idx="2">
                  <c:v>1.1579000000000002</c:v>
                </c:pt>
                <c:pt idx="3">
                  <c:v>1.17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diametros'!$G$295</c:f>
              <c:strCache>
                <c:ptCount val="1"/>
                <c:pt idx="0">
                  <c:v>50839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diametros'!$H$295:$K$295</c:f>
              <c:numCache>
                <c:formatCode>0.00</c:formatCode>
                <c:ptCount val="4"/>
                <c:pt idx="0">
                  <c:v>1.1176666666666668</c:v>
                </c:pt>
                <c:pt idx="1">
                  <c:v>1.224</c:v>
                </c:pt>
                <c:pt idx="2">
                  <c:v>1.32</c:v>
                </c:pt>
                <c:pt idx="3">
                  <c:v>1.46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diametros'!$G$296</c:f>
              <c:strCache>
                <c:ptCount val="1"/>
                <c:pt idx="0">
                  <c:v>50868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diametros'!$H$296:$K$296</c:f>
              <c:numCache>
                <c:formatCode>0.00</c:formatCode>
                <c:ptCount val="4"/>
                <c:pt idx="0">
                  <c:v>1.153</c:v>
                </c:pt>
                <c:pt idx="1">
                  <c:v>1.3819999999999999</c:v>
                </c:pt>
                <c:pt idx="2">
                  <c:v>1.492</c:v>
                </c:pt>
                <c:pt idx="3">
                  <c:v>1.6900000000000002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24416"/>
        <c:axId val="109726720"/>
      </c:lineChart>
      <c:catAx>
        <c:axId val="1097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726720"/>
        <c:crosses val="autoZero"/>
        <c:auto val="1"/>
        <c:lblAlgn val="ctr"/>
        <c:lblOffset val="100"/>
        <c:noMultiLvlLbl val="0"/>
      </c:catAx>
      <c:valAx>
        <c:axId val="10972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724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diametros'!$G$298</c:f>
              <c:strCache>
                <c:ptCount val="1"/>
                <c:pt idx="0">
                  <c:v>50852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diametros'!$H$298:$K$298</c:f>
              <c:numCache>
                <c:formatCode>0.00</c:formatCode>
                <c:ptCount val="4"/>
                <c:pt idx="0">
                  <c:v>0.56225000000000003</c:v>
                </c:pt>
                <c:pt idx="1">
                  <c:v>0.65600000000000003</c:v>
                </c:pt>
                <c:pt idx="2">
                  <c:v>0.79000000000000015</c:v>
                </c:pt>
                <c:pt idx="3">
                  <c:v>0.98375000000000001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diametros'!$G$299</c:f>
              <c:strCache>
                <c:ptCount val="1"/>
                <c:pt idx="0">
                  <c:v>50861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diametros'!$H$299:$K$299</c:f>
              <c:numCache>
                <c:formatCode>0.00</c:formatCode>
                <c:ptCount val="4"/>
                <c:pt idx="0">
                  <c:v>0.42230000000000001</c:v>
                </c:pt>
                <c:pt idx="1">
                  <c:v>0.56000000000000005</c:v>
                </c:pt>
                <c:pt idx="2">
                  <c:v>0.61499999999999999</c:v>
                </c:pt>
                <c:pt idx="3">
                  <c:v>0.84199999999999997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43488"/>
        <c:axId val="109774720"/>
      </c:lineChart>
      <c:catAx>
        <c:axId val="10974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774720"/>
        <c:crosses val="autoZero"/>
        <c:auto val="1"/>
        <c:lblAlgn val="ctr"/>
        <c:lblOffset val="100"/>
        <c:noMultiLvlLbl val="0"/>
      </c:catAx>
      <c:valAx>
        <c:axId val="10977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743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diametros'!$G$301</c:f>
              <c:strCache>
                <c:ptCount val="1"/>
                <c:pt idx="0">
                  <c:v>50849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diametros'!$H$301:$K$301</c:f>
              <c:numCache>
                <c:formatCode>0.00</c:formatCode>
                <c:ptCount val="4"/>
                <c:pt idx="0">
                  <c:v>0.60299999999999998</c:v>
                </c:pt>
                <c:pt idx="1">
                  <c:v>0.67</c:v>
                </c:pt>
                <c:pt idx="2">
                  <c:v>0.67</c:v>
                </c:pt>
                <c:pt idx="3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07104"/>
        <c:axId val="109809664"/>
      </c:lineChart>
      <c:catAx>
        <c:axId val="10980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809664"/>
        <c:crosses val="autoZero"/>
        <c:auto val="1"/>
        <c:lblAlgn val="ctr"/>
        <c:lblOffset val="100"/>
        <c:noMultiLvlLbl val="0"/>
      </c:catAx>
      <c:valAx>
        <c:axId val="109809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807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diametros'!$G$303</c:f>
              <c:strCache>
                <c:ptCount val="1"/>
                <c:pt idx="0">
                  <c:v>50426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diametros'!$H$303:$K$303</c:f>
              <c:numCache>
                <c:formatCode>0.00</c:formatCode>
                <c:ptCount val="4"/>
                <c:pt idx="0">
                  <c:v>0.42700000000000005</c:v>
                </c:pt>
                <c:pt idx="1">
                  <c:v>0.47799999999999998</c:v>
                </c:pt>
                <c:pt idx="2">
                  <c:v>0.56174999999999997</c:v>
                </c:pt>
                <c:pt idx="3">
                  <c:v>0.77666666666666673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diametros'!$G$304</c:f>
              <c:strCache>
                <c:ptCount val="1"/>
                <c:pt idx="0">
                  <c:v>50618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diametros'!$H$304:$K$304</c:f>
              <c:numCache>
                <c:formatCode>0.00</c:formatCode>
                <c:ptCount val="4"/>
                <c:pt idx="0">
                  <c:v>0.26</c:v>
                </c:pt>
                <c:pt idx="1">
                  <c:v>0.30599999999999999</c:v>
                </c:pt>
                <c:pt idx="2">
                  <c:v>0.32833333333333331</c:v>
                </c:pt>
                <c:pt idx="3">
                  <c:v>0.39999999999999997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diametros'!$G$305</c:f>
              <c:strCache>
                <c:ptCount val="1"/>
                <c:pt idx="0">
                  <c:v>50706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diametros'!$H$305:$K$305</c:f>
              <c:numCache>
                <c:formatCode>0.00</c:formatCode>
                <c:ptCount val="4"/>
                <c:pt idx="0">
                  <c:v>0.40666666666666673</c:v>
                </c:pt>
                <c:pt idx="1">
                  <c:v>0.45400000000000001</c:v>
                </c:pt>
                <c:pt idx="2">
                  <c:v>0.52999999999999992</c:v>
                </c:pt>
                <c:pt idx="3">
                  <c:v>0.52999999999999992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diametros'!$G$306</c:f>
              <c:strCache>
                <c:ptCount val="1"/>
                <c:pt idx="0">
                  <c:v>50760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diametros'!$H$306:$K$306</c:f>
              <c:numCache>
                <c:formatCode>0.00</c:formatCode>
                <c:ptCount val="4"/>
                <c:pt idx="0">
                  <c:v>1.1399999999999999</c:v>
                </c:pt>
                <c:pt idx="1">
                  <c:v>1.143</c:v>
                </c:pt>
                <c:pt idx="2">
                  <c:v>1.1737500000000001</c:v>
                </c:pt>
                <c:pt idx="3">
                  <c:v>1.2416666666666667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diametros'!$G$307</c:f>
              <c:strCache>
                <c:ptCount val="1"/>
                <c:pt idx="0">
                  <c:v>50803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diametros'!$H$307:$K$307</c:f>
              <c:numCache>
                <c:formatCode>0.00</c:formatCode>
                <c:ptCount val="4"/>
                <c:pt idx="0">
                  <c:v>0.52749999999999997</c:v>
                </c:pt>
                <c:pt idx="1">
                  <c:v>0.55700000000000005</c:v>
                </c:pt>
                <c:pt idx="2">
                  <c:v>0.67512499999999998</c:v>
                </c:pt>
                <c:pt idx="3">
                  <c:v>0.73833333333333329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18848"/>
        <c:axId val="109933696"/>
      </c:lineChart>
      <c:catAx>
        <c:axId val="10991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933696"/>
        <c:crosses val="autoZero"/>
        <c:auto val="1"/>
        <c:lblAlgn val="ctr"/>
        <c:lblOffset val="100"/>
        <c:noMultiLvlLbl val="0"/>
      </c:catAx>
      <c:valAx>
        <c:axId val="109933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918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diametros'!$G$86</c:f>
              <c:strCache>
                <c:ptCount val="1"/>
                <c:pt idx="0">
                  <c:v>50851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diametros'!$H$86:$K$86</c:f>
              <c:numCache>
                <c:formatCode>0.00</c:formatCode>
                <c:ptCount val="4"/>
                <c:pt idx="0">
                  <c:v>0.54299999999999993</c:v>
                </c:pt>
                <c:pt idx="1">
                  <c:v>0.68</c:v>
                </c:pt>
                <c:pt idx="2">
                  <c:v>0.75</c:v>
                </c:pt>
                <c:pt idx="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53792"/>
        <c:axId val="109956096"/>
      </c:lineChart>
      <c:catAx>
        <c:axId val="10995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9956096"/>
        <c:crosses val="autoZero"/>
        <c:auto val="1"/>
        <c:lblAlgn val="ctr"/>
        <c:lblOffset val="100"/>
        <c:noMultiLvlLbl val="0"/>
      </c:catAx>
      <c:valAx>
        <c:axId val="109956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9953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diametros'!$G$104</c:f>
              <c:strCache>
                <c:ptCount val="1"/>
                <c:pt idx="0">
                  <c:v>50784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diametros'!$H$104:$K$104</c:f>
              <c:numCache>
                <c:formatCode>0.00</c:formatCode>
                <c:ptCount val="4"/>
                <c:pt idx="0">
                  <c:v>1.131</c:v>
                </c:pt>
                <c:pt idx="1">
                  <c:v>1.131</c:v>
                </c:pt>
                <c:pt idx="2">
                  <c:v>1.131</c:v>
                </c:pt>
                <c:pt idx="3">
                  <c:v>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37632"/>
        <c:axId val="110052480"/>
      </c:lineChart>
      <c:catAx>
        <c:axId val="110037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052480"/>
        <c:crosses val="autoZero"/>
        <c:auto val="1"/>
        <c:lblAlgn val="ctr"/>
        <c:lblOffset val="100"/>
        <c:noMultiLvlLbl val="0"/>
      </c:catAx>
      <c:valAx>
        <c:axId val="110052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0376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diametros'!$G$109</c:f>
              <c:strCache>
                <c:ptCount val="1"/>
                <c:pt idx="0">
                  <c:v>50342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diametros'!$H$109:$K$109</c:f>
              <c:numCache>
                <c:formatCode>0.00</c:formatCode>
                <c:ptCount val="4"/>
                <c:pt idx="0">
                  <c:v>1.2</c:v>
                </c:pt>
                <c:pt idx="1">
                  <c:v>1.34</c:v>
                </c:pt>
                <c:pt idx="2">
                  <c:v>1.34</c:v>
                </c:pt>
                <c:pt idx="3">
                  <c:v>1.35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diametros'!$G$110</c:f>
              <c:strCache>
                <c:ptCount val="1"/>
                <c:pt idx="0">
                  <c:v>50600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diametros'!$H$110:$K$110</c:f>
              <c:numCache>
                <c:formatCode>0.00</c:formatCode>
                <c:ptCount val="4"/>
                <c:pt idx="0">
                  <c:v>0.94</c:v>
                </c:pt>
                <c:pt idx="1">
                  <c:v>0.94</c:v>
                </c:pt>
                <c:pt idx="2">
                  <c:v>0.97</c:v>
                </c:pt>
                <c:pt idx="3">
                  <c:v>0.98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diametros'!$G$111</c:f>
              <c:strCache>
                <c:ptCount val="1"/>
                <c:pt idx="0">
                  <c:v>50622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diametros'!$H$111:$K$111</c:f>
              <c:numCache>
                <c:formatCode>0.00</c:formatCode>
                <c:ptCount val="4"/>
                <c:pt idx="0">
                  <c:v>0.58299999999999996</c:v>
                </c:pt>
                <c:pt idx="1">
                  <c:v>0.66</c:v>
                </c:pt>
                <c:pt idx="2">
                  <c:v>0.69</c:v>
                </c:pt>
                <c:pt idx="3">
                  <c:v>0.74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diametros'!$G$112</c:f>
              <c:strCache>
                <c:ptCount val="1"/>
                <c:pt idx="0">
                  <c:v>50694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diametros'!$H$112:$K$112</c:f>
              <c:numCache>
                <c:formatCode>0.00</c:formatCode>
                <c:ptCount val="4"/>
                <c:pt idx="0">
                  <c:v>1.0266666666666666</c:v>
                </c:pt>
                <c:pt idx="1">
                  <c:v>1.17</c:v>
                </c:pt>
                <c:pt idx="2">
                  <c:v>1.17</c:v>
                </c:pt>
                <c:pt idx="3">
                  <c:v>1.52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diametros'!$G$113</c:f>
              <c:strCache>
                <c:ptCount val="1"/>
                <c:pt idx="0">
                  <c:v>50696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diametros'!$H$113:$K$113</c:f>
              <c:numCache>
                <c:formatCode>0.00</c:formatCode>
                <c:ptCount val="4"/>
                <c:pt idx="0">
                  <c:v>0.74</c:v>
                </c:pt>
                <c:pt idx="1">
                  <c:v>0.97</c:v>
                </c:pt>
                <c:pt idx="2">
                  <c:v>1.07</c:v>
                </c:pt>
                <c:pt idx="3">
                  <c:v>1.08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'Graficos diametros'!$G$114</c:f>
              <c:strCache>
                <c:ptCount val="1"/>
                <c:pt idx="0">
                  <c:v>50826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diametros'!$H$114:$K$114</c:f>
              <c:numCache>
                <c:formatCode>0.00</c:formatCode>
                <c:ptCount val="4"/>
                <c:pt idx="0">
                  <c:v>0.65033333333333343</c:v>
                </c:pt>
                <c:pt idx="1">
                  <c:v>0.66800000000000004</c:v>
                </c:pt>
                <c:pt idx="2">
                  <c:v>0.79150000000000009</c:v>
                </c:pt>
                <c:pt idx="3">
                  <c:v>0.85716666666666663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'Graficos diametros'!$G$115</c:f>
              <c:strCache>
                <c:ptCount val="1"/>
                <c:pt idx="0">
                  <c:v>50663_01_09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diametros'!$H$115:$K$115</c:f>
              <c:numCache>
                <c:formatCode>0.00</c:formatCode>
                <c:ptCount val="4"/>
                <c:pt idx="0">
                  <c:v>1.1180000000000001</c:v>
                </c:pt>
                <c:pt idx="1">
                  <c:v>1.1419999999999999</c:v>
                </c:pt>
                <c:pt idx="2">
                  <c:v>1.1695</c:v>
                </c:pt>
                <c:pt idx="3">
                  <c:v>1.3660000000000001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'Graficos diametros'!$G$116</c:f>
              <c:strCache>
                <c:ptCount val="1"/>
                <c:pt idx="0">
                  <c:v>50663_05_13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diametros'!$H$116:$K$116</c:f>
              <c:numCache>
                <c:formatCode>0.00</c:formatCode>
                <c:ptCount val="4"/>
                <c:pt idx="0">
                  <c:v>0.63</c:v>
                </c:pt>
                <c:pt idx="1">
                  <c:v>0.63</c:v>
                </c:pt>
                <c:pt idx="2">
                  <c:v>0.64</c:v>
                </c:pt>
                <c:pt idx="3">
                  <c:v>0.66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'Graficos diametros'!$G$117</c:f>
              <c:strCache>
                <c:ptCount val="1"/>
                <c:pt idx="0">
                  <c:v>50785_05_03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diametros'!$H$117:$K$117</c:f>
              <c:numCache>
                <c:formatCode>0.00</c:formatCode>
                <c:ptCount val="4"/>
                <c:pt idx="0">
                  <c:v>1.0549999999999999</c:v>
                </c:pt>
                <c:pt idx="1">
                  <c:v>1.0920000000000001</c:v>
                </c:pt>
                <c:pt idx="2">
                  <c:v>1.1623750000000002</c:v>
                </c:pt>
                <c:pt idx="3">
                  <c:v>1.18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'Graficos diametros'!$G$118</c:f>
              <c:strCache>
                <c:ptCount val="1"/>
                <c:pt idx="0">
                  <c:v>50785_05_13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diametros'!$H$118:$K$118</c:f>
              <c:numCache>
                <c:formatCode>0.00</c:formatCode>
                <c:ptCount val="4"/>
                <c:pt idx="0">
                  <c:v>0.85</c:v>
                </c:pt>
                <c:pt idx="1">
                  <c:v>0.93</c:v>
                </c:pt>
                <c:pt idx="2">
                  <c:v>1.0619999999999998</c:v>
                </c:pt>
                <c:pt idx="3">
                  <c:v>1.0739999999999998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20960"/>
        <c:axId val="110123264"/>
      </c:lineChart>
      <c:catAx>
        <c:axId val="11012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123264"/>
        <c:crosses val="autoZero"/>
        <c:auto val="1"/>
        <c:lblAlgn val="ctr"/>
        <c:lblOffset val="100"/>
        <c:noMultiLvlLbl val="0"/>
      </c:catAx>
      <c:valAx>
        <c:axId val="110123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120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8823238004340361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diametros'!$G$10</c:f>
              <c:strCache>
                <c:ptCount val="1"/>
                <c:pt idx="0">
                  <c:v>50707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diametros'!$H$10:$K$10</c:f>
              <c:numCache>
                <c:formatCode>0.00</c:formatCode>
                <c:ptCount val="4"/>
                <c:pt idx="0">
                  <c:v>0.68099999999999994</c:v>
                </c:pt>
                <c:pt idx="1">
                  <c:v>0.85</c:v>
                </c:pt>
                <c:pt idx="2">
                  <c:v>0.85</c:v>
                </c:pt>
                <c:pt idx="3">
                  <c:v>0.86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diametros'!$G$11</c:f>
              <c:strCache>
                <c:ptCount val="1"/>
                <c:pt idx="0">
                  <c:v>50863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diametros'!$H$11:$K$11</c:f>
              <c:numCache>
                <c:formatCode>0.00</c:formatCode>
                <c:ptCount val="4"/>
                <c:pt idx="0">
                  <c:v>0.64939999999999998</c:v>
                </c:pt>
                <c:pt idx="1">
                  <c:v>0.95</c:v>
                </c:pt>
                <c:pt idx="2">
                  <c:v>1.044</c:v>
                </c:pt>
                <c:pt idx="3">
                  <c:v>1.2413000000000001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3968"/>
        <c:axId val="82726272"/>
      </c:lineChart>
      <c:catAx>
        <c:axId val="8272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2726272"/>
        <c:crosses val="autoZero"/>
        <c:auto val="1"/>
        <c:lblAlgn val="ctr"/>
        <c:lblOffset val="100"/>
        <c:noMultiLvlLbl val="0"/>
      </c:catAx>
      <c:valAx>
        <c:axId val="82726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8272396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diametros'!$G$126</c:f>
              <c:strCache>
                <c:ptCount val="1"/>
                <c:pt idx="0">
                  <c:v>50881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diametros'!$H$126:$K$126</c:f>
              <c:numCache>
                <c:formatCode>0.00</c:formatCode>
                <c:ptCount val="4"/>
                <c:pt idx="0">
                  <c:v>0.26100000000000001</c:v>
                </c:pt>
                <c:pt idx="1">
                  <c:v>0.32</c:v>
                </c:pt>
                <c:pt idx="2">
                  <c:v>0.4244444444444444</c:v>
                </c:pt>
                <c:pt idx="3">
                  <c:v>0.59333333333333327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1552"/>
        <c:axId val="110158208"/>
      </c:lineChart>
      <c:catAx>
        <c:axId val="11015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158208"/>
        <c:crosses val="autoZero"/>
        <c:auto val="1"/>
        <c:lblAlgn val="ctr"/>
        <c:lblOffset val="100"/>
        <c:noMultiLvlLbl val="0"/>
      </c:catAx>
      <c:valAx>
        <c:axId val="110158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1515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diametros'!$G$131</c:f>
              <c:strCache>
                <c:ptCount val="1"/>
                <c:pt idx="0">
                  <c:v>50743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diametros'!$H$131:$K$131</c:f>
              <c:numCache>
                <c:formatCode>0.00</c:formatCode>
                <c:ptCount val="4"/>
                <c:pt idx="0">
                  <c:v>0.503</c:v>
                </c:pt>
                <c:pt idx="1">
                  <c:v>0.53900000000000003</c:v>
                </c:pt>
                <c:pt idx="2">
                  <c:v>0.65</c:v>
                </c:pt>
                <c:pt idx="3">
                  <c:v>0.74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diametros'!$G$132</c:f>
              <c:strCache>
                <c:ptCount val="1"/>
                <c:pt idx="0">
                  <c:v>50847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diametros'!$H$132:$K$132</c:f>
              <c:numCache>
                <c:formatCode>0.00</c:formatCode>
                <c:ptCount val="4"/>
                <c:pt idx="0">
                  <c:v>0.45149999999999996</c:v>
                </c:pt>
                <c:pt idx="1">
                  <c:v>0.497</c:v>
                </c:pt>
                <c:pt idx="2">
                  <c:v>0.67400000000000004</c:v>
                </c:pt>
                <c:pt idx="3">
                  <c:v>0.93599999999999994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diametros'!$G$133</c:f>
              <c:strCache>
                <c:ptCount val="1"/>
                <c:pt idx="0">
                  <c:v>50862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diametros'!$H$133:$K$133</c:f>
              <c:numCache>
                <c:formatCode>0.00</c:formatCode>
                <c:ptCount val="4"/>
                <c:pt idx="0">
                  <c:v>0.64260000000000006</c:v>
                </c:pt>
                <c:pt idx="1">
                  <c:v>0.72599999999999998</c:v>
                </c:pt>
                <c:pt idx="2">
                  <c:v>0.91429999999999989</c:v>
                </c:pt>
                <c:pt idx="3">
                  <c:v>1.2200000000000002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83936"/>
        <c:axId val="110190592"/>
      </c:lineChart>
      <c:catAx>
        <c:axId val="11018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190592"/>
        <c:crosses val="autoZero"/>
        <c:auto val="1"/>
        <c:lblAlgn val="ctr"/>
        <c:lblOffset val="100"/>
        <c:noMultiLvlLbl val="0"/>
      </c:catAx>
      <c:valAx>
        <c:axId val="110190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183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diametros'!$G$135</c:f>
              <c:strCache>
                <c:ptCount val="1"/>
                <c:pt idx="0">
                  <c:v>50844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diametros'!$H$135:$K$135</c:f>
              <c:numCache>
                <c:formatCode>0.00</c:formatCode>
                <c:ptCount val="4"/>
                <c:pt idx="0">
                  <c:v>0.52200000000000002</c:v>
                </c:pt>
                <c:pt idx="1">
                  <c:v>0.63100000000000001</c:v>
                </c:pt>
                <c:pt idx="2">
                  <c:v>0.90111111111111108</c:v>
                </c:pt>
                <c:pt idx="3">
                  <c:v>1.2355555555555557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02240"/>
        <c:axId val="110221184"/>
      </c:lineChart>
      <c:catAx>
        <c:axId val="1102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221184"/>
        <c:crosses val="autoZero"/>
        <c:auto val="1"/>
        <c:lblAlgn val="ctr"/>
        <c:lblOffset val="100"/>
        <c:noMultiLvlLbl val="0"/>
      </c:catAx>
      <c:valAx>
        <c:axId val="110221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2022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diametros'!$G$168</c:f>
              <c:strCache>
                <c:ptCount val="1"/>
                <c:pt idx="0">
                  <c:v>50848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diametros'!$H$168:$K$168</c:f>
              <c:numCache>
                <c:formatCode>0.00</c:formatCode>
                <c:ptCount val="4"/>
                <c:pt idx="0">
                  <c:v>0.5</c:v>
                </c:pt>
                <c:pt idx="1">
                  <c:v>0.55000000000000004</c:v>
                </c:pt>
                <c:pt idx="2">
                  <c:v>0.57999999999999996</c:v>
                </c:pt>
                <c:pt idx="3">
                  <c:v>0.70749999999999991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10912"/>
        <c:axId val="110317568"/>
      </c:lineChart>
      <c:catAx>
        <c:axId val="1103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317568"/>
        <c:crosses val="autoZero"/>
        <c:auto val="1"/>
        <c:lblAlgn val="ctr"/>
        <c:lblOffset val="100"/>
        <c:noMultiLvlLbl val="0"/>
      </c:catAx>
      <c:valAx>
        <c:axId val="110317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3109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diametros'!$G$180</c:f>
              <c:strCache>
                <c:ptCount val="1"/>
                <c:pt idx="0">
                  <c:v>50692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diametros'!$H$180:$K$180</c:f>
              <c:numCache>
                <c:formatCode>0.00</c:formatCode>
                <c:ptCount val="4"/>
                <c:pt idx="0">
                  <c:v>0.25010000000000004</c:v>
                </c:pt>
                <c:pt idx="1">
                  <c:v>0.28100000000000003</c:v>
                </c:pt>
                <c:pt idx="2">
                  <c:v>0.33809999999999996</c:v>
                </c:pt>
                <c:pt idx="3">
                  <c:v>0.42333333333333334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diametros'!$G$181</c:f>
              <c:strCache>
                <c:ptCount val="1"/>
                <c:pt idx="0">
                  <c:v>50746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diametros'!$H$181:$K$181</c:f>
              <c:numCache>
                <c:formatCode>0.00</c:formatCode>
                <c:ptCount val="4"/>
                <c:pt idx="0">
                  <c:v>0.53333333333333333</c:v>
                </c:pt>
                <c:pt idx="1">
                  <c:v>0.56799999999999995</c:v>
                </c:pt>
                <c:pt idx="2">
                  <c:v>0.73099999999999998</c:v>
                </c:pt>
                <c:pt idx="3">
                  <c:v>0.8666666666666667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diametros'!$G$182</c:f>
              <c:strCache>
                <c:ptCount val="1"/>
                <c:pt idx="0">
                  <c:v>50804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diametros'!$H$182:$K$182</c:f>
              <c:numCache>
                <c:formatCode>0.00</c:formatCode>
                <c:ptCount val="4"/>
                <c:pt idx="0">
                  <c:v>0.69799999999999995</c:v>
                </c:pt>
                <c:pt idx="1">
                  <c:v>0.77400000000000002</c:v>
                </c:pt>
                <c:pt idx="2">
                  <c:v>0.77400000000000002</c:v>
                </c:pt>
                <c:pt idx="3">
                  <c:v>0.78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55584"/>
        <c:axId val="110357888"/>
      </c:lineChart>
      <c:catAx>
        <c:axId val="11035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357888"/>
        <c:crosses val="autoZero"/>
        <c:auto val="1"/>
        <c:lblAlgn val="ctr"/>
        <c:lblOffset val="100"/>
        <c:noMultiLvlLbl val="0"/>
      </c:catAx>
      <c:valAx>
        <c:axId val="110357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3555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diametros'!$G$184</c:f>
              <c:strCache>
                <c:ptCount val="1"/>
                <c:pt idx="0">
                  <c:v>50776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diametros'!$H$184:$K$184</c:f>
              <c:numCache>
                <c:formatCode>0.00</c:formatCode>
                <c:ptCount val="4"/>
                <c:pt idx="0">
                  <c:v>0.628</c:v>
                </c:pt>
                <c:pt idx="1">
                  <c:v>0.83</c:v>
                </c:pt>
                <c:pt idx="2">
                  <c:v>0.9</c:v>
                </c:pt>
                <c:pt idx="3">
                  <c:v>1.31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86176"/>
        <c:axId val="110392832"/>
      </c:lineChart>
      <c:catAx>
        <c:axId val="11038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392832"/>
        <c:crosses val="autoZero"/>
        <c:auto val="1"/>
        <c:lblAlgn val="ctr"/>
        <c:lblOffset val="100"/>
        <c:noMultiLvlLbl val="0"/>
      </c:catAx>
      <c:valAx>
        <c:axId val="110392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386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diametros'!$G$188</c:f>
              <c:strCache>
                <c:ptCount val="1"/>
                <c:pt idx="0">
                  <c:v>50817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diametros'!$H$188:$K$188</c:f>
              <c:numCache>
                <c:formatCode>0.00</c:formatCode>
                <c:ptCount val="4"/>
                <c:pt idx="0">
                  <c:v>0.66300000000000003</c:v>
                </c:pt>
                <c:pt idx="1">
                  <c:v>0.69499999999999995</c:v>
                </c:pt>
                <c:pt idx="2">
                  <c:v>0.72899999999999998</c:v>
                </c:pt>
                <c:pt idx="3">
                  <c:v>0.82400000000000007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diametros'!$G$189</c:f>
              <c:strCache>
                <c:ptCount val="1"/>
                <c:pt idx="0">
                  <c:v>50821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diametros'!$H$189:$K$189</c:f>
              <c:numCache>
                <c:formatCode>0.00</c:formatCode>
                <c:ptCount val="4"/>
                <c:pt idx="0">
                  <c:v>0.85</c:v>
                </c:pt>
                <c:pt idx="1">
                  <c:v>0.88900000000000001</c:v>
                </c:pt>
                <c:pt idx="2">
                  <c:v>1.0110999999999999</c:v>
                </c:pt>
                <c:pt idx="3">
                  <c:v>1.1349999999999998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diametros'!$G$190</c:f>
              <c:strCache>
                <c:ptCount val="1"/>
                <c:pt idx="0">
                  <c:v>50882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diametros'!$H$190:$K$190</c:f>
              <c:numCache>
                <c:formatCode>0.00</c:formatCode>
                <c:ptCount val="4"/>
                <c:pt idx="0">
                  <c:v>0.24111111111111111</c:v>
                </c:pt>
                <c:pt idx="1">
                  <c:v>0.27100000000000002</c:v>
                </c:pt>
                <c:pt idx="2">
                  <c:v>0.29777777777777775</c:v>
                </c:pt>
                <c:pt idx="3">
                  <c:v>0.42333333333333339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22656"/>
        <c:axId val="110498944"/>
      </c:lineChart>
      <c:catAx>
        <c:axId val="11042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498944"/>
        <c:crosses val="autoZero"/>
        <c:auto val="1"/>
        <c:lblAlgn val="ctr"/>
        <c:lblOffset val="100"/>
        <c:noMultiLvlLbl val="0"/>
      </c:catAx>
      <c:valAx>
        <c:axId val="110498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422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diametros'!$G$212</c:f>
              <c:strCache>
                <c:ptCount val="1"/>
                <c:pt idx="0">
                  <c:v>50113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diametros'!$H$212:$K$212</c:f>
              <c:numCache>
                <c:formatCode>0.00</c:formatCode>
                <c:ptCount val="4"/>
                <c:pt idx="0">
                  <c:v>1.1653749999999998</c:v>
                </c:pt>
                <c:pt idx="1">
                  <c:v>1.252</c:v>
                </c:pt>
                <c:pt idx="2">
                  <c:v>1.3243750000000001</c:v>
                </c:pt>
                <c:pt idx="3">
                  <c:v>1.3431250000000001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diametros'!$G$213</c:f>
              <c:strCache>
                <c:ptCount val="1"/>
                <c:pt idx="0">
                  <c:v>50761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diametros'!$H$213:$K$213</c:f>
              <c:numCache>
                <c:formatCode>0.00</c:formatCode>
                <c:ptCount val="4"/>
                <c:pt idx="0">
                  <c:v>0.9677</c:v>
                </c:pt>
                <c:pt idx="1">
                  <c:v>1.004</c:v>
                </c:pt>
                <c:pt idx="2">
                  <c:v>1.0134999999999998</c:v>
                </c:pt>
                <c:pt idx="3">
                  <c:v>1.0857777777777777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23904"/>
        <c:axId val="110530560"/>
      </c:lineChart>
      <c:catAx>
        <c:axId val="11052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530560"/>
        <c:crosses val="autoZero"/>
        <c:auto val="1"/>
        <c:lblAlgn val="ctr"/>
        <c:lblOffset val="100"/>
        <c:noMultiLvlLbl val="0"/>
      </c:catAx>
      <c:valAx>
        <c:axId val="110530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5239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diametros'!$G$224</c:f>
              <c:strCache>
                <c:ptCount val="1"/>
                <c:pt idx="0">
                  <c:v>50634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diametros'!$H$224:$K$224</c:f>
              <c:numCache>
                <c:formatCode>0.00</c:formatCode>
                <c:ptCount val="4"/>
                <c:pt idx="0">
                  <c:v>0.45999999999999996</c:v>
                </c:pt>
                <c:pt idx="1">
                  <c:v>0.6</c:v>
                </c:pt>
                <c:pt idx="2">
                  <c:v>0.6</c:v>
                </c:pt>
                <c:pt idx="3">
                  <c:v>0.66999999999999993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38112"/>
        <c:axId val="110557056"/>
      </c:lineChart>
      <c:catAx>
        <c:axId val="11053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557056"/>
        <c:crosses val="autoZero"/>
        <c:auto val="1"/>
        <c:lblAlgn val="ctr"/>
        <c:lblOffset val="100"/>
        <c:noMultiLvlLbl val="0"/>
      </c:catAx>
      <c:valAx>
        <c:axId val="11055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538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diametros'!$G$258</c:f>
              <c:strCache>
                <c:ptCount val="1"/>
                <c:pt idx="0">
                  <c:v>50681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diametros'!$H$258:$K$258</c:f>
              <c:numCache>
                <c:formatCode>0.00</c:formatCode>
                <c:ptCount val="4"/>
                <c:pt idx="0">
                  <c:v>1.2729999999999999</c:v>
                </c:pt>
                <c:pt idx="1">
                  <c:v>1.2729999999999999</c:v>
                </c:pt>
                <c:pt idx="2">
                  <c:v>1.2729999999999999</c:v>
                </c:pt>
                <c:pt idx="3">
                  <c:v>2.81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diametros'!$G$259</c:f>
              <c:strCache>
                <c:ptCount val="1"/>
                <c:pt idx="0">
                  <c:v>50718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diametros'!$H$259:$K$259</c:f>
              <c:numCache>
                <c:formatCode>0.00</c:formatCode>
                <c:ptCount val="4"/>
                <c:pt idx="0">
                  <c:v>1.4248749999999999</c:v>
                </c:pt>
                <c:pt idx="1">
                  <c:v>1.4570000000000001</c:v>
                </c:pt>
                <c:pt idx="2">
                  <c:v>1.5579999999999998</c:v>
                </c:pt>
                <c:pt idx="3">
                  <c:v>1.6377999999999999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diametros'!$G$260</c:f>
              <c:strCache>
                <c:ptCount val="1"/>
                <c:pt idx="0">
                  <c:v>50745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diametros'!$H$260:$K$260</c:f>
              <c:numCache>
                <c:formatCode>0.00</c:formatCode>
                <c:ptCount val="4"/>
                <c:pt idx="0">
                  <c:v>1.7508333333333335</c:v>
                </c:pt>
                <c:pt idx="1">
                  <c:v>1.7509999999999999</c:v>
                </c:pt>
                <c:pt idx="2">
                  <c:v>1.7658333333333334</c:v>
                </c:pt>
                <c:pt idx="3">
                  <c:v>2.0019999999999998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82784"/>
        <c:axId val="110593536"/>
      </c:lineChart>
      <c:catAx>
        <c:axId val="11058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593536"/>
        <c:crosses val="autoZero"/>
        <c:auto val="1"/>
        <c:lblAlgn val="ctr"/>
        <c:lblOffset val="100"/>
        <c:noMultiLvlLbl val="0"/>
      </c:catAx>
      <c:valAx>
        <c:axId val="110593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5827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3721050300811168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diametros'!$G$13</c:f>
              <c:strCache>
                <c:ptCount val="1"/>
                <c:pt idx="0">
                  <c:v>50698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diametros'!$H$13:$K$13</c:f>
              <c:numCache>
                <c:formatCode>0.00</c:formatCode>
                <c:ptCount val="4"/>
                <c:pt idx="0">
                  <c:v>0.67799999999999994</c:v>
                </c:pt>
                <c:pt idx="1">
                  <c:v>0.74399999999999999</c:v>
                </c:pt>
                <c:pt idx="2">
                  <c:v>0.75000000000000011</c:v>
                </c:pt>
                <c:pt idx="3">
                  <c:v>0.95499999999999996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diametros'!$G$14</c:f>
              <c:strCache>
                <c:ptCount val="1"/>
                <c:pt idx="0">
                  <c:v>50798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diametros'!$H$14:$K$14</c:f>
              <c:numCache>
                <c:formatCode>0.00</c:formatCode>
                <c:ptCount val="4"/>
                <c:pt idx="0">
                  <c:v>0.73499999999999999</c:v>
                </c:pt>
                <c:pt idx="1">
                  <c:v>0.80200000000000005</c:v>
                </c:pt>
                <c:pt idx="2">
                  <c:v>0.8666666666666667</c:v>
                </c:pt>
                <c:pt idx="3">
                  <c:v>0.95666666666666667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diametros'!$G$15</c:f>
              <c:strCache>
                <c:ptCount val="1"/>
                <c:pt idx="0">
                  <c:v>50856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diametros'!$H$15:$K$15</c:f>
              <c:numCache>
                <c:formatCode>0.00</c:formatCode>
                <c:ptCount val="4"/>
                <c:pt idx="0">
                  <c:v>0.66166666666666663</c:v>
                </c:pt>
                <c:pt idx="1">
                  <c:v>0.72699999999999998</c:v>
                </c:pt>
                <c:pt idx="2">
                  <c:v>0.77833333333333343</c:v>
                </c:pt>
                <c:pt idx="3">
                  <c:v>0.89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diametros'!$G$16</c:f>
              <c:strCache>
                <c:ptCount val="1"/>
                <c:pt idx="0">
                  <c:v>50864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diametros'!$H$16:$K$16</c:f>
              <c:numCache>
                <c:formatCode>0.00</c:formatCode>
                <c:ptCount val="4"/>
                <c:pt idx="0">
                  <c:v>0.86850000000000005</c:v>
                </c:pt>
                <c:pt idx="1">
                  <c:v>1.099</c:v>
                </c:pt>
                <c:pt idx="2">
                  <c:v>1.3274999999999999</c:v>
                </c:pt>
                <c:pt idx="3">
                  <c:v>1.48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69408"/>
        <c:axId val="82780160"/>
      </c:lineChart>
      <c:catAx>
        <c:axId val="8276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2780160"/>
        <c:crosses val="autoZero"/>
        <c:auto val="1"/>
        <c:lblAlgn val="ctr"/>
        <c:lblOffset val="100"/>
        <c:noMultiLvlLbl val="0"/>
      </c:catAx>
      <c:valAx>
        <c:axId val="82780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8276940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diametros'!$G$47</c:f>
              <c:strCache>
                <c:ptCount val="1"/>
                <c:pt idx="0">
                  <c:v>50774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diametros'!$H$47:$K$47</c:f>
              <c:numCache>
                <c:formatCode>0.00</c:formatCode>
                <c:ptCount val="4"/>
                <c:pt idx="0">
                  <c:v>1.175</c:v>
                </c:pt>
                <c:pt idx="1">
                  <c:v>1.31</c:v>
                </c:pt>
                <c:pt idx="2">
                  <c:v>1.31</c:v>
                </c:pt>
                <c:pt idx="3">
                  <c:v>1.3149999999999999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diametros'!$G$48</c:f>
              <c:strCache>
                <c:ptCount val="1"/>
                <c:pt idx="0">
                  <c:v>50808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diametros'!$H$48:$K$48</c:f>
              <c:numCache>
                <c:formatCode>0.00</c:formatCode>
                <c:ptCount val="4"/>
                <c:pt idx="0">
                  <c:v>1.0670000000000002</c:v>
                </c:pt>
                <c:pt idx="1">
                  <c:v>1.115</c:v>
                </c:pt>
                <c:pt idx="2">
                  <c:v>1.1446000000000001</c:v>
                </c:pt>
                <c:pt idx="3">
                  <c:v>1.1975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22592"/>
        <c:axId val="110694784"/>
      </c:lineChart>
      <c:catAx>
        <c:axId val="11062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694784"/>
        <c:crosses val="autoZero"/>
        <c:auto val="1"/>
        <c:lblAlgn val="ctr"/>
        <c:lblOffset val="100"/>
        <c:noMultiLvlLbl val="0"/>
      </c:catAx>
      <c:valAx>
        <c:axId val="110694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622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diametros'!$G$273</c:f>
              <c:strCache>
                <c:ptCount val="1"/>
                <c:pt idx="0">
                  <c:v>50530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diametros'!$H$273:$K$273</c:f>
              <c:numCache>
                <c:formatCode>0.00</c:formatCode>
                <c:ptCount val="4"/>
                <c:pt idx="0">
                  <c:v>1.8993333333333335</c:v>
                </c:pt>
                <c:pt idx="1">
                  <c:v>1.964</c:v>
                </c:pt>
                <c:pt idx="2">
                  <c:v>1.9643333333333335</c:v>
                </c:pt>
                <c:pt idx="3">
                  <c:v>2.1283333333333334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18976"/>
        <c:axId val="110721280"/>
      </c:lineChart>
      <c:catAx>
        <c:axId val="11071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721280"/>
        <c:crosses val="autoZero"/>
        <c:auto val="1"/>
        <c:lblAlgn val="ctr"/>
        <c:lblOffset val="100"/>
        <c:noMultiLvlLbl val="0"/>
      </c:catAx>
      <c:valAx>
        <c:axId val="110721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718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diametros'!$G$275</c:f>
              <c:strCache>
                <c:ptCount val="1"/>
                <c:pt idx="0">
                  <c:v>50603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diametros'!$H$275:$K$275</c:f>
              <c:numCache>
                <c:formatCode>0.00</c:formatCode>
                <c:ptCount val="4"/>
                <c:pt idx="0">
                  <c:v>1.6680000000000001</c:v>
                </c:pt>
                <c:pt idx="1">
                  <c:v>1.84</c:v>
                </c:pt>
                <c:pt idx="2">
                  <c:v>1.84</c:v>
                </c:pt>
                <c:pt idx="3">
                  <c:v>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65952"/>
        <c:axId val="110768512"/>
      </c:lineChart>
      <c:catAx>
        <c:axId val="11076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768512"/>
        <c:crosses val="autoZero"/>
        <c:auto val="1"/>
        <c:lblAlgn val="ctr"/>
        <c:lblOffset val="100"/>
        <c:noMultiLvlLbl val="0"/>
      </c:catAx>
      <c:valAx>
        <c:axId val="110768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7659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diametros'!$G$277</c:f>
              <c:strCache>
                <c:ptCount val="1"/>
                <c:pt idx="0">
                  <c:v>50869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diametros'!$H$277:$K$277</c:f>
              <c:numCache>
                <c:formatCode>0.00</c:formatCode>
                <c:ptCount val="4"/>
                <c:pt idx="0">
                  <c:v>0.35274999999999995</c:v>
                </c:pt>
                <c:pt idx="1">
                  <c:v>0.39400000000000002</c:v>
                </c:pt>
                <c:pt idx="2">
                  <c:v>0.49100000000000005</c:v>
                </c:pt>
                <c:pt idx="3">
                  <c:v>0.51749999999999996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84512"/>
        <c:axId val="110786816"/>
      </c:lineChart>
      <c:catAx>
        <c:axId val="11078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786816"/>
        <c:crosses val="autoZero"/>
        <c:auto val="1"/>
        <c:lblAlgn val="ctr"/>
        <c:lblOffset val="100"/>
        <c:noMultiLvlLbl val="0"/>
      </c:catAx>
      <c:valAx>
        <c:axId val="110786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784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diametros'!$G$283</c:f>
              <c:strCache>
                <c:ptCount val="1"/>
                <c:pt idx="0">
                  <c:v>50741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diametros'!$H$283:$K$283</c:f>
              <c:numCache>
                <c:formatCode>0.00</c:formatCode>
                <c:ptCount val="4"/>
                <c:pt idx="0">
                  <c:v>0.59</c:v>
                </c:pt>
                <c:pt idx="1">
                  <c:v>0.76700000000000002</c:v>
                </c:pt>
                <c:pt idx="2">
                  <c:v>0.77666666666666673</c:v>
                </c:pt>
                <c:pt idx="3">
                  <c:v>0.92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diametros'!$G$284</c:f>
              <c:strCache>
                <c:ptCount val="1"/>
                <c:pt idx="0">
                  <c:v>50791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diametros'!$H$284:$K$284</c:f>
              <c:numCache>
                <c:formatCode>0.00</c:formatCode>
                <c:ptCount val="4"/>
                <c:pt idx="0">
                  <c:v>0.51</c:v>
                </c:pt>
                <c:pt idx="1">
                  <c:v>0.58499999999999996</c:v>
                </c:pt>
                <c:pt idx="2">
                  <c:v>0.77</c:v>
                </c:pt>
                <c:pt idx="3">
                  <c:v>0.91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diametros'!$G$285</c:f>
              <c:strCache>
                <c:ptCount val="1"/>
                <c:pt idx="0">
                  <c:v>50801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diametros'!$H$285:$K$285</c:f>
              <c:numCache>
                <c:formatCode>0.00</c:formatCode>
                <c:ptCount val="4"/>
                <c:pt idx="0">
                  <c:v>0.68289999999999995</c:v>
                </c:pt>
                <c:pt idx="1">
                  <c:v>0.79</c:v>
                </c:pt>
                <c:pt idx="2">
                  <c:v>0.79020000000000001</c:v>
                </c:pt>
                <c:pt idx="3">
                  <c:v>0.82485714285714284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diametros'!$G$286</c:f>
              <c:strCache>
                <c:ptCount val="1"/>
                <c:pt idx="0">
                  <c:v>50814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diametros'!$H$286:$K$286</c:f>
              <c:numCache>
                <c:formatCode>0.00</c:formatCode>
                <c:ptCount val="4"/>
                <c:pt idx="0">
                  <c:v>0.58125000000000004</c:v>
                </c:pt>
                <c:pt idx="1">
                  <c:v>0.59099999999999997</c:v>
                </c:pt>
                <c:pt idx="2">
                  <c:v>0.62924999999999998</c:v>
                </c:pt>
                <c:pt idx="3">
                  <c:v>0.64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diametros'!$G$287</c:f>
              <c:strCache>
                <c:ptCount val="1"/>
                <c:pt idx="0">
                  <c:v>50850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diametros'!$H$287:$K$287</c:f>
              <c:numCache>
                <c:formatCode>0.00</c:formatCode>
                <c:ptCount val="4"/>
                <c:pt idx="0">
                  <c:v>0.95499999999999996</c:v>
                </c:pt>
                <c:pt idx="1">
                  <c:v>0.95499999999999996</c:v>
                </c:pt>
                <c:pt idx="2">
                  <c:v>0.95499999999999996</c:v>
                </c:pt>
                <c:pt idx="3">
                  <c:v>0.97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30720"/>
        <c:axId val="110833024"/>
      </c:lineChart>
      <c:catAx>
        <c:axId val="11083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833024"/>
        <c:crosses val="autoZero"/>
        <c:auto val="1"/>
        <c:lblAlgn val="ctr"/>
        <c:lblOffset val="100"/>
        <c:noMultiLvlLbl val="0"/>
      </c:catAx>
      <c:valAx>
        <c:axId val="110833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8307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diametros'!$G$309</c:f>
              <c:strCache>
                <c:ptCount val="1"/>
                <c:pt idx="0">
                  <c:v>50604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diametros'!$H$309:$K$309</c:f>
              <c:numCache>
                <c:formatCode>0.00</c:formatCode>
                <c:ptCount val="4"/>
                <c:pt idx="0">
                  <c:v>1.2707000000000002</c:v>
                </c:pt>
                <c:pt idx="1">
                  <c:v>1.3660000000000001</c:v>
                </c:pt>
                <c:pt idx="2">
                  <c:v>1.4393999999999996</c:v>
                </c:pt>
                <c:pt idx="3">
                  <c:v>1.5129999999999999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49024"/>
        <c:axId val="110855680"/>
      </c:lineChart>
      <c:catAx>
        <c:axId val="11084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855680"/>
        <c:crosses val="autoZero"/>
        <c:auto val="1"/>
        <c:lblAlgn val="ctr"/>
        <c:lblOffset val="100"/>
        <c:noMultiLvlLbl val="0"/>
      </c:catAx>
      <c:valAx>
        <c:axId val="110855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8490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diametros'!$G$154</c:f>
              <c:strCache>
                <c:ptCount val="1"/>
                <c:pt idx="0">
                  <c:v>50796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diametros'!$H$154:$K$154</c:f>
              <c:numCache>
                <c:formatCode>0.00</c:formatCode>
                <c:ptCount val="4"/>
                <c:pt idx="0">
                  <c:v>0.50849999999999995</c:v>
                </c:pt>
                <c:pt idx="1">
                  <c:v>0.65849999999999997</c:v>
                </c:pt>
                <c:pt idx="2">
                  <c:v>0.8</c:v>
                </c:pt>
                <c:pt idx="3">
                  <c:v>0.86499999999999999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diametros'!$G$155</c:f>
              <c:strCache>
                <c:ptCount val="1"/>
                <c:pt idx="0">
                  <c:v>50832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diametros'!$H$155:$K$155</c:f>
              <c:numCache>
                <c:formatCode>0.00</c:formatCode>
                <c:ptCount val="4"/>
                <c:pt idx="0">
                  <c:v>0.50000000000000011</c:v>
                </c:pt>
                <c:pt idx="1">
                  <c:v>0.57999999999999996</c:v>
                </c:pt>
                <c:pt idx="2">
                  <c:v>0.5837</c:v>
                </c:pt>
                <c:pt idx="3">
                  <c:v>0.61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62560"/>
        <c:axId val="110969216"/>
      </c:lineChart>
      <c:catAx>
        <c:axId val="1109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969216"/>
        <c:crosses val="autoZero"/>
        <c:auto val="1"/>
        <c:lblAlgn val="ctr"/>
        <c:lblOffset val="100"/>
        <c:noMultiLvlLbl val="0"/>
      </c:catAx>
      <c:valAx>
        <c:axId val="11096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0962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diametros'!$G$157</c:f>
              <c:strCache>
                <c:ptCount val="1"/>
                <c:pt idx="0">
                  <c:v>50837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diametros'!$H$157:$K$157</c:f>
              <c:numCache>
                <c:formatCode>0.00</c:formatCode>
                <c:ptCount val="4"/>
                <c:pt idx="0">
                  <c:v>0.54299999999999993</c:v>
                </c:pt>
                <c:pt idx="1">
                  <c:v>0.55000000000000004</c:v>
                </c:pt>
                <c:pt idx="2">
                  <c:v>0.57599999999999996</c:v>
                </c:pt>
                <c:pt idx="3">
                  <c:v>0.66999999999999993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01600"/>
        <c:axId val="111003904"/>
      </c:lineChart>
      <c:catAx>
        <c:axId val="11100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003904"/>
        <c:crosses val="autoZero"/>
        <c:auto val="1"/>
        <c:lblAlgn val="ctr"/>
        <c:lblOffset val="100"/>
        <c:noMultiLvlLbl val="0"/>
      </c:catAx>
      <c:valAx>
        <c:axId val="111003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001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diametros'!$G$170</c:f>
              <c:strCache>
                <c:ptCount val="1"/>
                <c:pt idx="0">
                  <c:v>50766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diametros'!$H$170:$K$170</c:f>
              <c:numCache>
                <c:formatCode>0.00</c:formatCode>
                <c:ptCount val="4"/>
                <c:pt idx="0">
                  <c:v>1.2909999999999999</c:v>
                </c:pt>
                <c:pt idx="1">
                  <c:v>1.77</c:v>
                </c:pt>
                <c:pt idx="2">
                  <c:v>2.46</c:v>
                </c:pt>
                <c:pt idx="3">
                  <c:v>3.0445000000000002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diametros'!$G$171</c:f>
              <c:strCache>
                <c:ptCount val="1"/>
                <c:pt idx="0">
                  <c:v>50824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diametros'!$H$171:$K$171</c:f>
              <c:numCache>
                <c:formatCode>0.00</c:formatCode>
                <c:ptCount val="4"/>
                <c:pt idx="0">
                  <c:v>0.73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32960"/>
        <c:axId val="111035520"/>
      </c:lineChart>
      <c:catAx>
        <c:axId val="11103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035520"/>
        <c:crosses val="autoZero"/>
        <c:auto val="1"/>
        <c:lblAlgn val="ctr"/>
        <c:lblOffset val="100"/>
        <c:noMultiLvlLbl val="0"/>
      </c:catAx>
      <c:valAx>
        <c:axId val="111035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032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diametros'!$G$173</c:f>
              <c:strCache>
                <c:ptCount val="1"/>
                <c:pt idx="0">
                  <c:v>50657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diametros'!$H$173:$K$173</c:f>
              <c:numCache>
                <c:formatCode>0.00</c:formatCode>
                <c:ptCount val="4"/>
                <c:pt idx="0">
                  <c:v>0.75700000000000001</c:v>
                </c:pt>
                <c:pt idx="1">
                  <c:v>1.2</c:v>
                </c:pt>
                <c:pt idx="2">
                  <c:v>1.2</c:v>
                </c:pt>
                <c:pt idx="3">
                  <c:v>1.4215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diametros'!$G$174</c:f>
              <c:strCache>
                <c:ptCount val="1"/>
                <c:pt idx="0">
                  <c:v>50777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diametros'!$H$174:$K$174</c:f>
              <c:numCache>
                <c:formatCode>0.00</c:formatCode>
                <c:ptCount val="4"/>
                <c:pt idx="0">
                  <c:v>0.54700000000000004</c:v>
                </c:pt>
                <c:pt idx="1">
                  <c:v>0.61</c:v>
                </c:pt>
                <c:pt idx="2">
                  <c:v>0.95</c:v>
                </c:pt>
                <c:pt idx="3">
                  <c:v>1.1515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diametros'!$G$175</c:f>
              <c:strCache>
                <c:ptCount val="1"/>
                <c:pt idx="0">
                  <c:v>50799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diametros'!$H$175:$K$175</c:f>
              <c:numCache>
                <c:formatCode>0.00</c:formatCode>
                <c:ptCount val="4"/>
                <c:pt idx="0">
                  <c:v>0.55700000000000005</c:v>
                </c:pt>
                <c:pt idx="1">
                  <c:v>0.67</c:v>
                </c:pt>
                <c:pt idx="2">
                  <c:v>0.97</c:v>
                </c:pt>
                <c:pt idx="3">
                  <c:v>1.1764999999999999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diametros'!$G$176</c:f>
              <c:strCache>
                <c:ptCount val="1"/>
                <c:pt idx="0">
                  <c:v>50841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diametros'!$H$176:$K$176</c:f>
              <c:numCache>
                <c:formatCode>0.00</c:formatCode>
                <c:ptCount val="4"/>
                <c:pt idx="0">
                  <c:v>0.7770999999999999</c:v>
                </c:pt>
                <c:pt idx="1">
                  <c:v>0.84599999999999997</c:v>
                </c:pt>
                <c:pt idx="2">
                  <c:v>0.91720000000000002</c:v>
                </c:pt>
                <c:pt idx="3">
                  <c:v>0.91833333333333345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'Graficos diametros'!$G$177</c:f>
              <c:strCache>
                <c:ptCount val="1"/>
                <c:pt idx="0">
                  <c:v>50835_06_04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diametros'!$H$177:$K$177</c:f>
              <c:numCache>
                <c:formatCode>0.00</c:formatCode>
                <c:ptCount val="4"/>
                <c:pt idx="0">
                  <c:v>0.82099999999999995</c:v>
                </c:pt>
                <c:pt idx="1">
                  <c:v>0.88100000000000001</c:v>
                </c:pt>
                <c:pt idx="2">
                  <c:v>0.91230000000000011</c:v>
                </c:pt>
                <c:pt idx="3">
                  <c:v>0.9173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'Graficos diametros'!$G$178</c:f>
              <c:strCache>
                <c:ptCount val="1"/>
                <c:pt idx="0">
                  <c:v>50835_06_05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diametros'!$H$178:$K$178</c:f>
              <c:numCache>
                <c:formatCode>0.00</c:formatCode>
                <c:ptCount val="4"/>
                <c:pt idx="0">
                  <c:v>0.71787500000000004</c:v>
                </c:pt>
                <c:pt idx="1">
                  <c:v>0.76700000000000002</c:v>
                </c:pt>
                <c:pt idx="2">
                  <c:v>0.769625</c:v>
                </c:pt>
                <c:pt idx="3">
                  <c:v>0.76349999999999996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8384"/>
        <c:axId val="111090688"/>
      </c:lineChart>
      <c:catAx>
        <c:axId val="11108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090688"/>
        <c:crosses val="autoZero"/>
        <c:auto val="1"/>
        <c:lblAlgn val="ctr"/>
        <c:lblOffset val="100"/>
        <c:noMultiLvlLbl val="0"/>
      </c:catAx>
      <c:valAx>
        <c:axId val="111090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0883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3721050300811168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diametros'!$G$139</c:f>
              <c:strCache>
                <c:ptCount val="1"/>
                <c:pt idx="0">
                  <c:v>50701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diametros'!$H$139:$K$139</c:f>
              <c:numCache>
                <c:formatCode>0.00</c:formatCode>
                <c:ptCount val="4"/>
                <c:pt idx="0">
                  <c:v>0.35666666666666663</c:v>
                </c:pt>
                <c:pt idx="1">
                  <c:v>0.40200000000000002</c:v>
                </c:pt>
                <c:pt idx="2">
                  <c:v>0.43666666666666659</c:v>
                </c:pt>
                <c:pt idx="3">
                  <c:v>0.75666666666666649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diametros'!$G$140</c:f>
              <c:strCache>
                <c:ptCount val="1"/>
                <c:pt idx="0">
                  <c:v>50711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diametros'!$H$140:$K$140</c:f>
              <c:numCache>
                <c:formatCode>0.00</c:formatCode>
                <c:ptCount val="4"/>
                <c:pt idx="0">
                  <c:v>1.1299999999999999</c:v>
                </c:pt>
                <c:pt idx="1">
                  <c:v>1.4</c:v>
                </c:pt>
                <c:pt idx="2">
                  <c:v>1.3999999999999997</c:v>
                </c:pt>
                <c:pt idx="3">
                  <c:v>1.5349999999999997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diametros'!$G$141</c:f>
              <c:strCache>
                <c:ptCount val="1"/>
                <c:pt idx="0">
                  <c:v>50809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diametros'!$H$141:$K$141</c:f>
              <c:numCache>
                <c:formatCode>0.00</c:formatCode>
                <c:ptCount val="4"/>
                <c:pt idx="0">
                  <c:v>1.0900000000000001</c:v>
                </c:pt>
                <c:pt idx="1">
                  <c:v>1.508</c:v>
                </c:pt>
                <c:pt idx="2">
                  <c:v>1.5280000000000002</c:v>
                </c:pt>
                <c:pt idx="3">
                  <c:v>1.627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diametros'!$G$142</c:f>
              <c:strCache>
                <c:ptCount val="1"/>
                <c:pt idx="0">
                  <c:v>50866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diametros'!$H$142:$K$142</c:f>
              <c:numCache>
                <c:formatCode>0.00</c:formatCode>
                <c:ptCount val="4"/>
                <c:pt idx="0">
                  <c:v>0.78675000000000006</c:v>
                </c:pt>
                <c:pt idx="1">
                  <c:v>0.997</c:v>
                </c:pt>
                <c:pt idx="2">
                  <c:v>1.075</c:v>
                </c:pt>
                <c:pt idx="3">
                  <c:v>1.35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02560"/>
        <c:axId val="82817408"/>
      </c:lineChart>
      <c:catAx>
        <c:axId val="8280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2817408"/>
        <c:crosses val="autoZero"/>
        <c:auto val="1"/>
        <c:lblAlgn val="ctr"/>
        <c:lblOffset val="100"/>
        <c:noMultiLvlLbl val="0"/>
      </c:catAx>
      <c:valAx>
        <c:axId val="82817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82802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diametros'!$G$186</c:f>
              <c:strCache>
                <c:ptCount val="1"/>
                <c:pt idx="0">
                  <c:v>50658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diametros'!$H$186:$K$186</c:f>
              <c:numCache>
                <c:formatCode>0.00</c:formatCode>
                <c:ptCount val="4"/>
                <c:pt idx="0">
                  <c:v>0.87259999999999993</c:v>
                </c:pt>
                <c:pt idx="1">
                  <c:v>0.88500000000000001</c:v>
                </c:pt>
                <c:pt idx="2">
                  <c:v>1.0244</c:v>
                </c:pt>
                <c:pt idx="3">
                  <c:v>1.202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2592"/>
        <c:axId val="111121536"/>
      </c:lineChart>
      <c:catAx>
        <c:axId val="11110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121536"/>
        <c:crosses val="autoZero"/>
        <c:auto val="1"/>
        <c:lblAlgn val="ctr"/>
        <c:lblOffset val="100"/>
        <c:noMultiLvlLbl val="0"/>
      </c:catAx>
      <c:valAx>
        <c:axId val="111121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102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diametros'!$G$206</c:f>
              <c:strCache>
                <c:ptCount val="1"/>
                <c:pt idx="0">
                  <c:v>50142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diametros'!$H$206:$K$206</c:f>
              <c:numCache>
                <c:formatCode>0.00</c:formatCode>
                <c:ptCount val="4"/>
                <c:pt idx="0">
                  <c:v>1.02</c:v>
                </c:pt>
                <c:pt idx="1">
                  <c:v>1.204</c:v>
                </c:pt>
                <c:pt idx="2">
                  <c:v>1.2833333333333332</c:v>
                </c:pt>
                <c:pt idx="3">
                  <c:v>1.65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diametros'!$G$207</c:f>
              <c:strCache>
                <c:ptCount val="1"/>
                <c:pt idx="0">
                  <c:v>50268_04_07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diametros'!$H$207:$K$207</c:f>
              <c:numCache>
                <c:formatCode>0.00</c:formatCode>
                <c:ptCount val="4"/>
                <c:pt idx="0">
                  <c:v>0.87829999999999997</c:v>
                </c:pt>
                <c:pt idx="1">
                  <c:v>0.99399999999999999</c:v>
                </c:pt>
                <c:pt idx="2">
                  <c:v>0.99490000000000001</c:v>
                </c:pt>
                <c:pt idx="3">
                  <c:v>1.0266666666666664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diametros'!$G$208</c:f>
              <c:strCache>
                <c:ptCount val="1"/>
                <c:pt idx="0">
                  <c:v>50268_08_03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diametros'!$H$208:$K$208</c:f>
              <c:numCache>
                <c:formatCode>0.00</c:formatCode>
                <c:ptCount val="4"/>
                <c:pt idx="0">
                  <c:v>0.77024999999999999</c:v>
                </c:pt>
                <c:pt idx="1">
                  <c:v>0.93600000000000005</c:v>
                </c:pt>
                <c:pt idx="2">
                  <c:v>0.94699999999999995</c:v>
                </c:pt>
                <c:pt idx="3">
                  <c:v>1.0353749999999999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7264"/>
        <c:axId val="111227648"/>
      </c:lineChart>
      <c:catAx>
        <c:axId val="11114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227648"/>
        <c:crosses val="autoZero"/>
        <c:auto val="1"/>
        <c:lblAlgn val="ctr"/>
        <c:lblOffset val="100"/>
        <c:noMultiLvlLbl val="0"/>
      </c:catAx>
      <c:valAx>
        <c:axId val="111227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1472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diametros'!$G$210</c:f>
              <c:strCache>
                <c:ptCount val="1"/>
                <c:pt idx="0">
                  <c:v>50870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diametros'!$H$210:$K$210</c:f>
              <c:numCache>
                <c:formatCode>0.00</c:formatCode>
                <c:ptCount val="4"/>
                <c:pt idx="0">
                  <c:v>0.55200000000000005</c:v>
                </c:pt>
                <c:pt idx="1">
                  <c:v>0.56899999999999995</c:v>
                </c:pt>
                <c:pt idx="2">
                  <c:v>0.625</c:v>
                </c:pt>
                <c:pt idx="3">
                  <c:v>0.73449999999999993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55936"/>
        <c:axId val="111258240"/>
      </c:lineChart>
      <c:catAx>
        <c:axId val="11125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258240"/>
        <c:crosses val="autoZero"/>
        <c:auto val="1"/>
        <c:lblAlgn val="ctr"/>
        <c:lblOffset val="100"/>
        <c:noMultiLvlLbl val="0"/>
      </c:catAx>
      <c:valAx>
        <c:axId val="111258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2559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diametros'!$G$232</c:f>
              <c:strCache>
                <c:ptCount val="1"/>
                <c:pt idx="0">
                  <c:v>50805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diametros'!$H$232:$K$232</c:f>
              <c:numCache>
                <c:formatCode>0.00</c:formatCode>
                <c:ptCount val="4"/>
                <c:pt idx="0">
                  <c:v>0.37</c:v>
                </c:pt>
                <c:pt idx="1">
                  <c:v>0.44</c:v>
                </c:pt>
                <c:pt idx="2">
                  <c:v>0.44</c:v>
                </c:pt>
                <c:pt idx="3">
                  <c:v>1.1399999999999999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82432"/>
        <c:axId val="111305472"/>
      </c:lineChart>
      <c:catAx>
        <c:axId val="1112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305472"/>
        <c:crosses val="autoZero"/>
        <c:auto val="1"/>
        <c:lblAlgn val="ctr"/>
        <c:lblOffset val="100"/>
        <c:noMultiLvlLbl val="0"/>
      </c:catAx>
      <c:valAx>
        <c:axId val="111305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282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diametros'!$G$237</c:f>
              <c:strCache>
                <c:ptCount val="1"/>
                <c:pt idx="0">
                  <c:v>50752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diametros'!$H$237:$K$237</c:f>
              <c:numCache>
                <c:formatCode>0.00</c:formatCode>
                <c:ptCount val="4"/>
                <c:pt idx="0">
                  <c:v>0.81750000000000012</c:v>
                </c:pt>
                <c:pt idx="1">
                  <c:v>0.88800000000000001</c:v>
                </c:pt>
                <c:pt idx="2">
                  <c:v>0.91999999999999993</c:v>
                </c:pt>
                <c:pt idx="3">
                  <c:v>1.21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21472"/>
        <c:axId val="111323776"/>
      </c:lineChart>
      <c:catAx>
        <c:axId val="11132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323776"/>
        <c:crosses val="autoZero"/>
        <c:auto val="1"/>
        <c:lblAlgn val="ctr"/>
        <c:lblOffset val="100"/>
        <c:noMultiLvlLbl val="0"/>
      </c:catAx>
      <c:valAx>
        <c:axId val="111323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3214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diametros'!$G$236</c:f>
              <c:strCache>
                <c:ptCount val="1"/>
                <c:pt idx="0">
                  <c:v>50188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diametros'!$H$236:$K$236</c:f>
              <c:numCache>
                <c:formatCode>0.00</c:formatCode>
                <c:ptCount val="4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3872"/>
        <c:axId val="111350528"/>
      </c:lineChart>
      <c:catAx>
        <c:axId val="11134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350528"/>
        <c:crosses val="autoZero"/>
        <c:auto val="1"/>
        <c:lblAlgn val="ctr"/>
        <c:lblOffset val="100"/>
        <c:noMultiLvlLbl val="0"/>
      </c:catAx>
      <c:valAx>
        <c:axId val="111350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343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diametros'!$G$268</c:f>
              <c:strCache>
                <c:ptCount val="1"/>
                <c:pt idx="0">
                  <c:v>50644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diametros'!$H$268:$K$268</c:f>
              <c:numCache>
                <c:formatCode>0.00</c:formatCode>
                <c:ptCount val="4"/>
                <c:pt idx="0">
                  <c:v>1.538</c:v>
                </c:pt>
                <c:pt idx="1">
                  <c:v>1.538</c:v>
                </c:pt>
                <c:pt idx="2">
                  <c:v>1.77</c:v>
                </c:pt>
                <c:pt idx="3">
                  <c:v>1.8860000000000001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diametros'!$G$269</c:f>
              <c:strCache>
                <c:ptCount val="1"/>
                <c:pt idx="0">
                  <c:v>50737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diametros'!$H$269:$K$269</c:f>
              <c:numCache>
                <c:formatCode>0.00</c:formatCode>
                <c:ptCount val="4"/>
                <c:pt idx="0">
                  <c:v>0.77300000000000002</c:v>
                </c:pt>
                <c:pt idx="1">
                  <c:v>1.71</c:v>
                </c:pt>
                <c:pt idx="2">
                  <c:v>1.71</c:v>
                </c:pt>
                <c:pt idx="3">
                  <c:v>1.71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diametros'!$G$270</c:f>
              <c:strCache>
                <c:ptCount val="1"/>
                <c:pt idx="0">
                  <c:v>50738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diametros'!$H$270:$K$270</c:f>
              <c:numCache>
                <c:formatCode>0.00</c:formatCode>
                <c:ptCount val="4"/>
                <c:pt idx="0">
                  <c:v>0.63100000000000001</c:v>
                </c:pt>
                <c:pt idx="1">
                  <c:v>0.64500000000000002</c:v>
                </c:pt>
                <c:pt idx="2">
                  <c:v>0.65</c:v>
                </c:pt>
                <c:pt idx="3">
                  <c:v>0.65949999999999998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'Graficos diametros'!$G$271</c:f>
              <c:strCache>
                <c:ptCount val="1"/>
                <c:pt idx="0">
                  <c:v>50751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diametros'!$H$271:$K$271</c:f>
              <c:numCache>
                <c:formatCode>0.00</c:formatCode>
                <c:ptCount val="4"/>
                <c:pt idx="0">
                  <c:v>1.0142500000000001</c:v>
                </c:pt>
                <c:pt idx="1">
                  <c:v>1.0840000000000001</c:v>
                </c:pt>
                <c:pt idx="2">
                  <c:v>1.2013333333333334</c:v>
                </c:pt>
                <c:pt idx="3">
                  <c:v>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89312"/>
        <c:axId val="111395968"/>
      </c:lineChart>
      <c:catAx>
        <c:axId val="11138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395968"/>
        <c:crosses val="autoZero"/>
        <c:auto val="1"/>
        <c:lblAlgn val="ctr"/>
        <c:lblOffset val="100"/>
        <c:noMultiLvlLbl val="0"/>
      </c:catAx>
      <c:valAx>
        <c:axId val="111395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389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diametros'!$G$281</c:f>
              <c:strCache>
                <c:ptCount val="1"/>
                <c:pt idx="0">
                  <c:v>50872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diametros'!$H$281:$K$281</c:f>
              <c:numCache>
                <c:formatCode>0.00</c:formatCode>
                <c:ptCount val="4"/>
                <c:pt idx="0">
                  <c:v>0.45599999999999996</c:v>
                </c:pt>
                <c:pt idx="1">
                  <c:v>0.68</c:v>
                </c:pt>
                <c:pt idx="2">
                  <c:v>0.78</c:v>
                </c:pt>
                <c:pt idx="3">
                  <c:v>0.84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1600"/>
        <c:axId val="111483904"/>
      </c:lineChart>
      <c:catAx>
        <c:axId val="11148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483904"/>
        <c:crosses val="autoZero"/>
        <c:auto val="1"/>
        <c:lblAlgn val="ctr"/>
        <c:lblOffset val="100"/>
        <c:noMultiLvlLbl val="0"/>
      </c:catAx>
      <c:valAx>
        <c:axId val="111483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481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diametros'!$G$277</c:f>
              <c:strCache>
                <c:ptCount val="1"/>
                <c:pt idx="0">
                  <c:v>50869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diametros'!$H$277:$K$277</c:f>
              <c:numCache>
                <c:formatCode>0.00</c:formatCode>
                <c:ptCount val="4"/>
                <c:pt idx="0">
                  <c:v>0.35274999999999995</c:v>
                </c:pt>
                <c:pt idx="1">
                  <c:v>0.39400000000000002</c:v>
                </c:pt>
                <c:pt idx="2">
                  <c:v>0.49100000000000005</c:v>
                </c:pt>
                <c:pt idx="3">
                  <c:v>0.51749999999999996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0384"/>
        <c:axId val="111527040"/>
      </c:lineChart>
      <c:catAx>
        <c:axId val="11152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527040"/>
        <c:crosses val="autoZero"/>
        <c:auto val="1"/>
        <c:lblAlgn val="ctr"/>
        <c:lblOffset val="100"/>
        <c:noMultiLvlLbl val="0"/>
      </c:catAx>
      <c:valAx>
        <c:axId val="11152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5203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diametros'!$G$234</c:f>
              <c:strCache>
                <c:ptCount val="1"/>
                <c:pt idx="0">
                  <c:v>50759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diametros'!$H$234:$K$234</c:f>
              <c:numCache>
                <c:formatCode>0.00</c:formatCode>
                <c:ptCount val="4"/>
                <c:pt idx="0">
                  <c:v>1.4239999999999999</c:v>
                </c:pt>
                <c:pt idx="1">
                  <c:v>1.5029999999999999</c:v>
                </c:pt>
                <c:pt idx="2">
                  <c:v>1.5299</c:v>
                </c:pt>
                <c:pt idx="3">
                  <c:v>1.5373749999999999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43040"/>
        <c:axId val="111545344"/>
      </c:lineChart>
      <c:catAx>
        <c:axId val="11154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545344"/>
        <c:crosses val="autoZero"/>
        <c:auto val="1"/>
        <c:lblAlgn val="ctr"/>
        <c:lblOffset val="100"/>
        <c:noMultiLvlLbl val="0"/>
      </c:catAx>
      <c:valAx>
        <c:axId val="11154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5430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740859125282601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diametros'!$G$18</c:f>
              <c:strCache>
                <c:ptCount val="1"/>
                <c:pt idx="0">
                  <c:v>50794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diametros'!$H$18:$K$18</c:f>
              <c:numCache>
                <c:formatCode>0.00</c:formatCode>
                <c:ptCount val="4"/>
                <c:pt idx="0">
                  <c:v>1.4770999999999999</c:v>
                </c:pt>
                <c:pt idx="1">
                  <c:v>1.5189999999999999</c:v>
                </c:pt>
                <c:pt idx="2">
                  <c:v>1.5718333333333334</c:v>
                </c:pt>
                <c:pt idx="3">
                  <c:v>1.6434999999999997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'Graficos diametros'!$G$19</c:f>
              <c:strCache>
                <c:ptCount val="1"/>
                <c:pt idx="0">
                  <c:v>50806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diametros'!$H$19:$K$19</c:f>
              <c:numCache>
                <c:formatCode>0.00</c:formatCode>
                <c:ptCount val="4"/>
                <c:pt idx="0">
                  <c:v>1.222</c:v>
                </c:pt>
                <c:pt idx="1">
                  <c:v>1.361</c:v>
                </c:pt>
                <c:pt idx="2">
                  <c:v>1.468</c:v>
                </c:pt>
                <c:pt idx="3">
                  <c:v>1.5055555555555555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'Graficos diametros'!$G$20</c:f>
              <c:strCache>
                <c:ptCount val="1"/>
                <c:pt idx="0">
                  <c:v>50829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diametros'!$H$20:$K$20</c:f>
              <c:numCache>
                <c:formatCode>0.00</c:formatCode>
                <c:ptCount val="4"/>
                <c:pt idx="0">
                  <c:v>1.0630000000000002</c:v>
                </c:pt>
                <c:pt idx="1">
                  <c:v>1.157</c:v>
                </c:pt>
                <c:pt idx="2">
                  <c:v>1.2622222222222221</c:v>
                </c:pt>
                <c:pt idx="3">
                  <c:v>1.3166666666666669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15040"/>
        <c:axId val="107425792"/>
      </c:lineChart>
      <c:catAx>
        <c:axId val="10741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7425792"/>
        <c:crosses val="autoZero"/>
        <c:auto val="1"/>
        <c:lblAlgn val="ctr"/>
        <c:lblOffset val="100"/>
        <c:noMultiLvlLbl val="0"/>
      </c:catAx>
      <c:valAx>
        <c:axId val="107425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10741504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35940507436571"/>
          <c:y val="0.10731522196089127"/>
          <c:w val="0.75956748124930984"/>
          <c:h val="0.51080793118681944"/>
        </c:manualLayout>
      </c:layout>
      <c:lineChart>
        <c:grouping val="standard"/>
        <c:varyColors val="0"/>
        <c:ser>
          <c:idx val="0"/>
          <c:order val="0"/>
          <c:tx>
            <c:strRef>
              <c:f>'Graficos diametros'!$G$144</c:f>
              <c:strCache>
                <c:ptCount val="1"/>
                <c:pt idx="0">
                  <c:v>50875</c:v>
                </c:pt>
              </c:strCache>
            </c:strRef>
          </c:tx>
          <c:cat>
            <c:strRef>
              <c:f>'Graficos diametros'!$H$3:$K$3</c:f>
              <c:strCache>
                <c:ptCount val="4"/>
                <c:pt idx="0">
                  <c:v>Diciembre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</c:strCache>
            </c:strRef>
          </c:cat>
          <c:val>
            <c:numRef>
              <c:f>'Graficos diametros'!$H$144:$K$144</c:f>
              <c:numCache>
                <c:formatCode>0.00</c:formatCode>
                <c:ptCount val="4"/>
                <c:pt idx="0">
                  <c:v>0.13899999999999998</c:v>
                </c:pt>
                <c:pt idx="1">
                  <c:v>0.14099999999999999</c:v>
                </c:pt>
                <c:pt idx="2">
                  <c:v>0.157</c:v>
                </c:pt>
                <c:pt idx="3">
                  <c:v>0.20300000000000001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69536"/>
        <c:axId val="111600768"/>
      </c:lineChart>
      <c:catAx>
        <c:axId val="11156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Meses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1600768"/>
        <c:crosses val="autoZero"/>
        <c:auto val="1"/>
        <c:lblAlgn val="ctr"/>
        <c:lblOffset val="100"/>
        <c:noMultiLvlLbl val="0"/>
      </c:catAx>
      <c:valAx>
        <c:axId val="111600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cm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1569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Tasa mensual de crecimiento-Altura (Arboles) 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Crecimiento!$H$4</c:f>
              <c:strCache>
                <c:ptCount val="1"/>
                <c:pt idx="0">
                  <c:v>Tasa mensual de crecimiento en altura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Crecimiento!$G$5:$G$45</c:f>
              <c:strCache>
                <c:ptCount val="41"/>
                <c:pt idx="0">
                  <c:v>Frangula goudotiana</c:v>
                </c:pt>
                <c:pt idx="1">
                  <c:v>Smallanthus pyramidalis</c:v>
                </c:pt>
                <c:pt idx="2">
                  <c:v>Hesperomeles goudotiana</c:v>
                </c:pt>
                <c:pt idx="3">
                  <c:v>Abatia parviflora</c:v>
                </c:pt>
                <c:pt idx="4">
                  <c:v>Otholobium mexicanum</c:v>
                </c:pt>
                <c:pt idx="5">
                  <c:v>Escallonia pendula</c:v>
                </c:pt>
                <c:pt idx="6">
                  <c:v>Retrophyllum rospigliosii</c:v>
                </c:pt>
                <c:pt idx="7">
                  <c:v>Prunus serotina</c:v>
                </c:pt>
                <c:pt idx="8">
                  <c:v>Verbesina crassiramea</c:v>
                </c:pt>
                <c:pt idx="9">
                  <c:v>Juglans neotropica</c:v>
                </c:pt>
                <c:pt idx="10">
                  <c:v>Viburnum triphyllum</c:v>
                </c:pt>
                <c:pt idx="11">
                  <c:v>Myrcianthes leucoxyla</c:v>
                </c:pt>
                <c:pt idx="12">
                  <c:v>Quercus humboldtii</c:v>
                </c:pt>
                <c:pt idx="13">
                  <c:v>Citharexylum montanum</c:v>
                </c:pt>
                <c:pt idx="14">
                  <c:v>Alnus acuminata</c:v>
                </c:pt>
                <c:pt idx="15">
                  <c:v>Vismia sp.</c:v>
                </c:pt>
                <c:pt idx="16">
                  <c:v>Caesalpinia spinosa</c:v>
                </c:pt>
                <c:pt idx="17">
                  <c:v>Aegiphila bogotensis</c:v>
                </c:pt>
                <c:pt idx="18">
                  <c:v>Dalea coerulea</c:v>
                </c:pt>
                <c:pt idx="19">
                  <c:v>Myrcianthes rhopaloides</c:v>
                </c:pt>
                <c:pt idx="20">
                  <c:v>Senna viarum</c:v>
                </c:pt>
                <c:pt idx="21">
                  <c:v>Citharexylum subflavescens</c:v>
                </c:pt>
                <c:pt idx="22">
                  <c:v>Psidium cattleianum</c:v>
                </c:pt>
                <c:pt idx="23">
                  <c:v>Inga edulis</c:v>
                </c:pt>
                <c:pt idx="24">
                  <c:v>Hyptis perbullata</c:v>
                </c:pt>
                <c:pt idx="25">
                  <c:v>Palicourea lineariflora</c:v>
                </c:pt>
                <c:pt idx="26">
                  <c:v>Tibouchina grossa</c:v>
                </c:pt>
                <c:pt idx="27">
                  <c:v>Ocotea guianensis</c:v>
                </c:pt>
                <c:pt idx="28">
                  <c:v>Erythrina rubrinervia</c:v>
                </c:pt>
                <c:pt idx="29">
                  <c:v>Geissanthus andinus</c:v>
                </c:pt>
                <c:pt idx="30">
                  <c:v>Billia rosea</c:v>
                </c:pt>
                <c:pt idx="31">
                  <c:v>Dendropanax aff. arboreus</c:v>
                </c:pt>
                <c:pt idx="32">
                  <c:v>Weinmannia tomentosa</c:v>
                </c:pt>
                <c:pt idx="33">
                  <c:v>Oreopanax bogotensis</c:v>
                </c:pt>
                <c:pt idx="34">
                  <c:v>Cedrela montana</c:v>
                </c:pt>
                <c:pt idx="35">
                  <c:v>Myrsine coriacea</c:v>
                </c:pt>
                <c:pt idx="36">
                  <c:v>Clusia multiflora</c:v>
                </c:pt>
                <c:pt idx="37">
                  <c:v>Vasconcellea pubescens</c:v>
                </c:pt>
                <c:pt idx="38">
                  <c:v>Drimys granadensis</c:v>
                </c:pt>
                <c:pt idx="39">
                  <c:v>Clusia grandiflora</c:v>
                </c:pt>
                <c:pt idx="40">
                  <c:v>Panopsis suaveolens</c:v>
                </c:pt>
              </c:strCache>
            </c:strRef>
          </c:cat>
          <c:val>
            <c:numRef>
              <c:f>Crecimiento!$H$5:$H$45</c:f>
              <c:numCache>
                <c:formatCode>0,000</c:formatCode>
                <c:ptCount val="41"/>
                <c:pt idx="0">
                  <c:v>15.666666666666666</c:v>
                </c:pt>
                <c:pt idx="1">
                  <c:v>14.521666666666667</c:v>
                </c:pt>
                <c:pt idx="2">
                  <c:v>10.366666666666667</c:v>
                </c:pt>
                <c:pt idx="3">
                  <c:v>10.333333333333334</c:v>
                </c:pt>
                <c:pt idx="4">
                  <c:v>9.6366666666666649</c:v>
                </c:pt>
                <c:pt idx="5">
                  <c:v>9.0333333333333332</c:v>
                </c:pt>
                <c:pt idx="6">
                  <c:v>9.0208333333333357</c:v>
                </c:pt>
                <c:pt idx="7">
                  <c:v>8.637777777777778</c:v>
                </c:pt>
                <c:pt idx="8">
                  <c:v>8.543333333333333</c:v>
                </c:pt>
                <c:pt idx="9">
                  <c:v>8.5066666666666677</c:v>
                </c:pt>
                <c:pt idx="10">
                  <c:v>8.2550000000000026</c:v>
                </c:pt>
                <c:pt idx="11">
                  <c:v>7.5759999999999987</c:v>
                </c:pt>
                <c:pt idx="12">
                  <c:v>7.4253333333333345</c:v>
                </c:pt>
                <c:pt idx="13">
                  <c:v>7.3172727272727256</c:v>
                </c:pt>
                <c:pt idx="14">
                  <c:v>6.9400000000000013</c:v>
                </c:pt>
                <c:pt idx="15">
                  <c:v>6.166666666666667</c:v>
                </c:pt>
                <c:pt idx="16">
                  <c:v>5.9899999999999993</c:v>
                </c:pt>
                <c:pt idx="17">
                  <c:v>5.8499999999999988</c:v>
                </c:pt>
                <c:pt idx="18">
                  <c:v>5.2149999999999972</c:v>
                </c:pt>
                <c:pt idx="19">
                  <c:v>5.1716666666666669</c:v>
                </c:pt>
                <c:pt idx="20">
                  <c:v>5.1333333333333337</c:v>
                </c:pt>
                <c:pt idx="21">
                  <c:v>4.9983333333333295</c:v>
                </c:pt>
                <c:pt idx="22">
                  <c:v>4.75</c:v>
                </c:pt>
                <c:pt idx="23">
                  <c:v>4.6366666666666703</c:v>
                </c:pt>
                <c:pt idx="24">
                  <c:v>4.3433333333333337</c:v>
                </c:pt>
                <c:pt idx="25">
                  <c:v>3.65</c:v>
                </c:pt>
                <c:pt idx="26">
                  <c:v>3.3766666666666665</c:v>
                </c:pt>
                <c:pt idx="27">
                  <c:v>3.3333333333333335</c:v>
                </c:pt>
                <c:pt idx="28">
                  <c:v>2.8633333333333328</c:v>
                </c:pt>
                <c:pt idx="29">
                  <c:v>2.6946666666666674</c:v>
                </c:pt>
                <c:pt idx="30">
                  <c:v>2.6400000000000006</c:v>
                </c:pt>
                <c:pt idx="31">
                  <c:v>2.5883333333333338</c:v>
                </c:pt>
                <c:pt idx="32">
                  <c:v>2.1573333333333329</c:v>
                </c:pt>
                <c:pt idx="33">
                  <c:v>1.5433333333333332</c:v>
                </c:pt>
                <c:pt idx="34">
                  <c:v>1.5</c:v>
                </c:pt>
                <c:pt idx="35">
                  <c:v>1.4850000000000001</c:v>
                </c:pt>
                <c:pt idx="36">
                  <c:v>1.4528571428571424</c:v>
                </c:pt>
                <c:pt idx="37">
                  <c:v>1.2833333333333339</c:v>
                </c:pt>
                <c:pt idx="38">
                  <c:v>1.0026666666666666</c:v>
                </c:pt>
                <c:pt idx="39">
                  <c:v>1</c:v>
                </c:pt>
                <c:pt idx="40">
                  <c:v>0.63333333333333286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111744"/>
        <c:axId val="84113664"/>
      </c:barChart>
      <c:catAx>
        <c:axId val="84111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4113664"/>
        <c:crossesAt val="0"/>
        <c:auto val="1"/>
        <c:lblAlgn val="ctr"/>
        <c:lblOffset val="100"/>
        <c:noMultiLvlLbl val="0"/>
      </c:catAx>
      <c:valAx>
        <c:axId val="841136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cm/mes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4111744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mensual de crecimiento-Diametro (Arboles) 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Crecimiento!$J$4</c:f>
              <c:strCache>
                <c:ptCount val="1"/>
                <c:pt idx="0">
                  <c:v>Tasa mensual de crecimiento en diámetro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Crecimiento!$G$5:$G$45</c:f>
              <c:strCache>
                <c:ptCount val="41"/>
                <c:pt idx="0">
                  <c:v>Frangula goudotiana</c:v>
                </c:pt>
                <c:pt idx="1">
                  <c:v>Smallanthus pyramidalis</c:v>
                </c:pt>
                <c:pt idx="2">
                  <c:v>Hesperomeles goudotiana</c:v>
                </c:pt>
                <c:pt idx="3">
                  <c:v>Abatia parviflora</c:v>
                </c:pt>
                <c:pt idx="4">
                  <c:v>Otholobium mexicanum</c:v>
                </c:pt>
                <c:pt idx="5">
                  <c:v>Escallonia pendula</c:v>
                </c:pt>
                <c:pt idx="6">
                  <c:v>Retrophyllum rospigliosii</c:v>
                </c:pt>
                <c:pt idx="7">
                  <c:v>Prunus serotina</c:v>
                </c:pt>
                <c:pt idx="8">
                  <c:v>Verbesina crassiramea</c:v>
                </c:pt>
                <c:pt idx="9">
                  <c:v>Juglans neotropica</c:v>
                </c:pt>
                <c:pt idx="10">
                  <c:v>Viburnum triphyllum</c:v>
                </c:pt>
                <c:pt idx="11">
                  <c:v>Myrcianthes leucoxyla</c:v>
                </c:pt>
                <c:pt idx="12">
                  <c:v>Quercus humboldtii</c:v>
                </c:pt>
                <c:pt idx="13">
                  <c:v>Citharexylum montanum</c:v>
                </c:pt>
                <c:pt idx="14">
                  <c:v>Alnus acuminata</c:v>
                </c:pt>
                <c:pt idx="15">
                  <c:v>Vismia sp.</c:v>
                </c:pt>
                <c:pt idx="16">
                  <c:v>Caesalpinia spinosa</c:v>
                </c:pt>
                <c:pt idx="17">
                  <c:v>Aegiphila bogotensis</c:v>
                </c:pt>
                <c:pt idx="18">
                  <c:v>Dalea coerulea</c:v>
                </c:pt>
                <c:pt idx="19">
                  <c:v>Myrcianthes rhopaloides</c:v>
                </c:pt>
                <c:pt idx="20">
                  <c:v>Senna viarum</c:v>
                </c:pt>
                <c:pt idx="21">
                  <c:v>Citharexylum subflavescens</c:v>
                </c:pt>
                <c:pt idx="22">
                  <c:v>Psidium cattleianum</c:v>
                </c:pt>
                <c:pt idx="23">
                  <c:v>Inga edulis</c:v>
                </c:pt>
                <c:pt idx="24">
                  <c:v>Hyptis perbullata</c:v>
                </c:pt>
                <c:pt idx="25">
                  <c:v>Palicourea lineariflora</c:v>
                </c:pt>
                <c:pt idx="26">
                  <c:v>Tibouchina grossa</c:v>
                </c:pt>
                <c:pt idx="27">
                  <c:v>Ocotea guianensis</c:v>
                </c:pt>
                <c:pt idx="28">
                  <c:v>Erythrina rubrinervia</c:v>
                </c:pt>
                <c:pt idx="29">
                  <c:v>Geissanthus andinus</c:v>
                </c:pt>
                <c:pt idx="30">
                  <c:v>Billia rosea</c:v>
                </c:pt>
                <c:pt idx="31">
                  <c:v>Dendropanax aff. arboreus</c:v>
                </c:pt>
                <c:pt idx="32">
                  <c:v>Weinmannia tomentosa</c:v>
                </c:pt>
                <c:pt idx="33">
                  <c:v>Oreopanax bogotensis</c:v>
                </c:pt>
                <c:pt idx="34">
                  <c:v>Cedrela montana</c:v>
                </c:pt>
                <c:pt idx="35">
                  <c:v>Myrsine coriacea</c:v>
                </c:pt>
                <c:pt idx="36">
                  <c:v>Clusia multiflora</c:v>
                </c:pt>
                <c:pt idx="37">
                  <c:v>Vasconcellea pubescens</c:v>
                </c:pt>
                <c:pt idx="38">
                  <c:v>Drimys granadensis</c:v>
                </c:pt>
                <c:pt idx="39">
                  <c:v>Clusia grandiflora</c:v>
                </c:pt>
                <c:pt idx="40">
                  <c:v>Panopsis suaveolens</c:v>
                </c:pt>
              </c:strCache>
            </c:strRef>
          </c:cat>
          <c:val>
            <c:numRef>
              <c:f>Crecimiento!$J$5:$J$45</c:f>
              <c:numCache>
                <c:formatCode>0,000</c:formatCode>
                <c:ptCount val="41"/>
                <c:pt idx="0">
                  <c:v>0.14233333333333331</c:v>
                </c:pt>
                <c:pt idx="1">
                  <c:v>0.17134722222222215</c:v>
                </c:pt>
                <c:pt idx="2">
                  <c:v>7.7749999999999986E-2</c:v>
                </c:pt>
                <c:pt idx="3">
                  <c:v>0.20433333333333334</c:v>
                </c:pt>
                <c:pt idx="4">
                  <c:v>4.94833333333334E-2</c:v>
                </c:pt>
                <c:pt idx="5">
                  <c:v>0.20053333333333337</c:v>
                </c:pt>
                <c:pt idx="6">
                  <c:v>6.6191077987112643E-2</c:v>
                </c:pt>
                <c:pt idx="7">
                  <c:v>0.11518981481481479</c:v>
                </c:pt>
                <c:pt idx="8">
                  <c:v>0.10225037037037035</c:v>
                </c:pt>
                <c:pt idx="9">
                  <c:v>0.15832407407407409</c:v>
                </c:pt>
                <c:pt idx="10">
                  <c:v>0.14019999999999999</c:v>
                </c:pt>
                <c:pt idx="11">
                  <c:v>7.0703703703703685E-2</c:v>
                </c:pt>
                <c:pt idx="12">
                  <c:v>8.2593333333333324E-2</c:v>
                </c:pt>
                <c:pt idx="13">
                  <c:v>5.7329859659223464E-2</c:v>
                </c:pt>
                <c:pt idx="14">
                  <c:v>7.8180246913580234E-2</c:v>
                </c:pt>
                <c:pt idx="15">
                  <c:v>0.11566666666666665</c:v>
                </c:pt>
                <c:pt idx="16">
                  <c:v>3.7228571428571437E-2</c:v>
                </c:pt>
                <c:pt idx="17">
                  <c:v>6.9983333333333259E-2</c:v>
                </c:pt>
                <c:pt idx="18">
                  <c:v>4.7537500000000003E-2</c:v>
                </c:pt>
                <c:pt idx="19">
                  <c:v>0.1384444444444444</c:v>
                </c:pt>
                <c:pt idx="20">
                  <c:v>0.12304058915603064</c:v>
                </c:pt>
                <c:pt idx="21">
                  <c:v>2.3825925925925955E-2</c:v>
                </c:pt>
                <c:pt idx="22">
                  <c:v>4.2500000000000059E-2</c:v>
                </c:pt>
                <c:pt idx="23">
                  <c:v>3.7047619047619072E-2</c:v>
                </c:pt>
                <c:pt idx="24">
                  <c:v>6.3931109750141754E-2</c:v>
                </c:pt>
                <c:pt idx="25">
                  <c:v>8.7416666666666656E-2</c:v>
                </c:pt>
                <c:pt idx="26">
                  <c:v>5.4916666666666669E-2</c:v>
                </c:pt>
                <c:pt idx="27">
                  <c:v>6.945833333333333E-2</c:v>
                </c:pt>
                <c:pt idx="28">
                  <c:v>8.5066666666666652E-2</c:v>
                </c:pt>
                <c:pt idx="29">
                  <c:v>0.26246666666666668</c:v>
                </c:pt>
                <c:pt idx="30">
                  <c:v>9.1259259259259262E-2</c:v>
                </c:pt>
                <c:pt idx="31">
                  <c:v>7.1625791864496982E-2</c:v>
                </c:pt>
                <c:pt idx="32">
                  <c:v>6.1699999999999998E-2</c:v>
                </c:pt>
                <c:pt idx="33">
                  <c:v>9.2405555555555546E-2</c:v>
                </c:pt>
                <c:pt idx="34">
                  <c:v>0.27766666666666667</c:v>
                </c:pt>
                <c:pt idx="35">
                  <c:v>2.9309722222222223E-2</c:v>
                </c:pt>
                <c:pt idx="36">
                  <c:v>0.1269951625094482</c:v>
                </c:pt>
                <c:pt idx="37">
                  <c:v>0.15302777777777787</c:v>
                </c:pt>
                <c:pt idx="38">
                  <c:v>6.7877222222222214E-2</c:v>
                </c:pt>
                <c:pt idx="39">
                  <c:v>7.2111111111110571E-3</c:v>
                </c:pt>
                <c:pt idx="40">
                  <c:v>4.5666666666666599E-2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823680"/>
        <c:axId val="68834048"/>
      </c:barChart>
      <c:catAx>
        <c:axId val="68823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834048"/>
        <c:crossesAt val="0"/>
        <c:auto val="1"/>
        <c:lblAlgn val="ctr"/>
        <c:lblOffset val="100"/>
        <c:noMultiLvlLbl val="0"/>
      </c:catAx>
      <c:valAx>
        <c:axId val="6883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cm/mes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823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Crecimiento total-Altura (Arboles)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Crecimiento!$I$4</c:f>
              <c:strCache>
                <c:ptCount val="1"/>
                <c:pt idx="0">
                  <c:v>Crecimiento total en altura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Crecimiento!$G$5:$G$45</c:f>
              <c:strCache>
                <c:ptCount val="41"/>
                <c:pt idx="0">
                  <c:v>Frangula goudotiana</c:v>
                </c:pt>
                <c:pt idx="1">
                  <c:v>Smallanthus pyramidalis</c:v>
                </c:pt>
                <c:pt idx="2">
                  <c:v>Hesperomeles goudotiana</c:v>
                </c:pt>
                <c:pt idx="3">
                  <c:v>Abatia parviflora</c:v>
                </c:pt>
                <c:pt idx="4">
                  <c:v>Otholobium mexicanum</c:v>
                </c:pt>
                <c:pt idx="5">
                  <c:v>Escallonia pendula</c:v>
                </c:pt>
                <c:pt idx="6">
                  <c:v>Retrophyllum rospigliosii</c:v>
                </c:pt>
                <c:pt idx="7">
                  <c:v>Prunus serotina</c:v>
                </c:pt>
                <c:pt idx="8">
                  <c:v>Verbesina crassiramea</c:v>
                </c:pt>
                <c:pt idx="9">
                  <c:v>Juglans neotropica</c:v>
                </c:pt>
                <c:pt idx="10">
                  <c:v>Viburnum triphyllum</c:v>
                </c:pt>
                <c:pt idx="11">
                  <c:v>Myrcianthes leucoxyla</c:v>
                </c:pt>
                <c:pt idx="12">
                  <c:v>Quercus humboldtii</c:v>
                </c:pt>
                <c:pt idx="13">
                  <c:v>Citharexylum montanum</c:v>
                </c:pt>
                <c:pt idx="14">
                  <c:v>Alnus acuminata</c:v>
                </c:pt>
                <c:pt idx="15">
                  <c:v>Vismia sp.</c:v>
                </c:pt>
                <c:pt idx="16">
                  <c:v>Caesalpinia spinosa</c:v>
                </c:pt>
                <c:pt idx="17">
                  <c:v>Aegiphila bogotensis</c:v>
                </c:pt>
                <c:pt idx="18">
                  <c:v>Dalea coerulea</c:v>
                </c:pt>
                <c:pt idx="19">
                  <c:v>Myrcianthes rhopaloides</c:v>
                </c:pt>
                <c:pt idx="20">
                  <c:v>Senna viarum</c:v>
                </c:pt>
                <c:pt idx="21">
                  <c:v>Citharexylum subflavescens</c:v>
                </c:pt>
                <c:pt idx="22">
                  <c:v>Psidium cattleianum</c:v>
                </c:pt>
                <c:pt idx="23">
                  <c:v>Inga edulis</c:v>
                </c:pt>
                <c:pt idx="24">
                  <c:v>Hyptis perbullata</c:v>
                </c:pt>
                <c:pt idx="25">
                  <c:v>Palicourea lineariflora</c:v>
                </c:pt>
                <c:pt idx="26">
                  <c:v>Tibouchina grossa</c:v>
                </c:pt>
                <c:pt idx="27">
                  <c:v>Ocotea guianensis</c:v>
                </c:pt>
                <c:pt idx="28">
                  <c:v>Erythrina rubrinervia</c:v>
                </c:pt>
                <c:pt idx="29">
                  <c:v>Geissanthus andinus</c:v>
                </c:pt>
                <c:pt idx="30">
                  <c:v>Billia rosea</c:v>
                </c:pt>
                <c:pt idx="31">
                  <c:v>Dendropanax aff. arboreus</c:v>
                </c:pt>
                <c:pt idx="32">
                  <c:v>Weinmannia tomentosa</c:v>
                </c:pt>
                <c:pt idx="33">
                  <c:v>Oreopanax bogotensis</c:v>
                </c:pt>
                <c:pt idx="34">
                  <c:v>Cedrela montana</c:v>
                </c:pt>
                <c:pt idx="35">
                  <c:v>Myrsine coriacea</c:v>
                </c:pt>
                <c:pt idx="36">
                  <c:v>Clusia multiflora</c:v>
                </c:pt>
                <c:pt idx="37">
                  <c:v>Vasconcellea pubescens</c:v>
                </c:pt>
                <c:pt idx="38">
                  <c:v>Drimys granadensis</c:v>
                </c:pt>
                <c:pt idx="39">
                  <c:v>Clusia grandiflora</c:v>
                </c:pt>
                <c:pt idx="40">
                  <c:v>Panopsis suaveolens</c:v>
                </c:pt>
              </c:strCache>
            </c:strRef>
          </c:cat>
          <c:val>
            <c:numRef>
              <c:f>Crecimiento!$I$5:$I$45</c:f>
              <c:numCache>
                <c:formatCode>0,000</c:formatCode>
                <c:ptCount val="41"/>
                <c:pt idx="0">
                  <c:v>47</c:v>
                </c:pt>
                <c:pt idx="1">
                  <c:v>43.564999999999998</c:v>
                </c:pt>
                <c:pt idx="2">
                  <c:v>31.1</c:v>
                </c:pt>
                <c:pt idx="3">
                  <c:v>31</c:v>
                </c:pt>
                <c:pt idx="4">
                  <c:v>28.909999999999997</c:v>
                </c:pt>
                <c:pt idx="5">
                  <c:v>27.1</c:v>
                </c:pt>
                <c:pt idx="6">
                  <c:v>27.0625</c:v>
                </c:pt>
                <c:pt idx="7">
                  <c:v>25.91333333333333</c:v>
                </c:pt>
                <c:pt idx="8">
                  <c:v>25.629999999999995</c:v>
                </c:pt>
                <c:pt idx="9">
                  <c:v>25.520000000000003</c:v>
                </c:pt>
                <c:pt idx="10">
                  <c:v>24.765000000000004</c:v>
                </c:pt>
                <c:pt idx="11">
                  <c:v>22.727999999999998</c:v>
                </c:pt>
                <c:pt idx="12">
                  <c:v>22.276</c:v>
                </c:pt>
                <c:pt idx="13">
                  <c:v>21.951818181818172</c:v>
                </c:pt>
                <c:pt idx="14">
                  <c:v>20.820000000000004</c:v>
                </c:pt>
                <c:pt idx="15">
                  <c:v>18.5</c:v>
                </c:pt>
                <c:pt idx="16">
                  <c:v>17.97</c:v>
                </c:pt>
                <c:pt idx="17">
                  <c:v>17.549999999999997</c:v>
                </c:pt>
                <c:pt idx="18">
                  <c:v>15.644999999999992</c:v>
                </c:pt>
                <c:pt idx="19">
                  <c:v>15.515000000000001</c:v>
                </c:pt>
                <c:pt idx="20">
                  <c:v>15.400000000000002</c:v>
                </c:pt>
                <c:pt idx="21">
                  <c:v>14.99499999999999</c:v>
                </c:pt>
                <c:pt idx="22">
                  <c:v>14.25</c:v>
                </c:pt>
                <c:pt idx="23">
                  <c:v>13.910000000000011</c:v>
                </c:pt>
                <c:pt idx="24">
                  <c:v>13.030000000000001</c:v>
                </c:pt>
                <c:pt idx="25">
                  <c:v>10.95</c:v>
                </c:pt>
                <c:pt idx="26">
                  <c:v>10.129999999999999</c:v>
                </c:pt>
                <c:pt idx="27">
                  <c:v>10</c:v>
                </c:pt>
                <c:pt idx="28">
                  <c:v>8.5899999999999981</c:v>
                </c:pt>
                <c:pt idx="29">
                  <c:v>8.0840000000000014</c:v>
                </c:pt>
                <c:pt idx="30">
                  <c:v>7.9200000000000017</c:v>
                </c:pt>
                <c:pt idx="31">
                  <c:v>7.7650000000000006</c:v>
                </c:pt>
                <c:pt idx="32">
                  <c:v>6.4719999999999995</c:v>
                </c:pt>
                <c:pt idx="33">
                  <c:v>4.629999999999999</c:v>
                </c:pt>
                <c:pt idx="34">
                  <c:v>4.5</c:v>
                </c:pt>
                <c:pt idx="35">
                  <c:v>4.4550000000000001</c:v>
                </c:pt>
                <c:pt idx="36">
                  <c:v>4.3585714285714277</c:v>
                </c:pt>
                <c:pt idx="37">
                  <c:v>3.8500000000000014</c:v>
                </c:pt>
                <c:pt idx="38">
                  <c:v>3.008</c:v>
                </c:pt>
                <c:pt idx="39">
                  <c:v>3</c:v>
                </c:pt>
                <c:pt idx="40">
                  <c:v>1.8999999999999986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859008"/>
        <c:axId val="68860928"/>
      </c:barChart>
      <c:catAx>
        <c:axId val="68859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860928"/>
        <c:crossesAt val="0"/>
        <c:auto val="1"/>
        <c:lblAlgn val="ctr"/>
        <c:lblOffset val="100"/>
        <c:noMultiLvlLbl val="0"/>
      </c:catAx>
      <c:valAx>
        <c:axId val="68860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859008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Crecimiento total-Diametro (Arboles)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Crecimiento!$K$4</c:f>
              <c:strCache>
                <c:ptCount val="1"/>
                <c:pt idx="0">
                  <c:v>Crecimiento total en diámetro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Crecimiento!$G$5:$G$45</c:f>
              <c:strCache>
                <c:ptCount val="41"/>
                <c:pt idx="0">
                  <c:v>Frangula goudotiana</c:v>
                </c:pt>
                <c:pt idx="1">
                  <c:v>Smallanthus pyramidalis</c:v>
                </c:pt>
                <c:pt idx="2">
                  <c:v>Hesperomeles goudotiana</c:v>
                </c:pt>
                <c:pt idx="3">
                  <c:v>Abatia parviflora</c:v>
                </c:pt>
                <c:pt idx="4">
                  <c:v>Otholobium mexicanum</c:v>
                </c:pt>
                <c:pt idx="5">
                  <c:v>Escallonia pendula</c:v>
                </c:pt>
                <c:pt idx="6">
                  <c:v>Retrophyllum rospigliosii</c:v>
                </c:pt>
                <c:pt idx="7">
                  <c:v>Prunus serotina</c:v>
                </c:pt>
                <c:pt idx="8">
                  <c:v>Verbesina crassiramea</c:v>
                </c:pt>
                <c:pt idx="9">
                  <c:v>Juglans neotropica</c:v>
                </c:pt>
                <c:pt idx="10">
                  <c:v>Viburnum triphyllum</c:v>
                </c:pt>
                <c:pt idx="11">
                  <c:v>Myrcianthes leucoxyla</c:v>
                </c:pt>
                <c:pt idx="12">
                  <c:v>Quercus humboldtii</c:v>
                </c:pt>
                <c:pt idx="13">
                  <c:v>Citharexylum montanum</c:v>
                </c:pt>
                <c:pt idx="14">
                  <c:v>Alnus acuminata</c:v>
                </c:pt>
                <c:pt idx="15">
                  <c:v>Vismia sp.</c:v>
                </c:pt>
                <c:pt idx="16">
                  <c:v>Caesalpinia spinosa</c:v>
                </c:pt>
                <c:pt idx="17">
                  <c:v>Aegiphila bogotensis</c:v>
                </c:pt>
                <c:pt idx="18">
                  <c:v>Dalea coerulea</c:v>
                </c:pt>
                <c:pt idx="19">
                  <c:v>Myrcianthes rhopaloides</c:v>
                </c:pt>
                <c:pt idx="20">
                  <c:v>Senna viarum</c:v>
                </c:pt>
                <c:pt idx="21">
                  <c:v>Citharexylum subflavescens</c:v>
                </c:pt>
                <c:pt idx="22">
                  <c:v>Psidium cattleianum</c:v>
                </c:pt>
                <c:pt idx="23">
                  <c:v>Inga edulis</c:v>
                </c:pt>
                <c:pt idx="24">
                  <c:v>Hyptis perbullata</c:v>
                </c:pt>
                <c:pt idx="25">
                  <c:v>Palicourea lineariflora</c:v>
                </c:pt>
                <c:pt idx="26">
                  <c:v>Tibouchina grossa</c:v>
                </c:pt>
                <c:pt idx="27">
                  <c:v>Ocotea guianensis</c:v>
                </c:pt>
                <c:pt idx="28">
                  <c:v>Erythrina rubrinervia</c:v>
                </c:pt>
                <c:pt idx="29">
                  <c:v>Geissanthus andinus</c:v>
                </c:pt>
                <c:pt idx="30">
                  <c:v>Billia rosea</c:v>
                </c:pt>
                <c:pt idx="31">
                  <c:v>Dendropanax aff. arboreus</c:v>
                </c:pt>
                <c:pt idx="32">
                  <c:v>Weinmannia tomentosa</c:v>
                </c:pt>
                <c:pt idx="33">
                  <c:v>Oreopanax bogotensis</c:v>
                </c:pt>
                <c:pt idx="34">
                  <c:v>Cedrela montana</c:v>
                </c:pt>
                <c:pt idx="35">
                  <c:v>Myrsine coriacea</c:v>
                </c:pt>
                <c:pt idx="36">
                  <c:v>Clusia multiflora</c:v>
                </c:pt>
                <c:pt idx="37">
                  <c:v>Vasconcellea pubescens</c:v>
                </c:pt>
                <c:pt idx="38">
                  <c:v>Drimys granadensis</c:v>
                </c:pt>
                <c:pt idx="39">
                  <c:v>Clusia grandiflora</c:v>
                </c:pt>
                <c:pt idx="40">
                  <c:v>Panopsis suaveolens</c:v>
                </c:pt>
              </c:strCache>
            </c:strRef>
          </c:cat>
          <c:val>
            <c:numRef>
              <c:f>Crecimiento!$K$5:$K$45</c:f>
              <c:numCache>
                <c:formatCode>0,000</c:formatCode>
                <c:ptCount val="41"/>
                <c:pt idx="0">
                  <c:v>0.42699999999999994</c:v>
                </c:pt>
                <c:pt idx="1">
                  <c:v>0.51404166666666651</c:v>
                </c:pt>
                <c:pt idx="2">
                  <c:v>0.23324999999999996</c:v>
                </c:pt>
                <c:pt idx="3">
                  <c:v>0.61299999999999999</c:v>
                </c:pt>
                <c:pt idx="4">
                  <c:v>0.14845000000000019</c:v>
                </c:pt>
                <c:pt idx="5">
                  <c:v>0.60160000000000013</c:v>
                </c:pt>
                <c:pt idx="6">
                  <c:v>0.19857323396133791</c:v>
                </c:pt>
                <c:pt idx="7">
                  <c:v>0.34556944444444443</c:v>
                </c:pt>
                <c:pt idx="8">
                  <c:v>0.30675111111111109</c:v>
                </c:pt>
                <c:pt idx="9">
                  <c:v>0.47497222222222224</c:v>
                </c:pt>
                <c:pt idx="10">
                  <c:v>0.42059999999999997</c:v>
                </c:pt>
                <c:pt idx="11">
                  <c:v>0.21211111111111108</c:v>
                </c:pt>
                <c:pt idx="12">
                  <c:v>0.24777999999999997</c:v>
                </c:pt>
                <c:pt idx="13">
                  <c:v>0.17198957897767039</c:v>
                </c:pt>
                <c:pt idx="14">
                  <c:v>0.23454074074074072</c:v>
                </c:pt>
                <c:pt idx="15">
                  <c:v>0.34699999999999998</c:v>
                </c:pt>
                <c:pt idx="16">
                  <c:v>0.11168571428571432</c:v>
                </c:pt>
                <c:pt idx="17">
                  <c:v>0.20994999999999975</c:v>
                </c:pt>
                <c:pt idx="18">
                  <c:v>0.1426125</c:v>
                </c:pt>
                <c:pt idx="19">
                  <c:v>0.41533333333333322</c:v>
                </c:pt>
                <c:pt idx="20">
                  <c:v>0.36912176746809194</c:v>
                </c:pt>
                <c:pt idx="21">
                  <c:v>7.1477777777777862E-2</c:v>
                </c:pt>
                <c:pt idx="22">
                  <c:v>0.12750000000000017</c:v>
                </c:pt>
                <c:pt idx="23">
                  <c:v>0.11114285714285721</c:v>
                </c:pt>
                <c:pt idx="24">
                  <c:v>0.19179332925042525</c:v>
                </c:pt>
                <c:pt idx="25">
                  <c:v>0.26224999999999998</c:v>
                </c:pt>
                <c:pt idx="26">
                  <c:v>0.16475000000000001</c:v>
                </c:pt>
                <c:pt idx="27">
                  <c:v>0.20837499999999998</c:v>
                </c:pt>
                <c:pt idx="28">
                  <c:v>0.25519999999999998</c:v>
                </c:pt>
                <c:pt idx="29">
                  <c:v>0.7874000000000001</c:v>
                </c:pt>
                <c:pt idx="30">
                  <c:v>0.27377777777777779</c:v>
                </c:pt>
                <c:pt idx="31">
                  <c:v>0.21487737559349096</c:v>
                </c:pt>
                <c:pt idx="32">
                  <c:v>0.18509999999999999</c:v>
                </c:pt>
                <c:pt idx="33">
                  <c:v>0.27721666666666667</c:v>
                </c:pt>
                <c:pt idx="34">
                  <c:v>0.83300000000000007</c:v>
                </c:pt>
                <c:pt idx="35">
                  <c:v>8.7929166666666669E-2</c:v>
                </c:pt>
                <c:pt idx="36">
                  <c:v>0.3809854875283446</c:v>
                </c:pt>
                <c:pt idx="37">
                  <c:v>0.45908333333333362</c:v>
                </c:pt>
                <c:pt idx="38">
                  <c:v>0.20363166666666666</c:v>
                </c:pt>
                <c:pt idx="39">
                  <c:v>2.1633333333333171E-2</c:v>
                </c:pt>
                <c:pt idx="40">
                  <c:v>0.13699999999999979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159872"/>
        <c:axId val="84178432"/>
      </c:barChart>
      <c:catAx>
        <c:axId val="84159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4178432"/>
        <c:crossesAt val="0"/>
        <c:auto val="1"/>
        <c:lblAlgn val="ctr"/>
        <c:lblOffset val="100"/>
        <c:noMultiLvlLbl val="0"/>
      </c:catAx>
      <c:valAx>
        <c:axId val="8417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41598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Tasa mensual de crecimiento-Altura (Arbolitos)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Crecimiento!$H$4</c:f>
              <c:strCache>
                <c:ptCount val="1"/>
                <c:pt idx="0">
                  <c:v>Tasa mensual de crecimiento en altura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Crecimiento!$G$46:$G$66</c:f>
              <c:strCache>
                <c:ptCount val="21"/>
                <c:pt idx="0">
                  <c:v>Vallea stipularis</c:v>
                </c:pt>
                <c:pt idx="1">
                  <c:v>Monnina aestuans</c:v>
                </c:pt>
                <c:pt idx="2">
                  <c:v>Escallonia paniculata</c:v>
                </c:pt>
                <c:pt idx="3">
                  <c:v>Baccharis latifolia</c:v>
                </c:pt>
                <c:pt idx="4">
                  <c:v>Escallonia myrtilloides</c:v>
                </c:pt>
                <c:pt idx="5">
                  <c:v>Duranta mutisii</c:v>
                </c:pt>
                <c:pt idx="6">
                  <c:v>Leandra sp </c:v>
                </c:pt>
                <c:pt idx="7">
                  <c:v>Clethra fimbriata</c:v>
                </c:pt>
                <c:pt idx="8">
                  <c:v>Morella pubescens</c:v>
                </c:pt>
                <c:pt idx="9">
                  <c:v>Solanum quitoense</c:v>
                </c:pt>
                <c:pt idx="10">
                  <c:v>Xylosma spiculifera</c:v>
                </c:pt>
                <c:pt idx="11">
                  <c:v>Saurauia scabra</c:v>
                </c:pt>
                <c:pt idx="12">
                  <c:v>Daphnopsis caracasana</c:v>
                </c:pt>
                <c:pt idx="13">
                  <c:v>Tibouchina lepidota</c:v>
                </c:pt>
                <c:pt idx="14">
                  <c:v>Miconia squamulosa</c:v>
                </c:pt>
                <c:pt idx="15">
                  <c:v>Dodonaea viscosa</c:v>
                </c:pt>
                <c:pt idx="16">
                  <c:v>Berberis rigidifolia</c:v>
                </c:pt>
                <c:pt idx="17">
                  <c:v>Senna multigandulosa</c:v>
                </c:pt>
                <c:pt idx="18">
                  <c:v>Myrsine latifolia</c:v>
                </c:pt>
                <c:pt idx="19">
                  <c:v>Oreopanax mutisianus</c:v>
                </c:pt>
                <c:pt idx="20">
                  <c:v>Solanum jamaicense</c:v>
                </c:pt>
              </c:strCache>
            </c:strRef>
          </c:cat>
          <c:val>
            <c:numRef>
              <c:f>Crecimiento!$H$46:$H$66</c:f>
              <c:numCache>
                <c:formatCode>0,000</c:formatCode>
                <c:ptCount val="21"/>
                <c:pt idx="0">
                  <c:v>9.3679999999999986</c:v>
                </c:pt>
                <c:pt idx="1">
                  <c:v>9.1666666666666661</c:v>
                </c:pt>
                <c:pt idx="2">
                  <c:v>8.83</c:v>
                </c:pt>
                <c:pt idx="3">
                  <c:v>8.7355555555555569</c:v>
                </c:pt>
                <c:pt idx="4">
                  <c:v>6.5822222222222235</c:v>
                </c:pt>
                <c:pt idx="5">
                  <c:v>6.4799999999999995</c:v>
                </c:pt>
                <c:pt idx="6">
                  <c:v>4.746666666666667</c:v>
                </c:pt>
                <c:pt idx="7">
                  <c:v>4.5333333333333341</c:v>
                </c:pt>
                <c:pt idx="8">
                  <c:v>4.2722222222222213</c:v>
                </c:pt>
                <c:pt idx="9">
                  <c:v>4.166666666666667</c:v>
                </c:pt>
                <c:pt idx="10">
                  <c:v>4.0666666666666673</c:v>
                </c:pt>
                <c:pt idx="11">
                  <c:v>3.5777777777777762</c:v>
                </c:pt>
                <c:pt idx="12">
                  <c:v>3.25</c:v>
                </c:pt>
                <c:pt idx="13">
                  <c:v>3.1999999999999993</c:v>
                </c:pt>
                <c:pt idx="14">
                  <c:v>3.1011111111111114</c:v>
                </c:pt>
                <c:pt idx="15">
                  <c:v>2.7319999999999998</c:v>
                </c:pt>
                <c:pt idx="16">
                  <c:v>2.7300000000000009</c:v>
                </c:pt>
                <c:pt idx="17">
                  <c:v>2.6983333333333355</c:v>
                </c:pt>
                <c:pt idx="18">
                  <c:v>1.3500000000000003</c:v>
                </c:pt>
                <c:pt idx="19">
                  <c:v>1.0066666666666666</c:v>
                </c:pt>
                <c:pt idx="20">
                  <c:v>0.66666666666666663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698240"/>
        <c:axId val="106700160"/>
      </c:barChart>
      <c:catAx>
        <c:axId val="106698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700160"/>
        <c:crossesAt val="0"/>
        <c:auto val="1"/>
        <c:lblAlgn val="ctr"/>
        <c:lblOffset val="100"/>
        <c:noMultiLvlLbl val="0"/>
      </c:catAx>
      <c:valAx>
        <c:axId val="106700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698240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Tasa mensual de crecimiento-Diametro (Arbolitos)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Crecimiento!$J$4</c:f>
              <c:strCache>
                <c:ptCount val="1"/>
                <c:pt idx="0">
                  <c:v>Tasa mensual de crecimiento en diámetro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Crecimiento!$G$46:$G$66</c:f>
              <c:strCache>
                <c:ptCount val="21"/>
                <c:pt idx="0">
                  <c:v>Vallea stipularis</c:v>
                </c:pt>
                <c:pt idx="1">
                  <c:v>Monnina aestuans</c:v>
                </c:pt>
                <c:pt idx="2">
                  <c:v>Escallonia paniculata</c:v>
                </c:pt>
                <c:pt idx="3">
                  <c:v>Baccharis latifolia</c:v>
                </c:pt>
                <c:pt idx="4">
                  <c:v>Escallonia myrtilloides</c:v>
                </c:pt>
                <c:pt idx="5">
                  <c:v>Duranta mutisii</c:v>
                </c:pt>
                <c:pt idx="6">
                  <c:v>Leandra sp </c:v>
                </c:pt>
                <c:pt idx="7">
                  <c:v>Clethra fimbriata</c:v>
                </c:pt>
                <c:pt idx="8">
                  <c:v>Morella pubescens</c:v>
                </c:pt>
                <c:pt idx="9">
                  <c:v>Solanum quitoense</c:v>
                </c:pt>
                <c:pt idx="10">
                  <c:v>Xylosma spiculifera</c:v>
                </c:pt>
                <c:pt idx="11">
                  <c:v>Saurauia scabra</c:v>
                </c:pt>
                <c:pt idx="12">
                  <c:v>Daphnopsis caracasana</c:v>
                </c:pt>
                <c:pt idx="13">
                  <c:v>Tibouchina lepidota</c:v>
                </c:pt>
                <c:pt idx="14">
                  <c:v>Miconia squamulosa</c:v>
                </c:pt>
                <c:pt idx="15">
                  <c:v>Dodonaea viscosa</c:v>
                </c:pt>
                <c:pt idx="16">
                  <c:v>Berberis rigidifolia</c:v>
                </c:pt>
                <c:pt idx="17">
                  <c:v>Senna multigandulosa</c:v>
                </c:pt>
                <c:pt idx="18">
                  <c:v>Myrsine latifolia</c:v>
                </c:pt>
                <c:pt idx="19">
                  <c:v>Oreopanax mutisianus</c:v>
                </c:pt>
                <c:pt idx="20">
                  <c:v>Solanum jamaicense</c:v>
                </c:pt>
              </c:strCache>
            </c:strRef>
          </c:cat>
          <c:val>
            <c:numRef>
              <c:f>Crecimiento!$J$46:$J$66</c:f>
              <c:numCache>
                <c:formatCode>0,000</c:formatCode>
                <c:ptCount val="21"/>
                <c:pt idx="0">
                  <c:v>5.9047142857142874E-2</c:v>
                </c:pt>
                <c:pt idx="1">
                  <c:v>0.22733333333333336</c:v>
                </c:pt>
                <c:pt idx="2">
                  <c:v>0.2378518518518519</c:v>
                </c:pt>
                <c:pt idx="3">
                  <c:v>8.2601234567901277E-2</c:v>
                </c:pt>
                <c:pt idx="4">
                  <c:v>0.14432222222222224</c:v>
                </c:pt>
                <c:pt idx="5">
                  <c:v>0.11077777777777775</c:v>
                </c:pt>
                <c:pt idx="6">
                  <c:v>6.916666666666664E-2</c:v>
                </c:pt>
                <c:pt idx="7">
                  <c:v>0.15233333333333335</c:v>
                </c:pt>
                <c:pt idx="8">
                  <c:v>6.9802469135802458E-2</c:v>
                </c:pt>
                <c:pt idx="9">
                  <c:v>8.7333333333333263E-2</c:v>
                </c:pt>
                <c:pt idx="10">
                  <c:v>8.0766666666666584E-2</c:v>
                </c:pt>
                <c:pt idx="11">
                  <c:v>0.22234351851851852</c:v>
                </c:pt>
                <c:pt idx="12">
                  <c:v>1.6333333333333311E-2</c:v>
                </c:pt>
                <c:pt idx="13">
                  <c:v>5.6933333333333357E-2</c:v>
                </c:pt>
                <c:pt idx="14">
                  <c:v>6.53962962962963E-2</c:v>
                </c:pt>
                <c:pt idx="15">
                  <c:v>6.7138888888888887E-2</c:v>
                </c:pt>
                <c:pt idx="16">
                  <c:v>8.5833333333333359E-2</c:v>
                </c:pt>
                <c:pt idx="17">
                  <c:v>4.5083333333333295E-2</c:v>
                </c:pt>
                <c:pt idx="18">
                  <c:v>4.930462962962967E-2</c:v>
                </c:pt>
                <c:pt idx="19">
                  <c:v>6.9999999999999993E-2</c:v>
                </c:pt>
                <c:pt idx="20">
                  <c:v>7.6333333333333295E-2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733568"/>
        <c:axId val="106735488"/>
      </c:barChart>
      <c:catAx>
        <c:axId val="106733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735488"/>
        <c:crossesAt val="0"/>
        <c:auto val="1"/>
        <c:lblAlgn val="ctr"/>
        <c:lblOffset val="100"/>
        <c:noMultiLvlLbl val="0"/>
      </c:catAx>
      <c:valAx>
        <c:axId val="10673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733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Crecimiento total-Altura (Arbolitos)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Crecimiento!$I$4</c:f>
              <c:strCache>
                <c:ptCount val="1"/>
                <c:pt idx="0">
                  <c:v>Crecimiento total en altura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Crecimiento!$G$46:$G$66</c:f>
              <c:strCache>
                <c:ptCount val="21"/>
                <c:pt idx="0">
                  <c:v>Vallea stipularis</c:v>
                </c:pt>
                <c:pt idx="1">
                  <c:v>Monnina aestuans</c:v>
                </c:pt>
                <c:pt idx="2">
                  <c:v>Escallonia paniculata</c:v>
                </c:pt>
                <c:pt idx="3">
                  <c:v>Baccharis latifolia</c:v>
                </c:pt>
                <c:pt idx="4">
                  <c:v>Escallonia myrtilloides</c:v>
                </c:pt>
                <c:pt idx="5">
                  <c:v>Duranta mutisii</c:v>
                </c:pt>
                <c:pt idx="6">
                  <c:v>Leandra sp </c:v>
                </c:pt>
                <c:pt idx="7">
                  <c:v>Clethra fimbriata</c:v>
                </c:pt>
                <c:pt idx="8">
                  <c:v>Morella pubescens</c:v>
                </c:pt>
                <c:pt idx="9">
                  <c:v>Solanum quitoense</c:v>
                </c:pt>
                <c:pt idx="10">
                  <c:v>Xylosma spiculifera</c:v>
                </c:pt>
                <c:pt idx="11">
                  <c:v>Saurauia scabra</c:v>
                </c:pt>
                <c:pt idx="12">
                  <c:v>Daphnopsis caracasana</c:v>
                </c:pt>
                <c:pt idx="13">
                  <c:v>Tibouchina lepidota</c:v>
                </c:pt>
                <c:pt idx="14">
                  <c:v>Miconia squamulosa</c:v>
                </c:pt>
                <c:pt idx="15">
                  <c:v>Dodonaea viscosa</c:v>
                </c:pt>
                <c:pt idx="16">
                  <c:v>Berberis rigidifolia</c:v>
                </c:pt>
                <c:pt idx="17">
                  <c:v>Senna multigandulosa</c:v>
                </c:pt>
                <c:pt idx="18">
                  <c:v>Myrsine latifolia</c:v>
                </c:pt>
                <c:pt idx="19">
                  <c:v>Oreopanax mutisianus</c:v>
                </c:pt>
                <c:pt idx="20">
                  <c:v>Solanum jamaicense</c:v>
                </c:pt>
              </c:strCache>
            </c:strRef>
          </c:cat>
          <c:val>
            <c:numRef>
              <c:f>Crecimiento!$I$46:$I$66</c:f>
              <c:numCache>
                <c:formatCode>0,000</c:formatCode>
                <c:ptCount val="21"/>
                <c:pt idx="0">
                  <c:v>28.103999999999996</c:v>
                </c:pt>
                <c:pt idx="1">
                  <c:v>27.5</c:v>
                </c:pt>
                <c:pt idx="2">
                  <c:v>26.49</c:v>
                </c:pt>
                <c:pt idx="3">
                  <c:v>26.206666666666667</c:v>
                </c:pt>
                <c:pt idx="4">
                  <c:v>19.746666666666666</c:v>
                </c:pt>
                <c:pt idx="5">
                  <c:v>19.439999999999998</c:v>
                </c:pt>
                <c:pt idx="6">
                  <c:v>14.240000000000002</c:v>
                </c:pt>
                <c:pt idx="7">
                  <c:v>13.600000000000001</c:v>
                </c:pt>
                <c:pt idx="8">
                  <c:v>12.816666666666663</c:v>
                </c:pt>
                <c:pt idx="9">
                  <c:v>12.5</c:v>
                </c:pt>
                <c:pt idx="10">
                  <c:v>12.200000000000003</c:v>
                </c:pt>
                <c:pt idx="11">
                  <c:v>10.733333333333329</c:v>
                </c:pt>
                <c:pt idx="12">
                  <c:v>9.75</c:v>
                </c:pt>
                <c:pt idx="13">
                  <c:v>9.5999999999999979</c:v>
                </c:pt>
                <c:pt idx="14">
                  <c:v>9.3033333333333346</c:v>
                </c:pt>
                <c:pt idx="15">
                  <c:v>8.1959999999999997</c:v>
                </c:pt>
                <c:pt idx="16">
                  <c:v>8.1900000000000031</c:v>
                </c:pt>
                <c:pt idx="17">
                  <c:v>8.095000000000006</c:v>
                </c:pt>
                <c:pt idx="18">
                  <c:v>4.0500000000000007</c:v>
                </c:pt>
                <c:pt idx="19">
                  <c:v>3.0199999999999996</c:v>
                </c:pt>
                <c:pt idx="20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764160"/>
        <c:axId val="106774528"/>
      </c:barChart>
      <c:catAx>
        <c:axId val="1067641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774528"/>
        <c:crossesAt val="0"/>
        <c:auto val="1"/>
        <c:lblAlgn val="ctr"/>
        <c:lblOffset val="100"/>
        <c:noMultiLvlLbl val="0"/>
      </c:catAx>
      <c:valAx>
        <c:axId val="1067745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764160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Crecimiento total-Diametro (Arbolitos)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Crecimiento!$K$4</c:f>
              <c:strCache>
                <c:ptCount val="1"/>
                <c:pt idx="0">
                  <c:v>Crecimiento total en diámetro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Crecimiento!$G$46:$G$66</c:f>
              <c:strCache>
                <c:ptCount val="21"/>
                <c:pt idx="0">
                  <c:v>Vallea stipularis</c:v>
                </c:pt>
                <c:pt idx="1">
                  <c:v>Monnina aestuans</c:v>
                </c:pt>
                <c:pt idx="2">
                  <c:v>Escallonia paniculata</c:v>
                </c:pt>
                <c:pt idx="3">
                  <c:v>Baccharis latifolia</c:v>
                </c:pt>
                <c:pt idx="4">
                  <c:v>Escallonia myrtilloides</c:v>
                </c:pt>
                <c:pt idx="5">
                  <c:v>Duranta mutisii</c:v>
                </c:pt>
                <c:pt idx="6">
                  <c:v>Leandra sp </c:v>
                </c:pt>
                <c:pt idx="7">
                  <c:v>Clethra fimbriata</c:v>
                </c:pt>
                <c:pt idx="8">
                  <c:v>Morella pubescens</c:v>
                </c:pt>
                <c:pt idx="9">
                  <c:v>Solanum quitoense</c:v>
                </c:pt>
                <c:pt idx="10">
                  <c:v>Xylosma spiculifera</c:v>
                </c:pt>
                <c:pt idx="11">
                  <c:v>Saurauia scabra</c:v>
                </c:pt>
                <c:pt idx="12">
                  <c:v>Daphnopsis caracasana</c:v>
                </c:pt>
                <c:pt idx="13">
                  <c:v>Tibouchina lepidota</c:v>
                </c:pt>
                <c:pt idx="14">
                  <c:v>Miconia squamulosa</c:v>
                </c:pt>
                <c:pt idx="15">
                  <c:v>Dodonaea viscosa</c:v>
                </c:pt>
                <c:pt idx="16">
                  <c:v>Berberis rigidifolia</c:v>
                </c:pt>
                <c:pt idx="17">
                  <c:v>Senna multigandulosa</c:v>
                </c:pt>
                <c:pt idx="18">
                  <c:v>Myrsine latifolia</c:v>
                </c:pt>
                <c:pt idx="19">
                  <c:v>Oreopanax mutisianus</c:v>
                </c:pt>
                <c:pt idx="20">
                  <c:v>Solanum jamaicense</c:v>
                </c:pt>
              </c:strCache>
            </c:strRef>
          </c:cat>
          <c:val>
            <c:numRef>
              <c:f>Crecimiento!$K$46:$K$66</c:f>
              <c:numCache>
                <c:formatCode>0,000</c:formatCode>
                <c:ptCount val="21"/>
                <c:pt idx="0">
                  <c:v>0.17714142857142862</c:v>
                </c:pt>
                <c:pt idx="1">
                  <c:v>0.68200000000000005</c:v>
                </c:pt>
                <c:pt idx="2">
                  <c:v>0.71355555555555572</c:v>
                </c:pt>
                <c:pt idx="3">
                  <c:v>0.24780370370370383</c:v>
                </c:pt>
                <c:pt idx="4">
                  <c:v>0.43296666666666672</c:v>
                </c:pt>
                <c:pt idx="5">
                  <c:v>0.33233333333333326</c:v>
                </c:pt>
                <c:pt idx="6">
                  <c:v>0.20749999999999991</c:v>
                </c:pt>
                <c:pt idx="7">
                  <c:v>0.45700000000000007</c:v>
                </c:pt>
                <c:pt idx="8">
                  <c:v>0.20940740740740738</c:v>
                </c:pt>
                <c:pt idx="9">
                  <c:v>0.26199999999999979</c:v>
                </c:pt>
                <c:pt idx="10">
                  <c:v>0.24229999999999974</c:v>
                </c:pt>
                <c:pt idx="11">
                  <c:v>0.66703055555555546</c:v>
                </c:pt>
                <c:pt idx="12">
                  <c:v>4.8999999999999932E-2</c:v>
                </c:pt>
                <c:pt idx="13">
                  <c:v>0.17080000000000006</c:v>
                </c:pt>
                <c:pt idx="14">
                  <c:v>0.19618888888888888</c:v>
                </c:pt>
                <c:pt idx="15">
                  <c:v>0.20141666666666672</c:v>
                </c:pt>
                <c:pt idx="16">
                  <c:v>0.25750000000000006</c:v>
                </c:pt>
                <c:pt idx="17">
                  <c:v>0.13524999999999987</c:v>
                </c:pt>
                <c:pt idx="18">
                  <c:v>0.14791388888888901</c:v>
                </c:pt>
                <c:pt idx="19">
                  <c:v>0.20999999999999996</c:v>
                </c:pt>
                <c:pt idx="20">
                  <c:v>0.22899999999999987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820352"/>
        <c:axId val="106822272"/>
      </c:barChart>
      <c:catAx>
        <c:axId val="106820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822272"/>
        <c:crossesAt val="0"/>
        <c:auto val="1"/>
        <c:lblAlgn val="ctr"/>
        <c:lblOffset val="100"/>
        <c:noMultiLvlLbl val="0"/>
      </c:catAx>
      <c:valAx>
        <c:axId val="10682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820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Tasa mensual de crecimiento-Altura (Arbustos)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Crecimiento!$H$4</c:f>
              <c:strCache>
                <c:ptCount val="1"/>
                <c:pt idx="0">
                  <c:v>Tasa mensual de crecimiento en altura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Crecimiento!$G$67:$G$87</c:f>
              <c:strCache>
                <c:ptCount val="21"/>
                <c:pt idx="0">
                  <c:v>Ageratina aristei</c:v>
                </c:pt>
                <c:pt idx="1">
                  <c:v>Ageratina ampla</c:v>
                </c:pt>
                <c:pt idx="2">
                  <c:v>Tibouchina mollis</c:v>
                </c:pt>
                <c:pt idx="3">
                  <c:v>Baccharis salicina</c:v>
                </c:pt>
                <c:pt idx="4">
                  <c:v>Barnadesia spinosa</c:v>
                </c:pt>
                <c:pt idx="5">
                  <c:v>Baccharis bogotensis</c:v>
                </c:pt>
                <c:pt idx="6">
                  <c:v>Ageratina asclepiadea</c:v>
                </c:pt>
                <c:pt idx="7">
                  <c:v>Lupinus bogotensis</c:v>
                </c:pt>
                <c:pt idx="8">
                  <c:v>Citharexylum sulcatum</c:v>
                </c:pt>
                <c:pt idx="9">
                  <c:v>Morella parvifolia</c:v>
                </c:pt>
                <c:pt idx="10">
                  <c:v>Lycianthes lycioides</c:v>
                </c:pt>
                <c:pt idx="11">
                  <c:v>Cestrum mutisii</c:v>
                </c:pt>
                <c:pt idx="12">
                  <c:v>Cestrum buxifolium</c:v>
                </c:pt>
                <c:pt idx="13">
                  <c:v>Solanum oblongifolium</c:v>
                </c:pt>
                <c:pt idx="14">
                  <c:v>Holodiscus Argenteus</c:v>
                </c:pt>
                <c:pt idx="15">
                  <c:v>Piper bogotense</c:v>
                </c:pt>
                <c:pt idx="16">
                  <c:v>Piper aff. umbellatum</c:v>
                </c:pt>
                <c:pt idx="17">
                  <c:v>Myrsine dependens</c:v>
                </c:pt>
                <c:pt idx="18">
                  <c:v>Myrsine guianensis</c:v>
                </c:pt>
                <c:pt idx="19">
                  <c:v>Capsicum pubescens</c:v>
                </c:pt>
                <c:pt idx="20">
                  <c:v>Physalis peruviana</c:v>
                </c:pt>
              </c:strCache>
            </c:strRef>
          </c:cat>
          <c:val>
            <c:numRef>
              <c:f>Crecimiento!$H$67:$H$87</c:f>
              <c:numCache>
                <c:formatCode>0,000</c:formatCode>
                <c:ptCount val="21"/>
                <c:pt idx="0">
                  <c:v>11.324999999999999</c:v>
                </c:pt>
                <c:pt idx="1">
                  <c:v>11.001666666666667</c:v>
                </c:pt>
                <c:pt idx="2">
                  <c:v>11</c:v>
                </c:pt>
                <c:pt idx="3">
                  <c:v>6.8666666666666645</c:v>
                </c:pt>
                <c:pt idx="4">
                  <c:v>5.833333333333333</c:v>
                </c:pt>
                <c:pt idx="5">
                  <c:v>5.3766666666666749</c:v>
                </c:pt>
                <c:pt idx="6">
                  <c:v>5.3716666666666679</c:v>
                </c:pt>
                <c:pt idx="7">
                  <c:v>5</c:v>
                </c:pt>
                <c:pt idx="8">
                  <c:v>4.6385185185185174</c:v>
                </c:pt>
                <c:pt idx="9">
                  <c:v>4.4000000000000012</c:v>
                </c:pt>
                <c:pt idx="10">
                  <c:v>2.9949999999999992</c:v>
                </c:pt>
                <c:pt idx="11">
                  <c:v>2.4050000000000002</c:v>
                </c:pt>
                <c:pt idx="12">
                  <c:v>2.1049999999999995</c:v>
                </c:pt>
                <c:pt idx="13">
                  <c:v>1.9708333333333337</c:v>
                </c:pt>
                <c:pt idx="14">
                  <c:v>1.5</c:v>
                </c:pt>
                <c:pt idx="15">
                  <c:v>1.4000000000000001</c:v>
                </c:pt>
                <c:pt idx="16">
                  <c:v>1.3333333333333333</c:v>
                </c:pt>
                <c:pt idx="17">
                  <c:v>1.2900000000000007</c:v>
                </c:pt>
                <c:pt idx="18">
                  <c:v>0.8999999999999998</c:v>
                </c:pt>
                <c:pt idx="19">
                  <c:v>0.53666666666666651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904576"/>
        <c:axId val="106931328"/>
      </c:barChart>
      <c:catAx>
        <c:axId val="106904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Especie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931328"/>
        <c:crossesAt val="0"/>
        <c:auto val="1"/>
        <c:lblAlgn val="ctr"/>
        <c:lblOffset val="100"/>
        <c:noMultiLvlLbl val="0"/>
      </c:catAx>
      <c:valAx>
        <c:axId val="1069313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6904576"/>
        <c:crosses val="autoZero"/>
        <c:crossBetween val="between"/>
        <c:minorUnit val="0.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9" Type="http://schemas.openxmlformats.org/officeDocument/2006/relationships/chart" Target="../charts/chart42.xml"/><Relationship Id="rId21" Type="http://schemas.openxmlformats.org/officeDocument/2006/relationships/chart" Target="../charts/chart24.xml"/><Relationship Id="rId34" Type="http://schemas.openxmlformats.org/officeDocument/2006/relationships/chart" Target="../charts/chart37.xml"/><Relationship Id="rId42" Type="http://schemas.openxmlformats.org/officeDocument/2006/relationships/chart" Target="../charts/chart45.xml"/><Relationship Id="rId47" Type="http://schemas.openxmlformats.org/officeDocument/2006/relationships/chart" Target="../charts/chart50.xml"/><Relationship Id="rId50" Type="http://schemas.openxmlformats.org/officeDocument/2006/relationships/chart" Target="../charts/chart53.xml"/><Relationship Id="rId55" Type="http://schemas.openxmlformats.org/officeDocument/2006/relationships/chart" Target="../charts/chart58.xml"/><Relationship Id="rId63" Type="http://schemas.openxmlformats.org/officeDocument/2006/relationships/chart" Target="../charts/chart66.xml"/><Relationship Id="rId68" Type="http://schemas.openxmlformats.org/officeDocument/2006/relationships/chart" Target="../charts/chart71.xml"/><Relationship Id="rId76" Type="http://schemas.openxmlformats.org/officeDocument/2006/relationships/chart" Target="../charts/chart79.xml"/><Relationship Id="rId84" Type="http://schemas.openxmlformats.org/officeDocument/2006/relationships/chart" Target="../charts/chart87.xml"/><Relationship Id="rId7" Type="http://schemas.openxmlformats.org/officeDocument/2006/relationships/chart" Target="../charts/chart10.xml"/><Relationship Id="rId71" Type="http://schemas.openxmlformats.org/officeDocument/2006/relationships/chart" Target="../charts/chart74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9" Type="http://schemas.openxmlformats.org/officeDocument/2006/relationships/chart" Target="../charts/chart32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32" Type="http://schemas.openxmlformats.org/officeDocument/2006/relationships/chart" Target="../charts/chart35.xml"/><Relationship Id="rId37" Type="http://schemas.openxmlformats.org/officeDocument/2006/relationships/chart" Target="../charts/chart40.xml"/><Relationship Id="rId40" Type="http://schemas.openxmlformats.org/officeDocument/2006/relationships/chart" Target="../charts/chart43.xml"/><Relationship Id="rId45" Type="http://schemas.openxmlformats.org/officeDocument/2006/relationships/chart" Target="../charts/chart48.xml"/><Relationship Id="rId53" Type="http://schemas.openxmlformats.org/officeDocument/2006/relationships/chart" Target="../charts/chart56.xml"/><Relationship Id="rId58" Type="http://schemas.openxmlformats.org/officeDocument/2006/relationships/chart" Target="../charts/chart61.xml"/><Relationship Id="rId66" Type="http://schemas.openxmlformats.org/officeDocument/2006/relationships/chart" Target="../charts/chart69.xml"/><Relationship Id="rId74" Type="http://schemas.openxmlformats.org/officeDocument/2006/relationships/chart" Target="../charts/chart77.xml"/><Relationship Id="rId79" Type="http://schemas.openxmlformats.org/officeDocument/2006/relationships/chart" Target="../charts/chart82.xml"/><Relationship Id="rId87" Type="http://schemas.openxmlformats.org/officeDocument/2006/relationships/chart" Target="../charts/chart90.xml"/><Relationship Id="rId5" Type="http://schemas.openxmlformats.org/officeDocument/2006/relationships/chart" Target="../charts/chart8.xml"/><Relationship Id="rId61" Type="http://schemas.openxmlformats.org/officeDocument/2006/relationships/chart" Target="../charts/chart64.xml"/><Relationship Id="rId82" Type="http://schemas.openxmlformats.org/officeDocument/2006/relationships/chart" Target="../charts/chart85.xml"/><Relationship Id="rId19" Type="http://schemas.openxmlformats.org/officeDocument/2006/relationships/chart" Target="../charts/chart22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Relationship Id="rId30" Type="http://schemas.openxmlformats.org/officeDocument/2006/relationships/chart" Target="../charts/chart33.xml"/><Relationship Id="rId35" Type="http://schemas.openxmlformats.org/officeDocument/2006/relationships/chart" Target="../charts/chart38.xml"/><Relationship Id="rId43" Type="http://schemas.openxmlformats.org/officeDocument/2006/relationships/chart" Target="../charts/chart46.xml"/><Relationship Id="rId48" Type="http://schemas.openxmlformats.org/officeDocument/2006/relationships/chart" Target="../charts/chart51.xml"/><Relationship Id="rId56" Type="http://schemas.openxmlformats.org/officeDocument/2006/relationships/chart" Target="../charts/chart59.xml"/><Relationship Id="rId64" Type="http://schemas.openxmlformats.org/officeDocument/2006/relationships/chart" Target="../charts/chart67.xml"/><Relationship Id="rId69" Type="http://schemas.openxmlformats.org/officeDocument/2006/relationships/chart" Target="../charts/chart72.xml"/><Relationship Id="rId77" Type="http://schemas.openxmlformats.org/officeDocument/2006/relationships/chart" Target="../charts/chart80.xml"/><Relationship Id="rId8" Type="http://schemas.openxmlformats.org/officeDocument/2006/relationships/chart" Target="../charts/chart11.xml"/><Relationship Id="rId51" Type="http://schemas.openxmlformats.org/officeDocument/2006/relationships/chart" Target="../charts/chart54.xml"/><Relationship Id="rId72" Type="http://schemas.openxmlformats.org/officeDocument/2006/relationships/chart" Target="../charts/chart75.xml"/><Relationship Id="rId80" Type="http://schemas.openxmlformats.org/officeDocument/2006/relationships/chart" Target="../charts/chart83.xml"/><Relationship Id="rId85" Type="http://schemas.openxmlformats.org/officeDocument/2006/relationships/chart" Target="../charts/chart88.xml"/><Relationship Id="rId3" Type="http://schemas.openxmlformats.org/officeDocument/2006/relationships/chart" Target="../charts/chart6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33" Type="http://schemas.openxmlformats.org/officeDocument/2006/relationships/chart" Target="../charts/chart36.xml"/><Relationship Id="rId38" Type="http://schemas.openxmlformats.org/officeDocument/2006/relationships/chart" Target="../charts/chart41.xml"/><Relationship Id="rId46" Type="http://schemas.openxmlformats.org/officeDocument/2006/relationships/chart" Target="../charts/chart49.xml"/><Relationship Id="rId59" Type="http://schemas.openxmlformats.org/officeDocument/2006/relationships/chart" Target="../charts/chart62.xml"/><Relationship Id="rId67" Type="http://schemas.openxmlformats.org/officeDocument/2006/relationships/chart" Target="../charts/chart70.xml"/><Relationship Id="rId20" Type="http://schemas.openxmlformats.org/officeDocument/2006/relationships/chart" Target="../charts/chart23.xml"/><Relationship Id="rId41" Type="http://schemas.openxmlformats.org/officeDocument/2006/relationships/chart" Target="../charts/chart44.xml"/><Relationship Id="rId54" Type="http://schemas.openxmlformats.org/officeDocument/2006/relationships/chart" Target="../charts/chart57.xml"/><Relationship Id="rId62" Type="http://schemas.openxmlformats.org/officeDocument/2006/relationships/chart" Target="../charts/chart65.xml"/><Relationship Id="rId70" Type="http://schemas.openxmlformats.org/officeDocument/2006/relationships/chart" Target="../charts/chart73.xml"/><Relationship Id="rId75" Type="http://schemas.openxmlformats.org/officeDocument/2006/relationships/chart" Target="../charts/chart78.xml"/><Relationship Id="rId83" Type="http://schemas.openxmlformats.org/officeDocument/2006/relationships/chart" Target="../charts/chart86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28" Type="http://schemas.openxmlformats.org/officeDocument/2006/relationships/chart" Target="../charts/chart31.xml"/><Relationship Id="rId36" Type="http://schemas.openxmlformats.org/officeDocument/2006/relationships/chart" Target="../charts/chart39.xml"/><Relationship Id="rId49" Type="http://schemas.openxmlformats.org/officeDocument/2006/relationships/chart" Target="../charts/chart52.xml"/><Relationship Id="rId57" Type="http://schemas.openxmlformats.org/officeDocument/2006/relationships/chart" Target="../charts/chart60.xml"/><Relationship Id="rId10" Type="http://schemas.openxmlformats.org/officeDocument/2006/relationships/chart" Target="../charts/chart13.xml"/><Relationship Id="rId31" Type="http://schemas.openxmlformats.org/officeDocument/2006/relationships/chart" Target="../charts/chart34.xml"/><Relationship Id="rId44" Type="http://schemas.openxmlformats.org/officeDocument/2006/relationships/chart" Target="../charts/chart47.xml"/><Relationship Id="rId52" Type="http://schemas.openxmlformats.org/officeDocument/2006/relationships/chart" Target="../charts/chart55.xml"/><Relationship Id="rId60" Type="http://schemas.openxmlformats.org/officeDocument/2006/relationships/chart" Target="../charts/chart63.xml"/><Relationship Id="rId65" Type="http://schemas.openxmlformats.org/officeDocument/2006/relationships/chart" Target="../charts/chart68.xml"/><Relationship Id="rId73" Type="http://schemas.openxmlformats.org/officeDocument/2006/relationships/chart" Target="../charts/chart76.xml"/><Relationship Id="rId78" Type="http://schemas.openxmlformats.org/officeDocument/2006/relationships/chart" Target="../charts/chart81.xml"/><Relationship Id="rId81" Type="http://schemas.openxmlformats.org/officeDocument/2006/relationships/chart" Target="../charts/chart84.xml"/><Relationship Id="rId86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chart" Target="../charts/chart103.xml"/><Relationship Id="rId18" Type="http://schemas.openxmlformats.org/officeDocument/2006/relationships/chart" Target="../charts/chart108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17" Type="http://schemas.openxmlformats.org/officeDocument/2006/relationships/chart" Target="../charts/chart107.xml"/><Relationship Id="rId2" Type="http://schemas.openxmlformats.org/officeDocument/2006/relationships/chart" Target="../charts/chart92.xml"/><Relationship Id="rId16" Type="http://schemas.openxmlformats.org/officeDocument/2006/relationships/chart" Target="../charts/chart106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1" Type="http://schemas.openxmlformats.org/officeDocument/2006/relationships/chart" Target="../charts/chart101.xml"/><Relationship Id="rId5" Type="http://schemas.openxmlformats.org/officeDocument/2006/relationships/chart" Target="../charts/chart95.xml"/><Relationship Id="rId15" Type="http://schemas.openxmlformats.org/officeDocument/2006/relationships/chart" Target="../charts/chart105.xml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Relationship Id="rId14" Type="http://schemas.openxmlformats.org/officeDocument/2006/relationships/chart" Target="../charts/chart10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0</xdr:rowOff>
    </xdr:from>
    <xdr:to>
      <xdr:col>1</xdr:col>
      <xdr:colOff>209550</xdr:colOff>
      <xdr:row>1</xdr:row>
      <xdr:rowOff>190500</xdr:rowOff>
    </xdr:to>
    <xdr:pic>
      <xdr:nvPicPr>
        <xdr:cNvPr id="10818925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51</xdr:row>
      <xdr:rowOff>0</xdr:rowOff>
    </xdr:from>
    <xdr:to>
      <xdr:col>1</xdr:col>
      <xdr:colOff>209550</xdr:colOff>
      <xdr:row>52</xdr:row>
      <xdr:rowOff>114300</xdr:rowOff>
    </xdr:to>
    <xdr:pic>
      <xdr:nvPicPr>
        <xdr:cNvPr id="10818926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298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99</xdr:row>
      <xdr:rowOff>0</xdr:rowOff>
    </xdr:from>
    <xdr:to>
      <xdr:col>1</xdr:col>
      <xdr:colOff>209550</xdr:colOff>
      <xdr:row>100</xdr:row>
      <xdr:rowOff>114300</xdr:rowOff>
    </xdr:to>
    <xdr:pic>
      <xdr:nvPicPr>
        <xdr:cNvPr id="10818927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0310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147</xdr:row>
      <xdr:rowOff>0</xdr:rowOff>
    </xdr:from>
    <xdr:to>
      <xdr:col>1</xdr:col>
      <xdr:colOff>209550</xdr:colOff>
      <xdr:row>148</xdr:row>
      <xdr:rowOff>114300</xdr:rowOff>
    </xdr:to>
    <xdr:pic>
      <xdr:nvPicPr>
        <xdr:cNvPr id="10818928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6322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195</xdr:row>
      <xdr:rowOff>0</xdr:rowOff>
    </xdr:from>
    <xdr:to>
      <xdr:col>1</xdr:col>
      <xdr:colOff>209550</xdr:colOff>
      <xdr:row>196</xdr:row>
      <xdr:rowOff>114300</xdr:rowOff>
    </xdr:to>
    <xdr:pic>
      <xdr:nvPicPr>
        <xdr:cNvPr id="10818929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2334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243</xdr:row>
      <xdr:rowOff>0</xdr:rowOff>
    </xdr:from>
    <xdr:to>
      <xdr:col>1</xdr:col>
      <xdr:colOff>209550</xdr:colOff>
      <xdr:row>244</xdr:row>
      <xdr:rowOff>114300</xdr:rowOff>
    </xdr:to>
    <xdr:pic>
      <xdr:nvPicPr>
        <xdr:cNvPr id="10818930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88346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0</xdr:rowOff>
    </xdr:from>
    <xdr:to>
      <xdr:col>1</xdr:col>
      <xdr:colOff>209550</xdr:colOff>
      <xdr:row>1</xdr:row>
      <xdr:rowOff>190500</xdr:rowOff>
    </xdr:to>
    <xdr:pic>
      <xdr:nvPicPr>
        <xdr:cNvPr id="8380991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51</xdr:row>
      <xdr:rowOff>0</xdr:rowOff>
    </xdr:from>
    <xdr:to>
      <xdr:col>1</xdr:col>
      <xdr:colOff>209550</xdr:colOff>
      <xdr:row>52</xdr:row>
      <xdr:rowOff>114300</xdr:rowOff>
    </xdr:to>
    <xdr:pic>
      <xdr:nvPicPr>
        <xdr:cNvPr id="8380992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298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99</xdr:row>
      <xdr:rowOff>0</xdr:rowOff>
    </xdr:from>
    <xdr:to>
      <xdr:col>1</xdr:col>
      <xdr:colOff>209550</xdr:colOff>
      <xdr:row>100</xdr:row>
      <xdr:rowOff>114300</xdr:rowOff>
    </xdr:to>
    <xdr:pic>
      <xdr:nvPicPr>
        <xdr:cNvPr id="8380993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0310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147</xdr:row>
      <xdr:rowOff>0</xdr:rowOff>
    </xdr:from>
    <xdr:to>
      <xdr:col>1</xdr:col>
      <xdr:colOff>209550</xdr:colOff>
      <xdr:row>148</xdr:row>
      <xdr:rowOff>114300</xdr:rowOff>
    </xdr:to>
    <xdr:pic>
      <xdr:nvPicPr>
        <xdr:cNvPr id="8380994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6322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195</xdr:row>
      <xdr:rowOff>0</xdr:rowOff>
    </xdr:from>
    <xdr:to>
      <xdr:col>1</xdr:col>
      <xdr:colOff>209550</xdr:colOff>
      <xdr:row>196</xdr:row>
      <xdr:rowOff>114300</xdr:rowOff>
    </xdr:to>
    <xdr:pic>
      <xdr:nvPicPr>
        <xdr:cNvPr id="8380995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2334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243</xdr:row>
      <xdr:rowOff>0</xdr:rowOff>
    </xdr:from>
    <xdr:to>
      <xdr:col>1</xdr:col>
      <xdr:colOff>209550</xdr:colOff>
      <xdr:row>244</xdr:row>
      <xdr:rowOff>114300</xdr:rowOff>
    </xdr:to>
    <xdr:pic>
      <xdr:nvPicPr>
        <xdr:cNvPr id="8380996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88346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14</xdr:col>
      <xdr:colOff>571500</xdr:colOff>
      <xdr:row>46</xdr:row>
      <xdr:rowOff>95250</xdr:rowOff>
    </xdr:to>
    <xdr:sp macro="" textlink="">
      <xdr:nvSpPr>
        <xdr:cNvPr id="8380997" name="Rectangle 2" hidden="1"/>
        <xdr:cNvSpPr>
          <a:spLocks noSelect="1" noChangeArrowheads="1"/>
        </xdr:cNvSpPr>
      </xdr:nvSpPr>
      <xdr:spPr bwMode="auto">
        <a:xfrm>
          <a:off x="0" y="0"/>
          <a:ext cx="9610725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51</xdr:row>
      <xdr:rowOff>0</xdr:rowOff>
    </xdr:from>
    <xdr:to>
      <xdr:col>1</xdr:col>
      <xdr:colOff>228600</xdr:colOff>
      <xdr:row>52</xdr:row>
      <xdr:rowOff>114300</xdr:rowOff>
    </xdr:to>
    <xdr:pic>
      <xdr:nvPicPr>
        <xdr:cNvPr id="7057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29875"/>
          <a:ext cx="485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99</xdr:row>
      <xdr:rowOff>0</xdr:rowOff>
    </xdr:from>
    <xdr:to>
      <xdr:col>1</xdr:col>
      <xdr:colOff>228600</xdr:colOff>
      <xdr:row>100</xdr:row>
      <xdr:rowOff>114300</xdr:rowOff>
    </xdr:to>
    <xdr:pic>
      <xdr:nvPicPr>
        <xdr:cNvPr id="7058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031075"/>
          <a:ext cx="485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147</xdr:row>
      <xdr:rowOff>0</xdr:rowOff>
    </xdr:from>
    <xdr:to>
      <xdr:col>1</xdr:col>
      <xdr:colOff>228600</xdr:colOff>
      <xdr:row>148</xdr:row>
      <xdr:rowOff>114300</xdr:rowOff>
    </xdr:to>
    <xdr:pic>
      <xdr:nvPicPr>
        <xdr:cNvPr id="7059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632275"/>
          <a:ext cx="485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195</xdr:row>
      <xdr:rowOff>0</xdr:rowOff>
    </xdr:from>
    <xdr:to>
      <xdr:col>1</xdr:col>
      <xdr:colOff>228600</xdr:colOff>
      <xdr:row>196</xdr:row>
      <xdr:rowOff>114300</xdr:rowOff>
    </xdr:to>
    <xdr:pic>
      <xdr:nvPicPr>
        <xdr:cNvPr id="7060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233475"/>
          <a:ext cx="485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51</xdr:row>
      <xdr:rowOff>0</xdr:rowOff>
    </xdr:from>
    <xdr:to>
      <xdr:col>1</xdr:col>
      <xdr:colOff>228600</xdr:colOff>
      <xdr:row>52</xdr:row>
      <xdr:rowOff>114300</xdr:rowOff>
    </xdr:to>
    <xdr:pic>
      <xdr:nvPicPr>
        <xdr:cNvPr id="8081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29875"/>
          <a:ext cx="485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99</xdr:row>
      <xdr:rowOff>0</xdr:rowOff>
    </xdr:from>
    <xdr:to>
      <xdr:col>1</xdr:col>
      <xdr:colOff>228600</xdr:colOff>
      <xdr:row>100</xdr:row>
      <xdr:rowOff>114300</xdr:rowOff>
    </xdr:to>
    <xdr:pic>
      <xdr:nvPicPr>
        <xdr:cNvPr id="8082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031075"/>
          <a:ext cx="485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147</xdr:row>
      <xdr:rowOff>0</xdr:rowOff>
    </xdr:from>
    <xdr:to>
      <xdr:col>1</xdr:col>
      <xdr:colOff>228600</xdr:colOff>
      <xdr:row>148</xdr:row>
      <xdr:rowOff>114300</xdr:rowOff>
    </xdr:to>
    <xdr:pic>
      <xdr:nvPicPr>
        <xdr:cNvPr id="8083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632275"/>
          <a:ext cx="485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195</xdr:row>
      <xdr:rowOff>0</xdr:rowOff>
    </xdr:from>
    <xdr:to>
      <xdr:col>1</xdr:col>
      <xdr:colOff>228600</xdr:colOff>
      <xdr:row>196</xdr:row>
      <xdr:rowOff>114300</xdr:rowOff>
    </xdr:to>
    <xdr:pic>
      <xdr:nvPicPr>
        <xdr:cNvPr id="8084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233475"/>
          <a:ext cx="4857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0</xdr:rowOff>
    </xdr:from>
    <xdr:to>
      <xdr:col>1</xdr:col>
      <xdr:colOff>209550</xdr:colOff>
      <xdr:row>1</xdr:row>
      <xdr:rowOff>190500</xdr:rowOff>
    </xdr:to>
    <xdr:pic>
      <xdr:nvPicPr>
        <xdr:cNvPr id="11154777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51</xdr:row>
      <xdr:rowOff>0</xdr:rowOff>
    </xdr:from>
    <xdr:to>
      <xdr:col>1</xdr:col>
      <xdr:colOff>209550</xdr:colOff>
      <xdr:row>52</xdr:row>
      <xdr:rowOff>114300</xdr:rowOff>
    </xdr:to>
    <xdr:pic>
      <xdr:nvPicPr>
        <xdr:cNvPr id="11154778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298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99</xdr:row>
      <xdr:rowOff>0</xdr:rowOff>
    </xdr:from>
    <xdr:to>
      <xdr:col>1</xdr:col>
      <xdr:colOff>209550</xdr:colOff>
      <xdr:row>100</xdr:row>
      <xdr:rowOff>114300</xdr:rowOff>
    </xdr:to>
    <xdr:pic>
      <xdr:nvPicPr>
        <xdr:cNvPr id="11154779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0310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147</xdr:row>
      <xdr:rowOff>0</xdr:rowOff>
    </xdr:from>
    <xdr:to>
      <xdr:col>1</xdr:col>
      <xdr:colOff>209550</xdr:colOff>
      <xdr:row>148</xdr:row>
      <xdr:rowOff>114300</xdr:rowOff>
    </xdr:to>
    <xdr:pic>
      <xdr:nvPicPr>
        <xdr:cNvPr id="11154780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6322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195</xdr:row>
      <xdr:rowOff>0</xdr:rowOff>
    </xdr:from>
    <xdr:to>
      <xdr:col>1</xdr:col>
      <xdr:colOff>209550</xdr:colOff>
      <xdr:row>196</xdr:row>
      <xdr:rowOff>114300</xdr:rowOff>
    </xdr:to>
    <xdr:pic>
      <xdr:nvPicPr>
        <xdr:cNvPr id="11154781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2334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243</xdr:row>
      <xdr:rowOff>0</xdr:rowOff>
    </xdr:from>
    <xdr:to>
      <xdr:col>1</xdr:col>
      <xdr:colOff>209550</xdr:colOff>
      <xdr:row>244</xdr:row>
      <xdr:rowOff>114300</xdr:rowOff>
    </xdr:to>
    <xdr:pic>
      <xdr:nvPicPr>
        <xdr:cNvPr id="11154782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88346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0</xdr:rowOff>
    </xdr:from>
    <xdr:to>
      <xdr:col>1</xdr:col>
      <xdr:colOff>209550</xdr:colOff>
      <xdr:row>1</xdr:row>
      <xdr:rowOff>190500</xdr:rowOff>
    </xdr:to>
    <xdr:pic>
      <xdr:nvPicPr>
        <xdr:cNvPr id="10931557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51</xdr:row>
      <xdr:rowOff>0</xdr:rowOff>
    </xdr:from>
    <xdr:to>
      <xdr:col>1</xdr:col>
      <xdr:colOff>209550</xdr:colOff>
      <xdr:row>52</xdr:row>
      <xdr:rowOff>114300</xdr:rowOff>
    </xdr:to>
    <xdr:pic>
      <xdr:nvPicPr>
        <xdr:cNvPr id="10931558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298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99</xdr:row>
      <xdr:rowOff>0</xdr:rowOff>
    </xdr:from>
    <xdr:to>
      <xdr:col>1</xdr:col>
      <xdr:colOff>209550</xdr:colOff>
      <xdr:row>100</xdr:row>
      <xdr:rowOff>114300</xdr:rowOff>
    </xdr:to>
    <xdr:pic>
      <xdr:nvPicPr>
        <xdr:cNvPr id="10931559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00310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147</xdr:row>
      <xdr:rowOff>0</xdr:rowOff>
    </xdr:from>
    <xdr:to>
      <xdr:col>1</xdr:col>
      <xdr:colOff>209550</xdr:colOff>
      <xdr:row>148</xdr:row>
      <xdr:rowOff>114300</xdr:rowOff>
    </xdr:to>
    <xdr:pic>
      <xdr:nvPicPr>
        <xdr:cNvPr id="10931560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96322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195</xdr:row>
      <xdr:rowOff>0</xdr:rowOff>
    </xdr:from>
    <xdr:to>
      <xdr:col>1</xdr:col>
      <xdr:colOff>209550</xdr:colOff>
      <xdr:row>196</xdr:row>
      <xdr:rowOff>114300</xdr:rowOff>
    </xdr:to>
    <xdr:pic>
      <xdr:nvPicPr>
        <xdr:cNvPr id="10931561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2334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95250</xdr:colOff>
      <xdr:row>243</xdr:row>
      <xdr:rowOff>0</xdr:rowOff>
    </xdr:from>
    <xdr:to>
      <xdr:col>1</xdr:col>
      <xdr:colOff>209550</xdr:colOff>
      <xdr:row>244</xdr:row>
      <xdr:rowOff>114300</xdr:rowOff>
    </xdr:to>
    <xdr:pic>
      <xdr:nvPicPr>
        <xdr:cNvPr id="10931562" name="image1.png" descr="untitled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88346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2</xdr:row>
      <xdr:rowOff>142875</xdr:rowOff>
    </xdr:from>
    <xdr:to>
      <xdr:col>12</xdr:col>
      <xdr:colOff>28575</xdr:colOff>
      <xdr:row>17</xdr:row>
      <xdr:rowOff>171450</xdr:rowOff>
    </xdr:to>
    <xdr:graphicFrame macro="">
      <xdr:nvGraphicFramePr>
        <xdr:cNvPr id="334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733425</xdr:colOff>
      <xdr:row>19</xdr:row>
      <xdr:rowOff>57150</xdr:rowOff>
    </xdr:from>
    <xdr:to>
      <xdr:col>11</xdr:col>
      <xdr:colOff>733425</xdr:colOff>
      <xdr:row>34</xdr:row>
      <xdr:rowOff>85725</xdr:rowOff>
    </xdr:to>
    <xdr:graphicFrame macro="">
      <xdr:nvGraphicFramePr>
        <xdr:cNvPr id="3341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9525</xdr:colOff>
      <xdr:row>35</xdr:row>
      <xdr:rowOff>76200</xdr:rowOff>
    </xdr:from>
    <xdr:to>
      <xdr:col>12</xdr:col>
      <xdr:colOff>9525</xdr:colOff>
      <xdr:row>50</xdr:row>
      <xdr:rowOff>104775</xdr:rowOff>
    </xdr:to>
    <xdr:graphicFrame macro="">
      <xdr:nvGraphicFramePr>
        <xdr:cNvPr id="3341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0</xdr:row>
      <xdr:rowOff>123825</xdr:rowOff>
    </xdr:from>
    <xdr:to>
      <xdr:col>15</xdr:col>
      <xdr:colOff>457200</xdr:colOff>
      <xdr:row>9</xdr:row>
      <xdr:rowOff>171450</xdr:rowOff>
    </xdr:to>
    <xdr:graphicFrame macro="">
      <xdr:nvGraphicFramePr>
        <xdr:cNvPr id="1627647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666750</xdr:colOff>
      <xdr:row>0</xdr:row>
      <xdr:rowOff>133350</xdr:rowOff>
    </xdr:from>
    <xdr:to>
      <xdr:col>19</xdr:col>
      <xdr:colOff>561975</xdr:colOff>
      <xdr:row>12</xdr:row>
      <xdr:rowOff>47625</xdr:rowOff>
    </xdr:to>
    <xdr:graphicFrame macro="">
      <xdr:nvGraphicFramePr>
        <xdr:cNvPr id="1758412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285750</xdr:colOff>
      <xdr:row>10</xdr:row>
      <xdr:rowOff>152400</xdr:rowOff>
    </xdr:from>
    <xdr:to>
      <xdr:col>15</xdr:col>
      <xdr:colOff>180975</xdr:colOff>
      <xdr:row>22</xdr:row>
      <xdr:rowOff>66675</xdr:rowOff>
    </xdr:to>
    <xdr:graphicFrame macro="">
      <xdr:nvGraphicFramePr>
        <xdr:cNvPr id="17584129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609600</xdr:colOff>
      <xdr:row>12</xdr:row>
      <xdr:rowOff>123825</xdr:rowOff>
    </xdr:from>
    <xdr:to>
      <xdr:col>19</xdr:col>
      <xdr:colOff>504825</xdr:colOff>
      <xdr:row>22</xdr:row>
      <xdr:rowOff>142875</xdr:rowOff>
    </xdr:to>
    <xdr:graphicFrame macro="">
      <xdr:nvGraphicFramePr>
        <xdr:cNvPr id="17584130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66675</xdr:colOff>
      <xdr:row>134</xdr:row>
      <xdr:rowOff>171450</xdr:rowOff>
    </xdr:from>
    <xdr:to>
      <xdr:col>15</xdr:col>
      <xdr:colOff>723900</xdr:colOff>
      <xdr:row>144</xdr:row>
      <xdr:rowOff>190500</xdr:rowOff>
    </xdr:to>
    <xdr:graphicFrame macro="">
      <xdr:nvGraphicFramePr>
        <xdr:cNvPr id="17584131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723900</xdr:colOff>
      <xdr:row>1</xdr:row>
      <xdr:rowOff>38100</xdr:rowOff>
    </xdr:from>
    <xdr:to>
      <xdr:col>23</xdr:col>
      <xdr:colOff>619125</xdr:colOff>
      <xdr:row>10</xdr:row>
      <xdr:rowOff>190500</xdr:rowOff>
    </xdr:to>
    <xdr:graphicFrame macro="">
      <xdr:nvGraphicFramePr>
        <xdr:cNvPr id="17584132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28575</xdr:colOff>
      <xdr:row>12</xdr:row>
      <xdr:rowOff>123825</xdr:rowOff>
    </xdr:from>
    <xdr:to>
      <xdr:col>23</xdr:col>
      <xdr:colOff>685800</xdr:colOff>
      <xdr:row>21</xdr:row>
      <xdr:rowOff>161925</xdr:rowOff>
    </xdr:to>
    <xdr:graphicFrame macro="">
      <xdr:nvGraphicFramePr>
        <xdr:cNvPr id="17584133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314325</xdr:colOff>
      <xdr:row>23</xdr:row>
      <xdr:rowOff>0</xdr:rowOff>
    </xdr:from>
    <xdr:to>
      <xdr:col>15</xdr:col>
      <xdr:colOff>209550</xdr:colOff>
      <xdr:row>32</xdr:row>
      <xdr:rowOff>133350</xdr:rowOff>
    </xdr:to>
    <xdr:graphicFrame macro="">
      <xdr:nvGraphicFramePr>
        <xdr:cNvPr id="17584134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523875</xdr:colOff>
      <xdr:row>23</xdr:row>
      <xdr:rowOff>57150</xdr:rowOff>
    </xdr:from>
    <xdr:to>
      <xdr:col>19</xdr:col>
      <xdr:colOff>419100</xdr:colOff>
      <xdr:row>33</xdr:row>
      <xdr:rowOff>19050</xdr:rowOff>
    </xdr:to>
    <xdr:graphicFrame macro="">
      <xdr:nvGraphicFramePr>
        <xdr:cNvPr id="17584135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733425</xdr:colOff>
      <xdr:row>23</xdr:row>
      <xdr:rowOff>9525</xdr:rowOff>
    </xdr:from>
    <xdr:to>
      <xdr:col>23</xdr:col>
      <xdr:colOff>628650</xdr:colOff>
      <xdr:row>32</xdr:row>
      <xdr:rowOff>142875</xdr:rowOff>
    </xdr:to>
    <xdr:graphicFrame macro="">
      <xdr:nvGraphicFramePr>
        <xdr:cNvPr id="17584136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266700</xdr:colOff>
      <xdr:row>33</xdr:row>
      <xdr:rowOff>123825</xdr:rowOff>
    </xdr:from>
    <xdr:to>
      <xdr:col>15</xdr:col>
      <xdr:colOff>161925</xdr:colOff>
      <xdr:row>43</xdr:row>
      <xdr:rowOff>85725</xdr:rowOff>
    </xdr:to>
    <xdr:graphicFrame macro="">
      <xdr:nvGraphicFramePr>
        <xdr:cNvPr id="17584137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571500</xdr:colOff>
      <xdr:row>33</xdr:row>
      <xdr:rowOff>152400</xdr:rowOff>
    </xdr:from>
    <xdr:to>
      <xdr:col>19</xdr:col>
      <xdr:colOff>466725</xdr:colOff>
      <xdr:row>43</xdr:row>
      <xdr:rowOff>95250</xdr:rowOff>
    </xdr:to>
    <xdr:graphicFrame macro="">
      <xdr:nvGraphicFramePr>
        <xdr:cNvPr id="17584138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704850</xdr:colOff>
      <xdr:row>33</xdr:row>
      <xdr:rowOff>133350</xdr:rowOff>
    </xdr:from>
    <xdr:to>
      <xdr:col>23</xdr:col>
      <xdr:colOff>600075</xdr:colOff>
      <xdr:row>43</xdr:row>
      <xdr:rowOff>76200</xdr:rowOff>
    </xdr:to>
    <xdr:graphicFrame macro="">
      <xdr:nvGraphicFramePr>
        <xdr:cNvPr id="17584139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352425</xdr:colOff>
      <xdr:row>44</xdr:row>
      <xdr:rowOff>0</xdr:rowOff>
    </xdr:from>
    <xdr:to>
      <xdr:col>15</xdr:col>
      <xdr:colOff>247650</xdr:colOff>
      <xdr:row>53</xdr:row>
      <xdr:rowOff>133350</xdr:rowOff>
    </xdr:to>
    <xdr:graphicFrame macro="">
      <xdr:nvGraphicFramePr>
        <xdr:cNvPr id="17584140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533400</xdr:colOff>
      <xdr:row>44</xdr:row>
      <xdr:rowOff>38100</xdr:rowOff>
    </xdr:from>
    <xdr:to>
      <xdr:col>19</xdr:col>
      <xdr:colOff>428625</xdr:colOff>
      <xdr:row>53</xdr:row>
      <xdr:rowOff>171450</xdr:rowOff>
    </xdr:to>
    <xdr:graphicFrame macro="">
      <xdr:nvGraphicFramePr>
        <xdr:cNvPr id="17584141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685800</xdr:colOff>
      <xdr:row>44</xdr:row>
      <xdr:rowOff>114300</xdr:rowOff>
    </xdr:from>
    <xdr:to>
      <xdr:col>23</xdr:col>
      <xdr:colOff>581025</xdr:colOff>
      <xdr:row>54</xdr:row>
      <xdr:rowOff>57150</xdr:rowOff>
    </xdr:to>
    <xdr:graphicFrame macro="">
      <xdr:nvGraphicFramePr>
        <xdr:cNvPr id="17584142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342900</xdr:colOff>
      <xdr:row>54</xdr:row>
      <xdr:rowOff>9525</xdr:rowOff>
    </xdr:from>
    <xdr:to>
      <xdr:col>15</xdr:col>
      <xdr:colOff>238125</xdr:colOff>
      <xdr:row>63</xdr:row>
      <xdr:rowOff>142875</xdr:rowOff>
    </xdr:to>
    <xdr:graphicFrame macro="">
      <xdr:nvGraphicFramePr>
        <xdr:cNvPr id="17584143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457200</xdr:colOff>
      <xdr:row>54</xdr:row>
      <xdr:rowOff>9525</xdr:rowOff>
    </xdr:from>
    <xdr:to>
      <xdr:col>19</xdr:col>
      <xdr:colOff>352425</xdr:colOff>
      <xdr:row>63</xdr:row>
      <xdr:rowOff>142875</xdr:rowOff>
    </xdr:to>
    <xdr:graphicFrame macro="">
      <xdr:nvGraphicFramePr>
        <xdr:cNvPr id="1758414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561975</xdr:colOff>
      <xdr:row>54</xdr:row>
      <xdr:rowOff>47625</xdr:rowOff>
    </xdr:from>
    <xdr:to>
      <xdr:col>23</xdr:col>
      <xdr:colOff>457200</xdr:colOff>
      <xdr:row>63</xdr:row>
      <xdr:rowOff>180975</xdr:rowOff>
    </xdr:to>
    <xdr:graphicFrame macro="">
      <xdr:nvGraphicFramePr>
        <xdr:cNvPr id="17584145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57150</xdr:colOff>
      <xdr:row>75</xdr:row>
      <xdr:rowOff>0</xdr:rowOff>
    </xdr:from>
    <xdr:to>
      <xdr:col>14</xdr:col>
      <xdr:colOff>714375</xdr:colOff>
      <xdr:row>84</xdr:row>
      <xdr:rowOff>133350</xdr:rowOff>
    </xdr:to>
    <xdr:graphicFrame macro="">
      <xdr:nvGraphicFramePr>
        <xdr:cNvPr id="17584146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219075</xdr:colOff>
      <xdr:row>64</xdr:row>
      <xdr:rowOff>133350</xdr:rowOff>
    </xdr:from>
    <xdr:to>
      <xdr:col>15</xdr:col>
      <xdr:colOff>114300</xdr:colOff>
      <xdr:row>74</xdr:row>
      <xdr:rowOff>76200</xdr:rowOff>
    </xdr:to>
    <xdr:graphicFrame macro="">
      <xdr:nvGraphicFramePr>
        <xdr:cNvPr id="17584147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180975</xdr:colOff>
      <xdr:row>86</xdr:row>
      <xdr:rowOff>142875</xdr:rowOff>
    </xdr:from>
    <xdr:to>
      <xdr:col>15</xdr:col>
      <xdr:colOff>76200</xdr:colOff>
      <xdr:row>96</xdr:row>
      <xdr:rowOff>85725</xdr:rowOff>
    </xdr:to>
    <xdr:graphicFrame macro="">
      <xdr:nvGraphicFramePr>
        <xdr:cNvPr id="17584148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</xdr:col>
      <xdr:colOff>352425</xdr:colOff>
      <xdr:row>86</xdr:row>
      <xdr:rowOff>104775</xdr:rowOff>
    </xdr:from>
    <xdr:to>
      <xdr:col>19</xdr:col>
      <xdr:colOff>247650</xdr:colOff>
      <xdr:row>96</xdr:row>
      <xdr:rowOff>47625</xdr:rowOff>
    </xdr:to>
    <xdr:graphicFrame macro="">
      <xdr:nvGraphicFramePr>
        <xdr:cNvPr id="17584149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171450</xdr:colOff>
      <xdr:row>97</xdr:row>
      <xdr:rowOff>171450</xdr:rowOff>
    </xdr:from>
    <xdr:to>
      <xdr:col>15</xdr:col>
      <xdr:colOff>66675</xdr:colOff>
      <xdr:row>107</xdr:row>
      <xdr:rowOff>114300</xdr:rowOff>
    </xdr:to>
    <xdr:graphicFrame macro="">
      <xdr:nvGraphicFramePr>
        <xdr:cNvPr id="17584150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15</xdr:col>
      <xdr:colOff>323850</xdr:colOff>
      <xdr:row>97</xdr:row>
      <xdr:rowOff>152400</xdr:rowOff>
    </xdr:from>
    <xdr:to>
      <xdr:col>19</xdr:col>
      <xdr:colOff>219075</xdr:colOff>
      <xdr:row>107</xdr:row>
      <xdr:rowOff>95250</xdr:rowOff>
    </xdr:to>
    <xdr:graphicFrame macro="">
      <xdr:nvGraphicFramePr>
        <xdr:cNvPr id="17584151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209550</xdr:colOff>
      <xdr:row>108</xdr:row>
      <xdr:rowOff>85725</xdr:rowOff>
    </xdr:from>
    <xdr:to>
      <xdr:col>15</xdr:col>
      <xdr:colOff>104775</xdr:colOff>
      <xdr:row>118</xdr:row>
      <xdr:rowOff>28575</xdr:rowOff>
    </xdr:to>
    <xdr:graphicFrame macro="">
      <xdr:nvGraphicFramePr>
        <xdr:cNvPr id="17584152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314325</xdr:colOff>
      <xdr:row>125</xdr:row>
      <xdr:rowOff>180975</xdr:rowOff>
    </xdr:from>
    <xdr:to>
      <xdr:col>15</xdr:col>
      <xdr:colOff>209550</xdr:colOff>
      <xdr:row>135</xdr:row>
      <xdr:rowOff>123825</xdr:rowOff>
    </xdr:to>
    <xdr:graphicFrame macro="">
      <xdr:nvGraphicFramePr>
        <xdr:cNvPr id="17584153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</xdr:col>
      <xdr:colOff>552450</xdr:colOff>
      <xdr:row>126</xdr:row>
      <xdr:rowOff>0</xdr:rowOff>
    </xdr:from>
    <xdr:to>
      <xdr:col>19</xdr:col>
      <xdr:colOff>447675</xdr:colOff>
      <xdr:row>135</xdr:row>
      <xdr:rowOff>133350</xdr:rowOff>
    </xdr:to>
    <xdr:graphicFrame macro="">
      <xdr:nvGraphicFramePr>
        <xdr:cNvPr id="17584154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15</xdr:col>
      <xdr:colOff>342900</xdr:colOff>
      <xdr:row>248</xdr:row>
      <xdr:rowOff>95250</xdr:rowOff>
    </xdr:from>
    <xdr:to>
      <xdr:col>19</xdr:col>
      <xdr:colOff>238125</xdr:colOff>
      <xdr:row>258</xdr:row>
      <xdr:rowOff>38100</xdr:rowOff>
    </xdr:to>
    <xdr:graphicFrame macro="">
      <xdr:nvGraphicFramePr>
        <xdr:cNvPr id="17584155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485775</xdr:colOff>
      <xdr:row>146</xdr:row>
      <xdr:rowOff>0</xdr:rowOff>
    </xdr:from>
    <xdr:to>
      <xdr:col>15</xdr:col>
      <xdr:colOff>381000</xdr:colOff>
      <xdr:row>155</xdr:row>
      <xdr:rowOff>133350</xdr:rowOff>
    </xdr:to>
    <xdr:graphicFrame macro="">
      <xdr:nvGraphicFramePr>
        <xdr:cNvPr id="17584156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238125</xdr:colOff>
      <xdr:row>157</xdr:row>
      <xdr:rowOff>95250</xdr:rowOff>
    </xdr:from>
    <xdr:to>
      <xdr:col>15</xdr:col>
      <xdr:colOff>133350</xdr:colOff>
      <xdr:row>167</xdr:row>
      <xdr:rowOff>38100</xdr:rowOff>
    </xdr:to>
    <xdr:graphicFrame macro="">
      <xdr:nvGraphicFramePr>
        <xdr:cNvPr id="17584157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514350</xdr:colOff>
      <xdr:row>157</xdr:row>
      <xdr:rowOff>133350</xdr:rowOff>
    </xdr:from>
    <xdr:to>
      <xdr:col>19</xdr:col>
      <xdr:colOff>409575</xdr:colOff>
      <xdr:row>167</xdr:row>
      <xdr:rowOff>76200</xdr:rowOff>
    </xdr:to>
    <xdr:graphicFrame macro="">
      <xdr:nvGraphicFramePr>
        <xdr:cNvPr id="17584158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</xdr:col>
      <xdr:colOff>714375</xdr:colOff>
      <xdr:row>157</xdr:row>
      <xdr:rowOff>95250</xdr:rowOff>
    </xdr:from>
    <xdr:to>
      <xdr:col>23</xdr:col>
      <xdr:colOff>609600</xdr:colOff>
      <xdr:row>167</xdr:row>
      <xdr:rowOff>38100</xdr:rowOff>
    </xdr:to>
    <xdr:graphicFrame macro="">
      <xdr:nvGraphicFramePr>
        <xdr:cNvPr id="17584159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619125</xdr:colOff>
      <xdr:row>190</xdr:row>
      <xdr:rowOff>47625</xdr:rowOff>
    </xdr:from>
    <xdr:to>
      <xdr:col>15</xdr:col>
      <xdr:colOff>514350</xdr:colOff>
      <xdr:row>199</xdr:row>
      <xdr:rowOff>180975</xdr:rowOff>
    </xdr:to>
    <xdr:graphicFrame macro="">
      <xdr:nvGraphicFramePr>
        <xdr:cNvPr id="17584160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16</xdr:col>
      <xdr:colOff>0</xdr:colOff>
      <xdr:row>190</xdr:row>
      <xdr:rowOff>19050</xdr:rowOff>
    </xdr:from>
    <xdr:to>
      <xdr:col>19</xdr:col>
      <xdr:colOff>657225</xdr:colOff>
      <xdr:row>199</xdr:row>
      <xdr:rowOff>152400</xdr:rowOff>
    </xdr:to>
    <xdr:graphicFrame macro="">
      <xdr:nvGraphicFramePr>
        <xdr:cNvPr id="17584161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20</xdr:col>
      <xdr:colOff>66675</xdr:colOff>
      <xdr:row>190</xdr:row>
      <xdr:rowOff>0</xdr:rowOff>
    </xdr:from>
    <xdr:to>
      <xdr:col>23</xdr:col>
      <xdr:colOff>723900</xdr:colOff>
      <xdr:row>199</xdr:row>
      <xdr:rowOff>133350</xdr:rowOff>
    </xdr:to>
    <xdr:graphicFrame macro="">
      <xdr:nvGraphicFramePr>
        <xdr:cNvPr id="17584162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419100</xdr:colOff>
      <xdr:row>213</xdr:row>
      <xdr:rowOff>104775</xdr:rowOff>
    </xdr:from>
    <xdr:to>
      <xdr:col>15</xdr:col>
      <xdr:colOff>314325</xdr:colOff>
      <xdr:row>223</xdr:row>
      <xdr:rowOff>47625</xdr:rowOff>
    </xdr:to>
    <xdr:graphicFrame macro="">
      <xdr:nvGraphicFramePr>
        <xdr:cNvPr id="17584163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15</xdr:col>
      <xdr:colOff>485775</xdr:colOff>
      <xdr:row>214</xdr:row>
      <xdr:rowOff>9525</xdr:rowOff>
    </xdr:from>
    <xdr:to>
      <xdr:col>19</xdr:col>
      <xdr:colOff>381000</xdr:colOff>
      <xdr:row>223</xdr:row>
      <xdr:rowOff>142875</xdr:rowOff>
    </xdr:to>
    <xdr:graphicFrame macro="">
      <xdr:nvGraphicFramePr>
        <xdr:cNvPr id="17584164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19</xdr:col>
      <xdr:colOff>609600</xdr:colOff>
      <xdr:row>213</xdr:row>
      <xdr:rowOff>142875</xdr:rowOff>
    </xdr:from>
    <xdr:to>
      <xdr:col>23</xdr:col>
      <xdr:colOff>504825</xdr:colOff>
      <xdr:row>223</xdr:row>
      <xdr:rowOff>85725</xdr:rowOff>
    </xdr:to>
    <xdr:graphicFrame macro="">
      <xdr:nvGraphicFramePr>
        <xdr:cNvPr id="17584165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428625</xdr:colOff>
      <xdr:row>223</xdr:row>
      <xdr:rowOff>142875</xdr:rowOff>
    </xdr:from>
    <xdr:to>
      <xdr:col>15</xdr:col>
      <xdr:colOff>323850</xdr:colOff>
      <xdr:row>233</xdr:row>
      <xdr:rowOff>85725</xdr:rowOff>
    </xdr:to>
    <xdr:graphicFrame macro="">
      <xdr:nvGraphicFramePr>
        <xdr:cNvPr id="17584166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15</xdr:col>
      <xdr:colOff>476250</xdr:colOff>
      <xdr:row>224</xdr:row>
      <xdr:rowOff>28575</xdr:rowOff>
    </xdr:from>
    <xdr:to>
      <xdr:col>19</xdr:col>
      <xdr:colOff>371475</xdr:colOff>
      <xdr:row>233</xdr:row>
      <xdr:rowOff>161925</xdr:rowOff>
    </xdr:to>
    <xdr:graphicFrame macro="">
      <xdr:nvGraphicFramePr>
        <xdr:cNvPr id="17584167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285750</xdr:colOff>
      <xdr:row>237</xdr:row>
      <xdr:rowOff>95250</xdr:rowOff>
    </xdr:from>
    <xdr:to>
      <xdr:col>15</xdr:col>
      <xdr:colOff>180975</xdr:colOff>
      <xdr:row>247</xdr:row>
      <xdr:rowOff>38100</xdr:rowOff>
    </xdr:to>
    <xdr:graphicFrame macro="">
      <xdr:nvGraphicFramePr>
        <xdr:cNvPr id="17584168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15</xdr:col>
      <xdr:colOff>409575</xdr:colOff>
      <xdr:row>237</xdr:row>
      <xdr:rowOff>104775</xdr:rowOff>
    </xdr:from>
    <xdr:to>
      <xdr:col>19</xdr:col>
      <xdr:colOff>304800</xdr:colOff>
      <xdr:row>247</xdr:row>
      <xdr:rowOff>47625</xdr:rowOff>
    </xdr:to>
    <xdr:graphicFrame macro="">
      <xdr:nvGraphicFramePr>
        <xdr:cNvPr id="17584169" name="Gráfic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19</xdr:col>
      <xdr:colOff>438150</xdr:colOff>
      <xdr:row>237</xdr:row>
      <xdr:rowOff>47625</xdr:rowOff>
    </xdr:from>
    <xdr:to>
      <xdr:col>23</xdr:col>
      <xdr:colOff>333375</xdr:colOff>
      <xdr:row>246</xdr:row>
      <xdr:rowOff>180975</xdr:rowOff>
    </xdr:to>
    <xdr:graphicFrame macro="">
      <xdr:nvGraphicFramePr>
        <xdr:cNvPr id="17584170" name="Gráfic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171450</xdr:colOff>
      <xdr:row>247</xdr:row>
      <xdr:rowOff>161925</xdr:rowOff>
    </xdr:from>
    <xdr:to>
      <xdr:col>15</xdr:col>
      <xdr:colOff>66675</xdr:colOff>
      <xdr:row>257</xdr:row>
      <xdr:rowOff>104775</xdr:rowOff>
    </xdr:to>
    <xdr:graphicFrame macro="">
      <xdr:nvGraphicFramePr>
        <xdr:cNvPr id="17584171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19</xdr:col>
      <xdr:colOff>419100</xdr:colOff>
      <xdr:row>248</xdr:row>
      <xdr:rowOff>133350</xdr:rowOff>
    </xdr:from>
    <xdr:to>
      <xdr:col>23</xdr:col>
      <xdr:colOff>314325</xdr:colOff>
      <xdr:row>258</xdr:row>
      <xdr:rowOff>76200</xdr:rowOff>
    </xdr:to>
    <xdr:graphicFrame macro="">
      <xdr:nvGraphicFramePr>
        <xdr:cNvPr id="17584172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200025</xdr:colOff>
      <xdr:row>258</xdr:row>
      <xdr:rowOff>57150</xdr:rowOff>
    </xdr:from>
    <xdr:to>
      <xdr:col>15</xdr:col>
      <xdr:colOff>95250</xdr:colOff>
      <xdr:row>268</xdr:row>
      <xdr:rowOff>0</xdr:rowOff>
    </xdr:to>
    <xdr:graphicFrame macro="">
      <xdr:nvGraphicFramePr>
        <xdr:cNvPr id="17584173" name="Gráfico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209550</xdr:colOff>
      <xdr:row>277</xdr:row>
      <xdr:rowOff>133350</xdr:rowOff>
    </xdr:from>
    <xdr:to>
      <xdr:col>15</xdr:col>
      <xdr:colOff>104775</xdr:colOff>
      <xdr:row>287</xdr:row>
      <xdr:rowOff>76200</xdr:rowOff>
    </xdr:to>
    <xdr:graphicFrame macro="">
      <xdr:nvGraphicFramePr>
        <xdr:cNvPr id="17584174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15</xdr:col>
      <xdr:colOff>371475</xdr:colOff>
      <xdr:row>277</xdr:row>
      <xdr:rowOff>85725</xdr:rowOff>
    </xdr:from>
    <xdr:to>
      <xdr:col>19</xdr:col>
      <xdr:colOff>266700</xdr:colOff>
      <xdr:row>287</xdr:row>
      <xdr:rowOff>28575</xdr:rowOff>
    </xdr:to>
    <xdr:graphicFrame macro="">
      <xdr:nvGraphicFramePr>
        <xdr:cNvPr id="17584175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19</xdr:col>
      <xdr:colOff>476250</xdr:colOff>
      <xdr:row>277</xdr:row>
      <xdr:rowOff>142875</xdr:rowOff>
    </xdr:from>
    <xdr:to>
      <xdr:col>23</xdr:col>
      <xdr:colOff>371475</xdr:colOff>
      <xdr:row>287</xdr:row>
      <xdr:rowOff>85725</xdr:rowOff>
    </xdr:to>
    <xdr:graphicFrame macro="">
      <xdr:nvGraphicFramePr>
        <xdr:cNvPr id="17584176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247650</xdr:colOff>
      <xdr:row>288</xdr:row>
      <xdr:rowOff>38100</xdr:rowOff>
    </xdr:from>
    <xdr:to>
      <xdr:col>15</xdr:col>
      <xdr:colOff>142875</xdr:colOff>
      <xdr:row>297</xdr:row>
      <xdr:rowOff>171450</xdr:rowOff>
    </xdr:to>
    <xdr:graphicFrame macro="">
      <xdr:nvGraphicFramePr>
        <xdr:cNvPr id="17584177" name="Gráfic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15</xdr:col>
      <xdr:colOff>371475</xdr:colOff>
      <xdr:row>288</xdr:row>
      <xdr:rowOff>123825</xdr:rowOff>
    </xdr:from>
    <xdr:to>
      <xdr:col>19</xdr:col>
      <xdr:colOff>266700</xdr:colOff>
      <xdr:row>298</xdr:row>
      <xdr:rowOff>66675</xdr:rowOff>
    </xdr:to>
    <xdr:graphicFrame macro="">
      <xdr:nvGraphicFramePr>
        <xdr:cNvPr id="17584178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19</xdr:col>
      <xdr:colOff>504825</xdr:colOff>
      <xdr:row>288</xdr:row>
      <xdr:rowOff>85725</xdr:rowOff>
    </xdr:from>
    <xdr:to>
      <xdr:col>23</xdr:col>
      <xdr:colOff>400050</xdr:colOff>
      <xdr:row>298</xdr:row>
      <xdr:rowOff>28575</xdr:rowOff>
    </xdr:to>
    <xdr:graphicFrame macro="">
      <xdr:nvGraphicFramePr>
        <xdr:cNvPr id="17584179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15</xdr:col>
      <xdr:colOff>152400</xdr:colOff>
      <xdr:row>76</xdr:row>
      <xdr:rowOff>133350</xdr:rowOff>
    </xdr:from>
    <xdr:to>
      <xdr:col>19</xdr:col>
      <xdr:colOff>47625</xdr:colOff>
      <xdr:row>86</xdr:row>
      <xdr:rowOff>76200</xdr:rowOff>
    </xdr:to>
    <xdr:graphicFrame macro="">
      <xdr:nvGraphicFramePr>
        <xdr:cNvPr id="17584180" name="Gráfico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19</xdr:col>
      <xdr:colOff>342900</xdr:colOff>
      <xdr:row>97</xdr:row>
      <xdr:rowOff>57150</xdr:rowOff>
    </xdr:from>
    <xdr:to>
      <xdr:col>23</xdr:col>
      <xdr:colOff>238125</xdr:colOff>
      <xdr:row>107</xdr:row>
      <xdr:rowOff>0</xdr:rowOff>
    </xdr:to>
    <xdr:graphicFrame macro="">
      <xdr:nvGraphicFramePr>
        <xdr:cNvPr id="17584181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15</xdr:col>
      <xdr:colOff>381000</xdr:colOff>
      <xdr:row>108</xdr:row>
      <xdr:rowOff>114300</xdr:rowOff>
    </xdr:from>
    <xdr:to>
      <xdr:col>19</xdr:col>
      <xdr:colOff>276225</xdr:colOff>
      <xdr:row>118</xdr:row>
      <xdr:rowOff>57150</xdr:rowOff>
    </xdr:to>
    <xdr:graphicFrame macro="">
      <xdr:nvGraphicFramePr>
        <xdr:cNvPr id="17584182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19</xdr:col>
      <xdr:colOff>400050</xdr:colOff>
      <xdr:row>108</xdr:row>
      <xdr:rowOff>114300</xdr:rowOff>
    </xdr:from>
    <xdr:to>
      <xdr:col>23</xdr:col>
      <xdr:colOff>295275</xdr:colOff>
      <xdr:row>118</xdr:row>
      <xdr:rowOff>57150</xdr:rowOff>
    </xdr:to>
    <xdr:graphicFrame macro="">
      <xdr:nvGraphicFramePr>
        <xdr:cNvPr id="17584183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19</xdr:col>
      <xdr:colOff>666750</xdr:colOff>
      <xdr:row>125</xdr:row>
      <xdr:rowOff>142875</xdr:rowOff>
    </xdr:from>
    <xdr:to>
      <xdr:col>23</xdr:col>
      <xdr:colOff>561975</xdr:colOff>
      <xdr:row>135</xdr:row>
      <xdr:rowOff>85725</xdr:rowOff>
    </xdr:to>
    <xdr:graphicFrame macro="">
      <xdr:nvGraphicFramePr>
        <xdr:cNvPr id="17584184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16</xdr:col>
      <xdr:colOff>57150</xdr:colOff>
      <xdr:row>136</xdr:row>
      <xdr:rowOff>38100</xdr:rowOff>
    </xdr:from>
    <xdr:to>
      <xdr:col>19</xdr:col>
      <xdr:colOff>714375</xdr:colOff>
      <xdr:row>145</xdr:row>
      <xdr:rowOff>171450</xdr:rowOff>
    </xdr:to>
    <xdr:graphicFrame macro="">
      <xdr:nvGraphicFramePr>
        <xdr:cNvPr id="17584185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276225</xdr:colOff>
      <xdr:row>167</xdr:row>
      <xdr:rowOff>180975</xdr:rowOff>
    </xdr:from>
    <xdr:to>
      <xdr:col>15</xdr:col>
      <xdr:colOff>171450</xdr:colOff>
      <xdr:row>177</xdr:row>
      <xdr:rowOff>123825</xdr:rowOff>
    </xdr:to>
    <xdr:graphicFrame macro="">
      <xdr:nvGraphicFramePr>
        <xdr:cNvPr id="17584186" name="Gráfico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15</xdr:col>
      <xdr:colOff>333375</xdr:colOff>
      <xdr:row>168</xdr:row>
      <xdr:rowOff>19050</xdr:rowOff>
    </xdr:from>
    <xdr:to>
      <xdr:col>19</xdr:col>
      <xdr:colOff>228600</xdr:colOff>
      <xdr:row>177</xdr:row>
      <xdr:rowOff>152400</xdr:rowOff>
    </xdr:to>
    <xdr:graphicFrame macro="">
      <xdr:nvGraphicFramePr>
        <xdr:cNvPr id="17584187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19</xdr:col>
      <xdr:colOff>485775</xdr:colOff>
      <xdr:row>167</xdr:row>
      <xdr:rowOff>180975</xdr:rowOff>
    </xdr:from>
    <xdr:to>
      <xdr:col>23</xdr:col>
      <xdr:colOff>381000</xdr:colOff>
      <xdr:row>177</xdr:row>
      <xdr:rowOff>123825</xdr:rowOff>
    </xdr:to>
    <xdr:graphicFrame macro="">
      <xdr:nvGraphicFramePr>
        <xdr:cNvPr id="17584188" name="Gráfico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304800</xdr:colOff>
      <xdr:row>178</xdr:row>
      <xdr:rowOff>76200</xdr:rowOff>
    </xdr:from>
    <xdr:to>
      <xdr:col>15</xdr:col>
      <xdr:colOff>200025</xdr:colOff>
      <xdr:row>188</xdr:row>
      <xdr:rowOff>19050</xdr:rowOff>
    </xdr:to>
    <xdr:graphicFrame macro="">
      <xdr:nvGraphicFramePr>
        <xdr:cNvPr id="17584189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571500</xdr:colOff>
      <xdr:row>201</xdr:row>
      <xdr:rowOff>85725</xdr:rowOff>
    </xdr:from>
    <xdr:to>
      <xdr:col>15</xdr:col>
      <xdr:colOff>466725</xdr:colOff>
      <xdr:row>211</xdr:row>
      <xdr:rowOff>28575</xdr:rowOff>
    </xdr:to>
    <xdr:graphicFrame macro="">
      <xdr:nvGraphicFramePr>
        <xdr:cNvPr id="17584190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15</xdr:col>
      <xdr:colOff>704850</xdr:colOff>
      <xdr:row>201</xdr:row>
      <xdr:rowOff>38100</xdr:rowOff>
    </xdr:from>
    <xdr:to>
      <xdr:col>19</xdr:col>
      <xdr:colOff>600075</xdr:colOff>
      <xdr:row>210</xdr:row>
      <xdr:rowOff>171450</xdr:rowOff>
    </xdr:to>
    <xdr:graphicFrame macro="">
      <xdr:nvGraphicFramePr>
        <xdr:cNvPr id="17584191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15</xdr:col>
      <xdr:colOff>419100</xdr:colOff>
      <xdr:row>259</xdr:row>
      <xdr:rowOff>9525</xdr:rowOff>
    </xdr:from>
    <xdr:to>
      <xdr:col>19</xdr:col>
      <xdr:colOff>314325</xdr:colOff>
      <xdr:row>268</xdr:row>
      <xdr:rowOff>142875</xdr:rowOff>
    </xdr:to>
    <xdr:graphicFrame macro="">
      <xdr:nvGraphicFramePr>
        <xdr:cNvPr id="17584192" name="Gráfico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24</xdr:col>
      <xdr:colOff>0</xdr:colOff>
      <xdr:row>44</xdr:row>
      <xdr:rowOff>85725</xdr:rowOff>
    </xdr:from>
    <xdr:to>
      <xdr:col>27</xdr:col>
      <xdr:colOff>657225</xdr:colOff>
      <xdr:row>54</xdr:row>
      <xdr:rowOff>28575</xdr:rowOff>
    </xdr:to>
    <xdr:graphicFrame macro="">
      <xdr:nvGraphicFramePr>
        <xdr:cNvPr id="17584193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142875</xdr:colOff>
      <xdr:row>268</xdr:row>
      <xdr:rowOff>9525</xdr:rowOff>
    </xdr:from>
    <xdr:to>
      <xdr:col>15</xdr:col>
      <xdr:colOff>38100</xdr:colOff>
      <xdr:row>277</xdr:row>
      <xdr:rowOff>142875</xdr:rowOff>
    </xdr:to>
    <xdr:graphicFrame macro="">
      <xdr:nvGraphicFramePr>
        <xdr:cNvPr id="17584194" name="Gráfico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15</xdr:col>
      <xdr:colOff>114300</xdr:colOff>
      <xdr:row>268</xdr:row>
      <xdr:rowOff>133350</xdr:rowOff>
    </xdr:from>
    <xdr:to>
      <xdr:col>19</xdr:col>
      <xdr:colOff>9525</xdr:colOff>
      <xdr:row>278</xdr:row>
      <xdr:rowOff>76200</xdr:rowOff>
    </xdr:to>
    <xdr:graphicFrame macro="">
      <xdr:nvGraphicFramePr>
        <xdr:cNvPr id="17584195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19</xdr:col>
      <xdr:colOff>438150</xdr:colOff>
      <xdr:row>259</xdr:row>
      <xdr:rowOff>47625</xdr:rowOff>
    </xdr:from>
    <xdr:to>
      <xdr:col>23</xdr:col>
      <xdr:colOff>333375</xdr:colOff>
      <xdr:row>268</xdr:row>
      <xdr:rowOff>180975</xdr:rowOff>
    </xdr:to>
    <xdr:graphicFrame macro="">
      <xdr:nvGraphicFramePr>
        <xdr:cNvPr id="17584196" name="Gráfico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180975</xdr:colOff>
      <xdr:row>299</xdr:row>
      <xdr:rowOff>0</xdr:rowOff>
    </xdr:from>
    <xdr:to>
      <xdr:col>15</xdr:col>
      <xdr:colOff>76200</xdr:colOff>
      <xdr:row>308</xdr:row>
      <xdr:rowOff>133350</xdr:rowOff>
    </xdr:to>
    <xdr:graphicFrame macro="">
      <xdr:nvGraphicFramePr>
        <xdr:cNvPr id="17584197" name="Gráfico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276225</xdr:colOff>
      <xdr:row>309</xdr:row>
      <xdr:rowOff>9525</xdr:rowOff>
    </xdr:from>
    <xdr:to>
      <xdr:col>15</xdr:col>
      <xdr:colOff>171450</xdr:colOff>
      <xdr:row>318</xdr:row>
      <xdr:rowOff>142875</xdr:rowOff>
    </xdr:to>
    <xdr:graphicFrame macro="">
      <xdr:nvGraphicFramePr>
        <xdr:cNvPr id="17584198" name="Gráfico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15</xdr:col>
      <xdr:colOff>676275</xdr:colOff>
      <xdr:row>146</xdr:row>
      <xdr:rowOff>66675</xdr:rowOff>
    </xdr:from>
    <xdr:to>
      <xdr:col>19</xdr:col>
      <xdr:colOff>571500</xdr:colOff>
      <xdr:row>156</xdr:row>
      <xdr:rowOff>9525</xdr:rowOff>
    </xdr:to>
    <xdr:graphicFrame macro="">
      <xdr:nvGraphicFramePr>
        <xdr:cNvPr id="17584199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19</xdr:col>
      <xdr:colOff>723900</xdr:colOff>
      <xdr:row>146</xdr:row>
      <xdr:rowOff>76200</xdr:rowOff>
    </xdr:from>
    <xdr:to>
      <xdr:col>23</xdr:col>
      <xdr:colOff>619125</xdr:colOff>
      <xdr:row>156</xdr:row>
      <xdr:rowOff>19050</xdr:rowOff>
    </xdr:to>
    <xdr:graphicFrame macro="">
      <xdr:nvGraphicFramePr>
        <xdr:cNvPr id="17584200" name="Gráfico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15</xdr:col>
      <xdr:colOff>342900</xdr:colOff>
      <xdr:row>178</xdr:row>
      <xdr:rowOff>123825</xdr:rowOff>
    </xdr:from>
    <xdr:to>
      <xdr:col>19</xdr:col>
      <xdr:colOff>238125</xdr:colOff>
      <xdr:row>188</xdr:row>
      <xdr:rowOff>66675</xdr:rowOff>
    </xdr:to>
    <xdr:graphicFrame macro="">
      <xdr:nvGraphicFramePr>
        <xdr:cNvPr id="17584201" name="Gráfico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19</xdr:col>
      <xdr:colOff>438150</xdr:colOff>
      <xdr:row>178</xdr:row>
      <xdr:rowOff>114300</xdr:rowOff>
    </xdr:from>
    <xdr:to>
      <xdr:col>23</xdr:col>
      <xdr:colOff>333375</xdr:colOff>
      <xdr:row>188</xdr:row>
      <xdr:rowOff>57150</xdr:rowOff>
    </xdr:to>
    <xdr:graphicFrame macro="">
      <xdr:nvGraphicFramePr>
        <xdr:cNvPr id="17584202" name="Gráfico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23</xdr:col>
      <xdr:colOff>514350</xdr:colOff>
      <xdr:row>178</xdr:row>
      <xdr:rowOff>95250</xdr:rowOff>
    </xdr:from>
    <xdr:to>
      <xdr:col>27</xdr:col>
      <xdr:colOff>409575</xdr:colOff>
      <xdr:row>188</xdr:row>
      <xdr:rowOff>38100</xdr:rowOff>
    </xdr:to>
    <xdr:graphicFrame macro="">
      <xdr:nvGraphicFramePr>
        <xdr:cNvPr id="17584203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19</xdr:col>
      <xdr:colOff>752475</xdr:colOff>
      <xdr:row>201</xdr:row>
      <xdr:rowOff>66675</xdr:rowOff>
    </xdr:from>
    <xdr:to>
      <xdr:col>23</xdr:col>
      <xdr:colOff>647700</xdr:colOff>
      <xdr:row>211</xdr:row>
      <xdr:rowOff>9525</xdr:rowOff>
    </xdr:to>
    <xdr:graphicFrame macro="">
      <xdr:nvGraphicFramePr>
        <xdr:cNvPr id="17584204" name="Gráfico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24</xdr:col>
      <xdr:colOff>209550</xdr:colOff>
      <xdr:row>201</xdr:row>
      <xdr:rowOff>57150</xdr:rowOff>
    </xdr:from>
    <xdr:to>
      <xdr:col>28</xdr:col>
      <xdr:colOff>104775</xdr:colOff>
      <xdr:row>211</xdr:row>
      <xdr:rowOff>0</xdr:rowOff>
    </xdr:to>
    <xdr:graphicFrame macro="">
      <xdr:nvGraphicFramePr>
        <xdr:cNvPr id="17584205" name="Gráfico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19</xdr:col>
      <xdr:colOff>581025</xdr:colOff>
      <xdr:row>225</xdr:row>
      <xdr:rowOff>85725</xdr:rowOff>
    </xdr:from>
    <xdr:to>
      <xdr:col>23</xdr:col>
      <xdr:colOff>476250</xdr:colOff>
      <xdr:row>235</xdr:row>
      <xdr:rowOff>28575</xdr:rowOff>
    </xdr:to>
    <xdr:graphicFrame macro="">
      <xdr:nvGraphicFramePr>
        <xdr:cNvPr id="17584206" name="Gráfico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23</xdr:col>
      <xdr:colOff>638175</xdr:colOff>
      <xdr:row>225</xdr:row>
      <xdr:rowOff>95250</xdr:rowOff>
    </xdr:from>
    <xdr:to>
      <xdr:col>27</xdr:col>
      <xdr:colOff>533400</xdr:colOff>
      <xdr:row>235</xdr:row>
      <xdr:rowOff>38100</xdr:rowOff>
    </xdr:to>
    <xdr:graphicFrame macro="">
      <xdr:nvGraphicFramePr>
        <xdr:cNvPr id="17584207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23</xdr:col>
      <xdr:colOff>600075</xdr:colOff>
      <xdr:row>237</xdr:row>
      <xdr:rowOff>76200</xdr:rowOff>
    </xdr:from>
    <xdr:to>
      <xdr:col>27</xdr:col>
      <xdr:colOff>495300</xdr:colOff>
      <xdr:row>247</xdr:row>
      <xdr:rowOff>19050</xdr:rowOff>
    </xdr:to>
    <xdr:graphicFrame macro="">
      <xdr:nvGraphicFramePr>
        <xdr:cNvPr id="17584208" name="Gráfico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19</xdr:col>
      <xdr:colOff>304800</xdr:colOff>
      <xdr:row>269</xdr:row>
      <xdr:rowOff>0</xdr:rowOff>
    </xdr:from>
    <xdr:to>
      <xdr:col>23</xdr:col>
      <xdr:colOff>200025</xdr:colOff>
      <xdr:row>278</xdr:row>
      <xdr:rowOff>133350</xdr:rowOff>
    </xdr:to>
    <xdr:graphicFrame macro="">
      <xdr:nvGraphicFramePr>
        <xdr:cNvPr id="17584209" name="Gráfico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15</xdr:col>
      <xdr:colOff>523875</xdr:colOff>
      <xdr:row>299</xdr:row>
      <xdr:rowOff>95250</xdr:rowOff>
    </xdr:from>
    <xdr:to>
      <xdr:col>19</xdr:col>
      <xdr:colOff>419100</xdr:colOff>
      <xdr:row>309</xdr:row>
      <xdr:rowOff>38100</xdr:rowOff>
    </xdr:to>
    <xdr:graphicFrame macro="">
      <xdr:nvGraphicFramePr>
        <xdr:cNvPr id="17584210" name="Gráfico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20</xdr:col>
      <xdr:colOff>0</xdr:colOff>
      <xdr:row>299</xdr:row>
      <xdr:rowOff>0</xdr:rowOff>
    </xdr:from>
    <xdr:to>
      <xdr:col>23</xdr:col>
      <xdr:colOff>657225</xdr:colOff>
      <xdr:row>308</xdr:row>
      <xdr:rowOff>133350</xdr:rowOff>
    </xdr:to>
    <xdr:graphicFrame macro="">
      <xdr:nvGraphicFramePr>
        <xdr:cNvPr id="17584211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533400</xdr:colOff>
      <xdr:row>234</xdr:row>
      <xdr:rowOff>0</xdr:rowOff>
    </xdr:from>
    <xdr:to>
      <xdr:col>15</xdr:col>
      <xdr:colOff>428625</xdr:colOff>
      <xdr:row>243</xdr:row>
      <xdr:rowOff>133350</xdr:rowOff>
    </xdr:to>
    <xdr:graphicFrame macro="">
      <xdr:nvGraphicFramePr>
        <xdr:cNvPr id="17584212" name="Gráfico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20</xdr:col>
      <xdr:colOff>180975</xdr:colOff>
      <xdr:row>136</xdr:row>
      <xdr:rowOff>57150</xdr:rowOff>
    </xdr:from>
    <xdr:to>
      <xdr:col>24</xdr:col>
      <xdr:colOff>76200</xdr:colOff>
      <xdr:row>146</xdr:row>
      <xdr:rowOff>0</xdr:rowOff>
    </xdr:to>
    <xdr:graphicFrame macro="">
      <xdr:nvGraphicFramePr>
        <xdr:cNvPr id="17584213" name="Gráfico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3</xdr:row>
      <xdr:rowOff>219075</xdr:rowOff>
    </xdr:from>
    <xdr:to>
      <xdr:col>22</xdr:col>
      <xdr:colOff>447675</xdr:colOff>
      <xdr:row>19</xdr:row>
      <xdr:rowOff>47625</xdr:rowOff>
    </xdr:to>
    <xdr:graphicFrame macro="">
      <xdr:nvGraphicFramePr>
        <xdr:cNvPr id="1712648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228600</xdr:colOff>
      <xdr:row>19</xdr:row>
      <xdr:rowOff>180975</xdr:rowOff>
    </xdr:from>
    <xdr:to>
      <xdr:col>22</xdr:col>
      <xdr:colOff>514350</xdr:colOff>
      <xdr:row>37</xdr:row>
      <xdr:rowOff>171450</xdr:rowOff>
    </xdr:to>
    <xdr:graphicFrame macro="">
      <xdr:nvGraphicFramePr>
        <xdr:cNvPr id="1712648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619125</xdr:colOff>
      <xdr:row>3</xdr:row>
      <xdr:rowOff>209550</xdr:rowOff>
    </xdr:from>
    <xdr:to>
      <xdr:col>33</xdr:col>
      <xdr:colOff>95250</xdr:colOff>
      <xdr:row>19</xdr:row>
      <xdr:rowOff>47625</xdr:rowOff>
    </xdr:to>
    <xdr:graphicFrame macro="">
      <xdr:nvGraphicFramePr>
        <xdr:cNvPr id="17126484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20</xdr:row>
      <xdr:rowOff>0</xdr:rowOff>
    </xdr:from>
    <xdr:to>
      <xdr:col>33</xdr:col>
      <xdr:colOff>285750</xdr:colOff>
      <xdr:row>37</xdr:row>
      <xdr:rowOff>190500</xdr:rowOff>
    </xdr:to>
    <xdr:graphicFrame macro="">
      <xdr:nvGraphicFramePr>
        <xdr:cNvPr id="17126485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485775</xdr:colOff>
      <xdr:row>44</xdr:row>
      <xdr:rowOff>47625</xdr:rowOff>
    </xdr:from>
    <xdr:to>
      <xdr:col>23</xdr:col>
      <xdr:colOff>180975</xdr:colOff>
      <xdr:row>62</xdr:row>
      <xdr:rowOff>47625</xdr:rowOff>
    </xdr:to>
    <xdr:graphicFrame macro="">
      <xdr:nvGraphicFramePr>
        <xdr:cNvPr id="17126486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438150</xdr:colOff>
      <xdr:row>62</xdr:row>
      <xdr:rowOff>85725</xdr:rowOff>
    </xdr:from>
    <xdr:to>
      <xdr:col>22</xdr:col>
      <xdr:colOff>723900</xdr:colOff>
      <xdr:row>80</xdr:row>
      <xdr:rowOff>76200</xdr:rowOff>
    </xdr:to>
    <xdr:graphicFrame macro="">
      <xdr:nvGraphicFramePr>
        <xdr:cNvPr id="17126487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495300</xdr:colOff>
      <xdr:row>44</xdr:row>
      <xdr:rowOff>9525</xdr:rowOff>
    </xdr:from>
    <xdr:to>
      <xdr:col>33</xdr:col>
      <xdr:colOff>733425</xdr:colOff>
      <xdr:row>62</xdr:row>
      <xdr:rowOff>9525</xdr:rowOff>
    </xdr:to>
    <xdr:graphicFrame macro="">
      <xdr:nvGraphicFramePr>
        <xdr:cNvPr id="17126488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257175</xdr:colOff>
      <xdr:row>62</xdr:row>
      <xdr:rowOff>180975</xdr:rowOff>
    </xdr:from>
    <xdr:to>
      <xdr:col>33</xdr:col>
      <xdr:colOff>542925</xdr:colOff>
      <xdr:row>80</xdr:row>
      <xdr:rowOff>171450</xdr:rowOff>
    </xdr:to>
    <xdr:graphicFrame macro="">
      <xdr:nvGraphicFramePr>
        <xdr:cNvPr id="17126489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257175</xdr:colOff>
      <xdr:row>85</xdr:row>
      <xdr:rowOff>180975</xdr:rowOff>
    </xdr:from>
    <xdr:to>
      <xdr:col>22</xdr:col>
      <xdr:colOff>714375</xdr:colOff>
      <xdr:row>103</xdr:row>
      <xdr:rowOff>171450</xdr:rowOff>
    </xdr:to>
    <xdr:graphicFrame macro="">
      <xdr:nvGraphicFramePr>
        <xdr:cNvPr id="17126490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285750</xdr:colOff>
      <xdr:row>104</xdr:row>
      <xdr:rowOff>171450</xdr:rowOff>
    </xdr:from>
    <xdr:to>
      <xdr:col>22</xdr:col>
      <xdr:colOff>571500</xdr:colOff>
      <xdr:row>122</xdr:row>
      <xdr:rowOff>161925</xdr:rowOff>
    </xdr:to>
    <xdr:graphicFrame macro="">
      <xdr:nvGraphicFramePr>
        <xdr:cNvPr id="17126491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180975</xdr:colOff>
      <xdr:row>86</xdr:row>
      <xdr:rowOff>133350</xdr:rowOff>
    </xdr:from>
    <xdr:to>
      <xdr:col>33</xdr:col>
      <xdr:colOff>419100</xdr:colOff>
      <xdr:row>104</xdr:row>
      <xdr:rowOff>123825</xdr:rowOff>
    </xdr:to>
    <xdr:graphicFrame macro="">
      <xdr:nvGraphicFramePr>
        <xdr:cNvPr id="17126492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106</xdr:row>
      <xdr:rowOff>0</xdr:rowOff>
    </xdr:from>
    <xdr:to>
      <xdr:col>33</xdr:col>
      <xdr:colOff>285750</xdr:colOff>
      <xdr:row>123</xdr:row>
      <xdr:rowOff>190500</xdr:rowOff>
    </xdr:to>
    <xdr:graphicFrame macro="">
      <xdr:nvGraphicFramePr>
        <xdr:cNvPr id="17126493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1409700</xdr:colOff>
      <xdr:row>130</xdr:row>
      <xdr:rowOff>76200</xdr:rowOff>
    </xdr:from>
    <xdr:to>
      <xdr:col>9</xdr:col>
      <xdr:colOff>809625</xdr:colOff>
      <xdr:row>146</xdr:row>
      <xdr:rowOff>76200</xdr:rowOff>
    </xdr:to>
    <xdr:graphicFrame macro="">
      <xdr:nvGraphicFramePr>
        <xdr:cNvPr id="17126494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47625</xdr:colOff>
      <xdr:row>147</xdr:row>
      <xdr:rowOff>47625</xdr:rowOff>
    </xdr:from>
    <xdr:to>
      <xdr:col>10</xdr:col>
      <xdr:colOff>142875</xdr:colOff>
      <xdr:row>164</xdr:row>
      <xdr:rowOff>161925</xdr:rowOff>
    </xdr:to>
    <xdr:graphicFrame macro="">
      <xdr:nvGraphicFramePr>
        <xdr:cNvPr id="17126495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257175</xdr:colOff>
      <xdr:row>130</xdr:row>
      <xdr:rowOff>95250</xdr:rowOff>
    </xdr:from>
    <xdr:to>
      <xdr:col>19</xdr:col>
      <xdr:colOff>47625</xdr:colOff>
      <xdr:row>146</xdr:row>
      <xdr:rowOff>28575</xdr:rowOff>
    </xdr:to>
    <xdr:graphicFrame macro="">
      <xdr:nvGraphicFramePr>
        <xdr:cNvPr id="1712649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352425</xdr:colOff>
      <xdr:row>147</xdr:row>
      <xdr:rowOff>28575</xdr:rowOff>
    </xdr:from>
    <xdr:to>
      <xdr:col>18</xdr:col>
      <xdr:colOff>714375</xdr:colOff>
      <xdr:row>164</xdr:row>
      <xdr:rowOff>47625</xdr:rowOff>
    </xdr:to>
    <xdr:graphicFrame macro="">
      <xdr:nvGraphicFramePr>
        <xdr:cNvPr id="17126497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171450</xdr:colOff>
      <xdr:row>131</xdr:row>
      <xdr:rowOff>19050</xdr:rowOff>
    </xdr:from>
    <xdr:to>
      <xdr:col>30</xdr:col>
      <xdr:colOff>742950</xdr:colOff>
      <xdr:row>147</xdr:row>
      <xdr:rowOff>9525</xdr:rowOff>
    </xdr:to>
    <xdr:graphicFrame macro="">
      <xdr:nvGraphicFramePr>
        <xdr:cNvPr id="17126498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0</xdr:colOff>
      <xdr:row>148</xdr:row>
      <xdr:rowOff>0</xdr:rowOff>
    </xdr:from>
    <xdr:to>
      <xdr:col>31</xdr:col>
      <xdr:colOff>304800</xdr:colOff>
      <xdr:row>163</xdr:row>
      <xdr:rowOff>123825</xdr:rowOff>
    </xdr:to>
    <xdr:graphicFrame macro="">
      <xdr:nvGraphicFramePr>
        <xdr:cNvPr id="17126499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ejandro" refreshedDate="42899.527916666666" createdVersion="4" refreshedVersion="4" minRefreshableVersion="3" recordCount="218">
  <cacheSource type="worksheet">
    <worksheetSource ref="B1:L219" sheet="Tabla resumen diametros"/>
  </cacheSource>
  <cacheFields count="12">
    <cacheField name="Subd" numFmtId="0">
      <sharedItems containsSemiMixedTypes="0" containsString="0" containsNumber="1" containsInteger="1" minValue="2" maxValue="2"/>
    </cacheField>
    <cacheField name="Zona" numFmtId="0">
      <sharedItems containsSemiMixedTypes="0" containsString="0" containsNumber="1" containsInteger="1" minValue="1" maxValue="8"/>
    </cacheField>
    <cacheField name="Cama" numFmtId="0">
      <sharedItems containsSemiMixedTypes="0" containsString="0" containsNumber="1" containsInteger="1" minValue="1" maxValue="22"/>
    </cacheField>
    <cacheField name="Nombre" numFmtId="0">
      <sharedItems/>
    </cacheField>
    <cacheField name="Nombre Cientifico" numFmtId="0">
      <sharedItems count="88">
        <s v="Phytolacca bogotensis"/>
        <s v="Citharexylum sulcatum"/>
        <s v="Alnus acuminata"/>
        <s v="Dodonaea viscosa"/>
        <s v="solanum ovalifolium"/>
        <s v="Otholobium mexicanum"/>
        <s v="Caesalpinia spinosa"/>
        <s v="Oreopanax bogotensis"/>
        <s v="Gautheria myrsinoides"/>
        <s v="Berberis rigidifolia"/>
        <s v="Verbesina crassiramea"/>
        <s v="Citharexylum montanum"/>
        <s v="Piper bogotense"/>
        <s v="Clusia multiflora"/>
        <s v="Aegiphila bogotensis"/>
        <s v="Citharexylum subflavescens"/>
        <s v="Weinmania tomentosa"/>
        <s v="Myrsine coriacea"/>
        <s v="Bomarea sp."/>
        <s v="Vallea stipularis"/>
        <s v="Geissanthus andinus"/>
        <s v="Hesperomeles goudotiana"/>
        <s v="Smallanthus pyramidalis"/>
        <s v="Daphnopsis caracasana"/>
        <s v="Xylosma spiculifera"/>
        <s v="Erythrina rubrinervia"/>
        <s v="Tibouchina lepidota"/>
        <s v="Leandra sp "/>
        <s v="Miconia squamulosa"/>
        <s v="Morella pubescens"/>
        <s v="Morella parvifolia"/>
        <s v="Dalea coerulea"/>
        <s v="Escallonia myrtilloides"/>
        <s v="Cestrum mutisii"/>
        <s v="cestrum buxifolium"/>
        <s v="Saurauia scabra"/>
        <s v="Quercus humboldtii"/>
        <s v="Myrsine latifolia"/>
        <s v="Cedrela montana"/>
        <s v="Cytharexylum sulcatum"/>
        <s v="Drimys granadensis"/>
        <s v="Myrsine dependens"/>
        <s v="Baccharis latifolia"/>
        <s v="Myrcianthes leucoxyla"/>
        <s v="Myrcianthes rophaloides"/>
        <s v="Eupatorium angustifolium"/>
        <s v="Baccharis bogotense"/>
        <s v="Monnina aestuans"/>
        <s v="Clethra fimbriata"/>
        <s v="Physalis peruviana"/>
        <s v="Vismia macrophilla"/>
        <s v="Ageratina ampla"/>
        <s v="Bernadesia spinosa"/>
        <s v="Senna viarum"/>
        <s v="Prunus serotina"/>
        <s v="Juglans neotropica"/>
        <s v="Vasconcellea sp."/>
        <s v="Palicourea lineariflora"/>
        <s v="Viburnum triphyllum"/>
        <s v="Escallonia pendula"/>
        <s v="Panopsis suaveolens"/>
        <s v="Cassia tomentosa"/>
        <s v="Escallonia paniculata"/>
        <s v="Duranta mutisii"/>
        <s v="Ageratina aristei"/>
        <s v="Holodiscus Argenteus"/>
        <s v="Oreopanax mutisianus"/>
        <s v="Inga edulis"/>
        <s v="Abatia parviflora"/>
        <s v="Capsicum pubescens"/>
        <s v="Solanum quitoense"/>
        <s v="Lycianthes lycioides"/>
        <s v="Baccharis viscosa"/>
        <s v="Dendropanax sp."/>
        <s v="Psidium cattleianum"/>
        <s v="Hytpis perbullata"/>
        <s v="Retrophyllum rospigliosii"/>
        <s v="Tibouchina grosa"/>
        <s v="Myrsine guianensis"/>
        <s v="Tibouchina mollis"/>
        <s v="Rhamnus goudotiana"/>
        <s v="Lafoensia acuminata"/>
        <s v="Ceroxylon quindiuense"/>
        <s v="Geonoma sp "/>
        <s v="Ocotea guianensis"/>
        <s v="Lupinus bogotensis"/>
        <s v="Solanum oblongifolium"/>
        <s v="Billia columbiana"/>
      </sharedItems>
    </cacheField>
    <cacheField name="Medio" numFmtId="0">
      <sharedItems/>
    </cacheField>
    <cacheField name="OP Nº" numFmtId="0">
      <sharedItems containsMixedTypes="1" containsNumber="1" containsInteger="1" minValue="10995" maxValue="50888" count="218">
        <n v="50759"/>
        <s v="50616_01_05"/>
        <n v="50794"/>
        <s v="50663_01_09"/>
        <n v="50530"/>
        <n v="50795"/>
        <s v="50262_01_12"/>
        <n v="50267"/>
        <n v="50462"/>
        <s v="50616_01_13"/>
        <n v="50184"/>
        <n v="50104"/>
        <n v="50874"/>
        <n v="50875"/>
        <n v="50594"/>
        <n v="50797"/>
        <n v="50467"/>
        <s v="50262_01_18"/>
        <n v="50542"/>
        <n v="50752"/>
        <n v="50188"/>
        <n v="50632"/>
        <n v="50558"/>
        <n v="50754"/>
        <n v="50820"/>
        <n v="50764"/>
        <n v="50426"/>
        <n v="50760"/>
        <n v="50736"/>
        <n v="50505"/>
        <s v="50749_02_13"/>
        <n v="50748"/>
        <n v="50706"/>
        <n v="50801"/>
        <n v="50814"/>
        <n v="50741"/>
        <n v="50791"/>
        <n v="50850"/>
        <n v="50723"/>
        <n v="50518"/>
        <n v="50832"/>
        <n v="50628"/>
        <n v="50520"/>
        <n v="50618"/>
        <n v="50803"/>
        <n v="50854"/>
        <n v="50846"/>
        <n v="50816"/>
        <n v="50773"/>
        <n v="50784"/>
        <n v="50604"/>
        <n v="50886"/>
        <n v="50887"/>
        <n v="50845"/>
        <n v="50848"/>
        <n v="50746"/>
        <n v="50804"/>
        <n v="50821"/>
        <n v="50658"/>
        <n v="50817"/>
        <n v="50859"/>
        <n v="50735"/>
        <n v="50756"/>
        <n v="50836"/>
        <n v="50847"/>
        <n v="50743"/>
        <n v="50747"/>
        <n v="50733"/>
        <n v="50636"/>
        <n v="50626"/>
        <n v="50595"/>
        <n v="50818"/>
        <s v="50810_03_17"/>
        <s v="50749_03_17"/>
        <n v="50758"/>
        <n v="50858"/>
        <n v="50812"/>
        <n v="50535"/>
        <n v="50563"/>
        <n v="50688"/>
        <n v="50146"/>
        <n v="50745"/>
        <n v="50718"/>
        <n v="50681"/>
        <n v="50732"/>
        <n v="50545"/>
        <n v="50833"/>
        <n v="50725"/>
        <n v="50761"/>
        <n v="50113"/>
        <n v="50767"/>
        <s v="50810_04_03"/>
        <n v="50827"/>
        <n v="50860"/>
        <n v="50712"/>
        <n v="50716"/>
        <n v="50789"/>
        <n v="50710"/>
        <s v="50268_04_07"/>
        <n v="50830"/>
        <n v="50757"/>
        <n v="50828"/>
        <n v="50763"/>
        <n v="50295"/>
        <n v="50638"/>
        <n v="50750"/>
        <n v="50819"/>
        <n v="50809"/>
        <n v="50815"/>
        <n v="50711"/>
        <n v="50701"/>
        <n v="50776"/>
        <n v="50851"/>
        <n v="50805"/>
        <n v="50849"/>
        <n v="50707"/>
        <n v="50840"/>
        <n v="50865"/>
        <n v="50866"/>
        <n v="50596"/>
        <n v="50571"/>
        <n v="50831"/>
        <n v="50862"/>
        <n v="50678"/>
        <n v="50867"/>
        <n v="50861"/>
        <n v="50843"/>
        <n v="50620"/>
        <n v="50782"/>
        <n v="50664"/>
        <s v="50785_05_03"/>
        <n v="50806"/>
        <n v="50829"/>
        <n v="50808"/>
        <n v="50774"/>
        <n v="50838"/>
        <n v="50844"/>
        <n v="50881"/>
        <n v="50882"/>
        <n v="50798"/>
        <n v="50856"/>
        <n v="50698"/>
        <n v="50837"/>
        <n v="50566"/>
        <n v="50476"/>
        <n v="50634"/>
        <n v="50633"/>
        <n v="50342"/>
        <s v="50785_05_13"/>
        <n v="50694"/>
        <n v="50600"/>
        <s v="50663_05_13"/>
        <n v="50696"/>
        <n v="50703"/>
        <n v="50771"/>
        <n v="50622"/>
        <n v="50601"/>
        <n v="50525"/>
        <n v="50603"/>
        <s v="50835_06_04"/>
        <s v="50835_06_05"/>
        <n v="50744"/>
        <n v="50852"/>
        <n v="50853"/>
        <n v="50635"/>
        <n v="50555"/>
        <n v="50617"/>
        <n v="50580"/>
        <n v="50584"/>
        <n v="50547"/>
        <n v="50389"/>
        <n v="50676"/>
        <n v="50863"/>
        <n v="50864"/>
        <n v="50692"/>
        <n v="50868"/>
        <n v="50869"/>
        <n v="50870"/>
        <n v="50871"/>
        <n v="50872"/>
        <n v="50885"/>
        <n v="50662"/>
        <n v="10995"/>
        <n v="50323"/>
        <n v="50726"/>
        <n v="50087"/>
        <n v="50724"/>
        <n v="50879"/>
        <n v="50888"/>
        <n v="50459"/>
        <n v="50602"/>
        <n v="50206"/>
        <n v="50779"/>
        <n v="50778"/>
        <n v="50587"/>
        <s v="50268_08_03"/>
        <n v="50454"/>
        <n v="50570"/>
        <n v="50824"/>
        <n v="50766"/>
        <n v="50826"/>
        <n v="50839"/>
        <n v="50825"/>
        <n v="50878"/>
        <n v="50796"/>
        <n v="50883"/>
        <n v="50884"/>
        <n v="50751"/>
        <n v="50737"/>
        <n v="50738"/>
        <n v="50644"/>
        <n v="50142"/>
        <n v="50857"/>
        <n v="50876"/>
        <n v="50841"/>
        <n v="50657"/>
        <n v="50777"/>
        <n v="50799"/>
      </sharedItems>
    </cacheField>
    <cacheField name="Cant" numFmtId="0">
      <sharedItems containsSemiMixedTypes="0" containsString="0" containsNumber="1" containsInteger="1" minValue="1" maxValue="1429"/>
    </cacheField>
    <cacheField name="DICIEMBRE" numFmtId="0">
      <sharedItems containsString="0" containsBlank="1" containsNumber="1" minValue="0.13899999999999998" maxValue="2.8902537665488195"/>
    </cacheField>
    <cacheField name="ENERO" numFmtId="0">
      <sharedItems containsString="0" containsBlank="1" containsNumber="1" minValue="0.14099999999999999" maxValue="2.89"/>
    </cacheField>
    <cacheField name="FEBRERO" numFmtId="0">
      <sharedItems containsString="0" containsBlank="1" containsNumber="1" minValue="0.157" maxValue="2.89"/>
    </cacheField>
    <cacheField name="MARZO" numFmtId="0">
      <sharedItems containsString="0" containsBlank="1" containsNumber="1" minValue="0.20300000000000001" maxValue="3.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ablo Andres Jimenez Nuñez" refreshedDate="42903.686933449077" createdVersion="1" refreshedVersion="4" recordCount="218" upgradeOnRefresh="1">
  <cacheSource type="worksheet">
    <worksheetSource ref="B1:P219" sheet="Tabla resumen diametros"/>
  </cacheSource>
  <cacheFields count="16">
    <cacheField name="Subd" numFmtId="0">
      <sharedItems containsSemiMixedTypes="0" containsString="0" containsNumber="1" containsInteger="1" minValue="2" maxValue="2"/>
    </cacheField>
    <cacheField name="Zona" numFmtId="0">
      <sharedItems containsSemiMixedTypes="0" containsString="0" containsNumber="1" containsInteger="1" minValue="1" maxValue="8"/>
    </cacheField>
    <cacheField name="Cama" numFmtId="0">
      <sharedItems containsSemiMixedTypes="0" containsString="0" containsNumber="1" containsInteger="1" minValue="1" maxValue="22"/>
    </cacheField>
    <cacheField name="Nombre" numFmtId="0">
      <sharedItems/>
    </cacheField>
    <cacheField name="Nombre Cientifico" numFmtId="0">
      <sharedItems count="89">
        <s v="Abatia parviflora"/>
        <s v="Aegiphila bogotensis"/>
        <s v="Ageratina ampla"/>
        <s v="Ageratina aristei"/>
        <s v="Ageratina asclepiadea"/>
        <s v="Alnus acuminata"/>
        <s v="Baccharis bogotensis"/>
        <s v="Baccharis latifolia"/>
        <s v="Baccharis salicina"/>
        <s v="Barnadesia spinosa"/>
        <s v="Berberis rigidifolia"/>
        <s v="Billia rosea"/>
        <s v="Bomarea sp."/>
        <s v="Caesalpinia spinosa"/>
        <s v="Capsicum pubescens"/>
        <s v="Cedrela montana"/>
        <s v="Ceroxylon quindiuense"/>
        <s v="cestrum buxifolium"/>
        <s v="Cestrum mutisii"/>
        <s v="Citharexylum montanum"/>
        <s v="Citharexylum subflavescens"/>
        <s v="Citharexylum sulcatum"/>
        <s v="Clethra fimbriata"/>
        <s v="Clusia grandiflora"/>
        <s v="Clusia multiflora"/>
        <s v="Dalea coerulea"/>
        <s v="Daphnopsis caracasana"/>
        <s v="Dendropanax sp."/>
        <s v="Dodonaea viscosa"/>
        <s v="Drimys granadensis"/>
        <s v="Duranta mutisii"/>
        <s v="Erythrina rubrinervia"/>
        <s v="Escallonia myrtilloides"/>
        <s v="Escallonia paniculata"/>
        <s v="Escallonia pendula"/>
        <s v="Frangula goudotiana"/>
        <s v="Gaultheria myrsinoides"/>
        <s v="Geissanthus andinus"/>
        <s v="Geonoma sp "/>
        <s v="Hesperomeles goudotiana"/>
        <s v="Holodiscus Argenteus"/>
        <s v="Hyptis perbullata"/>
        <s v="Inga edulis"/>
        <s v="Juglans neotropica"/>
        <s v="Lafoensia acuminata"/>
        <s v="Leandra sp "/>
        <s v="Lupinus bogotensis"/>
        <s v="Lycianthes lycioides"/>
        <s v="Miconia squamulosa"/>
        <s v="Monnina aestuans"/>
        <s v="Morella parvifolia"/>
        <s v="Morella pubescens"/>
        <s v="Myrcianthes leucoxyla"/>
        <s v="Myrcianthes rhopaloides"/>
        <s v="Myrsine coriacea"/>
        <s v="Myrsine dependens"/>
        <s v="Myrsine guianensis"/>
        <s v="Myrsine latifolia"/>
        <s v="Ocotea guianensis"/>
        <s v="Oreopanax bogotensis"/>
        <s v="Oreopanax mutisianus"/>
        <s v="Otholobium mexicanum"/>
        <s v="Palicourea lineariflora"/>
        <s v="Panopsis suaveolens"/>
        <s v="Physalis peruviana"/>
        <s v="Phytolacca bogotensis"/>
        <s v="Piper bogotense"/>
        <s v="Piper peltatum"/>
        <s v="Prunus serotina"/>
        <s v="Psidium cattleianum"/>
        <s v="Quercus humboldtii"/>
        <s v="Retrophyllum rospigliosii"/>
        <s v="Saurauia scabra"/>
        <s v="Senna multigandulosa"/>
        <s v="Senna viarum"/>
        <s v="Smallanthus pyramidalis"/>
        <s v="solanum jamaicense"/>
        <s v="Solanum oblongifolium"/>
        <s v="Solanum quitoense"/>
        <s v="Tibouchina grossa"/>
        <s v="Tibouchina lepidota"/>
        <s v="Tibouchina mollis"/>
        <s v="Vallea stipularis"/>
        <s v="Vasconcellea sp."/>
        <s v="Verbesina crassiramea"/>
        <s v="Viburnum triphyllum"/>
        <s v="Vismia macrophylla"/>
        <s v="Weinmannia tomentosa"/>
        <s v="Xylosma spiculifera"/>
      </sharedItems>
    </cacheField>
    <cacheField name="Medio" numFmtId="0">
      <sharedItems/>
    </cacheField>
    <cacheField name="OP Nº" numFmtId="0">
      <sharedItems containsMixedTypes="1" containsNumber="1" containsInteger="1" minValue="10995" maxValue="50888"/>
    </cacheField>
    <cacheField name="Cant" numFmtId="0">
      <sharedItems containsSemiMixedTypes="0" containsString="0" containsNumber="1" containsInteger="1" minValue="1" maxValue="1429"/>
    </cacheField>
    <cacheField name="DICIEMBRE" numFmtId="0">
      <sharedItems containsString="0" containsBlank="1" containsNumber="1" minValue="0.13899999999999998" maxValue="2.8902537665488195"/>
    </cacheField>
    <cacheField name="ENERO" numFmtId="0">
      <sharedItems containsString="0" containsBlank="1" containsNumber="1" minValue="0.14099999999999999" maxValue="2.89"/>
    </cacheField>
    <cacheField name="FEBRERO" numFmtId="0">
      <sharedItems containsString="0" containsBlank="1" containsNumber="1" minValue="0.157" maxValue="2.89"/>
    </cacheField>
    <cacheField name="MARZO" numFmtId="0">
      <sharedItems containsString="0" containsBlank="1" containsNumber="1" minValue="0.20300000000000001" maxValue="3.13"/>
    </cacheField>
    <cacheField name="Tasa mensual de crecimiento en diámetro" numFmtId="0">
      <sharedItems containsSemiMixedTypes="0" containsString="0" containsNumber="1" minValue="-4.166666666666578E-4" maxValue="0.58450000000000013"/>
    </cacheField>
    <cacheField name="Crecimiento total en diámetro" numFmtId="0">
      <sharedItems containsSemiMixedTypes="0" containsString="0" containsNumber="1" minValue="-1.2499999999999734E-3" maxValue="1.7535000000000003"/>
    </cacheField>
    <cacheField name="Tasa mensual de crecimiento en altura" numFmtId="0">
      <sharedItems containsSemiMixedTypes="0" containsString="0" containsNumber="1" minValue="0" maxValue="23.426666666666666"/>
    </cacheField>
    <cacheField name="Crecimiento total en altura" numFmtId="0">
      <sharedItems containsSemiMixedTypes="0" containsString="0" containsNumber="1" minValue="0" maxValue="70.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8">
  <r>
    <n v="2"/>
    <n v="1"/>
    <n v="3"/>
    <s v="GUABAS (RE)"/>
    <x v="0"/>
    <s v="25x29"/>
    <x v="0"/>
    <n v="232"/>
    <n v="1.4239999999999999"/>
    <n v="1.5029999999999999"/>
    <n v="1.5299"/>
    <n v="1.4773749999999999"/>
  </r>
  <r>
    <n v="2"/>
    <n v="1"/>
    <n v="5"/>
    <s v="CAJETO DE PARAMO (RE)"/>
    <x v="1"/>
    <s v="30X30"/>
    <x v="1"/>
    <n v="468"/>
    <n v="1.3497000000000001"/>
    <n v="1.3819999999999999"/>
    <n v="1.4238000000000002"/>
    <n v="1.4248000000000001"/>
  </r>
  <r>
    <n v="2"/>
    <n v="1"/>
    <n v="8"/>
    <s v="ALISO (RE)"/>
    <x v="2"/>
    <s v="25x29"/>
    <x v="2"/>
    <n v="392"/>
    <n v="1.4770999999999999"/>
    <n v="1.5189999999999999"/>
    <n v="1.5718333333333334"/>
    <n v="1.6434999999999997"/>
  </r>
  <r>
    <n v="2"/>
    <n v="1"/>
    <n v="9"/>
    <s v="HAYUELO (RE)"/>
    <x v="3"/>
    <s v="30X30"/>
    <x v="3"/>
    <n v="127"/>
    <n v="1.1180000000000001"/>
    <n v="1.1419999999999999"/>
    <n v="1.1695"/>
    <n v="1.3660000000000001"/>
  </r>
  <r>
    <n v="2"/>
    <n v="1"/>
    <n v="9"/>
    <s v="SOLANUM ESP (RE)"/>
    <x v="4"/>
    <s v="30x35"/>
    <x v="4"/>
    <n v="48"/>
    <n v="1.8993333333333335"/>
    <n v="1.964"/>
    <n v="1.9643333333333335"/>
    <n v="2.1283333333333334"/>
  </r>
  <r>
    <n v="2"/>
    <n v="1"/>
    <n v="11"/>
    <s v="TRINITARIA (RE)"/>
    <x v="5"/>
    <s v="25x29"/>
    <x v="5"/>
    <n v="754"/>
    <n v="1.2383"/>
    <n v="1.3089999999999999"/>
    <n v="1.3706666666666667"/>
    <n v="1.3867500000000001"/>
  </r>
  <r>
    <n v="2"/>
    <n v="1"/>
    <n v="12"/>
    <s v="DIVIDIVI (RE)"/>
    <x v="6"/>
    <s v="30x35"/>
    <x v="6"/>
    <n v="472"/>
    <n v="1.6202999999999999"/>
    <n v="1.6379999999999999"/>
    <n v="1.6381000000000001"/>
    <n v="1.6477999999999997"/>
  </r>
  <r>
    <n v="2"/>
    <n v="1"/>
    <n v="13"/>
    <s v="CAJETO DE PARAMO (RE)"/>
    <x v="1"/>
    <s v="30x40"/>
    <x v="7"/>
    <n v="442"/>
    <n v="1.2444000000000002"/>
    <n v="1.272"/>
    <n v="1.2721"/>
    <n v="1.3479000000000001"/>
  </r>
  <r>
    <n v="2"/>
    <n v="1"/>
    <n v="13"/>
    <s v="CAJETO DE PARAMO (RE)"/>
    <x v="1"/>
    <s v="30X30"/>
    <x v="8"/>
    <n v="206"/>
    <n v="1.4853333333333332"/>
    <n v="1.4850000000000001"/>
    <n v="1.4853333333333332"/>
    <n v="1.5066666666666668"/>
  </r>
  <r>
    <n v="2"/>
    <n v="1"/>
    <n v="13"/>
    <s v="CAJETO DE PARAMO (RE)"/>
    <x v="1"/>
    <s v="30X30"/>
    <x v="9"/>
    <n v="21"/>
    <n v="1.1775000000000002"/>
    <n v="1.1779999999999999"/>
    <n v="1.1775000000000002"/>
    <n v="1.1775000000000002"/>
  </r>
  <r>
    <n v="2"/>
    <n v="1"/>
    <n v="13"/>
    <s v="CAJETO DE PARAMO (RE)"/>
    <x v="1"/>
    <s v="25x29"/>
    <x v="10"/>
    <n v="39"/>
    <n v="0.98699999999999988"/>
    <n v="0.98699999999999999"/>
    <n v="0.98699999999999988"/>
    <n v="1.0774999999999999"/>
  </r>
  <r>
    <n v="2"/>
    <n v="1"/>
    <n v="13"/>
    <s v="CAJETO DE PARAMO (RE)"/>
    <x v="1"/>
    <s v="30X30"/>
    <x v="11"/>
    <n v="22"/>
    <n v="1.496"/>
    <n v="1.496"/>
    <n v="1.496"/>
    <n v="1.496"/>
  </r>
  <r>
    <n v="2"/>
    <n v="1"/>
    <n v="14"/>
    <s v="MANO DE OSO (RE)"/>
    <x v="7"/>
    <s v="30x35"/>
    <x v="12"/>
    <n v="282"/>
    <n v="0.43900000000000006"/>
    <n v="0.51600000000000001"/>
    <n v="0.64266666666666672"/>
    <n v="0.79999999999999993"/>
  </r>
  <r>
    <n v="2"/>
    <n v="1"/>
    <n v="14"/>
    <s v="REVENTADERA (RE)"/>
    <x v="8"/>
    <s v="30x35"/>
    <x v="13"/>
    <n v="348"/>
    <n v="0.13899999999999998"/>
    <n v="0.14099999999999999"/>
    <n v="0.157"/>
    <n v="0.20300000000000001"/>
  </r>
  <r>
    <n v="2"/>
    <n v="1"/>
    <n v="15"/>
    <s v="BERBERIS (RE)"/>
    <x v="9"/>
    <s v="30X30"/>
    <x v="14"/>
    <n v="154"/>
    <n v="1.512"/>
    <n v="1.512"/>
    <n v="1.512"/>
    <n v="1.512"/>
  </r>
  <r>
    <n v="2"/>
    <n v="1"/>
    <n v="16"/>
    <s v="CERVETANO (RE)"/>
    <x v="10"/>
    <s v="25x29"/>
    <x v="15"/>
    <n v="311"/>
    <n v="1.6519999999999999"/>
    <n v="1.6579999999999999"/>
    <n v="1.6791999999999998"/>
    <n v="1.6994"/>
  </r>
  <r>
    <n v="2"/>
    <n v="1"/>
    <n v="17"/>
    <s v="CAJETO (RE)"/>
    <x v="11"/>
    <s v="30X30"/>
    <x v="16"/>
    <n v="426"/>
    <n v="1.4354000000000002"/>
    <n v="1.446"/>
    <n v="1.4458000000000002"/>
    <n v="1.4611000000000003"/>
  </r>
  <r>
    <n v="2"/>
    <n v="1"/>
    <n v="18"/>
    <s v="DIVIDIVI (RE)"/>
    <x v="6"/>
    <s v="30x35"/>
    <x v="17"/>
    <n v="81"/>
    <n v="1.7667999999999999"/>
    <n v="1.7669999999999999"/>
    <n v="1.7672000000000001"/>
    <n v="1.7925"/>
  </r>
  <r>
    <n v="2"/>
    <n v="1"/>
    <n v="18"/>
    <s v="DIVIDIVI (RE)"/>
    <x v="6"/>
    <s v="30X30"/>
    <x v="18"/>
    <n v="109"/>
    <n v="1.4095714285714285"/>
    <n v="1.41"/>
    <n v="1.5447142857142857"/>
    <n v="1.6914285714285715"/>
  </r>
  <r>
    <n v="2"/>
    <n v="2"/>
    <n v="2"/>
    <s v="CORDONCILLO (RE)"/>
    <x v="12"/>
    <s v="30X30"/>
    <x v="19"/>
    <n v="89"/>
    <n v="0.81750000000000012"/>
    <n v="0.88800000000000001"/>
    <n v="0.91999999999999993"/>
    <n v="1.21"/>
  </r>
  <r>
    <n v="2"/>
    <n v="2"/>
    <n v="2"/>
    <s v="CORDONCILLO (RE)"/>
    <x v="12"/>
    <s v="30x35"/>
    <x v="20"/>
    <n v="24"/>
    <n v="0.68500000000000005"/>
    <n v="0.68500000000000005"/>
    <n v="0.68500000000000005"/>
    <n v="0.68500000000000005"/>
  </r>
  <r>
    <n v="2"/>
    <n v="2"/>
    <n v="3"/>
    <s v="GAQUE (RE)"/>
    <x v="13"/>
    <s v="20x30"/>
    <x v="21"/>
    <n v="220"/>
    <n v="1.6617000000000002"/>
    <n v="1.6619999999999999"/>
    <n v="1.6649999999999998"/>
    <n v="1.6833333333333333"/>
  </r>
  <r>
    <n v="2"/>
    <n v="2"/>
    <n v="3"/>
    <s v="GAQUE (RE)"/>
    <x v="13"/>
    <s v="30X30"/>
    <x v="22"/>
    <n v="227"/>
    <n v="1.3161"/>
    <n v="1.3080000000000001"/>
    <n v="1.3445555555555555"/>
    <n v="1.3958888888888887"/>
  </r>
  <r>
    <n v="2"/>
    <n v="2"/>
    <n v="4"/>
    <s v="TABAQUILLO (RE)"/>
    <x v="14"/>
    <s v="30x35"/>
    <x v="23"/>
    <n v="205"/>
    <n v="1.6616000000000004"/>
    <n v="1.6890000000000001"/>
    <n v="1.7284999999999999"/>
    <n v="2.0785"/>
  </r>
  <r>
    <n v="2"/>
    <n v="2"/>
    <n v="4"/>
    <s v="TABAQUILLO (RE)"/>
    <x v="14"/>
    <s v="20x30"/>
    <x v="24"/>
    <n v="9"/>
    <n v="1.623"/>
    <n v="1.6259999999999999"/>
    <n v="1.6259999999999999"/>
    <n v="1.6259999999999999"/>
  </r>
  <r>
    <n v="2"/>
    <n v="2"/>
    <n v="5"/>
    <s v="CAJETO (RE)"/>
    <x v="15"/>
    <s v="25x29"/>
    <x v="25"/>
    <n v="175"/>
    <n v="1.3495999999999999"/>
    <n v="1.36"/>
    <n v="1.4397777777777778"/>
    <n v="1.4845555555555556"/>
  </r>
  <r>
    <n v="2"/>
    <n v="2"/>
    <n v="8"/>
    <s v="ENCENILLO (RE)"/>
    <x v="16"/>
    <s v="30X30"/>
    <x v="26"/>
    <n v="320"/>
    <n v="0.42700000000000005"/>
    <n v="0.47799999999999998"/>
    <n v="0.56174999999999997"/>
    <n v="0.77666666666666673"/>
  </r>
  <r>
    <n v="2"/>
    <n v="2"/>
    <n v="8"/>
    <s v="ENCENILLO (RE)"/>
    <x v="16"/>
    <s v="30X30"/>
    <x v="27"/>
    <n v="140"/>
    <n v="1.1399999999999999"/>
    <n v="1.143"/>
    <n v="1.1737500000000001"/>
    <n v="1.2416666666666667"/>
  </r>
  <r>
    <n v="2"/>
    <n v="2"/>
    <n v="11"/>
    <s v="CUCHARO NEGRO (RE)"/>
    <x v="17"/>
    <s v="30x35"/>
    <x v="28"/>
    <n v="354"/>
    <n v="1.42"/>
    <n v="1.52"/>
    <n v="1.5538000000000001"/>
    <n v="1.4692499999999999"/>
  </r>
  <r>
    <n v="2"/>
    <n v="2"/>
    <n v="11"/>
    <s v="CUCHARO NEGRO (RE)"/>
    <x v="17"/>
    <s v="30X30"/>
    <x v="29"/>
    <n v="15"/>
    <n v="1.3049999999999999"/>
    <n v="1.3049999999999999"/>
    <n v="1.3049999999999999"/>
    <n v="1.42"/>
  </r>
  <r>
    <n v="2"/>
    <n v="2"/>
    <n v="13"/>
    <s v="CAJETO (RE)"/>
    <x v="11"/>
    <s v="30x35"/>
    <x v="30"/>
    <n v="200"/>
    <n v="1.4363733614043555"/>
    <n v="1.512"/>
    <n v="1.5142500000000001"/>
    <n v="1.6071249999999999"/>
  </r>
  <r>
    <n v="2"/>
    <n v="2"/>
    <n v="13"/>
    <s v="BOMAREAS (RE)"/>
    <x v="18"/>
    <s v="30x35"/>
    <x v="31"/>
    <n v="296"/>
    <n v="0.41999999999999993"/>
    <n v="0.51"/>
    <n v="0.54300000000000004"/>
    <n v="0.58925000000000005"/>
  </r>
  <r>
    <n v="2"/>
    <n v="2"/>
    <n v="18"/>
    <s v="ENCENILLO (RE)"/>
    <x v="16"/>
    <s v="30x35"/>
    <x v="32"/>
    <n v="71"/>
    <n v="0.40666666666666673"/>
    <n v="0.45400000000000001"/>
    <n v="0.52999999999999992"/>
    <n v="0.52999999999999992"/>
  </r>
  <r>
    <n v="2"/>
    <n v="3"/>
    <n v="1"/>
    <s v="RAQUE (RE)"/>
    <x v="19"/>
    <s v="25x29"/>
    <x v="33"/>
    <n v="371"/>
    <n v="0.68289999999999995"/>
    <n v="0.79"/>
    <n v="0.79020000000000001"/>
    <n v="0.82485714285714284"/>
  </r>
  <r>
    <n v="2"/>
    <n v="3"/>
    <n v="1"/>
    <s v="RAQUE (RE)"/>
    <x v="19"/>
    <s v="20x30"/>
    <x v="34"/>
    <n v="218"/>
    <n v="0.58125000000000004"/>
    <n v="0.59099999999999997"/>
    <n v="0.62924999999999998"/>
    <n v="0.58000000000000007"/>
  </r>
  <r>
    <n v="2"/>
    <n v="3"/>
    <n v="1"/>
    <s v="RAQUE (RE)"/>
    <x v="19"/>
    <s v="30x35"/>
    <x v="35"/>
    <n v="55"/>
    <n v="0.59"/>
    <n v="0.76700000000000002"/>
    <n v="0.77666666666666673"/>
    <n v="0.92"/>
  </r>
  <r>
    <n v="2"/>
    <n v="3"/>
    <n v="1"/>
    <s v="RAQUE (RE)"/>
    <x v="19"/>
    <s v="25x29"/>
    <x v="36"/>
    <n v="49"/>
    <n v="0.51"/>
    <n v="0.58499999999999996"/>
    <n v="0.77"/>
    <n v="0.91"/>
  </r>
  <r>
    <n v="2"/>
    <n v="3"/>
    <n v="1"/>
    <s v="RAQUE (RE)"/>
    <x v="19"/>
    <s v="30X30"/>
    <x v="37"/>
    <n v="46"/>
    <n v="0.95499999999999996"/>
    <n v="0.95499999999999996"/>
    <n v="0.95499999999999996"/>
    <n v="0.97"/>
  </r>
  <r>
    <n v="2"/>
    <n v="3"/>
    <n v="2"/>
    <s v="CUCHARO HUESITO (RE)"/>
    <x v="20"/>
    <s v="30x35"/>
    <x v="38"/>
    <n v="44"/>
    <n v="1.3"/>
    <n v="1.5349999999999999"/>
    <n v="1.7250000000000001"/>
    <n v="1.9375"/>
  </r>
  <r>
    <n v="2"/>
    <n v="3"/>
    <n v="2"/>
    <s v="CUCHARO HUESITO (RE)"/>
    <x v="20"/>
    <s v="30X30"/>
    <x v="39"/>
    <n v="61"/>
    <n v="1.5199999999999998"/>
    <n v="2.4470000000000001"/>
    <n v="2.5539999999999998"/>
    <n v="3.0709999999999997"/>
  </r>
  <r>
    <n v="2"/>
    <n v="3"/>
    <n v="2"/>
    <s v="MORTIÑO (RE)"/>
    <x v="21"/>
    <s v="20x30"/>
    <x v="40"/>
    <n v="251"/>
    <n v="0.50000000000000011"/>
    <n v="0.57999999999999996"/>
    <n v="0.5837"/>
    <n v="0.61"/>
  </r>
  <r>
    <n v="2"/>
    <n v="3"/>
    <n v="2"/>
    <s v="CUCHARO HUESITO (RE)"/>
    <x v="20"/>
    <s v="30X30"/>
    <x v="41"/>
    <n v="28"/>
    <n v="1.6"/>
    <n v="1.6"/>
    <n v="2.2599999999999998"/>
    <n v="2.59"/>
  </r>
  <r>
    <n v="2"/>
    <n v="3"/>
    <n v="2"/>
    <s v="CUCHARO HUESITO (RE)"/>
    <x v="20"/>
    <s v="30X30"/>
    <x v="42"/>
    <n v="142"/>
    <n v="1.2316666666666667"/>
    <n v="1.5169999999999999"/>
    <n v="1.57"/>
    <n v="1.7391666666666667"/>
  </r>
  <r>
    <n v="2"/>
    <n v="3"/>
    <n v="3"/>
    <s v="ENCENILLO (RE)"/>
    <x v="16"/>
    <s v="20x30"/>
    <x v="43"/>
    <n v="96"/>
    <n v="0.26"/>
    <n v="0.30599999999999999"/>
    <n v="0.32833333333333331"/>
    <n v="0.39999999999999997"/>
  </r>
  <r>
    <n v="2"/>
    <n v="3"/>
    <n v="4"/>
    <s v="ENCENILLO (RE)"/>
    <x v="16"/>
    <s v="25x29"/>
    <x v="44"/>
    <n v="486"/>
    <n v="0.52749999999999997"/>
    <n v="0.55700000000000005"/>
    <n v="0.67512499999999998"/>
    <n v="0.73833333333333329"/>
  </r>
  <r>
    <n v="2"/>
    <n v="3"/>
    <n v="5"/>
    <s v="ARBOLOCO (RE)"/>
    <x v="22"/>
    <s v="30X30"/>
    <x v="45"/>
    <n v="179"/>
    <n v="0.92174999999999996"/>
    <n v="0.97599999999999998"/>
    <n v="1.162625"/>
    <n v="1.48"/>
  </r>
  <r>
    <n v="2"/>
    <n v="3"/>
    <n v="5"/>
    <s v="ARBOLOCO (RE)"/>
    <x v="22"/>
    <s v="30x35"/>
    <x v="46"/>
    <n v="114"/>
    <n v="1.525166666666667"/>
    <n v="1.601"/>
    <n v="1.7288333333333334"/>
    <n v="1.9949999999999999"/>
  </r>
  <r>
    <n v="2"/>
    <n v="3"/>
    <n v="6"/>
    <s v="CERVETANO (RE)"/>
    <x v="10"/>
    <s v="20x30"/>
    <x v="47"/>
    <n v="983"/>
    <n v="0.99320000000000008"/>
    <n v="1.0960000000000001"/>
    <n v="1.1579000000000002"/>
    <n v="1.152222222222222"/>
  </r>
  <r>
    <n v="2"/>
    <n v="3"/>
    <n v="6"/>
    <s v="CERVETANO (RE)"/>
    <x v="10"/>
    <s v="30X30"/>
    <x v="48"/>
    <n v="13"/>
    <n v="0.99199999999999999"/>
    <n v="1.107"/>
    <n v="1.35"/>
    <n v="1.44"/>
  </r>
  <r>
    <n v="2"/>
    <n v="3"/>
    <n v="6"/>
    <s v="GRANADO (RE)"/>
    <x v="23"/>
    <s v="25x29"/>
    <x v="49"/>
    <n v="32"/>
    <n v="1.131"/>
    <n v="1.131"/>
    <n v="1.131"/>
    <n v="1.18"/>
  </r>
  <r>
    <n v="2"/>
    <n v="3"/>
    <n v="7"/>
    <s v="CORONO (RE)"/>
    <x v="24"/>
    <s v="30X30"/>
    <x v="50"/>
    <n v="350"/>
    <n v="1.2707000000000002"/>
    <n v="1.3660000000000001"/>
    <n v="1.4393999999999996"/>
    <n v="1.5129999999999999"/>
  </r>
  <r>
    <n v="2"/>
    <n v="3"/>
    <n v="8"/>
    <s v="CHOCHO (RE)"/>
    <x v="25"/>
    <s v="30X30"/>
    <x v="51"/>
    <n v="289"/>
    <n v="0.36760000000000004"/>
    <n v="0.38100000000000001"/>
    <n v="0.39200000000000002"/>
    <n v="0.56399999999999995"/>
  </r>
  <r>
    <n v="2"/>
    <n v="3"/>
    <n v="8"/>
    <s v="CUCHARO NEGRO (RE)"/>
    <x v="17"/>
    <s v="30X30"/>
    <x v="52"/>
    <n v="179"/>
    <n v="0.26088888888888889"/>
    <n v="0.26700000000000002"/>
    <n v="0.27122222222222225"/>
    <n v="0.3255555555555556"/>
  </r>
  <r>
    <n v="2"/>
    <n v="3"/>
    <n v="9"/>
    <s v="SIETE CUEROS (RE)"/>
    <x v="26"/>
    <s v="20x30"/>
    <x v="53"/>
    <n v="459"/>
    <n v="0.48419999999999996"/>
    <n v="0.51200000000000001"/>
    <n v="0.60270000000000001"/>
    <n v="0.65500000000000003"/>
  </r>
  <r>
    <n v="2"/>
    <n v="3"/>
    <n v="9"/>
    <s v="LEANDRA (RE)"/>
    <x v="27"/>
    <s v="30x35"/>
    <x v="54"/>
    <n v="217"/>
    <n v="0.5"/>
    <n v="0.55000000000000004"/>
    <n v="0.57999999999999996"/>
    <n v="0.70749999999999991"/>
  </r>
  <r>
    <n v="2"/>
    <n v="3"/>
    <n v="9"/>
    <s v="TUNO (RE)"/>
    <x v="28"/>
    <s v="30x35"/>
    <x v="55"/>
    <n v="53"/>
    <n v="0.53333333333333333"/>
    <n v="0.56799999999999995"/>
    <n v="0.73099999999999998"/>
    <n v="0.8666666666666667"/>
  </r>
  <r>
    <n v="2"/>
    <n v="3"/>
    <n v="9"/>
    <s v="TUNO (RE)"/>
    <x v="28"/>
    <s v="25x29"/>
    <x v="56"/>
    <n v="29"/>
    <n v="0.69799999999999995"/>
    <n v="0.77400000000000002"/>
    <n v="0.77400000000000002"/>
    <n v="0.78"/>
  </r>
  <r>
    <n v="2"/>
    <n v="3"/>
    <n v="11"/>
    <s v="LAUREL DE CERA (RE)"/>
    <x v="29"/>
    <s v="25x29"/>
    <x v="57"/>
    <n v="369"/>
    <n v="0.85"/>
    <n v="0.88900000000000001"/>
    <n v="1.0110999999999999"/>
    <n v="1.1349999999999998"/>
  </r>
  <r>
    <n v="2"/>
    <n v="3"/>
    <n v="11"/>
    <s v="LAUREL DE CERA (RE)"/>
    <x v="30"/>
    <s v="20x30"/>
    <x v="58"/>
    <n v="136"/>
    <n v="0.87259999999999993"/>
    <n v="0.88500000000000001"/>
    <n v="1.0244"/>
    <n v="1.202"/>
  </r>
  <r>
    <n v="2"/>
    <n v="3"/>
    <n v="12"/>
    <s v="LAUREL DE CERA (RE)"/>
    <x v="29"/>
    <s v="20x30"/>
    <x v="59"/>
    <n v="1429"/>
    <n v="0.66300000000000003"/>
    <n v="0.69499999999999995"/>
    <n v="0.72899999999999998"/>
    <n v="0.82400000000000007"/>
  </r>
  <r>
    <n v="2"/>
    <n v="3"/>
    <n v="13"/>
    <s v="CHIRIPIQUE (RE)"/>
    <x v="31"/>
    <s v="30x35"/>
    <x v="60"/>
    <n v="349"/>
    <n v="0.67030000000000001"/>
    <n v="0.72599999999999998"/>
    <n v="0.78870000000000007"/>
    <n v="0.82899999999999996"/>
  </r>
  <r>
    <n v="2"/>
    <n v="3"/>
    <n v="13"/>
    <s v="CHIRIPIQUE (RE)"/>
    <x v="31"/>
    <s v="30x35"/>
    <x v="61"/>
    <n v="22"/>
    <n v="0.68100000000000005"/>
    <n v="0.68100000000000005"/>
    <n v="0.83"/>
    <n v="0.86"/>
  </r>
  <r>
    <n v="2"/>
    <n v="3"/>
    <n v="13"/>
    <s v="CHIRIPIQUE (RE)"/>
    <x v="31"/>
    <s v="30x35"/>
    <x v="62"/>
    <n v="37"/>
    <n v="1.075"/>
    <n v="1.1479999999999999"/>
    <n v="1.2"/>
    <n v="1.21"/>
  </r>
  <r>
    <n v="2"/>
    <n v="3"/>
    <n v="13"/>
    <s v="CHIRIPIQUE (RE)"/>
    <x v="31"/>
    <s v="20x30"/>
    <x v="63"/>
    <n v="172"/>
    <n v="0.87475000000000003"/>
    <n v="0.94599999999999995"/>
    <n v="0.99562500000000009"/>
    <n v="0.97250000000000014"/>
  </r>
  <r>
    <n v="2"/>
    <n v="3"/>
    <n v="14"/>
    <s v="RODAMONTE (RE)"/>
    <x v="32"/>
    <s v="30x35"/>
    <x v="64"/>
    <n v="371"/>
    <n v="0.45149999999999996"/>
    <n v="0.497"/>
    <n v="0.67400000000000004"/>
    <n v="0.93599999999999994"/>
  </r>
  <r>
    <n v="2"/>
    <n v="3"/>
    <n v="14"/>
    <s v="RODAMONTE (RE)"/>
    <x v="32"/>
    <s v="20X24"/>
    <x v="65"/>
    <n v="88"/>
    <n v="0.503"/>
    <n v="0.53900000000000003"/>
    <n v="0.65"/>
    <n v="0.74"/>
  </r>
  <r>
    <n v="2"/>
    <n v="3"/>
    <n v="17"/>
    <s v="CAJETO (RE)"/>
    <x v="15"/>
    <s v="30x35"/>
    <x v="66"/>
    <n v="1"/>
    <n v="1.5920000000000001"/>
    <n v="1.5920000000000001"/>
    <n v="1.5920000000000001"/>
    <n v="1.6"/>
  </r>
  <r>
    <n v="2"/>
    <n v="3"/>
    <n v="17"/>
    <s v="CAJETO (RE)"/>
    <x v="11"/>
    <s v="30x35"/>
    <x v="67"/>
    <n v="114"/>
    <n v="1.0820000000000001"/>
    <n v="1.1060000000000001"/>
    <n v="1.44"/>
    <n v="1.45"/>
  </r>
  <r>
    <n v="2"/>
    <n v="3"/>
    <n v="17"/>
    <s v="CAJETO (RE)"/>
    <x v="11"/>
    <s v="20x30"/>
    <x v="68"/>
    <n v="36"/>
    <n v="1.34"/>
    <n v="1.369"/>
    <n v="1.369"/>
    <n v="1.38"/>
  </r>
  <r>
    <n v="2"/>
    <n v="3"/>
    <n v="17"/>
    <s v="CAJETO (RE)"/>
    <x v="11"/>
    <s v="20x30"/>
    <x v="69"/>
    <n v="8"/>
    <n v="1.1779999999999999"/>
    <n v="1.34"/>
    <n v="1.34"/>
    <n v="1.45"/>
  </r>
  <r>
    <n v="2"/>
    <n v="3"/>
    <n v="17"/>
    <s v="CAJETO (RE)"/>
    <x v="11"/>
    <s v="30X30"/>
    <x v="70"/>
    <n v="45"/>
    <n v="1.7389999999999999"/>
    <n v="1.77"/>
    <n v="1.7696666666666665"/>
    <n v="1.843333333333333"/>
  </r>
  <r>
    <n v="2"/>
    <n v="3"/>
    <n v="17"/>
    <s v="CAJETO (RE)"/>
    <x v="11"/>
    <s v="20x30"/>
    <x v="71"/>
    <n v="67"/>
    <n v="1.1459999999999999"/>
    <n v="1.1459999999999999"/>
    <n v="1.1459999999999999"/>
    <n v="1.1766666666666667"/>
  </r>
  <r>
    <n v="2"/>
    <n v="3"/>
    <n v="17"/>
    <s v="CAJETO (RE)"/>
    <x v="11"/>
    <s v="25x29"/>
    <x v="72"/>
    <n v="127"/>
    <n v="1.941875"/>
    <n v="1.96"/>
    <n v="1.9616250000000002"/>
    <n v="2.0157142857142856"/>
  </r>
  <r>
    <n v="2"/>
    <n v="3"/>
    <n v="17"/>
    <s v="CAJETO (RE)"/>
    <x v="11"/>
    <s v="30x35"/>
    <x v="73"/>
    <n v="29"/>
    <n v="1.4319999999999999"/>
    <n v="1.47"/>
    <n v="1.47"/>
    <n v="1.62"/>
  </r>
  <r>
    <n v="2"/>
    <n v="3"/>
    <n v="18"/>
    <s v="CESTRUM (RE)"/>
    <x v="33"/>
    <s v="30x35"/>
    <x v="74"/>
    <n v="246"/>
    <n v="1.1469"/>
    <n v="1.198"/>
    <n v="1.2425000000000002"/>
    <n v="1.2885714285714287"/>
  </r>
  <r>
    <n v="2"/>
    <n v="3"/>
    <n v="18"/>
    <s v="CESTRUM BUXIFOLIUM (RE)"/>
    <x v="34"/>
    <s v="30x35"/>
    <x v="75"/>
    <n v="98"/>
    <n v="0.17033333333333331"/>
    <n v="0.192"/>
    <n v="0.20733333333333334"/>
    <n v="0.29666666666666669"/>
  </r>
  <r>
    <n v="2"/>
    <n v="3"/>
    <n v="18"/>
    <s v="CESTRUM (RE)"/>
    <x v="33"/>
    <s v="30x35"/>
    <x v="76"/>
    <n v="29"/>
    <n v="0.64500000000000002"/>
    <n v="0.68700000000000006"/>
    <n v="0.72"/>
    <n v="0.96"/>
  </r>
  <r>
    <n v="2"/>
    <n v="3"/>
    <n v="18"/>
    <s v="CESTRUM BUXIFOLIUM (RE)"/>
    <x v="34"/>
    <s v="15x25"/>
    <x v="77"/>
    <n v="24"/>
    <n v="0.185"/>
    <n v="0.22"/>
    <n v="0.23"/>
    <n v="0.23"/>
  </r>
  <r>
    <n v="2"/>
    <n v="3"/>
    <n v="19"/>
    <s v="CAJETO DE PARAMO (RE)"/>
    <x v="1"/>
    <s v="30X30"/>
    <x v="78"/>
    <n v="338"/>
    <n v="0.91679999999999995"/>
    <n v="0.95099999999999996"/>
    <n v="1.0867"/>
    <n v="1.1400999999999999"/>
  </r>
  <r>
    <n v="2"/>
    <n v="3"/>
    <n v="19"/>
    <s v="CESTRUM (RE)"/>
    <x v="33"/>
    <s v="30X30"/>
    <x v="79"/>
    <n v="113"/>
    <n v="1.1200000000000001"/>
    <n v="1.24"/>
    <n v="1.4066250000000002"/>
    <n v="1.4497499999999999"/>
  </r>
  <r>
    <n v="2"/>
    <n v="3"/>
    <n v="19"/>
    <s v="CESTRUM (RE)"/>
    <x v="33"/>
    <s v="20x30"/>
    <x v="80"/>
    <n v="9"/>
    <n v="1.3049999999999999"/>
    <n v="1.325"/>
    <n v="1.34"/>
    <n v="1.86"/>
  </r>
  <r>
    <n v="2"/>
    <n v="3"/>
    <n v="21"/>
    <s v="MOQUILLO (RE)"/>
    <x v="35"/>
    <s v="30x35"/>
    <x v="81"/>
    <n v="131"/>
    <n v="1.7508333333333335"/>
    <n v="1.7509999999999999"/>
    <n v="1.7658333333333334"/>
    <n v="2.0019999999999998"/>
  </r>
  <r>
    <n v="2"/>
    <n v="3"/>
    <n v="21"/>
    <s v="MOQUILLO (RE)"/>
    <x v="35"/>
    <s v="25x29"/>
    <x v="82"/>
    <n v="168"/>
    <n v="1.4248749999999999"/>
    <n v="1.4570000000000001"/>
    <n v="1.5579999999999998"/>
    <n v="1.6377999999999999"/>
  </r>
  <r>
    <n v="2"/>
    <n v="3"/>
    <n v="21"/>
    <s v="MOQUILLO (RE)"/>
    <x v="35"/>
    <s v="30x35"/>
    <x v="83"/>
    <n v="9"/>
    <n v="1.2729999999999999"/>
    <n v="1.2729999999999999"/>
    <n v="1.2729999999999999"/>
    <n v="2.81"/>
  </r>
  <r>
    <n v="2"/>
    <n v="3"/>
    <n v="22"/>
    <s v="ROBLE (RE)"/>
    <x v="36"/>
    <s v="30X30"/>
    <x v="84"/>
    <n v="274"/>
    <n v="1.3501000000000001"/>
    <n v="1.393"/>
    <n v="1.4593"/>
    <n v="1.5183"/>
  </r>
  <r>
    <n v="2"/>
    <n v="3"/>
    <n v="22"/>
    <s v="ROBLE (RE)"/>
    <x v="36"/>
    <s v="30X30"/>
    <x v="85"/>
    <n v="13"/>
    <n v="0.95760000000000001"/>
    <n v="1.0740000000000001"/>
    <n v="1.1138000000000001"/>
    <n v="1.1138000000000001"/>
  </r>
  <r>
    <n v="2"/>
    <n v="3"/>
    <n v="22"/>
    <s v="ROBLE (RE)"/>
    <x v="36"/>
    <s v="30x35"/>
    <x v="86"/>
    <n v="204"/>
    <n v="0.83274999999999988"/>
    <n v="0.89"/>
    <n v="1"/>
    <n v="1.1612499999999999"/>
  </r>
  <r>
    <n v="2"/>
    <n v="3"/>
    <n v="22"/>
    <s v="ROBLE (RE)"/>
    <x v="36"/>
    <s v="30x35"/>
    <x v="87"/>
    <n v="62"/>
    <n v="1.1123333333333334"/>
    <n v="1.1419999999999999"/>
    <n v="1.1816666666666666"/>
    <n v="1.4343333333333332"/>
  </r>
  <r>
    <n v="2"/>
    <n v="4"/>
    <n v="2"/>
    <s v="ARDICIA (RE)"/>
    <x v="37"/>
    <s v="25x29"/>
    <x v="88"/>
    <n v="250"/>
    <n v="0.9677"/>
    <n v="1.004"/>
    <n v="1.0134999999999998"/>
    <n v="1.0857777777777777"/>
  </r>
  <r>
    <n v="2"/>
    <n v="4"/>
    <n v="2"/>
    <s v="ARDICIA (RE)"/>
    <x v="37"/>
    <s v="30x35"/>
    <x v="89"/>
    <n v="172"/>
    <n v="1.1653749999999998"/>
    <n v="1.252"/>
    <n v="1.3243750000000001"/>
    <n v="1.3431250000000001"/>
  </r>
  <r>
    <n v="2"/>
    <n v="4"/>
    <n v="2"/>
    <s v="CEDRO (RE)"/>
    <x v="38"/>
    <s v="30x35"/>
    <x v="90"/>
    <n v="145"/>
    <n v="0.97699999999999998"/>
    <n v="1.5029999999999999"/>
    <n v="1.5029999999999999"/>
    <n v="1.81"/>
  </r>
  <r>
    <n v="2"/>
    <n v="4"/>
    <n v="3"/>
    <s v="CAJETO (RE)"/>
    <x v="11"/>
    <s v="25x29"/>
    <x v="91"/>
    <n v="482"/>
    <n v="1.5946"/>
    <n v="1.6639999999999999"/>
    <n v="1.7076999999999998"/>
    <n v="1.7932222222222221"/>
  </r>
  <r>
    <n v="2"/>
    <n v="4"/>
    <n v="4"/>
    <s v="CAJETO SULCATUM (RE)"/>
    <x v="39"/>
    <s v="25x29"/>
    <x v="92"/>
    <n v="654"/>
    <n v="0.5031000000000001"/>
    <n v="0.63900000000000001"/>
    <n v="0.69611111111111112"/>
    <n v="0.73624999999999996"/>
  </r>
  <r>
    <n v="2"/>
    <n v="4"/>
    <n v="4"/>
    <s v="CAJETO (RE)"/>
    <x v="11"/>
    <s v="25x29"/>
    <x v="93"/>
    <n v="214"/>
    <n v="0.70377777777777772"/>
    <n v="0.72499999999999998"/>
    <n v="0.85899999999999999"/>
    <n v="1.12375"/>
  </r>
  <r>
    <n v="2"/>
    <n v="4"/>
    <n v="5"/>
    <s v="BERBERIS (RE)"/>
    <x v="9"/>
    <s v="25x29"/>
    <x v="94"/>
    <n v="621"/>
    <n v="0.7347999999999999"/>
    <n v="1.04"/>
    <n v="1.0396000000000001"/>
    <n v="1.0958000000000001"/>
  </r>
  <r>
    <n v="2"/>
    <n v="4"/>
    <n v="6"/>
    <s v="CANELO DE PARAMO (RE)"/>
    <x v="40"/>
    <s v="20X24"/>
    <x v="95"/>
    <n v="82"/>
    <n v="0.23600000000000002"/>
    <n v="0.28000000000000003"/>
    <n v="0.28000000000000003"/>
    <n v="0.36999999999999994"/>
  </r>
  <r>
    <n v="2"/>
    <n v="4"/>
    <n v="6"/>
    <s v="CANELO DE PARAMO (RE)"/>
    <x v="40"/>
    <s v="20X24"/>
    <x v="96"/>
    <n v="327"/>
    <n v="1.0669999999999999"/>
    <n v="1.2829999999999999"/>
    <n v="1.2892000000000001"/>
    <n v="1.2892000000000001"/>
  </r>
  <r>
    <n v="2"/>
    <n v="4"/>
    <n v="6"/>
    <s v="CANELO DE PARAMO (RE)"/>
    <x v="40"/>
    <s v="30X30"/>
    <x v="97"/>
    <n v="15"/>
    <n v="1.2486666666666668"/>
    <n v="1.427"/>
    <n v="1.4266666666666665"/>
    <n v="1.595"/>
  </r>
  <r>
    <n v="2"/>
    <n v="4"/>
    <n v="7"/>
    <s v="CUCHARO DE PARAMO (RE)"/>
    <x v="41"/>
    <s v="30x35"/>
    <x v="98"/>
    <n v="411"/>
    <n v="0.87829999999999997"/>
    <n v="0.99399999999999999"/>
    <n v="0.99490000000000001"/>
    <n v="1.0266666666666664"/>
  </r>
  <r>
    <n v="2"/>
    <n v="4"/>
    <n v="9"/>
    <s v="CHILCO (RE)"/>
    <x v="42"/>
    <s v="20x30"/>
    <x v="99"/>
    <n v="329"/>
    <n v="0.82169999999999987"/>
    <n v="0.96599999999999997"/>
    <n v="0.96599999999999997"/>
    <n v="0.98111111111111116"/>
  </r>
  <r>
    <n v="2"/>
    <n v="4"/>
    <n v="9"/>
    <s v="CHILCO (RE)"/>
    <x v="42"/>
    <s v="30x35"/>
    <x v="100"/>
    <n v="10"/>
    <n v="0.57300000000000006"/>
    <n v="0.66"/>
    <n v="0.66"/>
    <n v="0.73"/>
  </r>
  <r>
    <n v="2"/>
    <n v="4"/>
    <n v="10"/>
    <s v="ARRAYAN (RE)"/>
    <x v="43"/>
    <s v="20x30"/>
    <x v="101"/>
    <n v="954"/>
    <n v="0.60609999999999997"/>
    <n v="0.70599999999999996"/>
    <n v="0.71360000000000001"/>
    <n v="0.76555555555555543"/>
  </r>
  <r>
    <n v="2"/>
    <n v="4"/>
    <n v="10"/>
    <s v="ARRAYAN ROPHALOIDES (RE)"/>
    <x v="44"/>
    <s v="30x35"/>
    <x v="102"/>
    <n v="19"/>
    <n v="1.3539999999999999"/>
    <n v="1.7"/>
    <n v="1.7"/>
    <n v="1.7"/>
  </r>
  <r>
    <n v="2"/>
    <n v="4"/>
    <n v="10"/>
    <s v="ARRAYAN (RE)"/>
    <x v="43"/>
    <s v="20x30"/>
    <x v="103"/>
    <n v="11"/>
    <n v="0.86199999999999999"/>
    <n v="0.88500000000000001"/>
    <n v="0.95"/>
    <n v="0.9850000000000001"/>
  </r>
  <r>
    <n v="2"/>
    <n v="4"/>
    <n v="10"/>
    <s v="ARRAYAN ROPHALOIDES (RE)"/>
    <x v="44"/>
    <s v="20x30"/>
    <x v="104"/>
    <n v="52"/>
    <n v="0.60866666666666669"/>
    <n v="0.83699999999999997"/>
    <n v="0.8966666666666665"/>
    <n v="1.093333333333333"/>
  </r>
  <r>
    <n v="2"/>
    <n v="4"/>
    <n v="10"/>
    <s v="ARRAYAN (RE)"/>
    <x v="43"/>
    <s v="30x35"/>
    <x v="105"/>
    <n v="82"/>
    <n v="1.2490000000000001"/>
    <n v="1.2490000000000001"/>
    <n v="1.2490000000000001"/>
    <n v="1.4"/>
  </r>
  <r>
    <n v="2"/>
    <n v="4"/>
    <n v="13"/>
    <s v="CAJETO DE PARAMO (RE)"/>
    <x v="1"/>
    <s v="20x30"/>
    <x v="106"/>
    <n v="1285"/>
    <n v="0.96"/>
    <n v="1.268"/>
    <n v="1.274"/>
    <n v="1.274"/>
  </r>
  <r>
    <n v="2"/>
    <n v="4"/>
    <n v="14"/>
    <s v="BLANQUILLO (RE)"/>
    <x v="45"/>
    <s v="25x29"/>
    <x v="107"/>
    <n v="664"/>
    <n v="1.0900000000000001"/>
    <n v="1.508"/>
    <n v="1.5280000000000002"/>
    <n v="1.627"/>
  </r>
  <r>
    <n v="2"/>
    <n v="4"/>
    <n v="15"/>
    <s v="CIRO (RE)"/>
    <x v="46"/>
    <s v="25x29"/>
    <x v="108"/>
    <n v="81"/>
    <n v="1.3643333333333334"/>
    <n v="1.6830000000000001"/>
    <n v="1.6833333333333333"/>
    <n v="1.89"/>
  </r>
  <r>
    <n v="2"/>
    <n v="4"/>
    <n v="15"/>
    <s v="BLANQUILLO (RE)"/>
    <x v="45"/>
    <s v="25x29"/>
    <x v="109"/>
    <n v="100"/>
    <n v="1.1299999999999999"/>
    <n v="1.4"/>
    <n v="1.3999999999999997"/>
    <n v="1.5349999999999997"/>
  </r>
  <r>
    <n v="2"/>
    <n v="4"/>
    <n v="15"/>
    <s v="BLANQUILLO (RE)"/>
    <x v="45"/>
    <s v="20x30"/>
    <x v="110"/>
    <n v="70"/>
    <n v="0.35666666666666663"/>
    <n v="0.40200000000000002"/>
    <n v="0.43666666666666659"/>
    <n v="0.75666666666666649"/>
  </r>
  <r>
    <n v="2"/>
    <n v="4"/>
    <n v="15"/>
    <s v="BODOQUERA (RE)"/>
    <x v="47"/>
    <s v="15x16"/>
    <x v="111"/>
    <n v="28"/>
    <n v="0.628"/>
    <n v="0.83"/>
    <n v="0.9"/>
    <n v="1.31"/>
  </r>
  <r>
    <n v="2"/>
    <n v="4"/>
    <n v="15"/>
    <s v="MANZANO (RE)"/>
    <x v="48"/>
    <s v="40x50"/>
    <x v="112"/>
    <n v="15"/>
    <n v="0.54299999999999993"/>
    <n v="0.68"/>
    <n v="0.75"/>
    <n v="1"/>
  </r>
  <r>
    <n v="2"/>
    <n v="4"/>
    <n v="15"/>
    <s v="UCHUVA (RE)"/>
    <x v="49"/>
    <s v="25x29"/>
    <x v="113"/>
    <n v="15"/>
    <n v="0.37"/>
    <n v="0.44"/>
    <n v="0.44"/>
    <n v="1.1399999999999999"/>
  </r>
  <r>
    <n v="2"/>
    <n v="4"/>
    <n v="15"/>
    <s v="PUNTA DE LANZA (RE)"/>
    <x v="50"/>
    <s v="25x29"/>
    <x v="114"/>
    <n v="27"/>
    <n v="0.60299999999999998"/>
    <n v="0.67"/>
    <n v="0.67"/>
    <n v="0.95"/>
  </r>
  <r>
    <n v="2"/>
    <n v="4"/>
    <n v="15"/>
    <s v="PEGAMOSCO (RE)"/>
    <x v="51"/>
    <s v="30X30"/>
    <x v="115"/>
    <n v="30"/>
    <n v="0.68099999999999994"/>
    <n v="0.85"/>
    <n v="0.85"/>
    <n v="0.86"/>
  </r>
  <r>
    <n v="2"/>
    <n v="4"/>
    <n v="15"/>
    <s v="ESPINO BERNADESIA (RE)"/>
    <x v="52"/>
    <s v="30X30"/>
    <x v="116"/>
    <n v="1"/>
    <n v="0.28500000000000003"/>
    <n v="0.44"/>
    <n v="0.44"/>
    <n v="0.45"/>
  </r>
  <r>
    <n v="2"/>
    <n v="4"/>
    <n v="16"/>
    <s v="ALCAPARRO DOBLE (RE)"/>
    <x v="53"/>
    <s v="25x29"/>
    <x v="117"/>
    <n v="628"/>
    <n v="0.73870000000000002"/>
    <n v="0.92"/>
    <n v="1.06"/>
    <n v="1.1930000000000001"/>
  </r>
  <r>
    <n v="2"/>
    <n v="4"/>
    <n v="16"/>
    <s v="BLANQUILLO (RE)"/>
    <x v="45"/>
    <s v="25x29"/>
    <x v="118"/>
    <n v="86"/>
    <n v="0.78675000000000006"/>
    <n v="0.997"/>
    <n v="1.075"/>
    <n v="1.35"/>
  </r>
  <r>
    <n v="2"/>
    <n v="4"/>
    <n v="17"/>
    <s v="CEREZO (RE)"/>
    <x v="54"/>
    <s v="30X30"/>
    <x v="119"/>
    <n v="110"/>
    <n v="1.1043333333333332"/>
    <n v="1.409"/>
    <n v="1.4916666666666665"/>
    <n v="1.5683333333333331"/>
  </r>
  <r>
    <n v="2"/>
    <n v="4"/>
    <n v="17"/>
    <s v="CEREZO (RE)"/>
    <x v="54"/>
    <s v="30X30"/>
    <x v="120"/>
    <n v="223"/>
    <n v="0.87487500000000007"/>
    <n v="1.036"/>
    <n v="1.036"/>
    <n v="1.0483333333333333"/>
  </r>
  <r>
    <n v="2"/>
    <n v="4"/>
    <n v="18"/>
    <s v="NOGAL (RE)"/>
    <x v="55"/>
    <s v="30x35"/>
    <x v="121"/>
    <n v="249"/>
    <n v="1.2595000000000001"/>
    <n v="1.5089999999999999"/>
    <n v="1.6065999999999998"/>
    <n v="1.6744444444444446"/>
  </r>
  <r>
    <n v="2"/>
    <n v="4"/>
    <n v="19"/>
    <s v="RODAMONTE (RE)"/>
    <x v="32"/>
    <s v="25x29"/>
    <x v="122"/>
    <n v="714"/>
    <n v="0.64260000000000006"/>
    <n v="0.72599999999999998"/>
    <n v="0.91429999999999989"/>
    <n v="1.2200000000000002"/>
  </r>
  <r>
    <n v="2"/>
    <n v="4"/>
    <n v="20"/>
    <s v="PAPAYUELA (RE)"/>
    <x v="56"/>
    <s v="30x35"/>
    <x v="123"/>
    <n v="4"/>
    <n v="1.0609999999999999"/>
    <n v="1.4"/>
    <n v="1.4"/>
    <n v="1.41"/>
  </r>
  <r>
    <n v="2"/>
    <n v="4"/>
    <n v="20"/>
    <s v="TOMINEJERO (RE)"/>
    <x v="57"/>
    <s v="25x29"/>
    <x v="124"/>
    <n v="303"/>
    <n v="0.56774999999999998"/>
    <n v="0.73"/>
    <n v="0.76137500000000002"/>
    <n v="0.83"/>
  </r>
  <r>
    <n v="2"/>
    <n v="4"/>
    <n v="21"/>
    <s v="GARROCHO (RE)"/>
    <x v="58"/>
    <s v="25x29"/>
    <x v="125"/>
    <n v="714"/>
    <n v="0.42230000000000001"/>
    <n v="0.56000000000000005"/>
    <n v="0.61499999999999999"/>
    <n v="0.84199999999999997"/>
  </r>
  <r>
    <n v="2"/>
    <n v="4"/>
    <n v="22"/>
    <s v="MANGLE (RE)"/>
    <x v="59"/>
    <s v="25x29"/>
    <x v="126"/>
    <n v="330"/>
    <n v="0.6794"/>
    <n v="0.80300000000000005"/>
    <n v="1.038"/>
    <n v="1.2810000000000001"/>
  </r>
  <r>
    <n v="2"/>
    <n v="5"/>
    <n v="1"/>
    <s v="CHOCHO (RE)"/>
    <x v="25"/>
    <s v="20x30"/>
    <x v="127"/>
    <n v="260"/>
    <n v="1.5"/>
    <n v="1.67"/>
    <n v="1.7733333333333334"/>
    <n v="1.8140000000000001"/>
  </r>
  <r>
    <n v="2"/>
    <n v="5"/>
    <n v="1"/>
    <s v="YOLOMBO (RE)"/>
    <x v="60"/>
    <s v="25x29"/>
    <x v="128"/>
    <n v="162"/>
    <n v="1.2250000000000001"/>
    <n v="1.296"/>
    <n v="1.3399999999999999"/>
    <n v="1.3619999999999999"/>
  </r>
  <r>
    <n v="2"/>
    <n v="5"/>
    <n v="2"/>
    <s v="BERBERIS (RE)"/>
    <x v="9"/>
    <s v="20x30"/>
    <x v="129"/>
    <n v="125"/>
    <n v="0.6166666666666667"/>
    <n v="0.754"/>
    <n v="0.89100000000000001"/>
    <n v="1.0281666666666667"/>
  </r>
  <r>
    <n v="2"/>
    <n v="5"/>
    <n v="3"/>
    <s v="HAYUELO (RE)"/>
    <x v="3"/>
    <s v="25x29"/>
    <x v="130"/>
    <n v="128"/>
    <n v="1.0549999999999999"/>
    <n v="1.0920000000000001"/>
    <n v="1.1623750000000002"/>
    <n v="1.18"/>
  </r>
  <r>
    <n v="2"/>
    <n v="5"/>
    <n v="4"/>
    <s v="ALISO (RE)"/>
    <x v="2"/>
    <s v="25x29"/>
    <x v="131"/>
    <n v="284"/>
    <n v="1.222"/>
    <n v="1.361"/>
    <n v="1.468"/>
    <n v="1.5055555555555555"/>
  </r>
  <r>
    <n v="2"/>
    <n v="5"/>
    <n v="4"/>
    <s v="ALISO (RE)"/>
    <x v="2"/>
    <s v="20x30"/>
    <x v="132"/>
    <n v="418"/>
    <n v="1.0630000000000002"/>
    <n v="1.157"/>
    <n v="1.2622222222222221"/>
    <n v="1.3166666666666669"/>
  </r>
  <r>
    <n v="2"/>
    <n v="5"/>
    <n v="5"/>
    <s v="ALCAPARRO ENANO (RE)"/>
    <x v="61"/>
    <s v="25x29"/>
    <x v="133"/>
    <n v="363"/>
    <n v="1.0670000000000002"/>
    <n v="1.115"/>
    <n v="1.1446000000000001"/>
    <n v="1.1975"/>
  </r>
  <r>
    <n v="2"/>
    <n v="5"/>
    <n v="5"/>
    <s v="ALCAPARRO ENANO (RE)"/>
    <x v="61"/>
    <s v="30x35"/>
    <x v="134"/>
    <n v="2"/>
    <n v="1.175"/>
    <n v="1.31"/>
    <n v="1.31"/>
    <n v="1.3149999999999999"/>
  </r>
  <r>
    <n v="2"/>
    <n v="5"/>
    <n v="6"/>
    <s v="MANO DE OSO (RE)"/>
    <x v="7"/>
    <s v="20x30"/>
    <x v="135"/>
    <n v="1374"/>
    <n v="0.60299999999999998"/>
    <n v="0.66100000000000003"/>
    <n v="0.67870000000000008"/>
    <n v="0.79"/>
  </r>
  <r>
    <n v="2"/>
    <n v="5"/>
    <n v="7"/>
    <s v="TIBAR (RE)"/>
    <x v="62"/>
    <s v="25x29"/>
    <x v="136"/>
    <n v="515"/>
    <n v="0.52200000000000002"/>
    <n v="0.63100000000000001"/>
    <n v="0.90111111111111108"/>
    <n v="1.2355555555555557"/>
  </r>
  <r>
    <n v="2"/>
    <n v="5"/>
    <n v="8"/>
    <s v="ESPINO GARBANZO (RE)"/>
    <x v="63"/>
    <s v="20x30"/>
    <x v="137"/>
    <n v="738"/>
    <n v="0.26100000000000001"/>
    <n v="0.32"/>
    <n v="0.4244444444444444"/>
    <n v="0.59333333333333327"/>
  </r>
  <r>
    <n v="2"/>
    <n v="5"/>
    <n v="8"/>
    <s v="LAUREL DE CERA (RE)"/>
    <x v="29"/>
    <s v="20x30"/>
    <x v="138"/>
    <n v="549"/>
    <n v="0.24111111111111111"/>
    <n v="0.27100000000000002"/>
    <n v="0.29777777777777775"/>
    <n v="0.42333333333333339"/>
  </r>
  <r>
    <n v="2"/>
    <n v="5"/>
    <n v="9"/>
    <s v="AMARGOSO (RE)"/>
    <x v="64"/>
    <s v="25x29"/>
    <x v="139"/>
    <n v="182"/>
    <n v="0.73499999999999999"/>
    <n v="0.80200000000000005"/>
    <n v="0.8666666666666667"/>
    <n v="0.95666666666666667"/>
  </r>
  <r>
    <n v="2"/>
    <n v="5"/>
    <n v="9"/>
    <s v="AMARGOSO (RE)"/>
    <x v="64"/>
    <s v="25x29"/>
    <x v="140"/>
    <n v="162"/>
    <n v="0.66166666666666663"/>
    <n v="0.72699999999999998"/>
    <n v="0.77833333333333343"/>
    <n v="0.89"/>
  </r>
  <r>
    <n v="2"/>
    <n v="5"/>
    <n v="9"/>
    <s v="AMARGOSO (RE)"/>
    <x v="64"/>
    <s v="20x30"/>
    <x v="141"/>
    <n v="87"/>
    <n v="0.67799999999999994"/>
    <n v="0.74399999999999999"/>
    <n v="0.75000000000000011"/>
    <n v="0.95499999999999996"/>
  </r>
  <r>
    <n v="2"/>
    <n v="5"/>
    <n v="10"/>
    <s v="CONEJO (RE)"/>
    <x v="65"/>
    <s v="20x30"/>
    <x v="142"/>
    <n v="330"/>
    <n v="0.54299999999999993"/>
    <n v="0.55000000000000004"/>
    <n v="0.57599999999999996"/>
    <n v="0.66999999999999993"/>
  </r>
  <r>
    <n v="2"/>
    <n v="5"/>
    <n v="12"/>
    <s v="MANO DE OSO (RE)"/>
    <x v="7"/>
    <s v="25x29"/>
    <x v="143"/>
    <n v="90"/>
    <n v="1.1599999999999999"/>
    <n v="1.1599999999999999"/>
    <n v="1.1599999999999999"/>
    <n v="1.37"/>
  </r>
  <r>
    <n v="2"/>
    <n v="5"/>
    <n v="12"/>
    <s v="MANO DE OSO (RE)"/>
    <x v="7"/>
    <s v="30X30"/>
    <x v="144"/>
    <n v="192"/>
    <n v="0.69125000000000014"/>
    <n v="0.97699999999999998"/>
    <n v="1.0162500000000001"/>
    <n v="1.046"/>
  </r>
  <r>
    <n v="2"/>
    <n v="5"/>
    <n v="12"/>
    <s v="MANO DE OSO (RE)"/>
    <x v="66"/>
    <s v="30X30"/>
    <x v="145"/>
    <n v="74"/>
    <n v="0.45999999999999996"/>
    <n v="0.6"/>
    <n v="0.6"/>
    <n v="0.66999999999999993"/>
  </r>
  <r>
    <n v="2"/>
    <n v="5"/>
    <n v="12"/>
    <s v="MANO DE OSO (RE)"/>
    <x v="7"/>
    <s v="20x30"/>
    <x v="146"/>
    <n v="158"/>
    <n v="0.45333333333333337"/>
    <n v="0.56699999999999995"/>
    <n v="0.6283333333333333"/>
    <n v="0.72666666666666657"/>
  </r>
  <r>
    <n v="2"/>
    <n v="5"/>
    <n v="13"/>
    <s v="HAYUELO (RE)"/>
    <x v="3"/>
    <s v="30x35"/>
    <x v="147"/>
    <n v="3"/>
    <n v="1.2"/>
    <n v="1.34"/>
    <n v="1.34"/>
    <n v="1.35"/>
  </r>
  <r>
    <n v="2"/>
    <n v="5"/>
    <n v="13"/>
    <s v="HAYUELO (RE)"/>
    <x v="3"/>
    <s v="25x29"/>
    <x v="148"/>
    <n v="131"/>
    <n v="0.85"/>
    <n v="0.93"/>
    <n v="1.0619999999999998"/>
    <n v="1.0739999999999998"/>
  </r>
  <r>
    <n v="2"/>
    <n v="5"/>
    <n v="13"/>
    <s v="HAYUELO (RE)"/>
    <x v="3"/>
    <s v="30x35"/>
    <x v="149"/>
    <n v="161"/>
    <n v="1.0266666666666666"/>
    <n v="1.17"/>
    <n v="1.17"/>
    <n v="1.52"/>
  </r>
  <r>
    <n v="2"/>
    <n v="5"/>
    <n v="13"/>
    <s v="HAYUELO (RE)"/>
    <x v="3"/>
    <s v="20x30"/>
    <x v="150"/>
    <n v="36"/>
    <n v="0.94"/>
    <n v="0.94"/>
    <n v="0.97"/>
    <n v="0.98"/>
  </r>
  <r>
    <n v="2"/>
    <n v="5"/>
    <n v="13"/>
    <s v="HAYUELO (RE)"/>
    <x v="3"/>
    <s v="30X30"/>
    <x v="151"/>
    <n v="14"/>
    <n v="0.63"/>
    <n v="0.63"/>
    <n v="0.64"/>
    <n v="0.66"/>
  </r>
  <r>
    <n v="2"/>
    <n v="5"/>
    <n v="13"/>
    <s v="HAYUELO (RE)"/>
    <x v="3"/>
    <s v="20x30"/>
    <x v="152"/>
    <n v="45"/>
    <n v="0.74"/>
    <n v="0.97"/>
    <n v="1.07"/>
    <n v="1.08"/>
  </r>
  <r>
    <n v="2"/>
    <n v="6"/>
    <n v="1"/>
    <s v="GUAMO (RE)"/>
    <x v="67"/>
    <s v="30X30"/>
    <x v="153"/>
    <n v="190"/>
    <n v="1.3045714285714285"/>
    <n v="1.3360000000000001"/>
    <n v="1.413"/>
    <n v="1.4157142857142857"/>
  </r>
  <r>
    <n v="2"/>
    <n v="6"/>
    <n v="2"/>
    <s v="DURAZNILLO (RE)"/>
    <x v="68"/>
    <s v="30x35"/>
    <x v="154"/>
    <n v="9"/>
    <n v="0.68700000000000006"/>
    <n v="1.17"/>
    <n v="1.27"/>
    <n v="1.3"/>
  </r>
  <r>
    <n v="2"/>
    <n v="6"/>
    <n v="2"/>
    <s v="HAYUELO (RE)"/>
    <x v="3"/>
    <s v="30X30"/>
    <x v="155"/>
    <n v="47"/>
    <n v="0.58299999999999996"/>
    <n v="0.66"/>
    <n v="0.69"/>
    <n v="0.74"/>
  </r>
  <r>
    <n v="2"/>
    <n v="6"/>
    <n v="3"/>
    <s v="AJI (RE)"/>
    <x v="69"/>
    <s v="30X30"/>
    <x v="156"/>
    <n v="146"/>
    <n v="0.91116666666666657"/>
    <n v="1.1259999999999999"/>
    <n v="1.1483333333333332"/>
    <n v="1.1716666666666666"/>
  </r>
  <r>
    <n v="2"/>
    <n v="6"/>
    <n v="3"/>
    <s v="AJI (RE)"/>
    <x v="69"/>
    <s v="30x35"/>
    <x v="157"/>
    <n v="42"/>
    <n v="0.87250000000000005"/>
    <n v="1.0109999999999999"/>
    <n v="1.0249999999999999"/>
    <n v="1.2549999999999999"/>
  </r>
  <r>
    <n v="2"/>
    <n v="6"/>
    <n v="3"/>
    <s v="LULO (RE)"/>
    <x v="70"/>
    <s v="30X30"/>
    <x v="158"/>
    <n v="32"/>
    <n v="1.6680000000000001"/>
    <n v="1.84"/>
    <n v="1.84"/>
    <n v="1.93"/>
  </r>
  <r>
    <n v="2"/>
    <n v="6"/>
    <n v="4"/>
    <s v="GURRUBO (RE)"/>
    <x v="71"/>
    <s v="20x30"/>
    <x v="159"/>
    <n v="580"/>
    <n v="0.82099999999999995"/>
    <n v="0.88100000000000001"/>
    <n v="0.91230000000000011"/>
    <n v="0.9173"/>
  </r>
  <r>
    <n v="2"/>
    <n v="6"/>
    <n v="5"/>
    <s v="GURRUBO (RE)"/>
    <x v="71"/>
    <s v="20x30"/>
    <x v="160"/>
    <n v="308"/>
    <n v="0.71787500000000004"/>
    <n v="0.76700000000000002"/>
    <n v="0.769625"/>
    <n v="0.76349999999999996"/>
  </r>
  <r>
    <n v="2"/>
    <n v="6"/>
    <n v="5"/>
    <s v="ALCAPARRO DOBLE (RE)"/>
    <x v="53"/>
    <s v="30x35"/>
    <x v="161"/>
    <n v="1"/>
    <n v="1.4960564650638162"/>
    <n v="1.52"/>
    <n v="1.78"/>
    <n v="1.78"/>
  </r>
  <r>
    <n v="2"/>
    <n v="7"/>
    <n v="1"/>
    <s v="GARROCHO (RE)"/>
    <x v="58"/>
    <s v="20x30"/>
    <x v="162"/>
    <n v="256"/>
    <n v="0.56225000000000003"/>
    <n v="0.65600000000000003"/>
    <n v="0.79000000000000015"/>
    <n v="0.98375000000000001"/>
  </r>
  <r>
    <n v="2"/>
    <n v="7"/>
    <n v="2"/>
    <s v="JARILLA (RE)"/>
    <x v="72"/>
    <s v="30X30"/>
    <x v="163"/>
    <n v="642"/>
    <n v="0.6663"/>
    <n v="0.77"/>
    <n v="0.86099999999999999"/>
    <n v="1.2530000000000001"/>
  </r>
  <r>
    <n v="2"/>
    <n v="7"/>
    <n v="3"/>
    <s v="PATA DE INDIO (RE)"/>
    <x v="73"/>
    <s v="20x30"/>
    <x v="164"/>
    <n v="311"/>
    <n v="1.113"/>
    <n v="1.232"/>
    <n v="1.2534000000000003"/>
    <n v="1.3236000000000003"/>
  </r>
  <r>
    <n v="2"/>
    <n v="7"/>
    <n v="3"/>
    <s v="CUCHARO HUESITO (RE)"/>
    <x v="20"/>
    <s v="30X30"/>
    <x v="165"/>
    <n v="5"/>
    <n v="1.089"/>
    <n v="1.1599999999999999"/>
    <n v="1.27"/>
    <n v="1.34"/>
  </r>
  <r>
    <n v="2"/>
    <n v="7"/>
    <n v="3"/>
    <s v="PATA DE INDIO (RE)"/>
    <x v="73"/>
    <s v="30X30"/>
    <x v="166"/>
    <n v="75"/>
    <n v="2.1008452488130183"/>
    <n v="2.3199999999999998"/>
    <n v="2.3199999999999998"/>
    <n v="2.3199999999999998"/>
  </r>
  <r>
    <n v="2"/>
    <n v="7"/>
    <n v="4"/>
    <s v="GUAYABO DEL PERU (RE)"/>
    <x v="74"/>
    <s v="30X30"/>
    <x v="167"/>
    <n v="25"/>
    <n v="1.7649999999999999"/>
    <n v="1.85"/>
    <n v="1.85"/>
    <n v="1.8925000000000001"/>
  </r>
  <r>
    <n v="2"/>
    <n v="7"/>
    <n v="4"/>
    <s v="QUINA (RE)"/>
    <x v="75"/>
    <s v="30X30"/>
    <x v="168"/>
    <n v="92"/>
    <n v="1.1538733374162413"/>
    <n v="1.1539999999999999"/>
    <n v="1.22"/>
    <n v="1.3456666666666666"/>
  </r>
  <r>
    <n v="2"/>
    <n v="7"/>
    <n v="4"/>
    <s v="PINO ROMERON (RE)"/>
    <x v="76"/>
    <s v="30X30"/>
    <x v="169"/>
    <n v="73"/>
    <n v="1.2414085561167836"/>
    <n v="1.2869999999999999"/>
    <n v="1.3466666666666667"/>
    <n v="1.5166666666666666"/>
  </r>
  <r>
    <n v="2"/>
    <n v="7"/>
    <n v="4"/>
    <s v="PINO ROMERON (RE)"/>
    <x v="76"/>
    <s v="30x35"/>
    <x v="170"/>
    <n v="14"/>
    <n v="1.6552114081557117"/>
    <n v="1.655"/>
    <n v="1.655"/>
    <n v="1.655"/>
  </r>
  <r>
    <n v="2"/>
    <n v="7"/>
    <n v="4"/>
    <s v="PINO ROMERON (RE)"/>
    <x v="76"/>
    <s v="30x35"/>
    <x v="171"/>
    <n v="3"/>
    <n v="2.8902537665488195"/>
    <n v="2.89"/>
    <n v="2.89"/>
    <n v="3.13"/>
  </r>
  <r>
    <n v="2"/>
    <n v="7"/>
    <n v="5"/>
    <s v="PEGAMOSCO (RE)"/>
    <x v="51"/>
    <s v="30x35"/>
    <x v="172"/>
    <n v="168"/>
    <n v="0.64939999999999998"/>
    <n v="0.95"/>
    <n v="1.044"/>
    <n v="1.2413000000000001"/>
  </r>
  <r>
    <n v="2"/>
    <n v="7"/>
    <n v="5"/>
    <s v="AMARGOSO (RE)"/>
    <x v="64"/>
    <s v="30x35"/>
    <x v="173"/>
    <n v="279"/>
    <n v="0.86850000000000005"/>
    <n v="1.099"/>
    <n v="1.3274999999999999"/>
    <n v="1.48"/>
  </r>
  <r>
    <n v="2"/>
    <n v="7"/>
    <n v="6"/>
    <s v="TUNO (RE)"/>
    <x v="28"/>
    <s v="25x29"/>
    <x v="174"/>
    <n v="462"/>
    <n v="0.25010000000000004"/>
    <n v="0.28100000000000003"/>
    <n v="0.33809999999999996"/>
    <n v="0.42333333333333334"/>
  </r>
  <r>
    <n v="2"/>
    <n v="7"/>
    <n v="7"/>
    <s v="CERVETANO (RE)"/>
    <x v="10"/>
    <s v="30x35"/>
    <x v="175"/>
    <n v="416"/>
    <n v="1.153"/>
    <n v="1.3819999999999999"/>
    <n v="1.492"/>
    <n v="1.6900000000000002"/>
  </r>
  <r>
    <n v="2"/>
    <n v="7"/>
    <n v="7"/>
    <s v="SIETE CUEROS (RE)"/>
    <x v="77"/>
    <s v="30x35"/>
    <x v="176"/>
    <n v="214"/>
    <n v="0.35274999999999995"/>
    <n v="0.39400000000000002"/>
    <n v="0.49100000000000005"/>
    <n v="0.51749999999999996"/>
  </r>
  <r>
    <n v="2"/>
    <n v="7"/>
    <n v="9"/>
    <s v="CUCHARO BLANCO (RE)"/>
    <x v="78"/>
    <s v="30x35"/>
    <x v="177"/>
    <n v="93"/>
    <n v="0.55200000000000005"/>
    <n v="0.56899999999999995"/>
    <n v="0.625"/>
    <n v="0.73449999999999993"/>
  </r>
  <r>
    <n v="2"/>
    <n v="7"/>
    <n v="9"/>
    <s v="ARRAYAN (RE)"/>
    <x v="43"/>
    <s v="30x35"/>
    <x v="178"/>
    <n v="433"/>
    <n v="0.36350000000000005"/>
    <n v="0.39900000000000002"/>
    <n v="0.45610000000000001"/>
    <n v="0.69410000000000005"/>
  </r>
  <r>
    <n v="2"/>
    <n v="7"/>
    <n v="11"/>
    <s v="ANGELITO (RE)"/>
    <x v="79"/>
    <s v="30x35"/>
    <x v="179"/>
    <n v="200"/>
    <n v="0.45599999999999996"/>
    <n v="0.68"/>
    <n v="0.78"/>
    <n v="0.84"/>
  </r>
  <r>
    <n v="2"/>
    <n v="7"/>
    <n v="11"/>
    <s v="CUCHARO NEGRO (RE)"/>
    <x v="17"/>
    <s v="30x35"/>
    <x v="180"/>
    <n v="222"/>
    <n v="0.20910000000000001"/>
    <n v="0.217"/>
    <n v="0.2238"/>
    <n v="0.33189999999999997"/>
  </r>
  <r>
    <n v="2"/>
    <n v="7"/>
    <n v="12"/>
    <s v="PEPERO (RE)"/>
    <x v="80"/>
    <s v="30X30"/>
    <x v="181"/>
    <n v="31"/>
    <n v="0.51300000000000001"/>
    <n v="0.57999999999999996"/>
    <n v="0.66"/>
    <n v="0.94"/>
  </r>
  <r>
    <n v="2"/>
    <n v="7"/>
    <n v="12"/>
    <s v="GUAYACAN DE MANIZALES (RE)"/>
    <x v="81"/>
    <s v="30x40"/>
    <x v="182"/>
    <n v="170"/>
    <n v="0.73283333333333334"/>
    <n v="0.85799999999999998"/>
    <n v="1.1183333333333334"/>
    <n v="1.385"/>
  </r>
  <r>
    <n v="2"/>
    <n v="7"/>
    <n v="13"/>
    <s v="GAQUE (RE)"/>
    <x v="13"/>
    <s v="25x29"/>
    <x v="183"/>
    <n v="143"/>
    <n v="1.1740000000000002"/>
    <n v="1.5860000000000001"/>
    <n v="1.675"/>
    <n v="1.8816666666666666"/>
  </r>
  <r>
    <n v="2"/>
    <n v="7"/>
    <n v="13"/>
    <s v="GAQUE (RE)"/>
    <x v="13"/>
    <s v="25x29"/>
    <x v="184"/>
    <n v="166"/>
    <n v="1.293625"/>
    <n v="1.448"/>
    <n v="1.5652500000000003"/>
    <n v="1.7349999999999999"/>
  </r>
  <r>
    <n v="2"/>
    <n v="7"/>
    <n v="13"/>
    <s v="GAQUE (RE)"/>
    <x v="13"/>
    <s v="30X30"/>
    <x v="185"/>
    <n v="132"/>
    <n v="1.4613750000000001"/>
    <n v="1.65"/>
    <n v="1.8499999999999999"/>
    <n v="2.0657142857142854"/>
  </r>
  <r>
    <n v="2"/>
    <n v="7"/>
    <n v="13"/>
    <s v="GAQUE (RE)"/>
    <x v="13"/>
    <s v="25x29"/>
    <x v="186"/>
    <n v="224"/>
    <n v="1.3227"/>
    <n v="1.3919999999999999"/>
    <n v="1.6064000000000001"/>
    <n v="1.6654285714285713"/>
  </r>
  <r>
    <n v="2"/>
    <n v="7"/>
    <n v="16"/>
    <s v="ARRAYAN (RE)"/>
    <x v="43"/>
    <s v="30x35"/>
    <x v="187"/>
    <n v="477"/>
    <n v="0.26279999999999998"/>
    <n v="0.29599999999999999"/>
    <n v="0.3342"/>
    <n v="0.55930000000000002"/>
  </r>
  <r>
    <n v="2"/>
    <n v="7"/>
    <n v="16"/>
    <s v="ROBLE (RE)"/>
    <x v="36"/>
    <s v="30x35"/>
    <x v="188"/>
    <n v="135"/>
    <n v="0.3076666666666667"/>
    <n v="0.34200000000000003"/>
    <n v="0.38500000000000001"/>
    <n v="0.57166666666666666"/>
  </r>
  <r>
    <n v="2"/>
    <n v="7"/>
    <n v="17"/>
    <s v="GAQUE (RE)"/>
    <x v="13"/>
    <s v="30X30"/>
    <x v="189"/>
    <n v="126"/>
    <n v="1.68"/>
    <n v="2"/>
    <n v="2.0516666666666667"/>
    <n v="1.9950000000000001"/>
  </r>
  <r>
    <n v="2"/>
    <n v="7"/>
    <n v="17"/>
    <s v="GAQUE (RE)"/>
    <x v="13"/>
    <s v="30X30"/>
    <x v="190"/>
    <n v="42"/>
    <n v="1.3689999999999998"/>
    <n v="1.369"/>
    <n v="1.43"/>
    <n v="1.5449999999999999"/>
  </r>
  <r>
    <n v="2"/>
    <n v="7"/>
    <n v="18"/>
    <s v="PALMA DE CERA (RE)"/>
    <x v="82"/>
    <s v="30x40"/>
    <x v="191"/>
    <n v="73"/>
    <m/>
    <m/>
    <m/>
    <m/>
  </r>
  <r>
    <n v="2"/>
    <n v="7"/>
    <n v="18"/>
    <s v="PALMA GEONOMA (RE)"/>
    <x v="83"/>
    <s v="20x30"/>
    <x v="192"/>
    <n v="91"/>
    <m/>
    <m/>
    <m/>
    <m/>
  </r>
  <r>
    <n v="2"/>
    <n v="8"/>
    <n v="2"/>
    <s v="OCOTEA (RE)"/>
    <x v="84"/>
    <s v="30x40"/>
    <x v="193"/>
    <n v="118"/>
    <n v="1.0044999999999999"/>
    <n v="1.0489999999999999"/>
    <n v="1.1000000000000001"/>
    <n v="1.2749999999999999"/>
  </r>
  <r>
    <n v="2"/>
    <n v="8"/>
    <n v="2"/>
    <s v="OCOTEA (RE)"/>
    <x v="84"/>
    <s v="30X30"/>
    <x v="194"/>
    <n v="47"/>
    <n v="1.1125"/>
    <n v="1.117"/>
    <n v="1.21"/>
    <n v="1.25875"/>
  </r>
  <r>
    <n v="2"/>
    <n v="8"/>
    <n v="3"/>
    <s v="CUCHARO DE PARAMO (RE)"/>
    <x v="41"/>
    <s v="30x35"/>
    <x v="195"/>
    <n v="210"/>
    <n v="0.77024999999999999"/>
    <n v="0.93600000000000005"/>
    <n v="0.94699999999999995"/>
    <n v="1.0353749999999999"/>
  </r>
  <r>
    <n v="2"/>
    <n v="8"/>
    <n v="4"/>
    <s v="CANELO DE PARAMO (RE)"/>
    <x v="40"/>
    <s v="20x30"/>
    <x v="196"/>
    <n v="273"/>
    <n v="0.46766666666666667"/>
    <n v="0.49299999999999999"/>
    <n v="0.60183333333333333"/>
    <n v="0.66016666666666668"/>
  </r>
  <r>
    <n v="2"/>
    <n v="8"/>
    <n v="4"/>
    <s v="CANELO DE PARAMO (RE)"/>
    <x v="40"/>
    <s v="30X30"/>
    <x v="197"/>
    <n v="226"/>
    <n v="0.37212499999999998"/>
    <n v="0.39600000000000002"/>
    <n v="0.43712500000000004"/>
    <n v="0.49524999999999997"/>
  </r>
  <r>
    <n v="2"/>
    <n v="8"/>
    <n v="5"/>
    <s v="LUPINUS (RE)"/>
    <x v="85"/>
    <s v="25x29"/>
    <x v="198"/>
    <n v="67"/>
    <n v="0.73"/>
    <n v="0.85"/>
    <n v="0.85"/>
    <n v="0.85"/>
  </r>
  <r>
    <n v="2"/>
    <n v="8"/>
    <n v="5"/>
    <s v="LUPINUS (RE)"/>
    <x v="85"/>
    <s v="30x35"/>
    <x v="199"/>
    <n v="26"/>
    <n v="1.2909999999999999"/>
    <n v="1.77"/>
    <n v="2.46"/>
    <n v="3.0445000000000002"/>
  </r>
  <r>
    <n v="2"/>
    <n v="8"/>
    <n v="6"/>
    <s v="HAYUELO (RE)"/>
    <x v="3"/>
    <s v="25x29"/>
    <x v="200"/>
    <n v="185"/>
    <n v="0.65033333333333343"/>
    <n v="0.66800000000000004"/>
    <n v="0.79150000000000009"/>
    <n v="0.85716666666666663"/>
  </r>
  <r>
    <n v="2"/>
    <n v="8"/>
    <n v="6"/>
    <s v="CERVETANO (RE)"/>
    <x v="10"/>
    <s v="25x29"/>
    <x v="201"/>
    <n v="215"/>
    <n v="1.1176666666666668"/>
    <n v="1.224"/>
    <n v="1.32"/>
    <n v="1.46"/>
  </r>
  <r>
    <n v="2"/>
    <n v="8"/>
    <n v="6"/>
    <s v="PAPAYUELA (RE)"/>
    <x v="56"/>
    <s v="25x29"/>
    <x v="202"/>
    <n v="132"/>
    <n v="1.9258333333333333"/>
    <n v="2.06"/>
    <n v="2.2466666666666666"/>
    <n v="2.4950000000000006"/>
  </r>
  <r>
    <n v="2"/>
    <n v="8"/>
    <n v="7"/>
    <s v="NOGAL (RE)"/>
    <x v="55"/>
    <s v="30x35"/>
    <x v="203"/>
    <n v="396"/>
    <n v="0.57833333333333337"/>
    <n v="0.70599999999999996"/>
    <n v="0.85000000000000009"/>
    <n v="1.1133333333333333"/>
  </r>
  <r>
    <n v="2"/>
    <n v="8"/>
    <n v="8"/>
    <s v="MORTIÑO (RE)"/>
    <x v="21"/>
    <s v="25x29"/>
    <x v="204"/>
    <n v="256"/>
    <n v="0.50849999999999995"/>
    <n v="0.65849999999999997"/>
    <n v="0.8"/>
    <n v="0.86499999999999999"/>
  </r>
  <r>
    <n v="2"/>
    <n v="8"/>
    <n v="10"/>
    <s v="CEREZO (RE)"/>
    <x v="54"/>
    <s v="30x35"/>
    <x v="205"/>
    <n v="158"/>
    <n v="0.23700000000000002"/>
    <n v="0.28349999999999997"/>
    <n v="0.42749999999999999"/>
    <n v="0.63624999999999998"/>
  </r>
  <r>
    <n v="2"/>
    <n v="8"/>
    <n v="10"/>
    <s v="PINO ROMERON (RE)"/>
    <x v="76"/>
    <s v="30x35"/>
    <x v="206"/>
    <n v="262"/>
    <n v="0.29050000000000004"/>
    <n v="0.34"/>
    <n v="0.42125000000000001"/>
    <n v="0.56999999999999995"/>
  </r>
  <r>
    <n v="2"/>
    <n v="8"/>
    <n v="11"/>
    <s v="TOMATILLO (RE)"/>
    <x v="86"/>
    <s v="30x35"/>
    <x v="207"/>
    <n v="239"/>
    <n v="1.0142500000000001"/>
    <n v="1.0840000000000001"/>
    <n v="1.2013333333333334"/>
    <n v="1.44"/>
  </r>
  <r>
    <n v="2"/>
    <n v="8"/>
    <n v="11"/>
    <s v="TOMATILLO (RE)"/>
    <x v="86"/>
    <s v="20x30"/>
    <x v="208"/>
    <n v="31"/>
    <n v="0.77300000000000002"/>
    <n v="1.71"/>
    <n v="1.71"/>
    <n v="1.71"/>
  </r>
  <r>
    <n v="2"/>
    <n v="8"/>
    <n v="11"/>
    <s v="TOMATILLO (RE)"/>
    <x v="86"/>
    <s v="30X30"/>
    <x v="209"/>
    <n v="54"/>
    <n v="0.63100000000000001"/>
    <n v="0.64500000000000002"/>
    <n v="0.65"/>
    <n v="0.65949999999999998"/>
  </r>
  <r>
    <n v="2"/>
    <n v="8"/>
    <n v="11"/>
    <s v="TOMATILLO (RE)"/>
    <x v="86"/>
    <s v="20x30"/>
    <x v="210"/>
    <n v="14"/>
    <n v="1.538"/>
    <n v="1.538"/>
    <n v="1.77"/>
    <n v="1.8860000000000001"/>
  </r>
  <r>
    <n v="2"/>
    <n v="8"/>
    <n v="13"/>
    <s v="CUCHARO DE PARAMO (RE)"/>
    <x v="41"/>
    <s v="30x35"/>
    <x v="211"/>
    <n v="224"/>
    <n v="1.02"/>
    <n v="1.204"/>
    <n v="1.2833333333333332"/>
    <n v="1.65"/>
  </r>
  <r>
    <n v="2"/>
    <n v="8"/>
    <n v="13"/>
    <s v="CHILCO (RE)"/>
    <x v="42"/>
    <s v="30x35"/>
    <x v="212"/>
    <n v="106"/>
    <n v="1.2829999999999999"/>
    <n v="1.363"/>
    <n v="1.6475"/>
    <n v="1.7100000000000002"/>
  </r>
  <r>
    <n v="2"/>
    <n v="8"/>
    <n v="14"/>
    <s v="CARISECO (RE)"/>
    <x v="87"/>
    <s v="30x35"/>
    <x v="213"/>
    <n v="420"/>
    <n v="0.48399999999999999"/>
    <n v="0.54300000000000004"/>
    <n v="0.62600000000000011"/>
    <n v="0.75777777777777777"/>
  </r>
  <r>
    <n v="2"/>
    <n v="8"/>
    <n v="15"/>
    <s v="GURRUBO (RE)"/>
    <x v="71"/>
    <s v="25x29"/>
    <x v="214"/>
    <n v="390"/>
    <n v="0.7770999999999999"/>
    <n v="0.84599999999999997"/>
    <n v="0.91720000000000002"/>
    <n v="0.91833333333333345"/>
  </r>
  <r>
    <n v="2"/>
    <n v="8"/>
    <n v="15"/>
    <s v="GURRUBO (RE)"/>
    <x v="71"/>
    <s v="30x35"/>
    <x v="215"/>
    <n v="8"/>
    <n v="0.75700000000000001"/>
    <n v="1.2"/>
    <n v="1.2"/>
    <n v="1.4215"/>
  </r>
  <r>
    <n v="2"/>
    <n v="8"/>
    <n v="15"/>
    <s v="GURRUBO (RE)"/>
    <x v="71"/>
    <s v="25x29"/>
    <x v="216"/>
    <n v="9"/>
    <n v="0.54700000000000004"/>
    <n v="0.61"/>
    <n v="0.95"/>
    <n v="1.1515"/>
  </r>
  <r>
    <n v="2"/>
    <n v="8"/>
    <n v="15"/>
    <s v="GURRUBO (RE)"/>
    <x v="71"/>
    <s v="25x29"/>
    <x v="217"/>
    <n v="7"/>
    <n v="0.55700000000000005"/>
    <n v="0.67"/>
    <n v="0.97"/>
    <n v="1.1764999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8">
  <r>
    <n v="2"/>
    <n v="6"/>
    <n v="2"/>
    <s v="DURAZNILLO (RE)"/>
    <x v="0"/>
    <s v="30x35"/>
    <n v="50771"/>
    <n v="9"/>
    <n v="0.68700000000000006"/>
    <n v="1.17"/>
    <n v="1.27"/>
    <n v="1.3"/>
    <n v="0.20433333333333334"/>
    <n v="0.61299999999999999"/>
    <n v="10.333333333333334"/>
    <n v="31"/>
  </r>
  <r>
    <n v="2"/>
    <n v="2"/>
    <n v="4"/>
    <s v="TABAQUILLO (RE)"/>
    <x v="1"/>
    <s v="30x35"/>
    <n v="50754"/>
    <n v="205"/>
    <n v="1.6616000000000004"/>
    <n v="1.6890000000000001"/>
    <n v="1.7284999999999999"/>
    <n v="2.0785"/>
    <n v="0.13896666666666654"/>
    <n v="0.4168999999999996"/>
    <n v="11.699999999999998"/>
    <n v="35.099999999999994"/>
  </r>
  <r>
    <n v="2"/>
    <n v="2"/>
    <n v="4"/>
    <s v="TABAQUILLO (RE)"/>
    <x v="1"/>
    <s v="20x30"/>
    <n v="50820"/>
    <n v="9"/>
    <n v="1.623"/>
    <n v="1.6259999999999999"/>
    <n v="1.6259999999999999"/>
    <n v="1.6259999999999999"/>
    <n v="9.9999999999996381E-4"/>
    <n v="2.9999999999998916E-3"/>
    <n v="0"/>
    <n v="0"/>
  </r>
  <r>
    <n v="2"/>
    <n v="4"/>
    <n v="15"/>
    <s v="PEGAMOSCO (RE)"/>
    <x v="2"/>
    <s v="30X30"/>
    <n v="50707"/>
    <n v="30"/>
    <n v="0.68099999999999994"/>
    <n v="0.85"/>
    <n v="0.85"/>
    <n v="0.86"/>
    <n v="5.966666666666668E-2"/>
    <n v="0.17900000000000005"/>
    <n v="6.333333333333333"/>
    <n v="19"/>
  </r>
  <r>
    <n v="2"/>
    <n v="7"/>
    <n v="5"/>
    <s v="PEGAMOSCO (RE)"/>
    <x v="2"/>
    <s v="30x35"/>
    <n v="50863"/>
    <n v="168"/>
    <n v="0.64939999999999998"/>
    <n v="0.95"/>
    <n v="1.044"/>
    <n v="1.2413000000000001"/>
    <n v="0.19730000000000003"/>
    <n v="0.59190000000000009"/>
    <n v="15.670000000000002"/>
    <n v="47.010000000000005"/>
  </r>
  <r>
    <n v="2"/>
    <n v="5"/>
    <n v="9"/>
    <s v="AMARGOSO (RE)"/>
    <x v="3"/>
    <s v="25x29"/>
    <n v="50798"/>
    <n v="182"/>
    <n v="0.73499999999999999"/>
    <n v="0.80200000000000005"/>
    <n v="0.8666666666666667"/>
    <n v="0.95666666666666667"/>
    <n v="7.3888888888888893E-2"/>
    <n v="0.22166666666666668"/>
    <n v="8.8333333333333339"/>
    <n v="26.5"/>
  </r>
  <r>
    <n v="2"/>
    <n v="5"/>
    <n v="9"/>
    <s v="AMARGOSO (RE)"/>
    <x v="3"/>
    <s v="25x29"/>
    <n v="50856"/>
    <n v="162"/>
    <n v="0.66166666666666663"/>
    <n v="0.72699999999999998"/>
    <n v="0.77833333333333343"/>
    <n v="0.89"/>
    <n v="7.6111111111111129E-2"/>
    <n v="0.22833333333333339"/>
    <n v="10.790000000000001"/>
    <n v="32.370000000000005"/>
  </r>
  <r>
    <n v="2"/>
    <n v="5"/>
    <n v="9"/>
    <s v="AMARGOSO (RE)"/>
    <x v="3"/>
    <s v="20x30"/>
    <n v="50698"/>
    <n v="87"/>
    <n v="0.67799999999999994"/>
    <n v="0.74399999999999999"/>
    <n v="0.75000000000000011"/>
    <n v="0.95499999999999996"/>
    <n v="9.2333333333333337E-2"/>
    <n v="0.27700000000000002"/>
    <n v="2.25"/>
    <n v="6.75"/>
  </r>
  <r>
    <n v="2"/>
    <n v="7"/>
    <n v="5"/>
    <s v="AMARGOSO (RE)"/>
    <x v="3"/>
    <s v="30x35"/>
    <n v="50864"/>
    <n v="279"/>
    <n v="0.86850000000000005"/>
    <n v="1.099"/>
    <n v="1.3274999999999999"/>
    <n v="1.48"/>
    <n v="0.20383333333333331"/>
    <n v="0.61149999999999993"/>
    <n v="23.426666666666666"/>
    <n v="70.28"/>
  </r>
  <r>
    <n v="2"/>
    <n v="4"/>
    <n v="14"/>
    <s v="BLANQUILLO (RE)"/>
    <x v="4"/>
    <s v="25x29"/>
    <n v="50809"/>
    <n v="664"/>
    <n v="1.0900000000000001"/>
    <n v="1.508"/>
    <n v="1.5280000000000002"/>
    <n v="1.627"/>
    <n v="0.17899999999999996"/>
    <n v="0.53699999999999992"/>
    <n v="6.9200000000000017"/>
    <n v="20.760000000000005"/>
  </r>
  <r>
    <n v="2"/>
    <n v="4"/>
    <n v="15"/>
    <s v="BLANQUILLO (RE)"/>
    <x v="4"/>
    <s v="25x29"/>
    <n v="50711"/>
    <n v="100"/>
    <n v="1.1299999999999999"/>
    <n v="1.4"/>
    <n v="1.3999999999999997"/>
    <n v="1.5349999999999997"/>
    <n v="0.13499999999999993"/>
    <n v="0.4049999999999998"/>
    <n v="2.2333333333333343"/>
    <n v="6.7000000000000028"/>
  </r>
  <r>
    <n v="2"/>
    <n v="4"/>
    <n v="15"/>
    <s v="BLANQUILLO (RE)"/>
    <x v="4"/>
    <s v="20x30"/>
    <n v="50701"/>
    <n v="70"/>
    <n v="0.35666666666666663"/>
    <n v="0.40200000000000002"/>
    <n v="0.43666666666666659"/>
    <n v="0.75666666666666649"/>
    <n v="0.13333333333333328"/>
    <n v="0.39999999999999986"/>
    <n v="3.1"/>
    <n v="9.3000000000000007"/>
  </r>
  <r>
    <n v="2"/>
    <n v="4"/>
    <n v="16"/>
    <s v="BLANQUILLO (RE)"/>
    <x v="4"/>
    <s v="25x29"/>
    <n v="50866"/>
    <n v="86"/>
    <n v="0.78675000000000006"/>
    <n v="0.997"/>
    <n v="1.075"/>
    <n v="1.35"/>
    <n v="0.18775"/>
    <n v="0.56325000000000003"/>
    <n v="9.2333333333333343"/>
    <n v="27.700000000000003"/>
  </r>
  <r>
    <n v="2"/>
    <n v="1"/>
    <n v="8"/>
    <s v="ALISO (RE)"/>
    <x v="5"/>
    <s v="25x29"/>
    <n v="50794"/>
    <n v="392"/>
    <n v="1.4770999999999999"/>
    <n v="1.5189999999999999"/>
    <n v="1.5718333333333334"/>
    <n v="1.6434999999999997"/>
    <n v="5.5466666666666629E-2"/>
    <n v="0.16639999999999988"/>
    <n v="8.1066666666666638"/>
    <n v="24.319999999999993"/>
  </r>
  <r>
    <n v="2"/>
    <n v="5"/>
    <n v="4"/>
    <s v="ALISO (RE)"/>
    <x v="5"/>
    <s v="25x29"/>
    <n v="50806"/>
    <n v="284"/>
    <n v="1.222"/>
    <n v="1.361"/>
    <n v="1.468"/>
    <n v="1.5055555555555555"/>
    <n v="9.4518518518518516E-2"/>
    <n v="0.28355555555555556"/>
    <n v="5.390000000000005"/>
    <n v="16.170000000000016"/>
  </r>
  <r>
    <n v="2"/>
    <n v="5"/>
    <n v="4"/>
    <s v="ALISO (RE)"/>
    <x v="5"/>
    <s v="20x30"/>
    <n v="50829"/>
    <n v="418"/>
    <n v="1.0630000000000002"/>
    <n v="1.157"/>
    <n v="1.2622222222222221"/>
    <n v="1.3166666666666669"/>
    <n v="8.4555555555555564E-2"/>
    <n v="0.25366666666666671"/>
    <n v="7.3233333333333333"/>
    <n v="21.97"/>
  </r>
  <r>
    <n v="2"/>
    <n v="4"/>
    <n v="15"/>
    <s v="CIRO (RE)"/>
    <x v="6"/>
    <s v="25x29"/>
    <n v="50815"/>
    <n v="81"/>
    <n v="1.3643333333333334"/>
    <n v="1.6830000000000001"/>
    <n v="1.6833333333333333"/>
    <n v="1.89"/>
    <n v="0.17522222222222217"/>
    <n v="0.5256666666666665"/>
    <n v="5.3766666666666749"/>
    <n v="16.130000000000024"/>
  </r>
  <r>
    <n v="2"/>
    <n v="4"/>
    <n v="9"/>
    <s v="CHILCO (RE)"/>
    <x v="7"/>
    <s v="20x30"/>
    <n v="50830"/>
    <n v="329"/>
    <n v="0.82169999999999987"/>
    <n v="0.96599999999999997"/>
    <n v="0.96599999999999997"/>
    <n v="0.98111111111111116"/>
    <n v="5.3137037037037094E-2"/>
    <n v="0.15941111111111128"/>
    <n v="8.0400000000000009"/>
    <n v="24.120000000000005"/>
  </r>
  <r>
    <n v="2"/>
    <n v="4"/>
    <n v="9"/>
    <s v="CHILCO (RE)"/>
    <x v="7"/>
    <s v="30x35"/>
    <n v="50757"/>
    <n v="10"/>
    <n v="0.57300000000000006"/>
    <n v="0.66"/>
    <n v="0.66"/>
    <n v="0.73"/>
    <n v="5.2333333333333308E-2"/>
    <n v="0.15699999999999992"/>
    <n v="5.333333333333333"/>
    <n v="16"/>
  </r>
  <r>
    <n v="2"/>
    <n v="8"/>
    <n v="13"/>
    <s v="CHILCO (RE)"/>
    <x v="7"/>
    <s v="30x35"/>
    <n v="50857"/>
    <n v="106"/>
    <n v="1.2829999999999999"/>
    <n v="1.363"/>
    <n v="1.6475"/>
    <n v="1.7100000000000002"/>
    <n v="0.14233333333333342"/>
    <n v="0.42700000000000027"/>
    <n v="12.833333333333334"/>
    <n v="38.5"/>
  </r>
  <r>
    <n v="2"/>
    <n v="7"/>
    <n v="2"/>
    <s v="JARILLA (RE)"/>
    <x v="8"/>
    <s v="30X30"/>
    <n v="50853"/>
    <n v="642"/>
    <n v="0.6663"/>
    <n v="0.77"/>
    <n v="0.86099999999999999"/>
    <n v="1.2530000000000001"/>
    <n v="0.19556666666666669"/>
    <n v="0.58670000000000011"/>
    <n v="6.8666666666666645"/>
    <n v="20.599999999999994"/>
  </r>
  <r>
    <n v="2"/>
    <n v="4"/>
    <n v="15"/>
    <s v="ESPINO BERNADESIA (RE)"/>
    <x v="9"/>
    <s v="30X30"/>
    <n v="50840"/>
    <n v="1"/>
    <n v="0.28500000000000003"/>
    <n v="0.44"/>
    <n v="0.44"/>
    <n v="0.45"/>
    <n v="5.4999999999999993E-2"/>
    <n v="0.16499999999999998"/>
    <n v="5.833333333333333"/>
    <n v="17.5"/>
  </r>
  <r>
    <n v="2"/>
    <n v="1"/>
    <n v="15"/>
    <s v="BERBERIS (RE)"/>
    <x v="10"/>
    <s v="30X30"/>
    <n v="50594"/>
    <n v="154"/>
    <n v="1.512"/>
    <n v="1.512"/>
    <n v="1.512"/>
    <n v="1.512"/>
    <n v="0"/>
    <n v="0"/>
    <n v="2.3333333333333335"/>
    <n v="7"/>
  </r>
  <r>
    <n v="2"/>
    <n v="4"/>
    <n v="5"/>
    <s v="BERBERIS (RE)"/>
    <x v="10"/>
    <s v="25x29"/>
    <n v="50712"/>
    <n v="621"/>
    <n v="0.7347999999999999"/>
    <n v="1.04"/>
    <n v="1.0396000000000001"/>
    <n v="1.0958000000000001"/>
    <n v="0.1203333333333334"/>
    <n v="0.36100000000000021"/>
    <n v="2.4000000000000008"/>
    <n v="7.2000000000000028"/>
  </r>
  <r>
    <n v="2"/>
    <n v="5"/>
    <n v="2"/>
    <s v="BERBERIS (RE)"/>
    <x v="10"/>
    <s v="20x30"/>
    <n v="50664"/>
    <n v="125"/>
    <n v="0.6166666666666667"/>
    <n v="0.754"/>
    <n v="0.89100000000000001"/>
    <n v="1.0281666666666667"/>
    <n v="0.13716666666666666"/>
    <n v="0.41149999999999998"/>
    <n v="3.4566666666666683"/>
    <n v="10.370000000000005"/>
  </r>
  <r>
    <n v="2"/>
    <n v="8"/>
    <n v="14"/>
    <s v="CARISECO (RE)"/>
    <x v="11"/>
    <s v="30x35"/>
    <n v="50876"/>
    <n v="420"/>
    <n v="0.48399999999999999"/>
    <n v="0.54300000000000004"/>
    <n v="0.62600000000000011"/>
    <n v="0.75777777777777777"/>
    <n v="9.1259259259259262E-2"/>
    <n v="0.27377777777777779"/>
    <n v="2.6400000000000006"/>
    <n v="7.9200000000000017"/>
  </r>
  <r>
    <n v="2"/>
    <n v="2"/>
    <n v="13"/>
    <s v="BOMAREAS (RE)"/>
    <x v="12"/>
    <s v="30x35"/>
    <n v="50748"/>
    <n v="296"/>
    <n v="0.41999999999999993"/>
    <n v="0.51"/>
    <n v="0.54300000000000004"/>
    <n v="0.58925000000000005"/>
    <n v="5.6416666666666705E-2"/>
    <n v="0.16925000000000012"/>
    <n v="6.8766666666666652"/>
    <n v="20.629999999999995"/>
  </r>
  <r>
    <n v="2"/>
    <n v="1"/>
    <n v="12"/>
    <s v="DIVIDIVI (RE)"/>
    <x v="13"/>
    <s v="30x35"/>
    <s v="50262_01_12"/>
    <n v="472"/>
    <n v="1.6202999999999999"/>
    <n v="1.6379999999999999"/>
    <n v="1.6381000000000001"/>
    <n v="1.6477999999999997"/>
    <n v="9.1666666666666199E-3"/>
    <n v="2.7499999999999858E-2"/>
    <n v="5.5333333333333314"/>
    <n v="16.599999999999994"/>
  </r>
  <r>
    <n v="2"/>
    <n v="1"/>
    <n v="18"/>
    <s v="DIVIDIVI (RE)"/>
    <x v="13"/>
    <s v="30x35"/>
    <s v="50262_01_18"/>
    <n v="81"/>
    <n v="1.7667999999999999"/>
    <n v="1.7669999999999999"/>
    <n v="1.7672000000000001"/>
    <n v="1.7925"/>
    <n v="8.566666666666686E-3"/>
    <n v="2.5700000000000056E-2"/>
    <n v="7"/>
    <n v="21"/>
  </r>
  <r>
    <n v="2"/>
    <n v="1"/>
    <n v="18"/>
    <s v="DIVIDIVI (RE)"/>
    <x v="13"/>
    <s v="30X30"/>
    <n v="50542"/>
    <n v="109"/>
    <n v="1.4095714285714285"/>
    <n v="1.41"/>
    <n v="1.5447142857142857"/>
    <n v="1.6914285714285715"/>
    <n v="9.3952380952381009E-2"/>
    <n v="0.28185714285714303"/>
    <n v="5.4366666666666674"/>
    <n v="16.310000000000002"/>
  </r>
  <r>
    <n v="2"/>
    <n v="6"/>
    <n v="3"/>
    <s v="AJI (RE)"/>
    <x v="14"/>
    <s v="30X30"/>
    <n v="50601"/>
    <n v="146"/>
    <n v="0.91116666666666657"/>
    <n v="1.1259999999999999"/>
    <n v="1.1483333333333332"/>
    <n v="1.1716666666666666"/>
    <n v="8.683333333333336E-2"/>
    <n v="0.26050000000000006"/>
    <n v="0.73999999999999966"/>
    <n v="2.2199999999999989"/>
  </r>
  <r>
    <n v="2"/>
    <n v="6"/>
    <n v="3"/>
    <s v="AJI (RE)"/>
    <x v="14"/>
    <s v="30x35"/>
    <n v="50525"/>
    <n v="42"/>
    <n v="0.87250000000000005"/>
    <n v="1.0109999999999999"/>
    <n v="1.0249999999999999"/>
    <n v="1.2549999999999999"/>
    <n v="0.12749999999999995"/>
    <n v="0.38249999999999984"/>
    <n v="0.33333333333333331"/>
    <n v="1"/>
  </r>
  <r>
    <n v="2"/>
    <n v="4"/>
    <n v="2"/>
    <s v="CEDRO (RE)"/>
    <x v="15"/>
    <s v="30x35"/>
    <n v="50767"/>
    <n v="145"/>
    <n v="0.97699999999999998"/>
    <n v="1.5029999999999999"/>
    <n v="1.5029999999999999"/>
    <n v="1.81"/>
    <n v="0.27766666666666667"/>
    <n v="0.83300000000000007"/>
    <n v="1.5"/>
    <n v="4.5"/>
  </r>
  <r>
    <n v="2"/>
    <n v="7"/>
    <n v="18"/>
    <s v="PALMA DE CERA (RE)"/>
    <x v="16"/>
    <s v="30x40"/>
    <n v="50206"/>
    <n v="73"/>
    <m/>
    <m/>
    <m/>
    <m/>
    <n v="0"/>
    <n v="0"/>
    <n v="10.816666666666668"/>
    <n v="32.450000000000003"/>
  </r>
  <r>
    <n v="2"/>
    <n v="3"/>
    <n v="18"/>
    <s v="CESTRUM BUXIFOLIUM (RE)"/>
    <x v="17"/>
    <s v="30x35"/>
    <n v="50858"/>
    <n v="98"/>
    <n v="0.17033333333333331"/>
    <n v="0.192"/>
    <n v="0.20733333333333334"/>
    <n v="0.29666666666666669"/>
    <n v="4.2111111111111127E-2"/>
    <n v="0.12633333333333338"/>
    <n v="1.543333333333333"/>
    <n v="4.629999999999999"/>
  </r>
  <r>
    <n v="2"/>
    <n v="3"/>
    <n v="18"/>
    <s v="CESTRUM BUXIFOLIUM (RE)"/>
    <x v="17"/>
    <s v="15x25"/>
    <n v="50535"/>
    <n v="24"/>
    <n v="0.185"/>
    <n v="0.22"/>
    <n v="0.23"/>
    <n v="0.23"/>
    <n v="1.5000000000000005E-2"/>
    <n v="4.5000000000000012E-2"/>
    <n v="2.6666666666666665"/>
    <n v="8"/>
  </r>
  <r>
    <n v="2"/>
    <n v="3"/>
    <n v="18"/>
    <s v="CESTRUM (RE)"/>
    <x v="18"/>
    <s v="30x35"/>
    <n v="50758"/>
    <n v="246"/>
    <n v="1.1469"/>
    <n v="1.198"/>
    <n v="1.2425000000000002"/>
    <n v="1.2885714285714287"/>
    <n v="4.7223809523809557E-2"/>
    <n v="0.14167142857142867"/>
    <n v="3.7366666666666646"/>
    <n v="11.209999999999994"/>
  </r>
  <r>
    <n v="2"/>
    <n v="3"/>
    <n v="18"/>
    <s v="CESTRUM (RE)"/>
    <x v="18"/>
    <s v="30x35"/>
    <n v="50812"/>
    <n v="29"/>
    <n v="0.64500000000000002"/>
    <n v="0.68700000000000006"/>
    <n v="0.72"/>
    <n v="0.96"/>
    <n v="0.10499999999999998"/>
    <n v="0.31499999999999995"/>
    <n v="4.166666666666667"/>
    <n v="12.5"/>
  </r>
  <r>
    <n v="2"/>
    <n v="3"/>
    <n v="19"/>
    <s v="CESTRUM (RE)"/>
    <x v="18"/>
    <s v="30X30"/>
    <n v="50688"/>
    <n v="113"/>
    <n v="1.1200000000000001"/>
    <n v="1.24"/>
    <n v="1.4066250000000002"/>
    <n v="1.4497499999999999"/>
    <n v="0.10991666666666659"/>
    <n v="0.32974999999999977"/>
    <n v="1.3833333333333353"/>
    <n v="4.1500000000000057"/>
  </r>
  <r>
    <n v="2"/>
    <n v="3"/>
    <n v="19"/>
    <s v="CESTRUM (RE)"/>
    <x v="18"/>
    <s v="20x30"/>
    <n v="50146"/>
    <n v="9"/>
    <n v="1.3049999999999999"/>
    <n v="1.325"/>
    <n v="1.34"/>
    <n v="1.86"/>
    <n v="0.18500000000000005"/>
    <n v="0.55500000000000016"/>
    <n v="0.33333333333333331"/>
    <n v="1"/>
  </r>
  <r>
    <n v="2"/>
    <n v="1"/>
    <n v="17"/>
    <s v="CAJETO (RE)"/>
    <x v="19"/>
    <s v="30X30"/>
    <n v="50467"/>
    <n v="426"/>
    <n v="1.4354000000000002"/>
    <n v="1.446"/>
    <n v="1.4458000000000002"/>
    <n v="1.4611000000000003"/>
    <n v="8.566666666666686E-3"/>
    <n v="2.5700000000000056E-2"/>
    <n v="1.7333333333333296"/>
    <n v="5.1999999999999886"/>
  </r>
  <r>
    <n v="2"/>
    <n v="2"/>
    <n v="13"/>
    <s v="CAJETO (RE)"/>
    <x v="19"/>
    <s v="30x35"/>
    <s v="50749_02_13"/>
    <n v="200"/>
    <n v="1.4363733614043555"/>
    <n v="1.512"/>
    <n v="1.5142500000000001"/>
    <n v="1.6071249999999999"/>
    <n v="5.6917212865214818E-2"/>
    <n v="0.17075163859564446"/>
    <n v="3.8799999999999955"/>
    <n v="11.639999999999986"/>
  </r>
  <r>
    <n v="2"/>
    <n v="3"/>
    <n v="17"/>
    <s v="CAJETO (RE)"/>
    <x v="19"/>
    <s v="30x35"/>
    <n v="50733"/>
    <n v="114"/>
    <n v="1.0820000000000001"/>
    <n v="1.1060000000000001"/>
    <n v="1.44"/>
    <n v="1.45"/>
    <n v="0.12266666666666663"/>
    <n v="0.36799999999999988"/>
    <n v="4.5"/>
    <n v="13.5"/>
  </r>
  <r>
    <n v="2"/>
    <n v="3"/>
    <n v="17"/>
    <s v="CAJETO (RE)"/>
    <x v="19"/>
    <s v="20x30"/>
    <n v="50636"/>
    <n v="36"/>
    <n v="1.34"/>
    <n v="1.369"/>
    <n v="1.369"/>
    <n v="1.38"/>
    <n v="1.3333333333333272E-2"/>
    <n v="3.9999999999999813E-2"/>
    <n v="3.6666666666666665"/>
    <n v="11"/>
  </r>
  <r>
    <n v="2"/>
    <n v="3"/>
    <n v="17"/>
    <s v="CAJETO (RE)"/>
    <x v="19"/>
    <s v="20x30"/>
    <n v="50626"/>
    <n v="8"/>
    <n v="1.1779999999999999"/>
    <n v="1.34"/>
    <n v="1.34"/>
    <n v="1.45"/>
    <n v="9.0666666666666673E-2"/>
    <n v="0.27200000000000002"/>
    <n v="3.3333333333333335"/>
    <n v="10"/>
  </r>
  <r>
    <n v="2"/>
    <n v="3"/>
    <n v="17"/>
    <s v="CAJETO (RE)"/>
    <x v="19"/>
    <s v="30X30"/>
    <n v="50595"/>
    <n v="45"/>
    <n v="1.7389999999999999"/>
    <n v="1.77"/>
    <n v="1.7696666666666665"/>
    <n v="1.843333333333333"/>
    <n v="3.477777777777772E-2"/>
    <n v="0.10433333333333317"/>
    <n v="14.810000000000002"/>
    <n v="44.430000000000007"/>
  </r>
  <r>
    <n v="2"/>
    <n v="3"/>
    <n v="17"/>
    <s v="CAJETO (RE)"/>
    <x v="19"/>
    <s v="20x30"/>
    <n v="50818"/>
    <n v="67"/>
    <n v="1.1459999999999999"/>
    <n v="1.1459999999999999"/>
    <n v="1.1459999999999999"/>
    <n v="1.1766666666666667"/>
    <n v="1.022222222222228E-2"/>
    <n v="3.0666666666666842E-2"/>
    <n v="8.2766666666666655"/>
    <n v="24.83"/>
  </r>
  <r>
    <n v="2"/>
    <n v="3"/>
    <n v="17"/>
    <s v="CAJETO (RE)"/>
    <x v="19"/>
    <s v="25x29"/>
    <s v="50810_03_17"/>
    <n v="127"/>
    <n v="1.941875"/>
    <n v="1.96"/>
    <n v="1.9616250000000002"/>
    <n v="2.0157142857142856"/>
    <n v="2.4613095238095184E-2"/>
    <n v="7.3839285714285552E-2"/>
    <n v="3.1299999999999955"/>
    <n v="9.3899999999999864"/>
  </r>
  <r>
    <n v="2"/>
    <n v="3"/>
    <n v="17"/>
    <s v="CAJETO (RE)"/>
    <x v="19"/>
    <s v="30x35"/>
    <s v="50749_03_17"/>
    <n v="29"/>
    <n v="1.4319999999999999"/>
    <n v="1.47"/>
    <n v="1.47"/>
    <n v="1.62"/>
    <n v="6.2666666666666718E-2"/>
    <n v="0.18800000000000017"/>
    <n v="10"/>
    <n v="30"/>
  </r>
  <r>
    <n v="2"/>
    <n v="4"/>
    <n v="3"/>
    <s v="CAJETO (RE)"/>
    <x v="19"/>
    <s v="25x29"/>
    <s v="50810_04_03"/>
    <n v="482"/>
    <n v="1.5946"/>
    <n v="1.6639999999999999"/>
    <n v="1.7076999999999998"/>
    <n v="1.7932222222222221"/>
    <n v="6.620740740740734E-2"/>
    <n v="0.19862222222222203"/>
    <n v="8.9566666666666581"/>
    <n v="26.869999999999976"/>
  </r>
  <r>
    <n v="2"/>
    <n v="4"/>
    <n v="4"/>
    <s v="CAJETO (RE)"/>
    <x v="19"/>
    <s v="25x29"/>
    <n v="50860"/>
    <n v="214"/>
    <n v="0.70377777777777772"/>
    <n v="0.72499999999999998"/>
    <n v="0.85899999999999999"/>
    <n v="1.12375"/>
    <n v="0.13999074074074078"/>
    <n v="0.4199722222222223"/>
    <n v="18.203333333333333"/>
    <n v="54.61"/>
  </r>
  <r>
    <n v="2"/>
    <n v="2"/>
    <n v="5"/>
    <s v="CAJETO (RE)"/>
    <x v="20"/>
    <s v="25x29"/>
    <n v="50764"/>
    <n v="175"/>
    <n v="1.3495999999999999"/>
    <n v="1.36"/>
    <n v="1.4397777777777778"/>
    <n v="1.4845555555555556"/>
    <n v="4.4985185185185239E-2"/>
    <n v="0.13495555555555572"/>
    <n v="8.329999999999993"/>
    <n v="24.989999999999981"/>
  </r>
  <r>
    <n v="2"/>
    <n v="3"/>
    <n v="17"/>
    <s v="CAJETO (RE)"/>
    <x v="20"/>
    <s v="30x35"/>
    <n v="50747"/>
    <n v="1"/>
    <n v="1.5920000000000001"/>
    <n v="1.5920000000000001"/>
    <n v="1.5920000000000001"/>
    <n v="1.6"/>
    <n v="2.6666666666666692E-3"/>
    <n v="8.0000000000000071E-3"/>
    <n v="1.6666666666666667"/>
    <n v="5"/>
  </r>
  <r>
    <n v="2"/>
    <n v="1"/>
    <n v="5"/>
    <s v="CAJETO DE PARAMO (RE)"/>
    <x v="21"/>
    <s v="30X30"/>
    <s v="50616_01_05"/>
    <n v="468"/>
    <n v="1.3497000000000001"/>
    <n v="1.3819999999999999"/>
    <n v="1.4238000000000002"/>
    <n v="1.4248000000000001"/>
    <n v="2.5033333333333314E-2"/>
    <n v="7.5099999999999945E-2"/>
    <n v="0.58333333333333337"/>
    <n v="1.75"/>
  </r>
  <r>
    <n v="2"/>
    <n v="1"/>
    <n v="13"/>
    <s v="CAJETO DE PARAMO (RE)"/>
    <x v="21"/>
    <s v="30x40"/>
    <n v="50267"/>
    <n v="442"/>
    <n v="1.2444000000000002"/>
    <n v="1.272"/>
    <n v="1.2721"/>
    <n v="1.3479000000000001"/>
    <n v="3.4499999999999975E-2"/>
    <n v="0.10349999999999993"/>
    <n v="5.083333333333333"/>
    <n v="15.25"/>
  </r>
  <r>
    <n v="2"/>
    <n v="1"/>
    <n v="13"/>
    <s v="CAJETO DE PARAMO (RE)"/>
    <x v="21"/>
    <s v="30X30"/>
    <n v="50462"/>
    <n v="206"/>
    <n v="1.4853333333333332"/>
    <n v="1.4850000000000001"/>
    <n v="1.4853333333333332"/>
    <n v="1.5066666666666668"/>
    <n v="7.1111111111112164E-3"/>
    <n v="2.1333333333333648E-2"/>
    <n v="3.5100000000000002"/>
    <n v="10.530000000000001"/>
  </r>
  <r>
    <n v="2"/>
    <n v="1"/>
    <n v="13"/>
    <s v="CAJETO DE PARAMO (RE)"/>
    <x v="21"/>
    <s v="30X30"/>
    <s v="50616_01_13"/>
    <n v="21"/>
    <n v="1.1775000000000002"/>
    <n v="1.1779999999999999"/>
    <n v="1.1775000000000002"/>
    <n v="1.1775000000000002"/>
    <n v="0"/>
    <n v="0"/>
    <n v="6.416666666666667"/>
    <n v="19.25"/>
  </r>
  <r>
    <n v="2"/>
    <n v="1"/>
    <n v="13"/>
    <s v="CAJETO DE PARAMO (RE)"/>
    <x v="21"/>
    <s v="25x29"/>
    <n v="50184"/>
    <n v="39"/>
    <n v="0.98699999999999988"/>
    <n v="0.98699999999999999"/>
    <n v="0.98699999999999988"/>
    <n v="1.0774999999999999"/>
    <n v="3.0166666666666675E-2"/>
    <n v="9.0500000000000025E-2"/>
    <n v="0"/>
    <n v="0"/>
  </r>
  <r>
    <n v="2"/>
    <n v="1"/>
    <n v="13"/>
    <s v="CAJETO DE PARAMO (RE)"/>
    <x v="21"/>
    <s v="30X30"/>
    <n v="50104"/>
    <n v="22"/>
    <n v="1.496"/>
    <n v="1.496"/>
    <n v="1.496"/>
    <n v="1.496"/>
    <n v="0"/>
    <n v="0"/>
    <n v="7.666666666666667"/>
    <n v="23"/>
  </r>
  <r>
    <n v="2"/>
    <n v="3"/>
    <n v="19"/>
    <s v="CAJETO DE PARAMO (RE)"/>
    <x v="21"/>
    <s v="30X30"/>
    <n v="50563"/>
    <n v="338"/>
    <n v="0.91679999999999995"/>
    <n v="0.95099999999999996"/>
    <n v="1.0867"/>
    <n v="1.1400999999999999"/>
    <n v="7.443333333333331E-2"/>
    <n v="0.22329999999999994"/>
    <n v="3.9933333333333301"/>
    <n v="11.97999999999999"/>
  </r>
  <r>
    <n v="2"/>
    <n v="4"/>
    <n v="13"/>
    <s v="CAJETO DE PARAMO (RE)"/>
    <x v="21"/>
    <s v="20x30"/>
    <n v="50819"/>
    <n v="1285"/>
    <n v="0.96"/>
    <n v="1.268"/>
    <n v="1.274"/>
    <n v="1.274"/>
    <n v="0.10466666666666669"/>
    <n v="0.31400000000000006"/>
    <n v="10.966666666666663"/>
    <n v="32.899999999999991"/>
  </r>
  <r>
    <n v="2"/>
    <n v="4"/>
    <n v="4"/>
    <s v="CAJETO SULCATUM (RE)"/>
    <x v="21"/>
    <s v="25x29"/>
    <n v="50827"/>
    <n v="654"/>
    <n v="0.5031000000000001"/>
    <n v="0.63900000000000001"/>
    <n v="0.69611111111111112"/>
    <n v="0.73624999999999996"/>
    <n v="7.7716666666666614E-2"/>
    <n v="0.23314999999999986"/>
    <n v="3.5266666666666673"/>
    <n v="10.580000000000002"/>
  </r>
  <r>
    <n v="2"/>
    <n v="4"/>
    <n v="15"/>
    <s v="MANZANO (RE)"/>
    <x v="22"/>
    <s v="40x50"/>
    <n v="50851"/>
    <n v="15"/>
    <n v="0.54299999999999993"/>
    <n v="0.68"/>
    <n v="0.75"/>
    <n v="1"/>
    <n v="0.15233333333333335"/>
    <n v="0.45700000000000007"/>
    <n v="4.5333333333333341"/>
    <n v="13.600000000000001"/>
  </r>
  <r>
    <n v="2"/>
    <n v="2"/>
    <n v="3"/>
    <s v="GAQUE (RE)"/>
    <x v="23"/>
    <s v="20x30"/>
    <n v="50632"/>
    <n v="220"/>
    <n v="1.6617000000000002"/>
    <n v="1.6619999999999999"/>
    <n v="1.6649999999999998"/>
    <n v="1.6833333333333333"/>
    <n v="7.2111111111110571E-3"/>
    <n v="2.1633333333333171E-2"/>
    <n v="1"/>
    <n v="3"/>
  </r>
  <r>
    <n v="2"/>
    <n v="2"/>
    <n v="3"/>
    <s v="GAQUE (RE)"/>
    <x v="24"/>
    <s v="30X30"/>
    <n v="50558"/>
    <n v="227"/>
    <n v="1.3161"/>
    <n v="1.3080000000000001"/>
    <n v="1.3445555555555555"/>
    <n v="1.3958888888888887"/>
    <n v="2.6596296296296229E-2"/>
    <n v="7.9788888888888687E-2"/>
    <n v="0.46000000000000085"/>
    <n v="1.3800000000000026"/>
  </r>
  <r>
    <n v="2"/>
    <n v="7"/>
    <n v="13"/>
    <s v="GAQUE (RE)"/>
    <x v="24"/>
    <s v="25x29"/>
    <n v="50323"/>
    <n v="143"/>
    <n v="1.1740000000000002"/>
    <n v="1.5860000000000001"/>
    <n v="1.675"/>
    <n v="1.8816666666666666"/>
    <n v="0.23588888888888881"/>
    <n v="0.70766666666666644"/>
    <n v="1.2333333333333332"/>
    <n v="3.6999999999999993"/>
  </r>
  <r>
    <n v="2"/>
    <n v="7"/>
    <n v="13"/>
    <s v="GAQUE (RE)"/>
    <x v="24"/>
    <s v="25x29"/>
    <n v="50726"/>
    <n v="166"/>
    <n v="1.293625"/>
    <n v="1.448"/>
    <n v="1.5652500000000003"/>
    <n v="1.7349999999999999"/>
    <n v="0.14712499999999995"/>
    <n v="0.44137499999999985"/>
    <n v="0.82666666666666677"/>
    <n v="2.4800000000000004"/>
  </r>
  <r>
    <n v="2"/>
    <n v="7"/>
    <n v="13"/>
    <s v="GAQUE (RE)"/>
    <x v="24"/>
    <s v="30X30"/>
    <n v="50087"/>
    <n v="132"/>
    <n v="1.4613750000000001"/>
    <n v="1.65"/>
    <n v="1.8499999999999999"/>
    <n v="2.0657142857142854"/>
    <n v="0.20144642857142844"/>
    <n v="0.6043392857142853"/>
    <n v="3.5166666666666657"/>
    <n v="10.549999999999997"/>
  </r>
  <r>
    <n v="2"/>
    <n v="7"/>
    <n v="13"/>
    <s v="GAQUE (RE)"/>
    <x v="24"/>
    <s v="25x29"/>
    <n v="50724"/>
    <n v="224"/>
    <n v="1.3227"/>
    <n v="1.3919999999999999"/>
    <n v="1.6064000000000001"/>
    <n v="1.6654285714285713"/>
    <n v="0.11424285714285709"/>
    <n v="0.34272857142857127"/>
    <n v="1.3899999999999981"/>
    <n v="4.1699999999999946"/>
  </r>
  <r>
    <n v="2"/>
    <n v="7"/>
    <n v="17"/>
    <s v="GAQUE (RE)"/>
    <x v="24"/>
    <s v="30X30"/>
    <n v="50459"/>
    <n v="126"/>
    <n v="1.68"/>
    <n v="2"/>
    <n v="2.0516666666666667"/>
    <n v="1.9950000000000001"/>
    <n v="0.10500000000000005"/>
    <n v="0.31500000000000017"/>
    <n v="1.5766666666666656"/>
    <n v="4.7299999999999969"/>
  </r>
  <r>
    <n v="2"/>
    <n v="7"/>
    <n v="17"/>
    <s v="GAQUE (RE)"/>
    <x v="24"/>
    <s v="30X30"/>
    <n v="50602"/>
    <n v="42"/>
    <n v="1.3689999999999998"/>
    <n v="1.369"/>
    <n v="1.43"/>
    <n v="1.5449999999999999"/>
    <n v="5.8666666666666721E-2"/>
    <n v="0.17600000000000016"/>
    <n v="1.1666666666666667"/>
    <n v="3.5"/>
  </r>
  <r>
    <n v="2"/>
    <n v="3"/>
    <n v="13"/>
    <s v="CHIRIPIQUE (RE)"/>
    <x v="25"/>
    <s v="30x35"/>
    <n v="50859"/>
    <n v="349"/>
    <n v="0.67030000000000001"/>
    <n v="0.72599999999999998"/>
    <n v="0.78870000000000007"/>
    <n v="0.82899999999999996"/>
    <n v="5.2899999999999982E-2"/>
    <n v="0.15869999999999995"/>
    <n v="7.5999999999999988"/>
    <n v="22.799999999999997"/>
  </r>
  <r>
    <n v="2"/>
    <n v="3"/>
    <n v="13"/>
    <s v="CHIRIPIQUE (RE)"/>
    <x v="25"/>
    <s v="30x35"/>
    <n v="50735"/>
    <n v="22"/>
    <n v="0.68100000000000005"/>
    <n v="0.68100000000000005"/>
    <n v="0.83"/>
    <n v="0.86"/>
    <n v="5.9666666666666646E-2"/>
    <n v="0.17899999999999994"/>
    <n v="1.3333333333333333"/>
    <n v="4"/>
  </r>
  <r>
    <n v="2"/>
    <n v="3"/>
    <n v="13"/>
    <s v="CHIRIPIQUE (RE)"/>
    <x v="25"/>
    <s v="30x35"/>
    <n v="50756"/>
    <n v="37"/>
    <n v="1.075"/>
    <n v="1.1479999999999999"/>
    <n v="1.2"/>
    <n v="1.21"/>
    <n v="4.5000000000000005E-2"/>
    <n v="0.13500000000000001"/>
    <n v="8.5"/>
    <n v="25.5"/>
  </r>
  <r>
    <n v="2"/>
    <n v="3"/>
    <n v="13"/>
    <s v="CHIRIPIQUE (RE)"/>
    <x v="25"/>
    <s v="20x30"/>
    <n v="50836"/>
    <n v="172"/>
    <n v="0.87475000000000003"/>
    <n v="0.94599999999999995"/>
    <n v="0.99562500000000009"/>
    <n v="0.97250000000000014"/>
    <n v="3.2583333333333374E-2"/>
    <n v="9.7750000000000115E-2"/>
    <n v="3.4266666666666574"/>
    <n v="10.279999999999973"/>
  </r>
  <r>
    <n v="2"/>
    <n v="3"/>
    <n v="6"/>
    <s v="GRANADO (RE)"/>
    <x v="26"/>
    <s v="25x29"/>
    <n v="50784"/>
    <n v="32"/>
    <n v="1.131"/>
    <n v="1.131"/>
    <n v="1.131"/>
    <n v="1.18"/>
    <n v="1.6333333333333311E-2"/>
    <n v="4.8999999999999932E-2"/>
    <n v="3.25"/>
    <n v="9.75"/>
  </r>
  <r>
    <n v="2"/>
    <n v="7"/>
    <n v="3"/>
    <s v="PATA DE INDIO (RE)"/>
    <x v="27"/>
    <s v="20x30"/>
    <n v="50635"/>
    <n v="311"/>
    <n v="1.113"/>
    <n v="1.232"/>
    <n v="1.2534000000000003"/>
    <n v="1.3236000000000003"/>
    <n v="7.020000000000011E-2"/>
    <n v="0.21060000000000034"/>
    <n v="3.6766666666666672"/>
    <n v="11.030000000000001"/>
  </r>
  <r>
    <n v="2"/>
    <n v="7"/>
    <n v="3"/>
    <s v="PATA DE INDIO (RE)"/>
    <x v="27"/>
    <s v="30X30"/>
    <n v="50617"/>
    <n v="75"/>
    <n v="2.1008452488130183"/>
    <n v="2.3199999999999998"/>
    <n v="2.3199999999999998"/>
    <n v="2.3199999999999998"/>
    <n v="7.3051583728993855E-2"/>
    <n v="0.21915475118698158"/>
    <n v="1.5"/>
    <n v="4.5"/>
  </r>
  <r>
    <n v="2"/>
    <n v="1"/>
    <n v="9"/>
    <s v="HAYUELO (RE)"/>
    <x v="28"/>
    <s v="30X30"/>
    <s v="50663_01_09"/>
    <n v="127"/>
    <n v="1.1180000000000001"/>
    <n v="1.1419999999999999"/>
    <n v="1.1695"/>
    <n v="1.3660000000000001"/>
    <n v="8.2666666666666666E-2"/>
    <n v="0.248"/>
    <n v="0.65666666666666629"/>
    <n v="1.9699999999999989"/>
  </r>
  <r>
    <n v="2"/>
    <n v="5"/>
    <n v="3"/>
    <s v="HAYUELO (RE)"/>
    <x v="28"/>
    <s v="25x29"/>
    <s v="50785_05_03"/>
    <n v="128"/>
    <n v="1.0549999999999999"/>
    <n v="1.0920000000000001"/>
    <n v="1.1623750000000002"/>
    <n v="1.18"/>
    <n v="4.1666666666666664E-2"/>
    <n v="0.125"/>
    <n v="1.7333333333333343"/>
    <n v="5.2000000000000028"/>
  </r>
  <r>
    <n v="2"/>
    <n v="5"/>
    <n v="13"/>
    <s v="HAYUELO (RE)"/>
    <x v="28"/>
    <s v="30x35"/>
    <n v="50342"/>
    <n v="3"/>
    <n v="1.2"/>
    <n v="1.34"/>
    <n v="1.34"/>
    <n v="1.35"/>
    <n v="5.0000000000000044E-2"/>
    <n v="0.15000000000000013"/>
    <n v="8"/>
    <n v="24"/>
  </r>
  <r>
    <n v="2"/>
    <n v="5"/>
    <n v="13"/>
    <s v="HAYUELO (RE)"/>
    <x v="28"/>
    <s v="25x29"/>
    <s v="50785_05_13"/>
    <n v="131"/>
    <n v="0.85"/>
    <n v="0.93"/>
    <n v="1.0619999999999998"/>
    <n v="1.0739999999999998"/>
    <n v="7.4666666666666617E-2"/>
    <n v="0.22399999999999987"/>
    <n v="2.0999999999999992"/>
    <n v="6.2999999999999972"/>
  </r>
  <r>
    <n v="2"/>
    <n v="5"/>
    <n v="13"/>
    <s v="HAYUELO (RE)"/>
    <x v="28"/>
    <s v="30x35"/>
    <n v="50694"/>
    <n v="161"/>
    <n v="1.0266666666666666"/>
    <n v="1.17"/>
    <n v="1.17"/>
    <n v="1.52"/>
    <n v="0.16444444444444448"/>
    <n v="0.4933333333333334"/>
    <n v="1.7299999999999993"/>
    <n v="5.1899999999999977"/>
  </r>
  <r>
    <n v="2"/>
    <n v="5"/>
    <n v="13"/>
    <s v="HAYUELO (RE)"/>
    <x v="28"/>
    <s v="20x30"/>
    <n v="50600"/>
    <n v="36"/>
    <n v="0.94"/>
    <n v="0.94"/>
    <n v="0.97"/>
    <n v="0.98"/>
    <n v="1.3333333333333345E-2"/>
    <n v="4.0000000000000036E-2"/>
    <n v="1"/>
    <n v="3"/>
  </r>
  <r>
    <n v="2"/>
    <n v="5"/>
    <n v="13"/>
    <s v="HAYUELO (RE)"/>
    <x v="28"/>
    <s v="30X30"/>
    <s v="50663_05_13"/>
    <n v="14"/>
    <n v="0.63"/>
    <n v="0.63"/>
    <n v="0.64"/>
    <n v="0.66"/>
    <n v="1.0000000000000009E-2"/>
    <n v="3.0000000000000027E-2"/>
    <n v="2.5"/>
    <n v="7.5"/>
  </r>
  <r>
    <n v="2"/>
    <n v="5"/>
    <n v="13"/>
    <s v="HAYUELO (RE)"/>
    <x v="28"/>
    <s v="20x30"/>
    <n v="50696"/>
    <n v="45"/>
    <n v="0.74"/>
    <n v="0.97"/>
    <n v="1.07"/>
    <n v="1.08"/>
    <n v="0.11333333333333336"/>
    <n v="0.34000000000000008"/>
    <n v="0.33333333333333331"/>
    <n v="1"/>
  </r>
  <r>
    <n v="2"/>
    <n v="6"/>
    <n v="2"/>
    <s v="HAYUELO (RE)"/>
    <x v="28"/>
    <s v="30X30"/>
    <n v="50622"/>
    <n v="47"/>
    <n v="0.58299999999999996"/>
    <n v="0.66"/>
    <n v="0.69"/>
    <n v="0.74"/>
    <n v="5.2333333333333343E-2"/>
    <n v="0.15700000000000003"/>
    <n v="3.6666666666666665"/>
    <n v="11"/>
  </r>
  <r>
    <n v="2"/>
    <n v="8"/>
    <n v="6"/>
    <s v="HAYUELO (RE)"/>
    <x v="28"/>
    <s v="25x29"/>
    <n v="50826"/>
    <n v="185"/>
    <n v="0.65033333333333343"/>
    <n v="0.66800000000000004"/>
    <n v="0.79150000000000009"/>
    <n v="0.85716666666666663"/>
    <n v="6.8944444444444405E-2"/>
    <n v="0.2068333333333332"/>
    <n v="5.5999999999999988"/>
    <n v="16.799999999999997"/>
  </r>
  <r>
    <n v="2"/>
    <n v="4"/>
    <n v="6"/>
    <s v="CANELO DE PARAMO (RE)"/>
    <x v="29"/>
    <s v="20X24"/>
    <n v="50716"/>
    <n v="82"/>
    <n v="0.23600000000000002"/>
    <n v="0.28000000000000003"/>
    <n v="0.28000000000000003"/>
    <n v="0.36999999999999994"/>
    <n v="4.4666666666666639E-2"/>
    <n v="0.13399999999999992"/>
    <n v="1.01"/>
    <n v="3.0300000000000002"/>
  </r>
  <r>
    <n v="2"/>
    <n v="4"/>
    <n v="6"/>
    <s v="CANELO DE PARAMO (RE)"/>
    <x v="29"/>
    <s v="20X24"/>
    <n v="50789"/>
    <n v="327"/>
    <n v="1.0669999999999999"/>
    <n v="1.2829999999999999"/>
    <n v="1.2892000000000001"/>
    <n v="1.2892000000000001"/>
    <n v="7.4066666666666725E-2"/>
    <n v="0.22220000000000018"/>
    <n v="0.16666666666666666"/>
    <n v="0.5"/>
  </r>
  <r>
    <n v="2"/>
    <n v="4"/>
    <n v="6"/>
    <s v="CANELO DE PARAMO (RE)"/>
    <x v="29"/>
    <s v="30X30"/>
    <n v="50710"/>
    <n v="15"/>
    <n v="1.2486666666666668"/>
    <n v="1.427"/>
    <n v="1.4266666666666665"/>
    <n v="1.595"/>
    <n v="0.11544444444444439"/>
    <n v="0.34633333333333316"/>
    <n v="1.0166666666666657"/>
    <n v="3.0499999999999972"/>
  </r>
  <r>
    <n v="2"/>
    <n v="8"/>
    <n v="4"/>
    <s v="CANELO DE PARAMO (RE)"/>
    <x v="29"/>
    <s v="20x30"/>
    <n v="50454"/>
    <n v="273"/>
    <n v="0.46766666666666667"/>
    <n v="0.49299999999999999"/>
    <n v="0.60183333333333333"/>
    <n v="0.66016666666666668"/>
    <n v="6.4166666666666664E-2"/>
    <n v="0.1925"/>
    <n v="1.5166666666666668"/>
    <n v="4.5500000000000007"/>
  </r>
  <r>
    <n v="2"/>
    <n v="8"/>
    <n v="4"/>
    <s v="CANELO DE PARAMO (RE)"/>
    <x v="29"/>
    <s v="30X30"/>
    <n v="50570"/>
    <n v="226"/>
    <n v="0.37212499999999998"/>
    <n v="0.39600000000000002"/>
    <n v="0.43712500000000004"/>
    <n v="0.49524999999999997"/>
    <n v="4.1041666666666664E-2"/>
    <n v="0.12312499999999998"/>
    <n v="1.3033333333333335"/>
    <n v="3.91"/>
  </r>
  <r>
    <n v="2"/>
    <n v="5"/>
    <n v="8"/>
    <s v="ESPINO GARBANZO (RE)"/>
    <x v="30"/>
    <s v="20x30"/>
    <n v="50881"/>
    <n v="738"/>
    <n v="0.26100000000000001"/>
    <n v="0.32"/>
    <n v="0.4244444444444444"/>
    <n v="0.59333333333333327"/>
    <n v="0.11077777777777775"/>
    <n v="0.33233333333333326"/>
    <n v="6.4799999999999995"/>
    <n v="19.439999999999998"/>
  </r>
  <r>
    <n v="2"/>
    <n v="3"/>
    <n v="8"/>
    <s v="CHOCHO (RE)"/>
    <x v="31"/>
    <s v="30X30"/>
    <n v="50886"/>
    <n v="289"/>
    <n v="0.36760000000000004"/>
    <n v="0.38100000000000001"/>
    <n v="0.39200000000000002"/>
    <n v="0.56399999999999995"/>
    <n v="6.5466666666666631E-2"/>
    <n v="0.19639999999999991"/>
    <n v="0.95999999999999963"/>
    <n v="2.879999999999999"/>
  </r>
  <r>
    <n v="2"/>
    <n v="5"/>
    <n v="1"/>
    <s v="CHOCHO (RE)"/>
    <x v="31"/>
    <s v="20x30"/>
    <n v="50620"/>
    <n v="260"/>
    <n v="1.5"/>
    <n v="1.67"/>
    <n v="1.7733333333333334"/>
    <n v="1.8140000000000001"/>
    <n v="0.10466666666666669"/>
    <n v="0.31400000000000006"/>
    <n v="4.7666666666666657"/>
    <n v="14.299999999999997"/>
  </r>
  <r>
    <n v="2"/>
    <n v="3"/>
    <n v="14"/>
    <s v="RODAMONTE (RE)"/>
    <x v="32"/>
    <s v="30x35"/>
    <n v="50847"/>
    <n v="371"/>
    <n v="0.45149999999999996"/>
    <n v="0.497"/>
    <n v="0.67400000000000004"/>
    <n v="0.93599999999999994"/>
    <n v="0.1615"/>
    <n v="0.48449999999999999"/>
    <n v="5.3666666666666671"/>
    <n v="16.100000000000001"/>
  </r>
  <r>
    <n v="2"/>
    <n v="3"/>
    <n v="14"/>
    <s v="RODAMONTE (RE)"/>
    <x v="32"/>
    <s v="20X24"/>
    <n v="50743"/>
    <n v="88"/>
    <n v="0.503"/>
    <n v="0.53900000000000003"/>
    <n v="0.65"/>
    <n v="0.74"/>
    <n v="7.9000000000000001E-2"/>
    <n v="0.23699999999999999"/>
    <n v="4"/>
    <n v="12"/>
  </r>
  <r>
    <n v="2"/>
    <n v="4"/>
    <n v="19"/>
    <s v="RODAMONTE (RE)"/>
    <x v="32"/>
    <s v="25x29"/>
    <n v="50862"/>
    <n v="714"/>
    <n v="0.64260000000000006"/>
    <n v="0.72599999999999998"/>
    <n v="0.91429999999999989"/>
    <n v="1.2200000000000002"/>
    <n v="0.1924666666666667"/>
    <n v="0.57740000000000014"/>
    <n v="10.38"/>
    <n v="31.14"/>
  </r>
  <r>
    <n v="2"/>
    <n v="5"/>
    <n v="7"/>
    <s v="TIBAR (RE)"/>
    <x v="33"/>
    <s v="25x29"/>
    <n v="50844"/>
    <n v="515"/>
    <n v="0.52200000000000002"/>
    <n v="0.63100000000000001"/>
    <n v="0.90111111111111108"/>
    <n v="1.2355555555555557"/>
    <n v="0.2378518518518519"/>
    <n v="0.71355555555555572"/>
    <n v="8.83"/>
    <n v="26.49"/>
  </r>
  <r>
    <n v="2"/>
    <n v="4"/>
    <n v="22"/>
    <s v="MANGLE (RE)"/>
    <x v="34"/>
    <s v="25x29"/>
    <n v="50843"/>
    <n v="330"/>
    <n v="0.6794"/>
    <n v="0.80300000000000005"/>
    <n v="1.038"/>
    <n v="1.2810000000000001"/>
    <n v="0.20053333333333337"/>
    <n v="0.60160000000000013"/>
    <n v="9.0333333333333332"/>
    <n v="27.1"/>
  </r>
  <r>
    <n v="2"/>
    <n v="7"/>
    <n v="12"/>
    <s v="PEPERO (RE)"/>
    <x v="35"/>
    <s v="30X30"/>
    <n v="50662"/>
    <n v="31"/>
    <n v="0.51300000000000001"/>
    <n v="0.57999999999999996"/>
    <n v="0.66"/>
    <n v="0.94"/>
    <n v="0.14233333333333331"/>
    <n v="0.42699999999999994"/>
    <n v="15.666666666666666"/>
    <n v="47"/>
  </r>
  <r>
    <n v="2"/>
    <n v="1"/>
    <n v="14"/>
    <s v="REVENTADERA (RE)"/>
    <x v="36"/>
    <s v="30x35"/>
    <n v="50875"/>
    <n v="348"/>
    <n v="0.13899999999999998"/>
    <n v="0.14099999999999999"/>
    <n v="0.157"/>
    <n v="0.20300000000000001"/>
    <n v="2.1333333333333343E-2"/>
    <n v="6.4000000000000029E-2"/>
    <n v="0.63333333333333341"/>
    <n v="1.9000000000000004"/>
  </r>
  <r>
    <n v="2"/>
    <n v="3"/>
    <n v="2"/>
    <s v="CUCHARO HUESITO (RE)"/>
    <x v="37"/>
    <s v="30x35"/>
    <n v="50723"/>
    <n v="44"/>
    <n v="1.3"/>
    <n v="1.5349999999999999"/>
    <n v="1.7250000000000001"/>
    <n v="1.9375"/>
    <n v="0.21249999999999999"/>
    <n v="0.63749999999999996"/>
    <n v="5.2666666666666657"/>
    <n v="15.799999999999997"/>
  </r>
  <r>
    <n v="2"/>
    <n v="3"/>
    <n v="2"/>
    <s v="CUCHARO HUESITO (RE)"/>
    <x v="37"/>
    <s v="30X30"/>
    <n v="50518"/>
    <n v="61"/>
    <n v="1.5199999999999998"/>
    <n v="2.4470000000000001"/>
    <n v="2.5539999999999998"/>
    <n v="3.0709999999999997"/>
    <n v="0.51700000000000002"/>
    <n v="1.5509999999999999"/>
    <n v="0.46666666666666856"/>
    <n v="1.4000000000000057"/>
  </r>
  <r>
    <n v="2"/>
    <n v="3"/>
    <n v="2"/>
    <s v="CUCHARO HUESITO (RE)"/>
    <x v="37"/>
    <s v="30X30"/>
    <n v="50628"/>
    <n v="28"/>
    <n v="1.6"/>
    <n v="1.6"/>
    <n v="2.2599999999999998"/>
    <n v="2.59"/>
    <n v="0.3299999999999999"/>
    <n v="0.98999999999999977"/>
    <n v="2.5"/>
    <n v="7.5"/>
  </r>
  <r>
    <n v="2"/>
    <n v="3"/>
    <n v="2"/>
    <s v="CUCHARO HUESITO (RE)"/>
    <x v="37"/>
    <s v="30X30"/>
    <n v="50520"/>
    <n v="142"/>
    <n v="1.2316666666666667"/>
    <n v="1.5169999999999999"/>
    <n v="1.57"/>
    <n v="1.7391666666666667"/>
    <n v="0.16916666666666669"/>
    <n v="0.50750000000000006"/>
    <n v="0.90666666666666862"/>
    <n v="2.720000000000006"/>
  </r>
  <r>
    <n v="2"/>
    <n v="7"/>
    <n v="3"/>
    <s v="CUCHARO HUESITO (RE)"/>
    <x v="37"/>
    <s v="30X30"/>
    <n v="50555"/>
    <n v="5"/>
    <n v="1.089"/>
    <n v="1.1599999999999999"/>
    <n v="1.27"/>
    <n v="1.34"/>
    <n v="8.3666666666666709E-2"/>
    <n v="0.25100000000000011"/>
    <n v="4.333333333333333"/>
    <n v="13"/>
  </r>
  <r>
    <n v="2"/>
    <n v="7"/>
    <n v="18"/>
    <s v="PALMA GEONOMA (RE)"/>
    <x v="38"/>
    <s v="20x30"/>
    <n v="50779"/>
    <n v="91"/>
    <m/>
    <m/>
    <m/>
    <m/>
    <n v="0"/>
    <n v="0"/>
    <n v="3.776666666666666"/>
    <n v="11.329999999999998"/>
  </r>
  <r>
    <n v="2"/>
    <n v="3"/>
    <n v="2"/>
    <s v="MORTIÑO (RE)"/>
    <x v="39"/>
    <s v="20x30"/>
    <n v="50832"/>
    <n v="251"/>
    <n v="0.50000000000000011"/>
    <n v="0.57999999999999996"/>
    <n v="0.5837"/>
    <n v="0.61"/>
    <n v="3.6666666666666625E-2"/>
    <n v="0.10999999999999988"/>
    <n v="11.233333333333334"/>
    <n v="33.700000000000003"/>
  </r>
  <r>
    <n v="2"/>
    <n v="8"/>
    <n v="8"/>
    <s v="MORTIÑO (RE)"/>
    <x v="39"/>
    <s v="25x29"/>
    <n v="50796"/>
    <n v="256"/>
    <n v="0.50849999999999995"/>
    <n v="0.65849999999999997"/>
    <n v="0.8"/>
    <n v="0.86499999999999999"/>
    <n v="0.11883333333333335"/>
    <n v="0.35650000000000004"/>
    <n v="9.5"/>
    <n v="28.5"/>
  </r>
  <r>
    <n v="2"/>
    <n v="5"/>
    <n v="10"/>
    <s v="CONEJO (RE)"/>
    <x v="40"/>
    <s v="20x30"/>
    <n v="50837"/>
    <n v="330"/>
    <n v="0.54299999999999993"/>
    <n v="0.55000000000000004"/>
    <n v="0.57599999999999996"/>
    <n v="0.66999999999999993"/>
    <n v="4.2333333333333334E-2"/>
    <n v="0.127"/>
    <n v="1.5"/>
    <n v="4.5"/>
  </r>
  <r>
    <n v="2"/>
    <n v="7"/>
    <n v="4"/>
    <s v="QUINA (RE)"/>
    <x v="41"/>
    <s v="30X30"/>
    <n v="50584"/>
    <n v="92"/>
    <n v="1.1538733374162413"/>
    <n v="1.1539999999999999"/>
    <n v="1.22"/>
    <n v="1.3456666666666666"/>
    <n v="6.3931109750141754E-2"/>
    <n v="0.19179332925042525"/>
    <n v="4.3433333333333337"/>
    <n v="13.030000000000001"/>
  </r>
  <r>
    <n v="2"/>
    <n v="6"/>
    <n v="1"/>
    <s v="GUAMO (RE)"/>
    <x v="42"/>
    <s v="30X30"/>
    <n v="50703"/>
    <n v="190"/>
    <n v="1.3045714285714285"/>
    <n v="1.3360000000000001"/>
    <n v="1.413"/>
    <n v="1.4157142857142857"/>
    <n v="3.7047619047619072E-2"/>
    <n v="0.11114285714285721"/>
    <n v="4.6366666666666703"/>
    <n v="13.910000000000011"/>
  </r>
  <r>
    <n v="2"/>
    <n v="4"/>
    <n v="18"/>
    <s v="NOGAL (RE)"/>
    <x v="43"/>
    <s v="30x35"/>
    <n v="50831"/>
    <n v="249"/>
    <n v="1.2595000000000001"/>
    <n v="1.5089999999999999"/>
    <n v="1.6065999999999998"/>
    <n v="1.6744444444444446"/>
    <n v="0.13831481481481486"/>
    <n v="0.41494444444444456"/>
    <n v="7.7900000000000018"/>
    <n v="23.370000000000005"/>
  </r>
  <r>
    <n v="2"/>
    <n v="8"/>
    <n v="7"/>
    <s v="NOGAL (RE)"/>
    <x v="43"/>
    <s v="30x35"/>
    <n v="50878"/>
    <n v="396"/>
    <n v="0.57833333333333337"/>
    <n v="0.70599999999999996"/>
    <n v="0.85000000000000009"/>
    <n v="1.1133333333333333"/>
    <n v="0.17833333333333332"/>
    <n v="0.53499999999999992"/>
    <n v="9.2233333333333345"/>
    <n v="27.67"/>
  </r>
  <r>
    <n v="2"/>
    <n v="7"/>
    <n v="12"/>
    <s v="GUAYACAN DE MANIZALES (RE)"/>
    <x v="44"/>
    <s v="30x40"/>
    <n v="10995"/>
    <n v="170"/>
    <n v="0.73283333333333334"/>
    <n v="0.85799999999999998"/>
    <n v="1.1183333333333334"/>
    <n v="1.385"/>
    <n v="0.21738888888888888"/>
    <n v="0.65216666666666667"/>
    <n v="6.7066666666666679"/>
    <n v="20.120000000000005"/>
  </r>
  <r>
    <n v="2"/>
    <n v="3"/>
    <n v="9"/>
    <s v="LEANDRA (RE)"/>
    <x v="45"/>
    <s v="30x35"/>
    <n v="50848"/>
    <n v="217"/>
    <n v="0.5"/>
    <n v="0.55000000000000004"/>
    <n v="0.57999999999999996"/>
    <n v="0.70749999999999991"/>
    <n v="6.916666666666664E-2"/>
    <n v="0.20749999999999991"/>
    <n v="4.746666666666667"/>
    <n v="14.240000000000002"/>
  </r>
  <r>
    <n v="2"/>
    <n v="8"/>
    <n v="5"/>
    <s v="LUPINUS (RE)"/>
    <x v="46"/>
    <s v="25x29"/>
    <n v="50824"/>
    <n v="67"/>
    <n v="0.73"/>
    <n v="0.85"/>
    <n v="0.85"/>
    <n v="0.85"/>
    <n v="0.04"/>
    <n v="0.12"/>
    <n v="1"/>
    <n v="3"/>
  </r>
  <r>
    <n v="2"/>
    <n v="8"/>
    <n v="5"/>
    <s v="LUPINUS (RE)"/>
    <x v="46"/>
    <s v="30x35"/>
    <n v="50766"/>
    <n v="26"/>
    <n v="1.2909999999999999"/>
    <n v="1.77"/>
    <n v="2.46"/>
    <n v="3.0445000000000002"/>
    <n v="0.58450000000000013"/>
    <n v="1.7535000000000003"/>
    <n v="9"/>
    <n v="27"/>
  </r>
  <r>
    <n v="2"/>
    <n v="6"/>
    <n v="4"/>
    <s v="GURRUBO (RE)"/>
    <x v="47"/>
    <s v="20x30"/>
    <s v="50835_06_04"/>
    <n v="580"/>
    <n v="0.82099999999999995"/>
    <n v="0.88100000000000001"/>
    <n v="0.91230000000000011"/>
    <n v="0.9173"/>
    <n v="3.2100000000000017E-2"/>
    <n v="9.6300000000000052E-2"/>
    <n v="4.6833333333333327"/>
    <n v="14.049999999999997"/>
  </r>
  <r>
    <n v="2"/>
    <n v="6"/>
    <n v="5"/>
    <s v="GURRUBO (RE)"/>
    <x v="47"/>
    <s v="20x30"/>
    <s v="50835_06_05"/>
    <n v="308"/>
    <n v="0.71787500000000004"/>
    <n v="0.76700000000000002"/>
    <n v="0.769625"/>
    <n v="0.76349999999999996"/>
    <n v="1.5208333333333305E-2"/>
    <n v="4.5624999999999916E-2"/>
    <n v="3.5433333333333317"/>
    <n v="10.629999999999995"/>
  </r>
  <r>
    <n v="2"/>
    <n v="8"/>
    <n v="15"/>
    <s v="GURRUBO (RE)"/>
    <x v="47"/>
    <s v="25x29"/>
    <n v="50841"/>
    <n v="390"/>
    <n v="0.7770999999999999"/>
    <n v="0.84599999999999997"/>
    <n v="0.91720000000000002"/>
    <n v="0.91833333333333345"/>
    <n v="4.707777777777785E-2"/>
    <n v="0.14123333333333354"/>
    <n v="1.9766666666666641"/>
    <n v="5.9299999999999926"/>
  </r>
  <r>
    <n v="2"/>
    <n v="8"/>
    <n v="15"/>
    <s v="GURRUBO (RE)"/>
    <x v="47"/>
    <s v="30x35"/>
    <n v="50657"/>
    <n v="8"/>
    <n v="0.75700000000000001"/>
    <n v="1.2"/>
    <n v="1.2"/>
    <n v="1.4215"/>
    <n v="0.2215"/>
    <n v="0.66449999999999998"/>
    <n v="0.83333333333333337"/>
    <n v="2.5"/>
  </r>
  <r>
    <n v="2"/>
    <n v="8"/>
    <n v="15"/>
    <s v="GURRUBO (RE)"/>
    <x v="47"/>
    <s v="25x29"/>
    <n v="50777"/>
    <n v="9"/>
    <n v="0.54700000000000004"/>
    <n v="0.61"/>
    <n v="0.95"/>
    <n v="1.1515"/>
    <n v="0.20149999999999998"/>
    <n v="0.60449999999999993"/>
    <n v="5"/>
    <n v="15"/>
  </r>
  <r>
    <n v="2"/>
    <n v="8"/>
    <n v="15"/>
    <s v="GURRUBO (RE)"/>
    <x v="47"/>
    <s v="25x29"/>
    <n v="50799"/>
    <n v="7"/>
    <n v="0.55700000000000005"/>
    <n v="0.67"/>
    <n v="0.97"/>
    <n v="1.1764999999999999"/>
    <n v="0.20649999999999993"/>
    <n v="0.61949999999999983"/>
    <n v="1.9333333333333325"/>
    <n v="5.7999999999999972"/>
  </r>
  <r>
    <n v="2"/>
    <n v="3"/>
    <n v="9"/>
    <s v="TUNO (RE)"/>
    <x v="48"/>
    <s v="30x35"/>
    <n v="50746"/>
    <n v="53"/>
    <n v="0.53333333333333333"/>
    <n v="0.56799999999999995"/>
    <n v="0.73099999999999998"/>
    <n v="0.8666666666666667"/>
    <n v="0.11111111111111112"/>
    <n v="0.33333333333333337"/>
    <n v="1.6566666666666674"/>
    <n v="4.9700000000000024"/>
  </r>
  <r>
    <n v="2"/>
    <n v="3"/>
    <n v="9"/>
    <s v="TUNO (RE)"/>
    <x v="48"/>
    <s v="25x29"/>
    <n v="50804"/>
    <n v="29"/>
    <n v="0.69799999999999995"/>
    <n v="0.77400000000000002"/>
    <n v="0.77400000000000002"/>
    <n v="0.78"/>
    <n v="2.7333333333333359E-2"/>
    <n v="8.2000000000000073E-2"/>
    <n v="4.333333333333333"/>
    <n v="13"/>
  </r>
  <r>
    <n v="2"/>
    <n v="7"/>
    <n v="6"/>
    <s v="TUNO (RE)"/>
    <x v="48"/>
    <s v="25x29"/>
    <n v="50692"/>
    <n v="462"/>
    <n v="0.25010000000000004"/>
    <n v="0.28100000000000003"/>
    <n v="0.33809999999999996"/>
    <n v="0.42333333333333334"/>
    <n v="5.7744444444444432E-2"/>
    <n v="0.17323333333333329"/>
    <n v="3.3133333333333339"/>
    <n v="9.9400000000000013"/>
  </r>
  <r>
    <n v="2"/>
    <n v="4"/>
    <n v="15"/>
    <s v="BODOQUERA (RE)"/>
    <x v="49"/>
    <s v="15x16"/>
    <n v="50776"/>
    <n v="28"/>
    <n v="0.628"/>
    <n v="0.83"/>
    <n v="0.9"/>
    <n v="1.31"/>
    <n v="0.22733333333333336"/>
    <n v="0.68200000000000005"/>
    <n v="9.1666666666666661"/>
    <n v="27.5"/>
  </r>
  <r>
    <n v="2"/>
    <n v="3"/>
    <n v="11"/>
    <s v="LAUREL DE CERA (RE)"/>
    <x v="50"/>
    <s v="20x30"/>
    <n v="50658"/>
    <n v="136"/>
    <n v="0.87259999999999993"/>
    <n v="0.88500000000000001"/>
    <n v="1.0244"/>
    <n v="1.202"/>
    <n v="0.10980000000000001"/>
    <n v="0.32940000000000003"/>
    <n v="4.4000000000000012"/>
    <n v="13.200000000000003"/>
  </r>
  <r>
    <n v="2"/>
    <n v="3"/>
    <n v="11"/>
    <s v="LAUREL DE CERA (RE)"/>
    <x v="51"/>
    <s v="25x29"/>
    <n v="50821"/>
    <n v="369"/>
    <n v="0.85"/>
    <n v="0.88900000000000001"/>
    <n v="1.0110999999999999"/>
    <n v="1.1349999999999998"/>
    <n v="9.4999999999999932E-2"/>
    <n v="0.28499999999999981"/>
    <n v="2.4099999999999988"/>
    <n v="7.2299999999999969"/>
  </r>
  <r>
    <n v="2"/>
    <n v="3"/>
    <n v="12"/>
    <s v="LAUREL DE CERA (RE)"/>
    <x v="51"/>
    <s v="20x30"/>
    <n v="50817"/>
    <n v="1429"/>
    <n v="0.66300000000000003"/>
    <n v="0.69499999999999995"/>
    <n v="0.72899999999999998"/>
    <n v="0.82400000000000007"/>
    <n v="5.3666666666666675E-2"/>
    <n v="0.16100000000000003"/>
    <n v="7.9499999999999984"/>
    <n v="23.849999999999994"/>
  </r>
  <r>
    <n v="2"/>
    <n v="5"/>
    <n v="8"/>
    <s v="LAUREL DE CERA (RE)"/>
    <x v="51"/>
    <s v="20x30"/>
    <n v="50882"/>
    <n v="549"/>
    <n v="0.24111111111111111"/>
    <n v="0.27100000000000002"/>
    <n v="0.29777777777777775"/>
    <n v="0.42333333333333339"/>
    <n v="6.0740740740740762E-2"/>
    <n v="0.18222222222222229"/>
    <n v="2.456666666666667"/>
    <n v="7.370000000000001"/>
  </r>
  <r>
    <n v="2"/>
    <n v="4"/>
    <n v="10"/>
    <s v="ARRAYAN (RE)"/>
    <x v="52"/>
    <s v="20x30"/>
    <n v="50828"/>
    <n v="954"/>
    <n v="0.60609999999999997"/>
    <n v="0.70599999999999996"/>
    <n v="0.71360000000000001"/>
    <n v="0.76555555555555543"/>
    <n v="5.3151851851851818E-2"/>
    <n v="0.15945555555555546"/>
    <n v="8.9799999999999986"/>
    <n v="26.939999999999998"/>
  </r>
  <r>
    <n v="2"/>
    <n v="4"/>
    <n v="10"/>
    <s v="ARRAYAN (RE)"/>
    <x v="52"/>
    <s v="20x30"/>
    <n v="50295"/>
    <n v="11"/>
    <n v="0.86199999999999999"/>
    <n v="0.88500000000000001"/>
    <n v="0.95"/>
    <n v="0.9850000000000001"/>
    <n v="4.1000000000000036E-2"/>
    <n v="0.12300000000000011"/>
    <n v="6.833333333333333"/>
    <n v="20.5"/>
  </r>
  <r>
    <n v="2"/>
    <n v="4"/>
    <n v="10"/>
    <s v="ARRAYAN (RE)"/>
    <x v="52"/>
    <s v="30x35"/>
    <n v="50750"/>
    <n v="82"/>
    <n v="1.2490000000000001"/>
    <n v="1.2490000000000001"/>
    <n v="1.2490000000000001"/>
    <n v="1.4"/>
    <n v="5.0333333333333265E-2"/>
    <n v="0.1509999999999998"/>
    <n v="6.666666666666667"/>
    <n v="20"/>
  </r>
  <r>
    <n v="2"/>
    <n v="7"/>
    <n v="9"/>
    <s v="ARRAYAN (RE)"/>
    <x v="52"/>
    <s v="30x35"/>
    <n v="50871"/>
    <n v="433"/>
    <n v="0.36350000000000005"/>
    <n v="0.39900000000000002"/>
    <n v="0.45610000000000001"/>
    <n v="0.69410000000000005"/>
    <n v="0.11020000000000001"/>
    <n v="0.3306"/>
    <n v="9.7166666666666632"/>
    <n v="29.149999999999991"/>
  </r>
  <r>
    <n v="2"/>
    <n v="7"/>
    <n v="16"/>
    <s v="ARRAYAN (RE)"/>
    <x v="52"/>
    <s v="30x35"/>
    <n v="50879"/>
    <n v="477"/>
    <n v="0.26279999999999998"/>
    <n v="0.29599999999999999"/>
    <n v="0.3342"/>
    <n v="0.55930000000000002"/>
    <n v="9.8833333333333342E-2"/>
    <n v="0.29650000000000004"/>
    <n v="5.6833333333333327"/>
    <n v="17.049999999999997"/>
  </r>
  <r>
    <n v="2"/>
    <n v="4"/>
    <n v="10"/>
    <s v="ARRAYAN ROPHALOIDES (RE)"/>
    <x v="53"/>
    <s v="30x35"/>
    <n v="50763"/>
    <n v="19"/>
    <n v="1.3539999999999999"/>
    <n v="1.7"/>
    <n v="1.7"/>
    <n v="1.7"/>
    <n v="0.11533333333333336"/>
    <n v="0.34600000000000009"/>
    <n v="5"/>
    <n v="15"/>
  </r>
  <r>
    <n v="2"/>
    <n v="4"/>
    <n v="10"/>
    <s v="ARRAYAN ROPHALOIDES (RE)"/>
    <x v="53"/>
    <s v="20x30"/>
    <n v="50638"/>
    <n v="52"/>
    <n v="0.60866666666666669"/>
    <n v="0.83699999999999997"/>
    <n v="0.8966666666666665"/>
    <n v="1.093333333333333"/>
    <n v="0.16155555555555545"/>
    <n v="0.48466666666666636"/>
    <n v="5.3433333333333337"/>
    <n v="16.03"/>
  </r>
  <r>
    <n v="2"/>
    <n v="2"/>
    <n v="11"/>
    <s v="CUCHARO NEGRO (RE)"/>
    <x v="54"/>
    <s v="30x35"/>
    <n v="50736"/>
    <n v="354"/>
    <n v="1.42"/>
    <n v="1.52"/>
    <n v="1.5538000000000001"/>
    <n v="1.4692499999999999"/>
    <n v="1.6416666666666673E-2"/>
    <n v="4.9250000000000016E-2"/>
    <n v="1.2600000000000005"/>
    <n v="3.7800000000000011"/>
  </r>
  <r>
    <n v="2"/>
    <n v="2"/>
    <n v="11"/>
    <s v="CUCHARO NEGRO (RE)"/>
    <x v="54"/>
    <s v="30X30"/>
    <n v="50505"/>
    <n v="15"/>
    <n v="1.3049999999999999"/>
    <n v="1.3049999999999999"/>
    <n v="1.3049999999999999"/>
    <n v="1.42"/>
    <n v="3.833333333333333E-2"/>
    <n v="0.11499999999999999"/>
    <n v="2"/>
    <n v="6"/>
  </r>
  <r>
    <n v="2"/>
    <n v="3"/>
    <n v="8"/>
    <s v="CUCHARO NEGRO (RE)"/>
    <x v="54"/>
    <s v="30X30"/>
    <n v="50887"/>
    <n v="179"/>
    <n v="0.26088888888888889"/>
    <n v="0.26700000000000002"/>
    <n v="0.27122222222222225"/>
    <n v="0.3255555555555556"/>
    <n v="2.1555555555555567E-2"/>
    <n v="6.4666666666666706E-2"/>
    <n v="1.3466666666666669"/>
    <n v="4.0400000000000009"/>
  </r>
  <r>
    <n v="2"/>
    <n v="7"/>
    <n v="11"/>
    <s v="CUCHARO NEGRO (RE)"/>
    <x v="54"/>
    <s v="30x35"/>
    <n v="50885"/>
    <n v="222"/>
    <n v="0.20910000000000001"/>
    <n v="0.217"/>
    <n v="0.2238"/>
    <n v="0.33189999999999997"/>
    <n v="4.0933333333333322E-2"/>
    <n v="0.12279999999999996"/>
    <n v="1.3333333333333333"/>
    <n v="4"/>
  </r>
  <r>
    <n v="2"/>
    <n v="4"/>
    <n v="7"/>
    <s v="CUCHARO DE PARAMO (RE)"/>
    <x v="55"/>
    <s v="30x35"/>
    <s v="50268_04_07"/>
    <n v="411"/>
    <n v="0.87829999999999997"/>
    <n v="0.99399999999999999"/>
    <n v="0.99490000000000001"/>
    <n v="1.0266666666666664"/>
    <n v="4.9455555555555475E-2"/>
    <n v="0.14836666666666642"/>
    <n v="0.72333333333333394"/>
    <n v="2.1700000000000017"/>
  </r>
  <r>
    <n v="2"/>
    <n v="8"/>
    <n v="3"/>
    <s v="CUCHARO DE PARAMO (RE)"/>
    <x v="55"/>
    <s v="30x35"/>
    <s v="50268_08_03"/>
    <n v="210"/>
    <n v="0.77024999999999999"/>
    <n v="0.93600000000000005"/>
    <n v="0.94699999999999995"/>
    <n v="1.0353749999999999"/>
    <n v="8.8374999999999981E-2"/>
    <n v="0.26512499999999994"/>
    <n v="0.58000000000000063"/>
    <n v="1.740000000000002"/>
  </r>
  <r>
    <n v="2"/>
    <n v="8"/>
    <n v="13"/>
    <s v="CUCHARO DE PARAMO (RE)"/>
    <x v="55"/>
    <s v="30x35"/>
    <n v="50142"/>
    <n v="224"/>
    <n v="1.02"/>
    <n v="1.204"/>
    <n v="1.2833333333333332"/>
    <n v="1.65"/>
    <n v="0.20999999999999996"/>
    <n v="0.62999999999999989"/>
    <n v="2.5666666666666678"/>
    <n v="7.7000000000000028"/>
  </r>
  <r>
    <n v="2"/>
    <n v="7"/>
    <n v="9"/>
    <s v="CUCHARO BLANCO (RE)"/>
    <x v="56"/>
    <s v="30x35"/>
    <n v="50870"/>
    <n v="93"/>
    <n v="0.55200000000000005"/>
    <n v="0.56899999999999995"/>
    <n v="0.625"/>
    <n v="0.73449999999999993"/>
    <n v="6.0833333333333295E-2"/>
    <n v="0.18249999999999988"/>
    <n v="0.8999999999999998"/>
    <n v="2.6999999999999993"/>
  </r>
  <r>
    <n v="2"/>
    <n v="4"/>
    <n v="2"/>
    <s v="ARDICIA (RE)"/>
    <x v="57"/>
    <s v="25x29"/>
    <n v="50761"/>
    <n v="250"/>
    <n v="0.9677"/>
    <n v="1.004"/>
    <n v="1.0134999999999998"/>
    <n v="1.0857777777777777"/>
    <n v="3.935925925925924E-2"/>
    <n v="0.11807777777777773"/>
    <n v="1.6900000000000002"/>
    <n v="5.07"/>
  </r>
  <r>
    <n v="2"/>
    <n v="4"/>
    <n v="2"/>
    <s v="ARDICIA (RE)"/>
    <x v="57"/>
    <s v="30x35"/>
    <n v="50113"/>
    <n v="172"/>
    <n v="1.1653749999999998"/>
    <n v="1.252"/>
    <n v="1.3243750000000001"/>
    <n v="1.3431250000000001"/>
    <n v="5.9250000000000101E-2"/>
    <n v="0.1777500000000003"/>
    <n v="1.0100000000000005"/>
    <n v="3.0300000000000011"/>
  </r>
  <r>
    <n v="2"/>
    <n v="8"/>
    <n v="2"/>
    <s v="OCOTEA (RE)"/>
    <x v="58"/>
    <s v="30x40"/>
    <n v="50778"/>
    <n v="118"/>
    <n v="1.0044999999999999"/>
    <n v="1.0489999999999999"/>
    <n v="1.1000000000000001"/>
    <n v="1.2749999999999999"/>
    <n v="9.0166666666666659E-2"/>
    <n v="0.27049999999999996"/>
    <n v="5.166666666666667"/>
    <n v="15.5"/>
  </r>
  <r>
    <n v="2"/>
    <n v="8"/>
    <n v="2"/>
    <s v="OCOTEA (RE)"/>
    <x v="58"/>
    <s v="30X30"/>
    <n v="50587"/>
    <n v="47"/>
    <n v="1.1125"/>
    <n v="1.117"/>
    <n v="1.21"/>
    <n v="1.25875"/>
    <n v="4.8749999999999995E-2"/>
    <n v="0.14624999999999999"/>
    <n v="1.5"/>
    <n v="4.5"/>
  </r>
  <r>
    <n v="2"/>
    <n v="1"/>
    <n v="14"/>
    <s v="MANO DE OSO (RE)"/>
    <x v="59"/>
    <s v="30x35"/>
    <n v="50874"/>
    <n v="282"/>
    <n v="0.43900000000000006"/>
    <n v="0.51600000000000001"/>
    <n v="0.64266666666666672"/>
    <n v="0.79999999999999993"/>
    <n v="0.12033333333333329"/>
    <n v="0.36099999999999988"/>
    <n v="1.6866666666666663"/>
    <n v="5.0599999999999987"/>
  </r>
  <r>
    <n v="2"/>
    <n v="5"/>
    <n v="6"/>
    <s v="MANO DE OSO (RE)"/>
    <x v="59"/>
    <s v="20x30"/>
    <n v="50838"/>
    <n v="1374"/>
    <n v="0.60299999999999998"/>
    <n v="0.66100000000000003"/>
    <n v="0.67870000000000008"/>
    <n v="0.79"/>
    <n v="6.2333333333333352E-2"/>
    <n v="0.18700000000000006"/>
    <n v="1.33"/>
    <n v="3.99"/>
  </r>
  <r>
    <n v="2"/>
    <n v="5"/>
    <n v="12"/>
    <s v="MANO DE OSO (RE)"/>
    <x v="59"/>
    <s v="25x29"/>
    <n v="50566"/>
    <n v="90"/>
    <n v="1.1599999999999999"/>
    <n v="1.1599999999999999"/>
    <n v="1.1599999999999999"/>
    <n v="1.37"/>
    <n v="7.0000000000000062E-2"/>
    <n v="0.21000000000000019"/>
    <n v="3"/>
    <n v="9"/>
  </r>
  <r>
    <n v="2"/>
    <n v="5"/>
    <n v="12"/>
    <s v="MANO DE OSO (RE)"/>
    <x v="59"/>
    <s v="30X30"/>
    <n v="50476"/>
    <n v="192"/>
    <n v="0.69125000000000014"/>
    <n v="0.97699999999999998"/>
    <n v="1.0162500000000001"/>
    <n v="1.046"/>
    <n v="0.11824999999999997"/>
    <n v="0.3547499999999999"/>
    <n v="0.79999999999999949"/>
    <n v="2.3999999999999986"/>
  </r>
  <r>
    <n v="2"/>
    <n v="5"/>
    <n v="12"/>
    <s v="MANO DE OSO (RE)"/>
    <x v="59"/>
    <s v="20x30"/>
    <n v="50633"/>
    <n v="158"/>
    <n v="0.45333333333333337"/>
    <n v="0.56699999999999995"/>
    <n v="0.6283333333333333"/>
    <n v="0.72666666666666657"/>
    <n v="9.1111111111111073E-2"/>
    <n v="0.27333333333333321"/>
    <n v="0.8999999999999998"/>
    <n v="2.6999999999999993"/>
  </r>
  <r>
    <n v="2"/>
    <n v="5"/>
    <n v="12"/>
    <s v="MANO DE OSO (RE)"/>
    <x v="60"/>
    <s v="30X30"/>
    <n v="50634"/>
    <n v="74"/>
    <n v="0.45999999999999996"/>
    <n v="0.6"/>
    <n v="0.6"/>
    <n v="0.66999999999999993"/>
    <n v="6.9999999999999993E-2"/>
    <n v="0.20999999999999996"/>
    <n v="1.0066666666666666"/>
    <n v="3.0199999999999996"/>
  </r>
  <r>
    <n v="2"/>
    <n v="1"/>
    <n v="11"/>
    <s v="TRINITARIA (RE)"/>
    <x v="61"/>
    <s v="25x29"/>
    <n v="50795"/>
    <n v="754"/>
    <n v="1.2383"/>
    <n v="1.3089999999999999"/>
    <n v="1.3706666666666667"/>
    <n v="1.3867500000000001"/>
    <n v="4.94833333333334E-2"/>
    <n v="0.14845000000000019"/>
    <n v="9.6366666666666649"/>
    <n v="28.909999999999997"/>
  </r>
  <r>
    <n v="2"/>
    <n v="4"/>
    <n v="20"/>
    <s v="TOMINEJERO (RE)"/>
    <x v="62"/>
    <s v="25x29"/>
    <n v="50867"/>
    <n v="303"/>
    <n v="0.56774999999999998"/>
    <n v="0.73"/>
    <n v="0.76137500000000002"/>
    <n v="0.83"/>
    <n v="8.7416666666666656E-2"/>
    <n v="0.26224999999999998"/>
    <n v="3.65"/>
    <n v="10.95"/>
  </r>
  <r>
    <n v="2"/>
    <n v="5"/>
    <n v="1"/>
    <s v="YOLOMBO (RE)"/>
    <x v="63"/>
    <s v="25x29"/>
    <n v="50782"/>
    <n v="162"/>
    <n v="1.2250000000000001"/>
    <n v="1.296"/>
    <n v="1.3399999999999999"/>
    <n v="1.3619999999999999"/>
    <n v="4.5666666666666599E-2"/>
    <n v="0.13699999999999979"/>
    <n v="0.63333333333333286"/>
    <n v="1.8999999999999986"/>
  </r>
  <r>
    <n v="2"/>
    <n v="4"/>
    <n v="15"/>
    <s v="UCHUVA (RE)"/>
    <x v="64"/>
    <s v="25x29"/>
    <n v="50805"/>
    <n v="15"/>
    <n v="0.37"/>
    <n v="0.44"/>
    <n v="0.44"/>
    <n v="1.1399999999999999"/>
    <n v="0.25666666666666665"/>
    <n v="0.76999999999999991"/>
    <n v="0"/>
    <n v="0"/>
  </r>
  <r>
    <n v="2"/>
    <n v="1"/>
    <n v="3"/>
    <s v="GUABAS (RE)"/>
    <x v="65"/>
    <s v="25x29"/>
    <n v="50759"/>
    <n v="232"/>
    <n v="1.4239999999999999"/>
    <n v="1.5029999999999999"/>
    <n v="1.5299"/>
    <n v="1.4773749999999999"/>
    <n v="1.779166666666665E-2"/>
    <n v="5.337499999999995E-2"/>
    <n v="2.0333333333333337"/>
    <n v="6.1000000000000014"/>
  </r>
  <r>
    <n v="2"/>
    <n v="2"/>
    <n v="2"/>
    <s v="CORDONCILLO (RE)"/>
    <x v="66"/>
    <s v="30X30"/>
    <n v="50752"/>
    <n v="89"/>
    <n v="0.81750000000000012"/>
    <n v="0.88800000000000001"/>
    <n v="0.91999999999999993"/>
    <n v="1.21"/>
    <n v="0.13083333333333327"/>
    <n v="0.39249999999999985"/>
    <n v="1.4000000000000001"/>
    <n v="4.2"/>
  </r>
  <r>
    <n v="2"/>
    <n v="2"/>
    <n v="2"/>
    <s v="CORDONCILLO (RE)"/>
    <x v="67"/>
    <s v="30x35"/>
    <n v="50188"/>
    <n v="24"/>
    <n v="0.68500000000000005"/>
    <n v="0.68500000000000005"/>
    <n v="0.68500000000000005"/>
    <n v="0.68500000000000005"/>
    <n v="0"/>
    <n v="0"/>
    <n v="1.3333333333333333"/>
    <n v="4"/>
  </r>
  <r>
    <n v="2"/>
    <n v="4"/>
    <n v="17"/>
    <s v="CEREZO (RE)"/>
    <x v="68"/>
    <s v="30X30"/>
    <n v="50596"/>
    <n v="110"/>
    <n v="1.1043333333333332"/>
    <n v="1.409"/>
    <n v="1.4916666666666665"/>
    <n v="1.5683333333333331"/>
    <n v="0.15466666666666665"/>
    <n v="0.46399999999999997"/>
    <n v="8.9833333333333343"/>
    <n v="26.950000000000003"/>
  </r>
  <r>
    <n v="2"/>
    <n v="4"/>
    <n v="17"/>
    <s v="CEREZO (RE)"/>
    <x v="68"/>
    <s v="30X30"/>
    <n v="50571"/>
    <n v="223"/>
    <n v="0.87487500000000007"/>
    <n v="1.036"/>
    <n v="1.036"/>
    <n v="1.0483333333333333"/>
    <n v="5.7819444444444423E-2"/>
    <n v="0.17345833333333327"/>
    <n v="6.7166666666666641"/>
    <n v="20.149999999999991"/>
  </r>
  <r>
    <n v="2"/>
    <n v="8"/>
    <n v="10"/>
    <s v="CEREZO (RE)"/>
    <x v="68"/>
    <s v="30x35"/>
    <n v="50883"/>
    <n v="158"/>
    <n v="0.23700000000000002"/>
    <n v="0.28349999999999997"/>
    <n v="0.42749999999999999"/>
    <n v="0.63624999999999998"/>
    <n v="0.13308333333333333"/>
    <n v="0.39924999999999999"/>
    <n v="10.213333333333333"/>
    <n v="30.639999999999997"/>
  </r>
  <r>
    <n v="2"/>
    <n v="7"/>
    <n v="4"/>
    <s v="GUAYABO DEL PERU (RE)"/>
    <x v="69"/>
    <s v="30X30"/>
    <n v="50580"/>
    <n v="25"/>
    <n v="1.7649999999999999"/>
    <n v="1.85"/>
    <n v="1.85"/>
    <n v="1.8925000000000001"/>
    <n v="4.2500000000000059E-2"/>
    <n v="0.12750000000000017"/>
    <n v="4.75"/>
    <n v="14.25"/>
  </r>
  <r>
    <n v="2"/>
    <n v="3"/>
    <n v="22"/>
    <s v="ROBLE (RE)"/>
    <x v="70"/>
    <s v="30X30"/>
    <n v="50732"/>
    <n v="274"/>
    <n v="1.3501000000000001"/>
    <n v="1.393"/>
    <n v="1.4593"/>
    <n v="1.5183"/>
    <n v="5.6066666666666633E-2"/>
    <n v="0.16819999999999991"/>
    <n v="9.1"/>
    <n v="27.299999999999997"/>
  </r>
  <r>
    <n v="2"/>
    <n v="3"/>
    <n v="22"/>
    <s v="ROBLE (RE)"/>
    <x v="70"/>
    <s v="30X30"/>
    <n v="50545"/>
    <n v="13"/>
    <n v="0.95760000000000001"/>
    <n v="1.0740000000000001"/>
    <n v="1.1138000000000001"/>
    <n v="1.1138000000000001"/>
    <n v="5.2066666666666706E-2"/>
    <n v="0.15620000000000012"/>
    <n v="5.9000000000000012"/>
    <n v="17.700000000000003"/>
  </r>
  <r>
    <n v="2"/>
    <n v="3"/>
    <n v="22"/>
    <s v="ROBLE (RE)"/>
    <x v="70"/>
    <s v="30x35"/>
    <n v="50833"/>
    <n v="204"/>
    <n v="0.83274999999999988"/>
    <n v="0.89"/>
    <n v="1"/>
    <n v="1.1612499999999999"/>
    <n v="0.1095"/>
    <n v="0.32850000000000001"/>
    <n v="10.826666666666666"/>
    <n v="32.479999999999997"/>
  </r>
  <r>
    <n v="2"/>
    <n v="3"/>
    <n v="22"/>
    <s v="ROBLE (RE)"/>
    <x v="70"/>
    <s v="30x35"/>
    <n v="50725"/>
    <n v="62"/>
    <n v="1.1123333333333334"/>
    <n v="1.1419999999999999"/>
    <n v="1.1816666666666666"/>
    <n v="1.4343333333333332"/>
    <n v="0.10733333333333328"/>
    <n v="0.32199999999999984"/>
    <n v="7.6433333333333353"/>
    <n v="22.930000000000007"/>
  </r>
  <r>
    <n v="2"/>
    <n v="7"/>
    <n v="16"/>
    <s v="ROBLE (RE)"/>
    <x v="70"/>
    <s v="30x35"/>
    <n v="50888"/>
    <n v="135"/>
    <n v="0.3076666666666667"/>
    <n v="0.34200000000000003"/>
    <n v="0.38500000000000001"/>
    <n v="0.57166666666666666"/>
    <n v="8.7999999999999981E-2"/>
    <n v="0.26399999999999996"/>
    <n v="3.6566666666666676"/>
    <n v="10.970000000000002"/>
  </r>
  <r>
    <n v="2"/>
    <n v="7"/>
    <n v="4"/>
    <s v="PINO ROMERON (RE)"/>
    <x v="71"/>
    <s v="30X30"/>
    <n v="50547"/>
    <n v="73"/>
    <n v="1.2414085561167836"/>
    <n v="1.2869999999999999"/>
    <n v="1.3466666666666667"/>
    <n v="1.5166666666666666"/>
    <n v="9.1752703516627676E-2"/>
    <n v="0.27525811054988303"/>
    <n v="5.2900000000000018"/>
    <n v="15.870000000000005"/>
  </r>
  <r>
    <n v="2"/>
    <n v="7"/>
    <n v="4"/>
    <s v="PINO ROMERON (RE)"/>
    <x v="71"/>
    <s v="30x35"/>
    <n v="50389"/>
    <n v="14"/>
    <n v="1.6552114081557117"/>
    <n v="1.655"/>
    <n v="1.655"/>
    <n v="1.655"/>
    <n v="-7.0469385237211427E-5"/>
    <n v="-2.1140815571163429E-4"/>
    <n v="7"/>
    <n v="21"/>
  </r>
  <r>
    <n v="2"/>
    <n v="7"/>
    <n v="4"/>
    <s v="PINO ROMERON (RE)"/>
    <x v="71"/>
    <s v="30x35"/>
    <n v="50676"/>
    <n v="3"/>
    <n v="2.8902537665488195"/>
    <n v="2.89"/>
    <n v="2.89"/>
    <n v="3.13"/>
    <n v="7.9915411150393467E-2"/>
    <n v="0.2397462334511804"/>
    <n v="20"/>
    <n v="60"/>
  </r>
  <r>
    <n v="2"/>
    <n v="8"/>
    <n v="10"/>
    <s v="PINO ROMERON (RE)"/>
    <x v="71"/>
    <s v="30x35"/>
    <n v="50884"/>
    <n v="262"/>
    <n v="0.29050000000000004"/>
    <n v="0.34"/>
    <n v="0.42125000000000001"/>
    <n v="0.56999999999999995"/>
    <n v="9.3166666666666634E-2"/>
    <n v="0.27949999999999992"/>
    <n v="3.793333333333333"/>
    <n v="11.379999999999999"/>
  </r>
  <r>
    <n v="2"/>
    <n v="3"/>
    <n v="21"/>
    <s v="MOQUILLO (RE)"/>
    <x v="72"/>
    <s v="30x35"/>
    <n v="50745"/>
    <n v="131"/>
    <n v="1.7508333333333335"/>
    <n v="1.7509999999999999"/>
    <n v="1.7658333333333334"/>
    <n v="2.0019999999999998"/>
    <n v="8.3722222222222101E-2"/>
    <n v="0.25116666666666632"/>
    <n v="4.0999999999999988"/>
    <n v="12.299999999999997"/>
  </r>
  <r>
    <n v="2"/>
    <n v="3"/>
    <n v="21"/>
    <s v="MOQUILLO (RE)"/>
    <x v="72"/>
    <s v="25x29"/>
    <n v="50718"/>
    <n v="168"/>
    <n v="1.4248749999999999"/>
    <n v="1.4570000000000001"/>
    <n v="1.5579999999999998"/>
    <n v="1.6377999999999999"/>
    <n v="7.097500000000001E-2"/>
    <n v="0.21292500000000003"/>
    <n v="2.2999999999999972"/>
    <n v="6.8999999999999915"/>
  </r>
  <r>
    <n v="2"/>
    <n v="3"/>
    <n v="21"/>
    <s v="MOQUILLO (RE)"/>
    <x v="72"/>
    <s v="30x35"/>
    <n v="50681"/>
    <n v="9"/>
    <n v="1.2729999999999999"/>
    <n v="1.2729999999999999"/>
    <n v="1.2729999999999999"/>
    <n v="2.81"/>
    <n v="0.51233333333333342"/>
    <n v="1.5370000000000001"/>
    <n v="4.333333333333333"/>
    <n v="13"/>
  </r>
  <r>
    <n v="2"/>
    <n v="5"/>
    <n v="5"/>
    <s v="ALCAPARRO ENANO (RE)"/>
    <x v="73"/>
    <s v="25x29"/>
    <n v="50808"/>
    <n v="363"/>
    <n v="1.0670000000000002"/>
    <n v="1.115"/>
    <n v="1.1446000000000001"/>
    <n v="1.1975"/>
    <n v="4.3499999999999948E-2"/>
    <n v="0.13049999999999984"/>
    <n v="3.8133333333333375"/>
    <n v="11.440000000000012"/>
  </r>
  <r>
    <n v="2"/>
    <n v="5"/>
    <n v="5"/>
    <s v="ALCAPARRO ENANO (RE)"/>
    <x v="73"/>
    <s v="30x35"/>
    <n v="50774"/>
    <n v="2"/>
    <n v="1.175"/>
    <n v="1.31"/>
    <n v="1.31"/>
    <n v="1.3149999999999999"/>
    <n v="4.6666666666666634E-2"/>
    <n v="0.1399999999999999"/>
    <n v="1.5833333333333333"/>
    <n v="4.75"/>
  </r>
  <r>
    <n v="2"/>
    <n v="4"/>
    <n v="16"/>
    <s v="ALCAPARRO DOBLE (RE)"/>
    <x v="74"/>
    <s v="25x29"/>
    <n v="50865"/>
    <n v="628"/>
    <n v="0.73870000000000002"/>
    <n v="0.92"/>
    <n v="1.06"/>
    <n v="1.1930000000000001"/>
    <n v="0.15143333333333334"/>
    <n v="0.45430000000000004"/>
    <n v="7.9333333333333345"/>
    <n v="23.800000000000004"/>
  </r>
  <r>
    <n v="2"/>
    <n v="6"/>
    <n v="5"/>
    <s v="ALCAPARRO DOBLE (RE)"/>
    <x v="74"/>
    <s v="30x35"/>
    <n v="50744"/>
    <n v="1"/>
    <n v="1.4960564650638162"/>
    <n v="1.52"/>
    <n v="1.78"/>
    <n v="1.78"/>
    <n v="9.4647844978727955E-2"/>
    <n v="0.28394353493618385"/>
    <n v="2.3333333333333335"/>
    <n v="7"/>
  </r>
  <r>
    <n v="2"/>
    <n v="3"/>
    <n v="5"/>
    <s v="ARBOLOCO (RE)"/>
    <x v="75"/>
    <s v="30X30"/>
    <n v="50854"/>
    <n v="179"/>
    <n v="0.92174999999999996"/>
    <n v="0.97599999999999998"/>
    <n v="1.162625"/>
    <n v="1.48"/>
    <n v="0.18608333333333335"/>
    <n v="0.55825000000000002"/>
    <n v="12.303333333333335"/>
    <n v="36.910000000000004"/>
  </r>
  <r>
    <n v="2"/>
    <n v="3"/>
    <n v="5"/>
    <s v="ARBOLOCO (RE)"/>
    <x v="75"/>
    <s v="30x35"/>
    <n v="50846"/>
    <n v="114"/>
    <n v="1.525166666666667"/>
    <n v="1.601"/>
    <n v="1.7288333333333334"/>
    <n v="1.9949999999999999"/>
    <n v="0.15661111111111095"/>
    <n v="0.46983333333333288"/>
    <n v="16.739999999999998"/>
    <n v="50.22"/>
  </r>
  <r>
    <n v="2"/>
    <n v="1"/>
    <n v="9"/>
    <s v="SOLANUM ESP (RE)"/>
    <x v="76"/>
    <s v="30x35"/>
    <n v="50530"/>
    <n v="48"/>
    <n v="1.8993333333333335"/>
    <n v="1.964"/>
    <n v="1.9643333333333335"/>
    <n v="2.1283333333333334"/>
    <n v="7.6333333333333295E-2"/>
    <n v="0.22899999999999987"/>
    <n v="0.66666666666666663"/>
    <n v="2"/>
  </r>
  <r>
    <n v="2"/>
    <n v="8"/>
    <n v="11"/>
    <s v="TOMATILLO (RE)"/>
    <x v="77"/>
    <s v="30x35"/>
    <n v="50751"/>
    <n v="239"/>
    <n v="1.0142500000000001"/>
    <n v="1.0840000000000001"/>
    <n v="1.2013333333333334"/>
    <n v="1.44"/>
    <n v="0.14191666666666661"/>
    <n v="0.42574999999999985"/>
    <n v="5.9000000000000012"/>
    <n v="17.700000000000003"/>
  </r>
  <r>
    <n v="2"/>
    <n v="8"/>
    <n v="11"/>
    <s v="TOMATILLO (RE)"/>
    <x v="77"/>
    <s v="20x30"/>
    <n v="50737"/>
    <n v="31"/>
    <n v="0.77300000000000002"/>
    <n v="1.71"/>
    <n v="1.71"/>
    <n v="1.71"/>
    <n v="0.3123333333333333"/>
    <n v="0.93699999999999994"/>
    <n v="0.33333333333333331"/>
    <n v="1"/>
  </r>
  <r>
    <n v="2"/>
    <n v="8"/>
    <n v="11"/>
    <s v="TOMATILLO (RE)"/>
    <x v="77"/>
    <s v="30X30"/>
    <n v="50738"/>
    <n v="54"/>
    <n v="0.63100000000000001"/>
    <n v="0.64500000000000002"/>
    <n v="0.65"/>
    <n v="0.65949999999999998"/>
    <n v="9.4999999999999894E-3"/>
    <n v="2.849999999999997E-2"/>
    <n v="1.4166666666666667"/>
    <n v="4.25"/>
  </r>
  <r>
    <n v="2"/>
    <n v="8"/>
    <n v="11"/>
    <s v="TOMATILLO (RE)"/>
    <x v="77"/>
    <s v="20x30"/>
    <n v="50644"/>
    <n v="14"/>
    <n v="1.538"/>
    <n v="1.538"/>
    <n v="1.77"/>
    <n v="1.8860000000000001"/>
    <n v="0.11600000000000003"/>
    <n v="0.34800000000000009"/>
    <n v="0.23333333333333309"/>
    <n v="0.69999999999999929"/>
  </r>
  <r>
    <n v="2"/>
    <n v="6"/>
    <n v="3"/>
    <s v="LULO (RE)"/>
    <x v="78"/>
    <s v="30X30"/>
    <n v="50603"/>
    <n v="32"/>
    <n v="1.6680000000000001"/>
    <n v="1.84"/>
    <n v="1.84"/>
    <n v="1.93"/>
    <n v="8.7333333333333263E-2"/>
    <n v="0.26199999999999979"/>
    <n v="4.166666666666667"/>
    <n v="12.5"/>
  </r>
  <r>
    <n v="2"/>
    <n v="7"/>
    <n v="7"/>
    <s v="SIETE CUEROS (RE)"/>
    <x v="79"/>
    <s v="30x35"/>
    <n v="50869"/>
    <n v="214"/>
    <n v="0.35274999999999995"/>
    <n v="0.39400000000000002"/>
    <n v="0.49100000000000005"/>
    <n v="0.51749999999999996"/>
    <n v="5.4916666666666669E-2"/>
    <n v="0.16475000000000001"/>
    <n v="3.3766666666666665"/>
    <n v="10.129999999999999"/>
  </r>
  <r>
    <n v="2"/>
    <n v="3"/>
    <n v="9"/>
    <s v="SIETE CUEROS (RE)"/>
    <x v="80"/>
    <s v="20x30"/>
    <n v="50845"/>
    <n v="459"/>
    <n v="0.48419999999999996"/>
    <n v="0.51200000000000001"/>
    <n v="0.60270000000000001"/>
    <n v="0.65500000000000003"/>
    <n v="5.6933333333333357E-2"/>
    <n v="0.17080000000000006"/>
    <n v="3.1999999999999993"/>
    <n v="9.5999999999999979"/>
  </r>
  <r>
    <n v="2"/>
    <n v="7"/>
    <n v="11"/>
    <s v="ANGELITO (RE)"/>
    <x v="81"/>
    <s v="30x35"/>
    <n v="50872"/>
    <n v="200"/>
    <n v="0.45599999999999996"/>
    <n v="0.68"/>
    <n v="0.78"/>
    <n v="0.84"/>
    <n v="0.128"/>
    <n v="0.38400000000000001"/>
    <n v="11"/>
    <n v="33"/>
  </r>
  <r>
    <n v="2"/>
    <n v="3"/>
    <n v="1"/>
    <s v="RAQUE (RE)"/>
    <x v="82"/>
    <s v="25x29"/>
    <n v="50801"/>
    <n v="371"/>
    <n v="0.68289999999999995"/>
    <n v="0.79"/>
    <n v="0.79020000000000001"/>
    <n v="0.82485714285714284"/>
    <n v="4.7319047619047629E-2"/>
    <n v="0.14195714285714289"/>
    <n v="1.3199999999999978"/>
    <n v="3.9599999999999937"/>
  </r>
  <r>
    <n v="2"/>
    <n v="3"/>
    <n v="1"/>
    <s v="RAQUE (RE)"/>
    <x v="82"/>
    <s v="20x30"/>
    <n v="50814"/>
    <n v="218"/>
    <n v="0.58125000000000004"/>
    <n v="0.59099999999999997"/>
    <n v="0.62924999999999998"/>
    <n v="0.58000000000000007"/>
    <n v="-4.166666666666578E-4"/>
    <n v="-1.2499999999999734E-3"/>
    <n v="10.469999999999999"/>
    <n v="31.409999999999997"/>
  </r>
  <r>
    <n v="2"/>
    <n v="3"/>
    <n v="1"/>
    <s v="RAQUE (RE)"/>
    <x v="82"/>
    <s v="30x35"/>
    <n v="50741"/>
    <n v="55"/>
    <n v="0.59"/>
    <n v="0.76700000000000002"/>
    <n v="0.77666666666666673"/>
    <n v="0.92"/>
    <n v="0.11000000000000003"/>
    <n v="0.33000000000000007"/>
    <n v="19.566666666666666"/>
    <n v="58.7"/>
  </r>
  <r>
    <n v="2"/>
    <n v="3"/>
    <n v="1"/>
    <s v="RAQUE (RE)"/>
    <x v="82"/>
    <s v="25x29"/>
    <n v="50791"/>
    <n v="49"/>
    <n v="0.51"/>
    <n v="0.58499999999999996"/>
    <n v="0.77"/>
    <n v="0.91"/>
    <n v="0.13333333333333333"/>
    <n v="0.4"/>
    <n v="7.833333333333333"/>
    <n v="23.5"/>
  </r>
  <r>
    <n v="2"/>
    <n v="3"/>
    <n v="1"/>
    <s v="RAQUE (RE)"/>
    <x v="82"/>
    <s v="30X30"/>
    <n v="50850"/>
    <n v="46"/>
    <n v="0.95499999999999996"/>
    <n v="0.95499999999999996"/>
    <n v="0.95499999999999996"/>
    <n v="0.97"/>
    <n v="5.0000000000000044E-3"/>
    <n v="1.5000000000000013E-2"/>
    <n v="7.6500000000000012"/>
    <n v="22.950000000000003"/>
  </r>
  <r>
    <n v="2"/>
    <n v="4"/>
    <n v="20"/>
    <s v="PAPAYUELA (RE)"/>
    <x v="83"/>
    <s v="30x35"/>
    <n v="50678"/>
    <n v="4"/>
    <n v="1.0609999999999999"/>
    <n v="1.4"/>
    <n v="1.4"/>
    <n v="1.41"/>
    <n v="0.11633333333333333"/>
    <n v="0.34899999999999998"/>
    <n v="0.66666666666666663"/>
    <n v="2"/>
  </r>
  <r>
    <n v="2"/>
    <n v="8"/>
    <n v="6"/>
    <s v="PAPAYUELA (RE)"/>
    <x v="83"/>
    <s v="25x29"/>
    <n v="50825"/>
    <n v="132"/>
    <n v="1.9258333333333333"/>
    <n v="2.06"/>
    <n v="2.2466666666666666"/>
    <n v="2.4950000000000006"/>
    <n v="0.18972222222222243"/>
    <n v="0.56916666666666726"/>
    <n v="1.900000000000001"/>
    <n v="5.7000000000000028"/>
  </r>
  <r>
    <n v="2"/>
    <n v="1"/>
    <n v="16"/>
    <s v="CERVETANO (RE)"/>
    <x v="84"/>
    <s v="25x29"/>
    <n v="50797"/>
    <n v="311"/>
    <n v="1.6519999999999999"/>
    <n v="1.6579999999999999"/>
    <n v="1.6791999999999998"/>
    <n v="1.6994"/>
    <n v="1.5800000000000036E-2"/>
    <n v="4.7400000000000109E-2"/>
    <n v="6.7999999999999927"/>
    <n v="20.399999999999977"/>
  </r>
  <r>
    <n v="2"/>
    <n v="3"/>
    <n v="6"/>
    <s v="CERVETANO (RE)"/>
    <x v="84"/>
    <s v="20x30"/>
    <n v="50816"/>
    <n v="983"/>
    <n v="0.99320000000000008"/>
    <n v="1.0960000000000001"/>
    <n v="1.1579000000000002"/>
    <n v="1.152222222222222"/>
    <n v="5.3007407407407316E-2"/>
    <n v="0.15902222222222195"/>
    <n v="4.2399999999999993"/>
    <n v="12.719999999999999"/>
  </r>
  <r>
    <n v="2"/>
    <n v="3"/>
    <n v="6"/>
    <s v="CERVETANO (RE)"/>
    <x v="84"/>
    <s v="30X30"/>
    <n v="50773"/>
    <n v="13"/>
    <n v="0.99199999999999999"/>
    <n v="1.107"/>
    <n v="1.35"/>
    <n v="1.44"/>
    <n v="0.14933333333333332"/>
    <n v="0.44799999999999995"/>
    <n v="4"/>
    <n v="12"/>
  </r>
  <r>
    <n v="2"/>
    <n v="7"/>
    <n v="7"/>
    <s v="CERVETANO (RE)"/>
    <x v="84"/>
    <s v="30x35"/>
    <n v="50868"/>
    <n v="416"/>
    <n v="1.153"/>
    <n v="1.3819999999999999"/>
    <n v="1.492"/>
    <n v="1.6900000000000002"/>
    <n v="0.17900000000000005"/>
    <n v="0.53700000000000014"/>
    <n v="19.666666666666668"/>
    <n v="59"/>
  </r>
  <r>
    <n v="2"/>
    <n v="8"/>
    <n v="6"/>
    <s v="CERVETANO (RE)"/>
    <x v="84"/>
    <s v="25x29"/>
    <n v="50839"/>
    <n v="215"/>
    <n v="1.1176666666666668"/>
    <n v="1.224"/>
    <n v="1.32"/>
    <n v="1.46"/>
    <n v="0.11411111111111105"/>
    <n v="0.34233333333333316"/>
    <n v="8.01"/>
    <n v="24.03"/>
  </r>
  <r>
    <n v="2"/>
    <n v="4"/>
    <n v="21"/>
    <s v="GARROCHO (RE)"/>
    <x v="85"/>
    <s v="25x29"/>
    <n v="50861"/>
    <n v="714"/>
    <n v="0.42230000000000001"/>
    <n v="0.56000000000000005"/>
    <n v="0.61499999999999999"/>
    <n v="0.84199999999999997"/>
    <n v="0.1399"/>
    <n v="0.41969999999999996"/>
    <n v="9.0666666666666682"/>
    <n v="27.200000000000003"/>
  </r>
  <r>
    <n v="2"/>
    <n v="7"/>
    <n v="1"/>
    <s v="GARROCHO (RE)"/>
    <x v="85"/>
    <s v="20x30"/>
    <n v="50852"/>
    <n v="256"/>
    <n v="0.56225000000000003"/>
    <n v="0.65600000000000003"/>
    <n v="0.79000000000000015"/>
    <n v="0.98375000000000001"/>
    <n v="0.14049999999999999"/>
    <n v="0.42149999999999999"/>
    <n v="7.4433333333333351"/>
    <n v="22.330000000000005"/>
  </r>
  <r>
    <n v="2"/>
    <n v="4"/>
    <n v="15"/>
    <s v="PUNTA DE LANZA (RE)"/>
    <x v="86"/>
    <s v="25x29"/>
    <n v="50849"/>
    <n v="27"/>
    <n v="0.60299999999999998"/>
    <n v="0.67"/>
    <n v="0.67"/>
    <n v="0.95"/>
    <n v="0.11566666666666665"/>
    <n v="0.34699999999999998"/>
    <n v="6.166666666666667"/>
    <n v="18.5"/>
  </r>
  <r>
    <n v="2"/>
    <n v="2"/>
    <n v="8"/>
    <s v="ENCENILLO (RE)"/>
    <x v="87"/>
    <s v="30X30"/>
    <n v="50426"/>
    <n v="320"/>
    <n v="0.42700000000000005"/>
    <n v="0.47799999999999998"/>
    <n v="0.56174999999999997"/>
    <n v="0.77666666666666673"/>
    <n v="0.11655555555555557"/>
    <n v="0.34966666666666668"/>
    <n v="2.2333333333333329"/>
    <n v="6.6999999999999993"/>
  </r>
  <r>
    <n v="2"/>
    <n v="2"/>
    <n v="8"/>
    <s v="ENCENILLO (RE)"/>
    <x v="87"/>
    <s v="30X30"/>
    <n v="50760"/>
    <n v="140"/>
    <n v="1.1399999999999999"/>
    <n v="1.143"/>
    <n v="1.1737500000000001"/>
    <n v="1.2416666666666667"/>
    <n v="3.3888888888888934E-2"/>
    <n v="0.10166666666666679"/>
    <n v="0.84333333333333371"/>
    <n v="2.5300000000000011"/>
  </r>
  <r>
    <n v="2"/>
    <n v="2"/>
    <n v="18"/>
    <s v="ENCENILLO (RE)"/>
    <x v="87"/>
    <s v="30x35"/>
    <n v="50706"/>
    <n v="71"/>
    <n v="0.40666666666666673"/>
    <n v="0.45400000000000001"/>
    <n v="0.52999999999999992"/>
    <n v="0.52999999999999992"/>
    <n v="4.1111111111111064E-2"/>
    <n v="0.12333333333333318"/>
    <n v="1.4433333333333327"/>
    <n v="4.3299999999999983"/>
  </r>
  <r>
    <n v="2"/>
    <n v="3"/>
    <n v="3"/>
    <s v="ENCENILLO (RE)"/>
    <x v="87"/>
    <s v="20x30"/>
    <n v="50618"/>
    <n v="96"/>
    <n v="0.26"/>
    <n v="0.30599999999999999"/>
    <n v="0.32833333333333331"/>
    <n v="0.39999999999999997"/>
    <n v="4.6666666666666655E-2"/>
    <n v="0.13999999999999996"/>
    <n v="2.6099999999999994"/>
    <n v="7.8299999999999983"/>
  </r>
  <r>
    <n v="2"/>
    <n v="3"/>
    <n v="4"/>
    <s v="ENCENILLO (RE)"/>
    <x v="87"/>
    <s v="25x29"/>
    <n v="50803"/>
    <n v="486"/>
    <n v="0.52749999999999997"/>
    <n v="0.55700000000000005"/>
    <n v="0.67512499999999998"/>
    <n v="0.73833333333333329"/>
    <n v="7.0277777777777772E-2"/>
    <n v="0.21083333333333332"/>
    <n v="3.6566666666666663"/>
    <n v="10.969999999999999"/>
  </r>
  <r>
    <n v="2"/>
    <n v="3"/>
    <n v="7"/>
    <s v="CORONO (RE)"/>
    <x v="88"/>
    <s v="30X30"/>
    <n v="50604"/>
    <n v="350"/>
    <n v="1.2707000000000002"/>
    <n v="1.3660000000000001"/>
    <n v="1.4393999999999996"/>
    <n v="1.5129999999999999"/>
    <n v="8.0766666666666584E-2"/>
    <n v="0.24229999999999974"/>
    <n v="4.0666666666666673"/>
    <n v="12.200000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8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E310" firstHeaderRow="0" firstDataRow="1" firstDataCol="1"/>
  <pivotFields count="12">
    <pivotField showAll="0"/>
    <pivotField showAll="0"/>
    <pivotField showAll="0"/>
    <pivotField showAll="0"/>
    <pivotField axis="axisRow" showAll="0">
      <items count="89">
        <item x="68"/>
        <item x="14"/>
        <item x="51"/>
        <item x="64"/>
        <item x="2"/>
        <item x="46"/>
        <item x="42"/>
        <item x="72"/>
        <item x="9"/>
        <item x="52"/>
        <item x="87"/>
        <item x="18"/>
        <item x="6"/>
        <item x="69"/>
        <item x="61"/>
        <item x="38"/>
        <item x="82"/>
        <item x="34"/>
        <item x="33"/>
        <item x="11"/>
        <item x="15"/>
        <item x="1"/>
        <item x="48"/>
        <item x="13"/>
        <item x="39"/>
        <item x="31"/>
        <item x="23"/>
        <item x="73"/>
        <item x="3"/>
        <item x="40"/>
        <item x="63"/>
        <item x="25"/>
        <item x="32"/>
        <item x="62"/>
        <item x="59"/>
        <item x="45"/>
        <item x="8"/>
        <item x="20"/>
        <item x="83"/>
        <item x="21"/>
        <item x="65"/>
        <item x="75"/>
        <item x="67"/>
        <item x="55"/>
        <item x="81"/>
        <item x="27"/>
        <item x="85"/>
        <item x="71"/>
        <item x="28"/>
        <item x="47"/>
        <item x="30"/>
        <item x="29"/>
        <item x="43"/>
        <item x="44"/>
        <item x="17"/>
        <item x="41"/>
        <item x="78"/>
        <item x="37"/>
        <item x="84"/>
        <item x="7"/>
        <item x="66"/>
        <item x="5"/>
        <item x="57"/>
        <item x="60"/>
        <item x="49"/>
        <item x="0"/>
        <item x="12"/>
        <item x="54"/>
        <item x="74"/>
        <item x="36"/>
        <item x="76"/>
        <item x="80"/>
        <item x="35"/>
        <item x="53"/>
        <item x="22"/>
        <item x="86"/>
        <item x="4"/>
        <item x="70"/>
        <item x="77"/>
        <item x="26"/>
        <item x="79"/>
        <item x="19"/>
        <item x="56"/>
        <item x="10"/>
        <item x="58"/>
        <item x="50"/>
        <item x="16"/>
        <item x="24"/>
        <item t="default"/>
      </items>
    </pivotField>
    <pivotField showAll="0"/>
    <pivotField axis="axisRow" showAll="0">
      <items count="219">
        <item x="182"/>
        <item x="185"/>
        <item x="11"/>
        <item x="89"/>
        <item x="211"/>
        <item x="80"/>
        <item x="10"/>
        <item x="20"/>
        <item x="191"/>
        <item x="7"/>
        <item x="103"/>
        <item x="183"/>
        <item x="147"/>
        <item x="170"/>
        <item x="26"/>
        <item x="196"/>
        <item x="189"/>
        <item x="8"/>
        <item x="16"/>
        <item x="144"/>
        <item x="29"/>
        <item x="39"/>
        <item x="42"/>
        <item x="157"/>
        <item x="4"/>
        <item x="77"/>
        <item x="18"/>
        <item x="85"/>
        <item x="169"/>
        <item x="165"/>
        <item x="22"/>
        <item x="78"/>
        <item x="143"/>
        <item x="197"/>
        <item x="120"/>
        <item x="167"/>
        <item x="168"/>
        <item x="194"/>
        <item x="14"/>
        <item x="70"/>
        <item x="119"/>
        <item x="150"/>
        <item x="156"/>
        <item x="190"/>
        <item x="158"/>
        <item x="50"/>
        <item x="166"/>
        <item x="43"/>
        <item x="127"/>
        <item x="155"/>
        <item x="69"/>
        <item x="41"/>
        <item x="21"/>
        <item x="146"/>
        <item x="145"/>
        <item x="164"/>
        <item x="68"/>
        <item x="104"/>
        <item x="210"/>
        <item x="215"/>
        <item x="58"/>
        <item x="181"/>
        <item x="129"/>
        <item x="171"/>
        <item x="123"/>
        <item x="83"/>
        <item x="79"/>
        <item x="174"/>
        <item x="149"/>
        <item x="152"/>
        <item x="141"/>
        <item x="110"/>
        <item x="153"/>
        <item x="32"/>
        <item x="115"/>
        <item x="97"/>
        <item x="109"/>
        <item x="94"/>
        <item x="95"/>
        <item x="82"/>
        <item x="38"/>
        <item x="186"/>
        <item x="87"/>
        <item x="184"/>
        <item x="84"/>
        <item x="67"/>
        <item x="61"/>
        <item x="28"/>
        <item x="208"/>
        <item x="209"/>
        <item x="35"/>
        <item x="65"/>
        <item x="161"/>
        <item x="81"/>
        <item x="55"/>
        <item x="66"/>
        <item x="31"/>
        <item x="105"/>
        <item x="207"/>
        <item x="19"/>
        <item x="23"/>
        <item x="62"/>
        <item x="100"/>
        <item x="74"/>
        <item x="0"/>
        <item x="27"/>
        <item x="88"/>
        <item x="102"/>
        <item x="25"/>
        <item x="199"/>
        <item x="90"/>
        <item x="154"/>
        <item x="48"/>
        <item x="134"/>
        <item x="111"/>
        <item x="216"/>
        <item x="193"/>
        <item x="192"/>
        <item x="128"/>
        <item x="49"/>
        <item x="96"/>
        <item x="36"/>
        <item x="2"/>
        <item x="5"/>
        <item x="204"/>
        <item x="15"/>
        <item x="139"/>
        <item x="217"/>
        <item x="33"/>
        <item x="44"/>
        <item x="56"/>
        <item x="113"/>
        <item x="131"/>
        <item x="133"/>
        <item x="107"/>
        <item x="76"/>
        <item x="34"/>
        <item x="108"/>
        <item x="47"/>
        <item x="59"/>
        <item x="71"/>
        <item x="106"/>
        <item x="24"/>
        <item x="57"/>
        <item x="198"/>
        <item x="202"/>
        <item x="200"/>
        <item x="92"/>
        <item x="101"/>
        <item x="132"/>
        <item x="99"/>
        <item x="121"/>
        <item x="40"/>
        <item x="86"/>
        <item x="63"/>
        <item x="142"/>
        <item x="135"/>
        <item x="201"/>
        <item x="116"/>
        <item x="214"/>
        <item x="126"/>
        <item x="136"/>
        <item x="53"/>
        <item x="46"/>
        <item x="64"/>
        <item x="54"/>
        <item x="114"/>
        <item x="37"/>
        <item x="112"/>
        <item x="162"/>
        <item x="163"/>
        <item x="45"/>
        <item x="140"/>
        <item x="212"/>
        <item x="75"/>
        <item x="60"/>
        <item x="93"/>
        <item x="125"/>
        <item x="122"/>
        <item x="172"/>
        <item x="173"/>
        <item x="117"/>
        <item x="118"/>
        <item x="124"/>
        <item x="175"/>
        <item x="176"/>
        <item x="177"/>
        <item x="178"/>
        <item x="179"/>
        <item x="12"/>
        <item x="13"/>
        <item x="213"/>
        <item x="203"/>
        <item x="187"/>
        <item x="137"/>
        <item x="138"/>
        <item x="205"/>
        <item x="206"/>
        <item x="180"/>
        <item x="51"/>
        <item x="52"/>
        <item x="188"/>
        <item x="6"/>
        <item x="17"/>
        <item x="98"/>
        <item x="195"/>
        <item x="1"/>
        <item x="9"/>
        <item x="3"/>
        <item x="151"/>
        <item x="30"/>
        <item x="73"/>
        <item x="130"/>
        <item x="148"/>
        <item x="72"/>
        <item x="91"/>
        <item x="159"/>
        <item x="160"/>
        <item t="default"/>
      </items>
    </pivotField>
    <pivotField showAll="0"/>
    <pivotField dataField="1" showAll="0"/>
    <pivotField dataField="1" showAll="0"/>
    <pivotField dataField="1" showAll="0"/>
    <pivotField dataField="1" showAll="0"/>
  </pivotFields>
  <rowFields count="2">
    <field x="4"/>
    <field x="6"/>
  </rowFields>
  <rowItems count="307">
    <i>
      <x/>
    </i>
    <i r="1">
      <x v="111"/>
    </i>
    <i>
      <x v="1"/>
    </i>
    <i r="1">
      <x v="100"/>
    </i>
    <i r="1">
      <x v="142"/>
    </i>
    <i>
      <x v="2"/>
    </i>
    <i r="1">
      <x v="74"/>
    </i>
    <i r="1">
      <x v="179"/>
    </i>
    <i>
      <x v="3"/>
    </i>
    <i r="1">
      <x v="70"/>
    </i>
    <i r="1">
      <x v="126"/>
    </i>
    <i r="1">
      <x v="172"/>
    </i>
    <i r="1">
      <x v="180"/>
    </i>
    <i>
      <x v="4"/>
    </i>
    <i r="1">
      <x v="122"/>
    </i>
    <i r="1">
      <x v="132"/>
    </i>
    <i r="1">
      <x v="149"/>
    </i>
    <i>
      <x v="5"/>
    </i>
    <i r="1">
      <x v="137"/>
    </i>
    <i>
      <x v="6"/>
    </i>
    <i r="1">
      <x v="102"/>
    </i>
    <i r="1">
      <x v="150"/>
    </i>
    <i r="1">
      <x v="173"/>
    </i>
    <i>
      <x v="7"/>
    </i>
    <i r="1">
      <x v="170"/>
    </i>
    <i>
      <x v="8"/>
    </i>
    <i r="1">
      <x v="38"/>
    </i>
    <i r="1">
      <x v="62"/>
    </i>
    <i r="1">
      <x v="77"/>
    </i>
    <i>
      <x v="9"/>
    </i>
    <i r="1">
      <x v="158"/>
    </i>
    <i>
      <x v="10"/>
    </i>
    <i r="1">
      <x v="191"/>
    </i>
    <i>
      <x v="11"/>
    </i>
    <i r="1">
      <x v="96"/>
    </i>
    <i>
      <x v="12"/>
    </i>
    <i r="1">
      <x v="26"/>
    </i>
    <i r="1">
      <x v="202"/>
    </i>
    <i r="1">
      <x v="203"/>
    </i>
    <i>
      <x v="13"/>
    </i>
    <i r="1">
      <x v="23"/>
    </i>
    <i r="1">
      <x v="42"/>
    </i>
    <i>
      <x v="14"/>
    </i>
    <i r="1">
      <x v="113"/>
    </i>
    <i r="1">
      <x v="133"/>
    </i>
    <i>
      <x v="15"/>
    </i>
    <i r="1">
      <x v="110"/>
    </i>
    <i>
      <x v="16"/>
    </i>
    <i r="1">
      <x v="8"/>
    </i>
    <i>
      <x v="17"/>
    </i>
    <i r="1">
      <x v="25"/>
    </i>
    <i r="1">
      <x v="174"/>
    </i>
    <i>
      <x v="18"/>
    </i>
    <i r="1">
      <x v="5"/>
    </i>
    <i r="1">
      <x v="66"/>
    </i>
    <i r="1">
      <x v="103"/>
    </i>
    <i r="1">
      <x v="135"/>
    </i>
    <i>
      <x v="19"/>
    </i>
    <i r="1">
      <x v="18"/>
    </i>
    <i r="1">
      <x v="39"/>
    </i>
    <i r="1">
      <x v="50"/>
    </i>
    <i r="1">
      <x v="56"/>
    </i>
    <i r="1">
      <x v="85"/>
    </i>
    <i r="1">
      <x v="140"/>
    </i>
    <i r="1">
      <x v="176"/>
    </i>
    <i r="1">
      <x v="210"/>
    </i>
    <i r="1">
      <x v="211"/>
    </i>
    <i r="1">
      <x v="214"/>
    </i>
    <i r="1">
      <x v="215"/>
    </i>
    <i>
      <x v="20"/>
    </i>
    <i r="1">
      <x v="95"/>
    </i>
    <i r="1">
      <x v="108"/>
    </i>
    <i>
      <x v="21"/>
    </i>
    <i r="1">
      <x v="2"/>
    </i>
    <i r="1">
      <x v="6"/>
    </i>
    <i r="1">
      <x v="9"/>
    </i>
    <i r="1">
      <x v="17"/>
    </i>
    <i r="1">
      <x v="31"/>
    </i>
    <i r="1">
      <x v="141"/>
    </i>
    <i r="1">
      <x v="206"/>
    </i>
    <i r="1">
      <x v="207"/>
    </i>
    <i>
      <x v="22"/>
    </i>
    <i r="1">
      <x v="168"/>
    </i>
    <i>
      <x v="23"/>
    </i>
    <i r="1">
      <x v="1"/>
    </i>
    <i r="1">
      <x v="11"/>
    </i>
    <i r="1">
      <x v="16"/>
    </i>
    <i r="1">
      <x v="30"/>
    </i>
    <i r="1">
      <x v="43"/>
    </i>
    <i r="1">
      <x v="52"/>
    </i>
    <i r="1">
      <x v="81"/>
    </i>
    <i r="1">
      <x v="83"/>
    </i>
    <i>
      <x v="24"/>
    </i>
    <i r="1">
      <x v="147"/>
    </i>
    <i>
      <x v="25"/>
    </i>
    <i r="1">
      <x v="86"/>
    </i>
    <i r="1">
      <x v="101"/>
    </i>
    <i r="1">
      <x v="154"/>
    </i>
    <i r="1">
      <x v="175"/>
    </i>
    <i>
      <x v="26"/>
    </i>
    <i r="1">
      <x v="119"/>
    </i>
    <i>
      <x v="27"/>
    </i>
    <i r="1">
      <x v="46"/>
    </i>
    <i r="1">
      <x v="55"/>
    </i>
    <i>
      <x v="28"/>
    </i>
    <i r="1">
      <x v="12"/>
    </i>
    <i r="1">
      <x v="41"/>
    </i>
    <i r="1">
      <x v="49"/>
    </i>
    <i r="1">
      <x v="68"/>
    </i>
    <i r="1">
      <x v="69"/>
    </i>
    <i r="1">
      <x v="146"/>
    </i>
    <i r="1">
      <x v="208"/>
    </i>
    <i r="1">
      <x v="209"/>
    </i>
    <i r="1">
      <x v="212"/>
    </i>
    <i r="1">
      <x v="213"/>
    </i>
    <i>
      <x v="29"/>
    </i>
    <i r="1">
      <x v="15"/>
    </i>
    <i r="1">
      <x v="33"/>
    </i>
    <i r="1">
      <x v="75"/>
    </i>
    <i r="1">
      <x v="78"/>
    </i>
    <i r="1">
      <x v="120"/>
    </i>
    <i>
      <x v="30"/>
    </i>
    <i r="1">
      <x v="194"/>
    </i>
    <i>
      <x v="31"/>
    </i>
    <i r="1">
      <x v="48"/>
    </i>
    <i r="1">
      <x v="199"/>
    </i>
    <i>
      <x v="32"/>
    </i>
    <i r="1">
      <x v="91"/>
    </i>
    <i r="1">
      <x v="164"/>
    </i>
    <i r="1">
      <x v="178"/>
    </i>
    <i>
      <x v="33"/>
    </i>
    <i r="1">
      <x v="161"/>
    </i>
    <i>
      <x v="34"/>
    </i>
    <i r="1">
      <x v="160"/>
    </i>
    <i>
      <x v="35"/>
    </i>
    <i r="1">
      <x v="71"/>
    </i>
    <i r="1">
      <x v="76"/>
    </i>
    <i r="1">
      <x v="134"/>
    </i>
    <i r="1">
      <x v="182"/>
    </i>
    <i>
      <x v="36"/>
    </i>
    <i r="1">
      <x v="190"/>
    </i>
    <i>
      <x v="37"/>
    </i>
    <i r="1">
      <x v="21"/>
    </i>
    <i r="1">
      <x v="22"/>
    </i>
    <i r="1">
      <x v="29"/>
    </i>
    <i r="1">
      <x v="51"/>
    </i>
    <i r="1">
      <x v="80"/>
    </i>
    <i>
      <x v="38"/>
    </i>
    <i r="1">
      <x v="117"/>
    </i>
    <i>
      <x v="39"/>
    </i>
    <i r="1">
      <x v="124"/>
    </i>
    <i r="1">
      <x v="152"/>
    </i>
    <i>
      <x v="40"/>
    </i>
    <i r="1">
      <x v="155"/>
    </i>
    <i>
      <x v="41"/>
    </i>
    <i r="1">
      <x v="36"/>
    </i>
    <i>
      <x v="42"/>
    </i>
    <i r="1">
      <x v="72"/>
    </i>
    <i>
      <x v="43"/>
    </i>
    <i r="1">
      <x v="151"/>
    </i>
    <i r="1">
      <x v="192"/>
    </i>
    <i>
      <x v="44"/>
    </i>
    <i r="1">
      <x/>
    </i>
    <i>
      <x v="45"/>
    </i>
    <i r="1">
      <x v="165"/>
    </i>
    <i>
      <x v="46"/>
    </i>
    <i r="1">
      <x v="109"/>
    </i>
    <i r="1">
      <x v="144"/>
    </i>
    <i>
      <x v="47"/>
    </i>
    <i r="1">
      <x v="59"/>
    </i>
    <i r="1">
      <x v="115"/>
    </i>
    <i r="1">
      <x v="127"/>
    </i>
    <i r="1">
      <x v="159"/>
    </i>
    <i r="1">
      <x v="216"/>
    </i>
    <i r="1">
      <x v="217"/>
    </i>
    <i>
      <x v="48"/>
    </i>
    <i r="1">
      <x v="67"/>
    </i>
    <i r="1">
      <x v="94"/>
    </i>
    <i r="1">
      <x v="130"/>
    </i>
    <i>
      <x v="49"/>
    </i>
    <i r="1">
      <x v="114"/>
    </i>
    <i>
      <x v="50"/>
    </i>
    <i r="1">
      <x v="60"/>
    </i>
    <i>
      <x v="51"/>
    </i>
    <i r="1">
      <x v="139"/>
    </i>
    <i r="1">
      <x v="143"/>
    </i>
    <i r="1">
      <x v="195"/>
    </i>
    <i>
      <x v="52"/>
    </i>
    <i r="1">
      <x v="10"/>
    </i>
    <i r="1">
      <x v="97"/>
    </i>
    <i r="1">
      <x v="148"/>
    </i>
    <i r="1">
      <x v="187"/>
    </i>
    <i r="1">
      <x v="193"/>
    </i>
    <i>
      <x v="53"/>
    </i>
    <i r="1">
      <x v="57"/>
    </i>
    <i r="1">
      <x v="107"/>
    </i>
    <i>
      <x v="54"/>
    </i>
    <i r="1">
      <x v="20"/>
    </i>
    <i r="1">
      <x v="87"/>
    </i>
    <i r="1">
      <x v="198"/>
    </i>
    <i r="1">
      <x v="200"/>
    </i>
    <i>
      <x v="55"/>
    </i>
    <i r="1">
      <x v="4"/>
    </i>
    <i r="1">
      <x v="204"/>
    </i>
    <i r="1">
      <x v="205"/>
    </i>
    <i>
      <x v="56"/>
    </i>
    <i r="1">
      <x v="186"/>
    </i>
    <i>
      <x v="57"/>
    </i>
    <i r="1">
      <x v="3"/>
    </i>
    <i r="1">
      <x v="106"/>
    </i>
    <i>
      <x v="58"/>
    </i>
    <i r="1">
      <x v="37"/>
    </i>
    <i r="1">
      <x v="116"/>
    </i>
    <i>
      <x v="59"/>
    </i>
    <i r="1">
      <x v="19"/>
    </i>
    <i r="1">
      <x v="32"/>
    </i>
    <i r="1">
      <x v="53"/>
    </i>
    <i r="1">
      <x v="156"/>
    </i>
    <i r="1">
      <x v="189"/>
    </i>
    <i>
      <x v="60"/>
    </i>
    <i r="1">
      <x v="54"/>
    </i>
    <i>
      <x v="61"/>
    </i>
    <i r="1">
      <x v="123"/>
    </i>
    <i>
      <x v="62"/>
    </i>
    <i r="1">
      <x v="183"/>
    </i>
    <i>
      <x v="63"/>
    </i>
    <i r="1">
      <x v="118"/>
    </i>
    <i>
      <x v="64"/>
    </i>
    <i r="1">
      <x v="131"/>
    </i>
    <i>
      <x v="65"/>
    </i>
    <i r="1">
      <x v="104"/>
    </i>
    <i>
      <x v="66"/>
    </i>
    <i r="1">
      <x v="7"/>
    </i>
    <i r="1">
      <x v="99"/>
    </i>
    <i>
      <x v="67"/>
    </i>
    <i r="1">
      <x v="34"/>
    </i>
    <i r="1">
      <x v="40"/>
    </i>
    <i r="1">
      <x v="196"/>
    </i>
    <i>
      <x v="68"/>
    </i>
    <i r="1">
      <x v="35"/>
    </i>
    <i>
      <x v="69"/>
    </i>
    <i r="1">
      <x v="27"/>
    </i>
    <i r="1">
      <x v="82"/>
    </i>
    <i r="1">
      <x v="84"/>
    </i>
    <i r="1">
      <x v="153"/>
    </i>
    <i r="1">
      <x v="201"/>
    </i>
    <i>
      <x v="70"/>
    </i>
    <i r="1">
      <x v="13"/>
    </i>
    <i r="1">
      <x v="28"/>
    </i>
    <i r="1">
      <x v="63"/>
    </i>
    <i r="1">
      <x v="197"/>
    </i>
    <i>
      <x v="71"/>
    </i>
    <i r="1">
      <x v="61"/>
    </i>
    <i>
      <x v="72"/>
    </i>
    <i r="1">
      <x v="65"/>
    </i>
    <i r="1">
      <x v="79"/>
    </i>
    <i r="1">
      <x v="93"/>
    </i>
    <i>
      <x v="73"/>
    </i>
    <i r="1">
      <x v="92"/>
    </i>
    <i r="1">
      <x v="181"/>
    </i>
    <i>
      <x v="74"/>
    </i>
    <i r="1">
      <x v="163"/>
    </i>
    <i r="1">
      <x v="171"/>
    </i>
    <i>
      <x v="75"/>
    </i>
    <i r="1">
      <x v="58"/>
    </i>
    <i r="1">
      <x v="88"/>
    </i>
    <i r="1">
      <x v="89"/>
    </i>
    <i r="1">
      <x v="98"/>
    </i>
    <i>
      <x v="76"/>
    </i>
    <i r="1">
      <x v="24"/>
    </i>
    <i>
      <x v="77"/>
    </i>
    <i r="1">
      <x v="44"/>
    </i>
    <i>
      <x v="78"/>
    </i>
    <i r="1">
      <x v="185"/>
    </i>
    <i>
      <x v="79"/>
    </i>
    <i r="1">
      <x v="162"/>
    </i>
    <i>
      <x v="80"/>
    </i>
    <i r="1">
      <x v="188"/>
    </i>
    <i>
      <x v="81"/>
    </i>
    <i r="1">
      <x v="90"/>
    </i>
    <i r="1">
      <x v="121"/>
    </i>
    <i r="1">
      <x v="128"/>
    </i>
    <i r="1">
      <x v="136"/>
    </i>
    <i r="1">
      <x v="167"/>
    </i>
    <i>
      <x v="82"/>
    </i>
    <i r="1">
      <x v="64"/>
    </i>
    <i r="1">
      <x v="145"/>
    </i>
    <i>
      <x v="83"/>
    </i>
    <i r="1">
      <x v="112"/>
    </i>
    <i r="1">
      <x v="125"/>
    </i>
    <i r="1">
      <x v="138"/>
    </i>
    <i r="1">
      <x v="157"/>
    </i>
    <i r="1">
      <x v="184"/>
    </i>
    <i>
      <x v="84"/>
    </i>
    <i r="1">
      <x v="169"/>
    </i>
    <i r="1">
      <x v="177"/>
    </i>
    <i>
      <x v="85"/>
    </i>
    <i r="1">
      <x v="166"/>
    </i>
    <i>
      <x v="86"/>
    </i>
    <i r="1">
      <x v="14"/>
    </i>
    <i r="1">
      <x v="47"/>
    </i>
    <i r="1">
      <x v="73"/>
    </i>
    <i r="1">
      <x v="105"/>
    </i>
    <i r="1">
      <x v="129"/>
    </i>
    <i>
      <x v="87"/>
    </i>
    <i r="1">
      <x v="4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DICIEMBRE" fld="8" baseField="4" baseItem="0"/>
    <dataField name="Suma de ENERO" fld="9" baseField="4" baseItem="0"/>
    <dataField name="Suma de FEBRERO" fld="10" baseField="4" baseItem="0"/>
    <dataField name="Suma de MARZO" fld="11" baseField="4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3:E94" firstHeaderRow="1" firstDataRow="2" firstDataCol="1"/>
  <pivotFields count="1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2" outline="0" subtotalTop="0" showAll="0" includeNewItemsInFilter="1"/>
    <pivotField dataField="1" compact="0" numFmtId="2" outline="0" subtotalTop="0" showAll="0" includeNewItemsInFilter="1"/>
    <pivotField dataField="1" compact="0" numFmtId="2" outline="0" subtotalTop="0" showAll="0" includeNewItemsInFilter="1"/>
    <pivotField dataField="1" compact="0" numFmtId="2" outline="0" subtotalTop="0" showAll="0" includeNewItemsInFilter="1"/>
  </pivotFields>
  <rowFields count="1">
    <field x="4"/>
  </rowFields>
  <row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Promedio de Tasa mensual de crecimiento en altura" fld="14" subtotal="average" baseField="4" baseItem="0"/>
    <dataField name="Promedio de Crecimiento total en altura" fld="15" subtotal="average" baseField="4" baseItem="0"/>
    <dataField name="Promedio de Tasa mensual de crecimiento en diámetro" fld="12" subtotal="average" baseField="4" baseItem="0"/>
    <dataField name="Promedio de Crecimiento total en diámetro" fld="13" subtotal="average" baseField="4" baseItem="0"/>
  </dataFields>
  <formats count="3">
    <format dxfId="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">
      <pivotArea outline="0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showGridLines="0" zoomScale="78" zoomScaleNormal="78" workbookViewId="0">
      <pane ySplit="1" topLeftCell="A2" activePane="bottomLeft" state="frozen"/>
      <selection pane="bottomLeft" activeCell="D16" sqref="D16"/>
    </sheetView>
  </sheetViews>
  <sheetFormatPr baseColWidth="10" defaultColWidth="15.140625" defaultRowHeight="15" customHeight="1"/>
  <cols>
    <col min="1" max="1" width="5.140625" customWidth="1"/>
    <col min="2" max="2" width="5.7109375" customWidth="1"/>
    <col min="3" max="3" width="5.28515625" customWidth="1"/>
    <col min="4" max="4" width="18.42578125" customWidth="1"/>
    <col min="5" max="5" width="20.85546875" customWidth="1"/>
    <col min="6" max="6" width="5.140625" customWidth="1"/>
    <col min="7" max="7" width="6.42578125" customWidth="1"/>
    <col min="8" max="8" width="5.5703125" customWidth="1"/>
    <col min="9" max="9" width="9.85546875" customWidth="1"/>
    <col min="10" max="10" width="7.5703125" customWidth="1"/>
    <col min="11" max="12" width="7.7109375" customWidth="1"/>
    <col min="13" max="13" width="8.140625" customWidth="1"/>
    <col min="14" max="14" width="8" customWidth="1"/>
    <col min="15" max="15" width="8.28515625" customWidth="1"/>
    <col min="16" max="16" width="7.5703125" customWidth="1"/>
    <col min="17" max="17" width="9.42578125" customWidth="1"/>
    <col min="18" max="18" width="9.7109375" customWidth="1"/>
    <col min="19" max="19" width="8.28515625" customWidth="1"/>
    <col min="20" max="20" width="20.140625" customWidth="1"/>
    <col min="21" max="26" width="8" customWidth="1"/>
  </cols>
  <sheetData>
    <row r="1" spans="1:26" ht="10.5" customHeight="1">
      <c r="A1" s="1"/>
      <c r="B1" s="1"/>
      <c r="C1" s="2"/>
      <c r="D1" s="3"/>
      <c r="E1" s="4"/>
      <c r="F1" s="3"/>
      <c r="G1" s="3"/>
      <c r="H1" s="5"/>
      <c r="I1" s="6">
        <v>1</v>
      </c>
      <c r="J1" s="6">
        <v>2</v>
      </c>
      <c r="K1" s="6">
        <v>3</v>
      </c>
      <c r="L1" s="6">
        <v>4</v>
      </c>
      <c r="M1" s="6">
        <v>5</v>
      </c>
      <c r="N1" s="6">
        <v>6</v>
      </c>
      <c r="O1" s="6">
        <v>7</v>
      </c>
      <c r="P1" s="6">
        <v>8</v>
      </c>
      <c r="Q1" s="6">
        <v>9</v>
      </c>
      <c r="R1" s="6">
        <v>10</v>
      </c>
      <c r="S1" s="3"/>
      <c r="T1" s="8" t="s">
        <v>1</v>
      </c>
    </row>
    <row r="2" spans="1:26" ht="30" customHeight="1">
      <c r="A2" s="3"/>
      <c r="B2" s="3"/>
      <c r="C2" s="3"/>
      <c r="D2" s="3"/>
      <c r="E2" s="4"/>
      <c r="F2" s="3"/>
      <c r="G2" s="3"/>
      <c r="H2" s="10"/>
      <c r="I2" s="669" t="s">
        <v>2</v>
      </c>
      <c r="J2" s="670"/>
      <c r="K2" s="670"/>
      <c r="L2" s="670"/>
      <c r="M2" s="670"/>
      <c r="N2" s="670"/>
      <c r="O2" s="670"/>
      <c r="P2" s="670"/>
      <c r="Q2" s="670"/>
      <c r="R2" s="670"/>
      <c r="S2" s="670"/>
      <c r="T2" s="670"/>
    </row>
    <row r="3" spans="1:26" ht="24.75" customHeight="1">
      <c r="A3" s="12" t="s">
        <v>3</v>
      </c>
      <c r="B3" s="12" t="s">
        <v>4</v>
      </c>
      <c r="C3" s="12" t="s">
        <v>5</v>
      </c>
      <c r="D3" s="12" t="s">
        <v>6</v>
      </c>
      <c r="E3" s="13" t="s">
        <v>7</v>
      </c>
      <c r="F3" s="12" t="s">
        <v>8</v>
      </c>
      <c r="G3" s="12" t="s">
        <v>9</v>
      </c>
      <c r="H3" s="12" t="s">
        <v>10</v>
      </c>
      <c r="I3" s="14" t="s">
        <v>11</v>
      </c>
      <c r="J3" s="14" t="s">
        <v>12</v>
      </c>
      <c r="K3" s="14" t="s">
        <v>13</v>
      </c>
      <c r="L3" s="14" t="s">
        <v>14</v>
      </c>
      <c r="M3" s="14" t="s">
        <v>15</v>
      </c>
      <c r="N3" s="14" t="s">
        <v>16</v>
      </c>
      <c r="O3" s="14" t="s">
        <v>17</v>
      </c>
      <c r="P3" s="14" t="s">
        <v>18</v>
      </c>
      <c r="Q3" s="14" t="s">
        <v>19</v>
      </c>
      <c r="R3" s="14" t="s">
        <v>20</v>
      </c>
      <c r="S3" s="14" t="s">
        <v>21</v>
      </c>
      <c r="T3" s="12" t="s">
        <v>1</v>
      </c>
      <c r="U3" s="15"/>
      <c r="V3" s="15"/>
      <c r="W3" s="15"/>
      <c r="X3" s="15"/>
      <c r="Y3" s="15"/>
      <c r="Z3" s="15"/>
    </row>
    <row r="4" spans="1:26" ht="15.75" customHeight="1">
      <c r="A4" s="16">
        <v>2</v>
      </c>
      <c r="B4" s="16">
        <v>1</v>
      </c>
      <c r="C4" s="16">
        <v>1</v>
      </c>
      <c r="D4" s="16" t="s">
        <v>22</v>
      </c>
      <c r="E4" s="18" t="s">
        <v>23</v>
      </c>
      <c r="F4" s="16" t="s">
        <v>25</v>
      </c>
      <c r="G4" s="20">
        <v>30876</v>
      </c>
      <c r="H4" s="21">
        <v>510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3" t="s">
        <v>26</v>
      </c>
    </row>
    <row r="5" spans="1:26" ht="15.75" customHeight="1">
      <c r="A5" s="16">
        <v>2</v>
      </c>
      <c r="B5" s="16">
        <v>1</v>
      </c>
      <c r="C5" s="16">
        <v>2</v>
      </c>
      <c r="D5" s="16" t="s">
        <v>27</v>
      </c>
      <c r="E5" s="18" t="s">
        <v>28</v>
      </c>
      <c r="F5" s="16" t="s">
        <v>25</v>
      </c>
      <c r="G5" s="20">
        <v>30877</v>
      </c>
      <c r="H5" s="21">
        <v>250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26</v>
      </c>
    </row>
    <row r="6" spans="1:26" ht="15.75" customHeight="1">
      <c r="A6" s="16">
        <v>2</v>
      </c>
      <c r="B6" s="16">
        <v>1</v>
      </c>
      <c r="C6" s="16">
        <v>2</v>
      </c>
      <c r="D6" s="16" t="s">
        <v>22</v>
      </c>
      <c r="E6" s="18" t="s">
        <v>23</v>
      </c>
      <c r="F6" s="16" t="s">
        <v>25</v>
      </c>
      <c r="G6" s="20">
        <v>30876</v>
      </c>
      <c r="H6" s="21">
        <v>290</v>
      </c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3" t="s">
        <v>26</v>
      </c>
    </row>
    <row r="7" spans="1:26" ht="15.75" customHeight="1">
      <c r="A7" s="25">
        <v>2</v>
      </c>
      <c r="B7" s="25">
        <v>1</v>
      </c>
      <c r="C7" s="25">
        <v>3</v>
      </c>
      <c r="D7" s="25" t="s">
        <v>29</v>
      </c>
      <c r="E7" s="26" t="s">
        <v>30</v>
      </c>
      <c r="F7" s="25" t="s">
        <v>31</v>
      </c>
      <c r="G7" s="30">
        <v>50759</v>
      </c>
      <c r="H7" s="31">
        <v>232</v>
      </c>
      <c r="I7" s="32">
        <v>40</v>
      </c>
      <c r="J7" s="32">
        <v>25</v>
      </c>
      <c r="K7" s="32">
        <v>27</v>
      </c>
      <c r="L7" s="32">
        <v>12</v>
      </c>
      <c r="M7" s="32">
        <v>36</v>
      </c>
      <c r="N7" s="32">
        <v>10</v>
      </c>
      <c r="O7" s="32">
        <v>9</v>
      </c>
      <c r="P7" s="32">
        <v>15</v>
      </c>
      <c r="Q7" s="32">
        <v>31</v>
      </c>
      <c r="R7" s="32">
        <v>14</v>
      </c>
      <c r="S7" s="33">
        <v>21.9</v>
      </c>
      <c r="T7" s="34"/>
    </row>
    <row r="8" spans="1:26" ht="15.75" customHeight="1">
      <c r="A8" s="25">
        <v>2</v>
      </c>
      <c r="B8" s="25">
        <v>1</v>
      </c>
      <c r="C8" s="25">
        <v>5</v>
      </c>
      <c r="D8" s="25" t="s">
        <v>32</v>
      </c>
      <c r="E8" s="26" t="s">
        <v>33</v>
      </c>
      <c r="F8" s="25" t="s">
        <v>34</v>
      </c>
      <c r="G8" s="30">
        <v>50616</v>
      </c>
      <c r="H8" s="31">
        <v>468</v>
      </c>
      <c r="I8" s="32">
        <v>30</v>
      </c>
      <c r="J8" s="32">
        <v>118</v>
      </c>
      <c r="K8" s="32">
        <v>149</v>
      </c>
      <c r="L8" s="32">
        <v>164</v>
      </c>
      <c r="M8" s="32">
        <v>203</v>
      </c>
      <c r="N8" s="32">
        <v>138</v>
      </c>
      <c r="O8" s="32">
        <v>229</v>
      </c>
      <c r="P8" s="32">
        <v>166</v>
      </c>
      <c r="Q8" s="32">
        <v>161</v>
      </c>
      <c r="R8" s="32">
        <v>115</v>
      </c>
      <c r="S8" s="33">
        <v>147.30000000000001</v>
      </c>
      <c r="T8" s="34"/>
    </row>
    <row r="9" spans="1:26" ht="15.75" customHeight="1">
      <c r="A9" s="25">
        <v>2</v>
      </c>
      <c r="B9" s="25">
        <v>1</v>
      </c>
      <c r="C9" s="25">
        <v>8</v>
      </c>
      <c r="D9" s="25" t="s">
        <v>35</v>
      </c>
      <c r="E9" s="26" t="s">
        <v>36</v>
      </c>
      <c r="F9" s="25" t="s">
        <v>31</v>
      </c>
      <c r="G9" s="30">
        <v>50794</v>
      </c>
      <c r="H9" s="31">
        <v>392</v>
      </c>
      <c r="I9" s="32">
        <v>135</v>
      </c>
      <c r="J9" s="32">
        <v>152</v>
      </c>
      <c r="K9" s="32">
        <v>127</v>
      </c>
      <c r="L9" s="32">
        <v>192</v>
      </c>
      <c r="M9" s="32">
        <v>206</v>
      </c>
      <c r="N9" s="32">
        <v>158</v>
      </c>
      <c r="O9" s="32">
        <v>225</v>
      </c>
      <c r="P9" s="32">
        <v>130</v>
      </c>
      <c r="Q9" s="32">
        <v>154</v>
      </c>
      <c r="R9" s="32">
        <v>122</v>
      </c>
      <c r="S9" s="33">
        <v>160.1</v>
      </c>
      <c r="T9" s="34"/>
    </row>
    <row r="10" spans="1:26" ht="15.75" customHeight="1">
      <c r="A10" s="25">
        <v>2</v>
      </c>
      <c r="B10" s="25">
        <v>1</v>
      </c>
      <c r="C10" s="25">
        <v>9</v>
      </c>
      <c r="D10" s="25" t="s">
        <v>37</v>
      </c>
      <c r="E10" s="26" t="s">
        <v>38</v>
      </c>
      <c r="F10" s="25" t="s">
        <v>34</v>
      </c>
      <c r="G10" s="30">
        <v>50663</v>
      </c>
      <c r="H10" s="31">
        <v>127</v>
      </c>
      <c r="I10" s="32">
        <v>104</v>
      </c>
      <c r="J10" s="32">
        <v>115</v>
      </c>
      <c r="K10" s="32">
        <v>146</v>
      </c>
      <c r="L10" s="32">
        <v>124</v>
      </c>
      <c r="M10" s="32">
        <v>126</v>
      </c>
      <c r="N10" s="32">
        <v>79</v>
      </c>
      <c r="O10" s="32">
        <v>121</v>
      </c>
      <c r="P10" s="32">
        <v>93</v>
      </c>
      <c r="Q10" s="36"/>
      <c r="R10" s="36"/>
      <c r="S10" s="33">
        <v>113.5</v>
      </c>
      <c r="T10" s="34"/>
    </row>
    <row r="11" spans="1:26" ht="15.75" customHeight="1">
      <c r="A11" s="25">
        <v>2</v>
      </c>
      <c r="B11" s="25">
        <v>1</v>
      </c>
      <c r="C11" s="25">
        <v>9</v>
      </c>
      <c r="D11" s="25" t="s">
        <v>39</v>
      </c>
      <c r="E11" s="26" t="s">
        <v>40</v>
      </c>
      <c r="F11" s="25" t="s">
        <v>25</v>
      </c>
      <c r="G11" s="30">
        <v>50530</v>
      </c>
      <c r="H11" s="31">
        <v>48</v>
      </c>
      <c r="I11" s="32">
        <v>253</v>
      </c>
      <c r="J11" s="32">
        <v>240</v>
      </c>
      <c r="K11" s="32">
        <v>137</v>
      </c>
      <c r="L11" s="36"/>
      <c r="M11" s="36"/>
      <c r="N11" s="36"/>
      <c r="O11" s="36"/>
      <c r="P11" s="36"/>
      <c r="Q11" s="36"/>
      <c r="R11" s="36"/>
      <c r="S11" s="33">
        <v>210</v>
      </c>
      <c r="T11" s="34"/>
    </row>
    <row r="12" spans="1:26" ht="15.75" customHeight="1">
      <c r="A12" s="38">
        <v>2</v>
      </c>
      <c r="B12" s="38">
        <v>1</v>
      </c>
      <c r="C12" s="38">
        <v>9</v>
      </c>
      <c r="D12" s="38" t="s">
        <v>41</v>
      </c>
      <c r="E12" s="40" t="s">
        <v>42</v>
      </c>
      <c r="F12" s="38" t="s">
        <v>25</v>
      </c>
      <c r="G12" s="43">
        <v>50721</v>
      </c>
      <c r="H12" s="46">
        <v>23</v>
      </c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50" t="s">
        <v>43</v>
      </c>
    </row>
    <row r="13" spans="1:26" ht="15.75" customHeight="1">
      <c r="A13" s="25">
        <v>2</v>
      </c>
      <c r="B13" s="25">
        <v>1</v>
      </c>
      <c r="C13" s="25">
        <v>11</v>
      </c>
      <c r="D13" s="25" t="s">
        <v>44</v>
      </c>
      <c r="E13" s="26" t="s">
        <v>45</v>
      </c>
      <c r="F13" s="25" t="s">
        <v>31</v>
      </c>
      <c r="G13" s="30">
        <v>50795</v>
      </c>
      <c r="H13" s="31">
        <v>754</v>
      </c>
      <c r="I13" s="32">
        <v>290</v>
      </c>
      <c r="J13" s="32">
        <v>303</v>
      </c>
      <c r="K13" s="32">
        <v>299</v>
      </c>
      <c r="L13" s="32">
        <v>216</v>
      </c>
      <c r="M13" s="32">
        <v>232</v>
      </c>
      <c r="N13" s="32">
        <v>211</v>
      </c>
      <c r="O13" s="32">
        <v>220</v>
      </c>
      <c r="P13" s="32">
        <v>127</v>
      </c>
      <c r="Q13" s="32">
        <v>115</v>
      </c>
      <c r="R13" s="32">
        <v>206</v>
      </c>
      <c r="S13" s="33">
        <v>221.9</v>
      </c>
      <c r="T13" s="34"/>
    </row>
    <row r="14" spans="1:26" ht="15.75" customHeight="1">
      <c r="A14" s="25">
        <v>2</v>
      </c>
      <c r="B14" s="25">
        <v>1</v>
      </c>
      <c r="C14" s="25">
        <v>12</v>
      </c>
      <c r="D14" s="25" t="s">
        <v>46</v>
      </c>
      <c r="E14" s="26" t="s">
        <v>47</v>
      </c>
      <c r="F14" s="25" t="s">
        <v>25</v>
      </c>
      <c r="G14" s="30">
        <v>50262</v>
      </c>
      <c r="H14" s="31">
        <v>472</v>
      </c>
      <c r="I14" s="32">
        <v>184</v>
      </c>
      <c r="J14" s="32">
        <v>201</v>
      </c>
      <c r="K14" s="32">
        <v>253</v>
      </c>
      <c r="L14" s="32">
        <v>212</v>
      </c>
      <c r="M14" s="32">
        <v>172</v>
      </c>
      <c r="N14" s="32">
        <v>173</v>
      </c>
      <c r="O14" s="32">
        <v>135</v>
      </c>
      <c r="P14" s="32">
        <v>144</v>
      </c>
      <c r="Q14" s="32">
        <v>110</v>
      </c>
      <c r="R14" s="32">
        <v>135</v>
      </c>
      <c r="S14" s="33">
        <v>171.9</v>
      </c>
      <c r="T14" s="34"/>
    </row>
    <row r="15" spans="1:26" ht="15.75" customHeight="1">
      <c r="A15" s="25">
        <v>2</v>
      </c>
      <c r="B15" s="25">
        <v>1</v>
      </c>
      <c r="C15" s="25">
        <v>13</v>
      </c>
      <c r="D15" s="25" t="s">
        <v>32</v>
      </c>
      <c r="E15" s="26" t="s">
        <v>33</v>
      </c>
      <c r="F15" s="25" t="s">
        <v>48</v>
      </c>
      <c r="G15" s="30">
        <v>50267</v>
      </c>
      <c r="H15" s="31">
        <v>442</v>
      </c>
      <c r="I15" s="32">
        <v>132</v>
      </c>
      <c r="J15" s="32">
        <v>50</v>
      </c>
      <c r="K15" s="32">
        <v>109</v>
      </c>
      <c r="L15" s="32">
        <v>120</v>
      </c>
      <c r="M15" s="32">
        <v>73</v>
      </c>
      <c r="N15" s="32">
        <v>75</v>
      </c>
      <c r="O15" s="32">
        <v>93</v>
      </c>
      <c r="P15" s="32">
        <v>81</v>
      </c>
      <c r="Q15" s="32">
        <v>128</v>
      </c>
      <c r="R15" s="32">
        <v>157</v>
      </c>
      <c r="S15" s="33">
        <v>101.8</v>
      </c>
      <c r="T15" s="34"/>
    </row>
    <row r="16" spans="1:26" ht="15.75" customHeight="1">
      <c r="A16" s="25">
        <v>2</v>
      </c>
      <c r="B16" s="25">
        <v>1</v>
      </c>
      <c r="C16" s="25">
        <v>13</v>
      </c>
      <c r="D16" s="25" t="s">
        <v>32</v>
      </c>
      <c r="E16" s="26" t="s">
        <v>33</v>
      </c>
      <c r="F16" s="25" t="s">
        <v>34</v>
      </c>
      <c r="G16" s="30">
        <v>50462</v>
      </c>
      <c r="H16" s="31">
        <v>206</v>
      </c>
      <c r="I16" s="32">
        <v>110</v>
      </c>
      <c r="J16" s="32">
        <v>97</v>
      </c>
      <c r="K16" s="32">
        <v>145</v>
      </c>
      <c r="L16" s="32">
        <v>110</v>
      </c>
      <c r="M16" s="32">
        <v>61</v>
      </c>
      <c r="N16" s="32">
        <v>73</v>
      </c>
      <c r="O16" s="36"/>
      <c r="P16" s="36"/>
      <c r="Q16" s="36"/>
      <c r="R16" s="36"/>
      <c r="S16" s="33">
        <v>99.3</v>
      </c>
      <c r="T16" s="34"/>
    </row>
    <row r="17" spans="1:20" ht="15.75" customHeight="1">
      <c r="A17" s="25">
        <v>2</v>
      </c>
      <c r="B17" s="25">
        <v>1</v>
      </c>
      <c r="C17" s="25">
        <v>13</v>
      </c>
      <c r="D17" s="25" t="s">
        <v>32</v>
      </c>
      <c r="E17" s="26" t="s">
        <v>33</v>
      </c>
      <c r="F17" s="25" t="s">
        <v>34</v>
      </c>
      <c r="G17" s="30">
        <v>50616</v>
      </c>
      <c r="H17" s="31">
        <v>21</v>
      </c>
      <c r="I17" s="32">
        <v>101</v>
      </c>
      <c r="J17" s="32">
        <v>100</v>
      </c>
      <c r="K17" s="36"/>
      <c r="L17" s="36"/>
      <c r="M17" s="36"/>
      <c r="N17" s="36"/>
      <c r="O17" s="36"/>
      <c r="P17" s="36"/>
      <c r="Q17" s="36"/>
      <c r="R17" s="36"/>
      <c r="S17" s="33">
        <v>100.5</v>
      </c>
      <c r="T17" s="34"/>
    </row>
    <row r="18" spans="1:20" ht="15.75" customHeight="1">
      <c r="A18" s="25">
        <v>2</v>
      </c>
      <c r="B18" s="25">
        <v>1</v>
      </c>
      <c r="C18" s="25">
        <v>13</v>
      </c>
      <c r="D18" s="25" t="s">
        <v>32</v>
      </c>
      <c r="E18" s="26" t="s">
        <v>33</v>
      </c>
      <c r="F18" s="25" t="s">
        <v>31</v>
      </c>
      <c r="G18" s="30">
        <v>50184</v>
      </c>
      <c r="H18" s="31">
        <v>39</v>
      </c>
      <c r="I18" s="32">
        <v>75</v>
      </c>
      <c r="J18" s="32">
        <v>120</v>
      </c>
      <c r="K18" s="36"/>
      <c r="L18" s="36"/>
      <c r="M18" s="36"/>
      <c r="N18" s="36"/>
      <c r="O18" s="36"/>
      <c r="P18" s="36"/>
      <c r="Q18" s="36"/>
      <c r="R18" s="36"/>
      <c r="S18" s="33">
        <v>97.5</v>
      </c>
      <c r="T18" s="34"/>
    </row>
    <row r="19" spans="1:20" ht="15.75" customHeight="1">
      <c r="A19" s="25">
        <v>2</v>
      </c>
      <c r="B19" s="25">
        <v>1</v>
      </c>
      <c r="C19" s="25">
        <v>13</v>
      </c>
      <c r="D19" s="25" t="s">
        <v>32</v>
      </c>
      <c r="E19" s="26" t="s">
        <v>33</v>
      </c>
      <c r="F19" s="25" t="s">
        <v>34</v>
      </c>
      <c r="G19" s="30">
        <v>50104</v>
      </c>
      <c r="H19" s="31">
        <v>22</v>
      </c>
      <c r="I19" s="32">
        <v>50</v>
      </c>
      <c r="J19" s="36"/>
      <c r="K19" s="36"/>
      <c r="L19" s="36"/>
      <c r="M19" s="36"/>
      <c r="N19" s="36"/>
      <c r="O19" s="36"/>
      <c r="P19" s="36"/>
      <c r="Q19" s="36"/>
      <c r="R19" s="36"/>
      <c r="S19" s="33">
        <v>50</v>
      </c>
      <c r="T19" s="34"/>
    </row>
    <row r="20" spans="1:20" ht="15.75" customHeight="1">
      <c r="A20" s="25">
        <v>2</v>
      </c>
      <c r="B20" s="25">
        <v>1</v>
      </c>
      <c r="C20" s="25">
        <v>14</v>
      </c>
      <c r="D20" s="25" t="s">
        <v>49</v>
      </c>
      <c r="E20" s="26" t="s">
        <v>50</v>
      </c>
      <c r="F20" s="25" t="s">
        <v>25</v>
      </c>
      <c r="G20" s="30">
        <v>50874</v>
      </c>
      <c r="H20" s="31">
        <v>282</v>
      </c>
      <c r="I20" s="32">
        <v>13</v>
      </c>
      <c r="J20" s="32">
        <v>10</v>
      </c>
      <c r="K20" s="32">
        <v>8</v>
      </c>
      <c r="L20" s="32">
        <v>6</v>
      </c>
      <c r="M20" s="32">
        <v>14</v>
      </c>
      <c r="N20" s="32">
        <v>15</v>
      </c>
      <c r="O20" s="32">
        <v>13</v>
      </c>
      <c r="P20" s="32">
        <v>14</v>
      </c>
      <c r="Q20" s="32">
        <v>22</v>
      </c>
      <c r="R20" s="32">
        <v>15</v>
      </c>
      <c r="S20" s="33">
        <v>13</v>
      </c>
      <c r="T20" s="34"/>
    </row>
    <row r="21" spans="1:20" ht="15.75" customHeight="1">
      <c r="A21" s="25">
        <v>2</v>
      </c>
      <c r="B21" s="25">
        <v>1</v>
      </c>
      <c r="C21" s="25">
        <v>14</v>
      </c>
      <c r="D21" s="25" t="s">
        <v>51</v>
      </c>
      <c r="E21" s="26" t="s">
        <v>52</v>
      </c>
      <c r="F21" s="25" t="s">
        <v>25</v>
      </c>
      <c r="G21" s="30">
        <v>50875</v>
      </c>
      <c r="H21" s="31">
        <v>348</v>
      </c>
      <c r="I21" s="32">
        <v>8.3000000000000007</v>
      </c>
      <c r="J21" s="32">
        <v>9</v>
      </c>
      <c r="K21" s="32">
        <v>10</v>
      </c>
      <c r="L21" s="32">
        <v>9.5</v>
      </c>
      <c r="M21" s="32">
        <v>10.5</v>
      </c>
      <c r="N21" s="32">
        <v>6.5</v>
      </c>
      <c r="O21" s="32">
        <v>17</v>
      </c>
      <c r="P21" s="32">
        <v>12.5</v>
      </c>
      <c r="Q21" s="32">
        <v>24</v>
      </c>
      <c r="R21" s="32">
        <v>23</v>
      </c>
      <c r="S21" s="33">
        <v>13</v>
      </c>
      <c r="T21" s="34"/>
    </row>
    <row r="22" spans="1:20" ht="15.75" customHeight="1">
      <c r="A22" s="53">
        <v>2</v>
      </c>
      <c r="B22" s="53">
        <v>1</v>
      </c>
      <c r="C22" s="53">
        <v>14</v>
      </c>
      <c r="D22" s="53" t="s">
        <v>53</v>
      </c>
      <c r="E22" s="54" t="s">
        <v>54</v>
      </c>
      <c r="F22" s="53" t="s">
        <v>25</v>
      </c>
      <c r="G22" s="55">
        <v>50877</v>
      </c>
      <c r="H22" s="57">
        <v>101</v>
      </c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61" t="s">
        <v>55</v>
      </c>
    </row>
    <row r="23" spans="1:20" ht="15.75" customHeight="1">
      <c r="A23" s="25">
        <v>2</v>
      </c>
      <c r="B23" s="25">
        <v>1</v>
      </c>
      <c r="C23" s="25">
        <v>15</v>
      </c>
      <c r="D23" s="25" t="s">
        <v>56</v>
      </c>
      <c r="E23" s="26" t="s">
        <v>57</v>
      </c>
      <c r="F23" s="25" t="s">
        <v>34</v>
      </c>
      <c r="G23" s="30">
        <v>50594</v>
      </c>
      <c r="H23" s="31">
        <v>154</v>
      </c>
      <c r="I23" s="32">
        <v>32</v>
      </c>
      <c r="J23" s="32">
        <v>98</v>
      </c>
      <c r="K23" s="36"/>
      <c r="L23" s="36"/>
      <c r="M23" s="36"/>
      <c r="N23" s="36"/>
      <c r="O23" s="36"/>
      <c r="P23" s="36"/>
      <c r="Q23" s="36"/>
      <c r="R23" s="36"/>
      <c r="S23" s="33">
        <v>65</v>
      </c>
      <c r="T23" s="34"/>
    </row>
    <row r="24" spans="1:20" ht="15.75" customHeight="1">
      <c r="A24" s="25">
        <v>2</v>
      </c>
      <c r="B24" s="25">
        <v>1</v>
      </c>
      <c r="C24" s="25">
        <v>16</v>
      </c>
      <c r="D24" s="25" t="s">
        <v>58</v>
      </c>
      <c r="E24" s="26" t="s">
        <v>59</v>
      </c>
      <c r="F24" s="25" t="s">
        <v>31</v>
      </c>
      <c r="G24" s="30">
        <v>50797</v>
      </c>
      <c r="H24" s="31">
        <v>311</v>
      </c>
      <c r="I24" s="32">
        <v>192</v>
      </c>
      <c r="J24" s="32">
        <v>218</v>
      </c>
      <c r="K24" s="32">
        <v>187</v>
      </c>
      <c r="L24" s="32">
        <v>215</v>
      </c>
      <c r="M24" s="32">
        <v>183</v>
      </c>
      <c r="N24" s="32">
        <v>188</v>
      </c>
      <c r="O24" s="32">
        <v>162</v>
      </c>
      <c r="P24" s="32">
        <v>178</v>
      </c>
      <c r="Q24" s="32">
        <v>168</v>
      </c>
      <c r="R24" s="32">
        <v>107</v>
      </c>
      <c r="S24" s="33">
        <v>179.8</v>
      </c>
      <c r="T24" s="34"/>
    </row>
    <row r="25" spans="1:20" ht="15.75" customHeight="1">
      <c r="A25" s="25">
        <v>2</v>
      </c>
      <c r="B25" s="25">
        <v>1</v>
      </c>
      <c r="C25" s="25">
        <v>17</v>
      </c>
      <c r="D25" s="25" t="s">
        <v>60</v>
      </c>
      <c r="E25" s="26" t="s">
        <v>61</v>
      </c>
      <c r="F25" s="25" t="s">
        <v>34</v>
      </c>
      <c r="G25" s="30">
        <v>50467</v>
      </c>
      <c r="H25" s="31">
        <v>426</v>
      </c>
      <c r="I25" s="32">
        <v>230</v>
      </c>
      <c r="J25" s="32">
        <v>197</v>
      </c>
      <c r="K25" s="32">
        <v>278</v>
      </c>
      <c r="L25" s="32">
        <v>216</v>
      </c>
      <c r="M25" s="32">
        <v>163</v>
      </c>
      <c r="N25" s="32">
        <v>165</v>
      </c>
      <c r="O25" s="32">
        <v>154</v>
      </c>
      <c r="P25" s="32">
        <v>138</v>
      </c>
      <c r="Q25" s="32">
        <v>179</v>
      </c>
      <c r="R25" s="32">
        <v>65</v>
      </c>
      <c r="S25" s="33">
        <v>178.5</v>
      </c>
      <c r="T25" s="34"/>
    </row>
    <row r="26" spans="1:20" ht="15.75" customHeight="1">
      <c r="A26" s="25">
        <v>2</v>
      </c>
      <c r="B26" s="25">
        <v>1</v>
      </c>
      <c r="C26" s="25">
        <v>18</v>
      </c>
      <c r="D26" s="25" t="s">
        <v>46</v>
      </c>
      <c r="E26" s="26" t="s">
        <v>47</v>
      </c>
      <c r="F26" s="25" t="s">
        <v>25</v>
      </c>
      <c r="G26" s="30">
        <v>50262</v>
      </c>
      <c r="H26" s="31">
        <v>81</v>
      </c>
      <c r="I26" s="32">
        <v>205</v>
      </c>
      <c r="J26" s="32">
        <v>202</v>
      </c>
      <c r="K26" s="32">
        <v>215</v>
      </c>
      <c r="L26" s="32">
        <v>220</v>
      </c>
      <c r="M26" s="32">
        <v>188</v>
      </c>
      <c r="N26" s="32">
        <v>166</v>
      </c>
      <c r="O26" s="32">
        <v>185</v>
      </c>
      <c r="P26" s="32">
        <v>193</v>
      </c>
      <c r="Q26" s="32">
        <v>210</v>
      </c>
      <c r="R26" s="32">
        <v>208</v>
      </c>
      <c r="S26" s="33">
        <v>199.2</v>
      </c>
      <c r="T26" s="34"/>
    </row>
    <row r="27" spans="1:20" ht="15.75" customHeight="1">
      <c r="A27" s="25">
        <v>2</v>
      </c>
      <c r="B27" s="25">
        <v>1</v>
      </c>
      <c r="C27" s="25">
        <v>18</v>
      </c>
      <c r="D27" s="25" t="s">
        <v>46</v>
      </c>
      <c r="E27" s="26" t="s">
        <v>47</v>
      </c>
      <c r="F27" s="25" t="s">
        <v>34</v>
      </c>
      <c r="G27" s="30">
        <v>50542</v>
      </c>
      <c r="H27" s="31">
        <v>109</v>
      </c>
      <c r="I27" s="32">
        <v>161</v>
      </c>
      <c r="J27" s="32">
        <v>106</v>
      </c>
      <c r="K27" s="32">
        <v>175</v>
      </c>
      <c r="L27" s="32">
        <v>160</v>
      </c>
      <c r="M27" s="32">
        <v>59</v>
      </c>
      <c r="N27" s="32">
        <v>109</v>
      </c>
      <c r="O27" s="32">
        <v>97</v>
      </c>
      <c r="P27" s="36"/>
      <c r="Q27" s="36"/>
      <c r="R27" s="36"/>
      <c r="S27" s="33">
        <v>123.9</v>
      </c>
      <c r="T27" s="34"/>
    </row>
    <row r="28" spans="1:20" ht="15.75" customHeight="1">
      <c r="A28" s="25">
        <v>2</v>
      </c>
      <c r="B28" s="25">
        <v>2</v>
      </c>
      <c r="C28" s="25">
        <v>2</v>
      </c>
      <c r="D28" s="25" t="s">
        <v>62</v>
      </c>
      <c r="E28" s="26" t="s">
        <v>63</v>
      </c>
      <c r="F28" s="25" t="s">
        <v>34</v>
      </c>
      <c r="G28" s="30">
        <v>50752</v>
      </c>
      <c r="H28" s="31">
        <v>89</v>
      </c>
      <c r="I28" s="32">
        <v>9</v>
      </c>
      <c r="J28" s="32">
        <v>10</v>
      </c>
      <c r="K28" s="32">
        <v>4</v>
      </c>
      <c r="L28" s="32">
        <v>8</v>
      </c>
      <c r="M28" s="36"/>
      <c r="N28" s="36"/>
      <c r="O28" s="36"/>
      <c r="P28" s="36"/>
      <c r="Q28" s="36"/>
      <c r="R28" s="36"/>
      <c r="S28" s="33">
        <v>7.8</v>
      </c>
      <c r="T28" s="34"/>
    </row>
    <row r="29" spans="1:20" ht="15.75" customHeight="1">
      <c r="A29" s="38">
        <v>2</v>
      </c>
      <c r="B29" s="38">
        <v>2</v>
      </c>
      <c r="C29" s="38">
        <v>2</v>
      </c>
      <c r="D29" s="38" t="s">
        <v>64</v>
      </c>
      <c r="E29" s="40" t="s">
        <v>65</v>
      </c>
      <c r="F29" s="38" t="s">
        <v>31</v>
      </c>
      <c r="G29" s="43">
        <v>30869</v>
      </c>
      <c r="H29" s="46">
        <v>319</v>
      </c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50" t="s">
        <v>43</v>
      </c>
    </row>
    <row r="30" spans="1:20" ht="15.75" customHeight="1">
      <c r="A30" s="25">
        <v>2</v>
      </c>
      <c r="B30" s="25">
        <v>2</v>
      </c>
      <c r="C30" s="25">
        <v>2</v>
      </c>
      <c r="D30" s="25" t="s">
        <v>62</v>
      </c>
      <c r="E30" s="26" t="s">
        <v>63</v>
      </c>
      <c r="F30" s="25" t="s">
        <v>34</v>
      </c>
      <c r="G30" s="30">
        <v>50719</v>
      </c>
      <c r="H30" s="31">
        <v>25</v>
      </c>
      <c r="I30" s="32">
        <v>15</v>
      </c>
      <c r="J30" s="36"/>
      <c r="K30" s="36"/>
      <c r="L30" s="36"/>
      <c r="M30" s="36"/>
      <c r="N30" s="36"/>
      <c r="O30" s="36"/>
      <c r="P30" s="36"/>
      <c r="Q30" s="36"/>
      <c r="R30" s="36"/>
      <c r="S30" s="33">
        <v>15</v>
      </c>
      <c r="T30" s="34"/>
    </row>
    <row r="31" spans="1:20" ht="15.75" customHeight="1">
      <c r="A31" s="25">
        <v>2</v>
      </c>
      <c r="B31" s="25">
        <v>2</v>
      </c>
      <c r="C31" s="25">
        <v>2</v>
      </c>
      <c r="D31" s="25" t="s">
        <v>62</v>
      </c>
      <c r="E31" s="26" t="s">
        <v>63</v>
      </c>
      <c r="F31" s="25" t="s">
        <v>25</v>
      </c>
      <c r="G31" s="30">
        <v>50188</v>
      </c>
      <c r="H31" s="31">
        <v>24</v>
      </c>
      <c r="I31" s="32">
        <v>66</v>
      </c>
      <c r="J31" s="32">
        <v>72</v>
      </c>
      <c r="K31" s="36"/>
      <c r="L31" s="36"/>
      <c r="M31" s="36"/>
      <c r="N31" s="36"/>
      <c r="O31" s="36"/>
      <c r="P31" s="36"/>
      <c r="Q31" s="36"/>
      <c r="R31" s="36"/>
      <c r="S31" s="33">
        <v>69</v>
      </c>
      <c r="T31" s="34"/>
    </row>
    <row r="32" spans="1:20" ht="15.75" customHeight="1">
      <c r="A32" s="25">
        <v>2</v>
      </c>
      <c r="B32" s="25">
        <v>2</v>
      </c>
      <c r="C32" s="25">
        <v>3</v>
      </c>
      <c r="D32" s="25" t="s">
        <v>66</v>
      </c>
      <c r="E32" s="26" t="s">
        <v>67</v>
      </c>
      <c r="F32" s="25" t="s">
        <v>68</v>
      </c>
      <c r="G32" s="30">
        <v>50632</v>
      </c>
      <c r="H32" s="31">
        <v>220</v>
      </c>
      <c r="I32" s="32">
        <v>57</v>
      </c>
      <c r="J32" s="32">
        <v>51</v>
      </c>
      <c r="K32" s="32">
        <v>45</v>
      </c>
      <c r="L32" s="32">
        <v>72</v>
      </c>
      <c r="M32" s="32">
        <v>56</v>
      </c>
      <c r="N32" s="32">
        <v>71</v>
      </c>
      <c r="O32" s="32">
        <v>45</v>
      </c>
      <c r="P32" s="32">
        <v>31</v>
      </c>
      <c r="Q32" s="32">
        <v>42</v>
      </c>
      <c r="R32" s="32">
        <v>9</v>
      </c>
      <c r="S32" s="33">
        <v>47.9</v>
      </c>
      <c r="T32" s="34"/>
    </row>
    <row r="33" spans="1:20" ht="15.75" customHeight="1">
      <c r="A33" s="25">
        <v>2</v>
      </c>
      <c r="B33" s="25">
        <v>2</v>
      </c>
      <c r="C33" s="25">
        <v>3</v>
      </c>
      <c r="D33" s="25" t="s">
        <v>66</v>
      </c>
      <c r="E33" s="26" t="s">
        <v>67</v>
      </c>
      <c r="F33" s="25" t="s">
        <v>34</v>
      </c>
      <c r="G33" s="30">
        <v>50558</v>
      </c>
      <c r="H33" s="31">
        <v>227</v>
      </c>
      <c r="I33" s="32">
        <v>54</v>
      </c>
      <c r="J33" s="32">
        <v>13</v>
      </c>
      <c r="K33" s="32">
        <v>10</v>
      </c>
      <c r="L33" s="32">
        <v>10</v>
      </c>
      <c r="M33" s="32">
        <v>21</v>
      </c>
      <c r="N33" s="32">
        <v>24.5</v>
      </c>
      <c r="O33" s="32">
        <v>21</v>
      </c>
      <c r="P33" s="32">
        <v>28</v>
      </c>
      <c r="Q33" s="32">
        <v>40</v>
      </c>
      <c r="R33" s="32">
        <v>62</v>
      </c>
      <c r="S33" s="33">
        <v>28.4</v>
      </c>
      <c r="T33" s="34"/>
    </row>
    <row r="34" spans="1:20" ht="15.75" customHeight="1">
      <c r="A34" s="25">
        <v>2</v>
      </c>
      <c r="B34" s="25">
        <v>2</v>
      </c>
      <c r="C34" s="25">
        <v>4</v>
      </c>
      <c r="D34" s="25" t="s">
        <v>69</v>
      </c>
      <c r="E34" s="26" t="s">
        <v>70</v>
      </c>
      <c r="F34" s="25" t="s">
        <v>25</v>
      </c>
      <c r="G34" s="30">
        <v>50754</v>
      </c>
      <c r="H34" s="31">
        <v>205</v>
      </c>
      <c r="I34" s="32">
        <v>128</v>
      </c>
      <c r="J34" s="32">
        <v>107</v>
      </c>
      <c r="K34" s="32">
        <v>132</v>
      </c>
      <c r="L34" s="32">
        <v>174</v>
      </c>
      <c r="M34" s="32">
        <v>188</v>
      </c>
      <c r="N34" s="32">
        <v>151</v>
      </c>
      <c r="O34" s="32">
        <v>160</v>
      </c>
      <c r="P34" s="32">
        <v>146</v>
      </c>
      <c r="Q34" s="32">
        <v>99</v>
      </c>
      <c r="R34" s="32">
        <v>89</v>
      </c>
      <c r="S34" s="33">
        <v>137.4</v>
      </c>
      <c r="T34" s="34"/>
    </row>
    <row r="35" spans="1:20" ht="15.75" customHeight="1">
      <c r="A35" s="25">
        <v>2</v>
      </c>
      <c r="B35" s="25">
        <v>2</v>
      </c>
      <c r="C35" s="25">
        <v>4</v>
      </c>
      <c r="D35" s="25" t="s">
        <v>69</v>
      </c>
      <c r="E35" s="26" t="s">
        <v>70</v>
      </c>
      <c r="F35" s="25" t="s">
        <v>68</v>
      </c>
      <c r="G35" s="30">
        <v>50820</v>
      </c>
      <c r="H35" s="31">
        <v>9</v>
      </c>
      <c r="I35" s="32">
        <v>80</v>
      </c>
      <c r="J35" s="36"/>
      <c r="K35" s="36"/>
      <c r="L35" s="36"/>
      <c r="M35" s="36"/>
      <c r="N35" s="36"/>
      <c r="O35" s="36"/>
      <c r="P35" s="36"/>
      <c r="Q35" s="36"/>
      <c r="R35" s="36"/>
      <c r="S35" s="33">
        <v>80</v>
      </c>
      <c r="T35" s="34"/>
    </row>
    <row r="36" spans="1:20" ht="15.75" customHeight="1">
      <c r="A36" s="25">
        <v>2</v>
      </c>
      <c r="B36" s="25">
        <v>2</v>
      </c>
      <c r="C36" s="25">
        <v>5</v>
      </c>
      <c r="D36" s="25" t="s">
        <v>60</v>
      </c>
      <c r="E36" s="26" t="s">
        <v>71</v>
      </c>
      <c r="F36" s="25" t="s">
        <v>31</v>
      </c>
      <c r="G36" s="30">
        <v>50764</v>
      </c>
      <c r="H36" s="31">
        <v>175</v>
      </c>
      <c r="I36" s="32">
        <v>118</v>
      </c>
      <c r="J36" s="32">
        <v>61</v>
      </c>
      <c r="K36" s="32">
        <v>187</v>
      </c>
      <c r="L36" s="32">
        <v>89.5</v>
      </c>
      <c r="M36" s="32">
        <v>105</v>
      </c>
      <c r="N36" s="32">
        <v>117</v>
      </c>
      <c r="O36" s="32">
        <v>175.3</v>
      </c>
      <c r="P36" s="32">
        <v>128.30000000000001</v>
      </c>
      <c r="Q36" s="32">
        <v>185.1</v>
      </c>
      <c r="R36" s="32">
        <v>153</v>
      </c>
      <c r="S36" s="33">
        <v>131.9</v>
      </c>
      <c r="T36" s="34"/>
    </row>
    <row r="37" spans="1:20" ht="15.75" customHeight="1">
      <c r="A37" s="25">
        <v>2</v>
      </c>
      <c r="B37" s="25">
        <v>2</v>
      </c>
      <c r="C37" s="25">
        <v>8</v>
      </c>
      <c r="D37" s="25" t="s">
        <v>72</v>
      </c>
      <c r="E37" s="26" t="s">
        <v>73</v>
      </c>
      <c r="F37" s="25" t="s">
        <v>34</v>
      </c>
      <c r="G37" s="30">
        <v>50426</v>
      </c>
      <c r="H37" s="31">
        <v>320</v>
      </c>
      <c r="I37" s="32">
        <v>15</v>
      </c>
      <c r="J37" s="32">
        <v>13.5</v>
      </c>
      <c r="K37" s="32">
        <v>19</v>
      </c>
      <c r="L37" s="32">
        <v>12</v>
      </c>
      <c r="M37" s="32">
        <v>15</v>
      </c>
      <c r="N37" s="32">
        <v>11</v>
      </c>
      <c r="O37" s="32">
        <v>11</v>
      </c>
      <c r="P37" s="32">
        <v>22</v>
      </c>
      <c r="Q37" s="32">
        <v>33</v>
      </c>
      <c r="R37" s="32">
        <v>64</v>
      </c>
      <c r="S37" s="33">
        <v>21.6</v>
      </c>
      <c r="T37" s="34"/>
    </row>
    <row r="38" spans="1:20" ht="15.75" customHeight="1">
      <c r="A38" s="25">
        <v>2</v>
      </c>
      <c r="B38" s="25">
        <v>2</v>
      </c>
      <c r="C38" s="25">
        <v>8</v>
      </c>
      <c r="D38" s="25" t="s">
        <v>72</v>
      </c>
      <c r="E38" s="26" t="s">
        <v>73</v>
      </c>
      <c r="F38" s="25" t="s">
        <v>34</v>
      </c>
      <c r="G38" s="30">
        <v>50760</v>
      </c>
      <c r="H38" s="31">
        <v>140</v>
      </c>
      <c r="I38" s="32">
        <v>50</v>
      </c>
      <c r="J38" s="32">
        <v>53</v>
      </c>
      <c r="K38" s="32">
        <v>51</v>
      </c>
      <c r="L38" s="32">
        <v>37</v>
      </c>
      <c r="M38" s="32">
        <v>57</v>
      </c>
      <c r="N38" s="32">
        <v>33</v>
      </c>
      <c r="O38" s="32">
        <v>41</v>
      </c>
      <c r="P38" s="32">
        <v>48</v>
      </c>
      <c r="Q38" s="36"/>
      <c r="R38" s="36"/>
      <c r="S38" s="33">
        <v>46.3</v>
      </c>
      <c r="T38" s="34"/>
    </row>
    <row r="39" spans="1:20" ht="15.75" customHeight="1">
      <c r="A39" s="25">
        <v>2</v>
      </c>
      <c r="B39" s="25">
        <v>2</v>
      </c>
      <c r="C39" s="25">
        <v>9</v>
      </c>
      <c r="D39" s="25" t="s">
        <v>60</v>
      </c>
      <c r="E39" s="26" t="s">
        <v>71</v>
      </c>
      <c r="F39" s="25" t="s">
        <v>31</v>
      </c>
      <c r="G39" s="30">
        <v>50764</v>
      </c>
      <c r="H39" s="31">
        <v>48</v>
      </c>
      <c r="I39" s="32">
        <v>163</v>
      </c>
      <c r="J39" s="32">
        <v>193</v>
      </c>
      <c r="K39" s="32">
        <v>170</v>
      </c>
      <c r="L39" s="36"/>
      <c r="M39" s="36"/>
      <c r="N39" s="36"/>
      <c r="O39" s="36"/>
      <c r="P39" s="36"/>
      <c r="Q39" s="36"/>
      <c r="R39" s="36"/>
      <c r="S39" s="33">
        <v>175.3</v>
      </c>
      <c r="T39" s="34"/>
    </row>
    <row r="40" spans="1:20" ht="15.75" customHeight="1">
      <c r="A40" s="25">
        <v>2</v>
      </c>
      <c r="B40" s="25">
        <v>2</v>
      </c>
      <c r="C40" s="25">
        <v>11</v>
      </c>
      <c r="D40" s="25" t="s">
        <v>74</v>
      </c>
      <c r="E40" s="26" t="s">
        <v>75</v>
      </c>
      <c r="F40" s="25" t="s">
        <v>25</v>
      </c>
      <c r="G40" s="30">
        <v>50736</v>
      </c>
      <c r="H40" s="31">
        <v>354</v>
      </c>
      <c r="I40" s="32">
        <v>82</v>
      </c>
      <c r="J40" s="32">
        <v>36</v>
      </c>
      <c r="K40" s="32">
        <v>93</v>
      </c>
      <c r="L40" s="32">
        <v>106</v>
      </c>
      <c r="M40" s="32">
        <v>100</v>
      </c>
      <c r="N40" s="32">
        <v>135</v>
      </c>
      <c r="O40" s="32">
        <v>154</v>
      </c>
      <c r="P40" s="32">
        <v>152</v>
      </c>
      <c r="Q40" s="32">
        <v>168</v>
      </c>
      <c r="R40" s="32">
        <v>110</v>
      </c>
      <c r="S40" s="33">
        <v>113.6</v>
      </c>
      <c r="T40" s="34"/>
    </row>
    <row r="41" spans="1:20" ht="15.75" customHeight="1">
      <c r="A41" s="25">
        <v>2</v>
      </c>
      <c r="B41" s="25">
        <v>2</v>
      </c>
      <c r="C41" s="25">
        <v>11</v>
      </c>
      <c r="D41" s="25" t="s">
        <v>74</v>
      </c>
      <c r="E41" s="26" t="s">
        <v>75</v>
      </c>
      <c r="F41" s="25" t="s">
        <v>34</v>
      </c>
      <c r="G41" s="30">
        <v>50505</v>
      </c>
      <c r="H41" s="31">
        <v>15</v>
      </c>
      <c r="I41" s="32">
        <v>52</v>
      </c>
      <c r="J41" s="36"/>
      <c r="K41" s="36"/>
      <c r="L41" s="36"/>
      <c r="M41" s="36"/>
      <c r="N41" s="36"/>
      <c r="O41" s="36"/>
      <c r="P41" s="36"/>
      <c r="Q41" s="36"/>
      <c r="R41" s="36"/>
      <c r="S41" s="33">
        <v>52</v>
      </c>
      <c r="T41" s="34"/>
    </row>
    <row r="42" spans="1:20" ht="15.75" customHeight="1">
      <c r="A42" s="25">
        <v>2</v>
      </c>
      <c r="B42" s="25">
        <v>2</v>
      </c>
      <c r="C42" s="25">
        <v>13</v>
      </c>
      <c r="D42" s="25" t="s">
        <v>60</v>
      </c>
      <c r="E42" s="26" t="s">
        <v>61</v>
      </c>
      <c r="F42" s="25" t="s">
        <v>25</v>
      </c>
      <c r="G42" s="30">
        <v>50749</v>
      </c>
      <c r="H42" s="31">
        <v>200</v>
      </c>
      <c r="I42" s="32">
        <v>155</v>
      </c>
      <c r="J42" s="32">
        <v>134</v>
      </c>
      <c r="K42" s="32">
        <v>154</v>
      </c>
      <c r="L42" s="32">
        <v>156</v>
      </c>
      <c r="M42" s="32">
        <v>209</v>
      </c>
      <c r="N42" s="32">
        <v>185</v>
      </c>
      <c r="O42" s="32">
        <v>196</v>
      </c>
      <c r="P42" s="32">
        <v>109</v>
      </c>
      <c r="Q42" s="36"/>
      <c r="R42" s="36"/>
      <c r="S42" s="33">
        <v>162.30000000000001</v>
      </c>
      <c r="T42" s="34"/>
    </row>
    <row r="43" spans="1:20" ht="15.75" customHeight="1">
      <c r="A43" s="25">
        <v>2</v>
      </c>
      <c r="B43" s="25">
        <v>2</v>
      </c>
      <c r="C43" s="25">
        <v>13</v>
      </c>
      <c r="D43" s="25" t="s">
        <v>76</v>
      </c>
      <c r="E43" s="26" t="s">
        <v>77</v>
      </c>
      <c r="F43" s="25" t="s">
        <v>25</v>
      </c>
      <c r="G43" s="30">
        <v>50748</v>
      </c>
      <c r="H43" s="31">
        <v>296</v>
      </c>
      <c r="I43" s="32">
        <v>77</v>
      </c>
      <c r="J43" s="32">
        <v>108</v>
      </c>
      <c r="K43" s="32">
        <v>82</v>
      </c>
      <c r="L43" s="32">
        <v>81</v>
      </c>
      <c r="M43" s="32">
        <v>107</v>
      </c>
      <c r="N43" s="32">
        <v>17</v>
      </c>
      <c r="O43" s="32">
        <v>163</v>
      </c>
      <c r="P43" s="32">
        <v>65</v>
      </c>
      <c r="Q43" s="36"/>
      <c r="R43" s="36"/>
      <c r="S43" s="33">
        <v>87.5</v>
      </c>
      <c r="T43" s="34"/>
    </row>
    <row r="44" spans="1:20" ht="15.75" customHeight="1">
      <c r="A44" s="25">
        <v>2</v>
      </c>
      <c r="B44" s="25">
        <v>2</v>
      </c>
      <c r="C44" s="25">
        <v>18</v>
      </c>
      <c r="D44" s="25" t="s">
        <v>72</v>
      </c>
      <c r="E44" s="26" t="s">
        <v>73</v>
      </c>
      <c r="F44" s="25" t="s">
        <v>25</v>
      </c>
      <c r="G44" s="30">
        <v>50706</v>
      </c>
      <c r="H44" s="31">
        <v>71</v>
      </c>
      <c r="I44" s="32">
        <v>26</v>
      </c>
      <c r="J44" s="32">
        <v>16</v>
      </c>
      <c r="K44" s="32">
        <v>24</v>
      </c>
      <c r="L44" s="36"/>
      <c r="M44" s="36"/>
      <c r="N44" s="36"/>
      <c r="O44" s="36"/>
      <c r="P44" s="36"/>
      <c r="Q44" s="36"/>
      <c r="R44" s="36"/>
      <c r="S44" s="33">
        <v>22</v>
      </c>
      <c r="T44" s="34"/>
    </row>
    <row r="45" spans="1:20" ht="15.75" customHeight="1">
      <c r="A45" s="25">
        <v>2</v>
      </c>
      <c r="B45" s="25">
        <v>3</v>
      </c>
      <c r="C45" s="25">
        <v>1</v>
      </c>
      <c r="D45" s="25" t="s">
        <v>78</v>
      </c>
      <c r="E45" s="26" t="s">
        <v>79</v>
      </c>
      <c r="F45" s="25" t="s">
        <v>31</v>
      </c>
      <c r="G45" s="30">
        <v>50801</v>
      </c>
      <c r="H45" s="31">
        <v>371</v>
      </c>
      <c r="I45" s="32">
        <v>73</v>
      </c>
      <c r="J45" s="32">
        <v>83</v>
      </c>
      <c r="K45" s="32">
        <v>90</v>
      </c>
      <c r="L45" s="32">
        <v>70</v>
      </c>
      <c r="M45" s="32">
        <v>80</v>
      </c>
      <c r="N45" s="32">
        <v>92</v>
      </c>
      <c r="O45" s="32">
        <v>100</v>
      </c>
      <c r="P45" s="32">
        <v>108</v>
      </c>
      <c r="Q45" s="32">
        <v>100</v>
      </c>
      <c r="R45" s="32">
        <v>53</v>
      </c>
      <c r="S45" s="33">
        <v>84.9</v>
      </c>
      <c r="T45" s="34"/>
    </row>
    <row r="46" spans="1:20" ht="15.75" customHeight="1">
      <c r="A46" s="25">
        <v>2</v>
      </c>
      <c r="B46" s="25">
        <v>3</v>
      </c>
      <c r="C46" s="25">
        <v>1</v>
      </c>
      <c r="D46" s="25" t="s">
        <v>78</v>
      </c>
      <c r="E46" s="26" t="s">
        <v>79</v>
      </c>
      <c r="F46" s="25" t="s">
        <v>68</v>
      </c>
      <c r="G46" s="30">
        <v>50814</v>
      </c>
      <c r="H46" s="31">
        <v>218</v>
      </c>
      <c r="I46" s="32">
        <v>88</v>
      </c>
      <c r="J46" s="32">
        <v>113</v>
      </c>
      <c r="K46" s="32">
        <v>75</v>
      </c>
      <c r="L46" s="32">
        <v>112</v>
      </c>
      <c r="M46" s="32">
        <v>117</v>
      </c>
      <c r="N46" s="32">
        <v>89</v>
      </c>
      <c r="O46" s="32">
        <v>85</v>
      </c>
      <c r="P46" s="32">
        <v>69</v>
      </c>
      <c r="Q46" s="36"/>
      <c r="R46" s="36"/>
      <c r="S46" s="33">
        <v>93.5</v>
      </c>
      <c r="T46" s="34"/>
    </row>
    <row r="47" spans="1:20" ht="15.75" customHeight="1">
      <c r="A47" s="25">
        <v>2</v>
      </c>
      <c r="B47" s="25">
        <v>3</v>
      </c>
      <c r="C47" s="25">
        <v>1</v>
      </c>
      <c r="D47" s="25" t="s">
        <v>78</v>
      </c>
      <c r="E47" s="26" t="s">
        <v>79</v>
      </c>
      <c r="F47" s="25" t="s">
        <v>25</v>
      </c>
      <c r="G47" s="30">
        <v>50741</v>
      </c>
      <c r="H47" s="31">
        <v>55</v>
      </c>
      <c r="I47" s="32">
        <v>117</v>
      </c>
      <c r="J47" s="32">
        <v>64</v>
      </c>
      <c r="K47" s="32">
        <v>1</v>
      </c>
      <c r="L47" s="36"/>
      <c r="M47" s="36"/>
      <c r="N47" s="36"/>
      <c r="O47" s="36"/>
      <c r="P47" s="36"/>
      <c r="Q47" s="36"/>
      <c r="R47" s="36"/>
      <c r="S47" s="33">
        <v>60.7</v>
      </c>
      <c r="T47" s="34"/>
    </row>
    <row r="48" spans="1:20" ht="15.75" customHeight="1">
      <c r="A48" s="25">
        <v>2</v>
      </c>
      <c r="B48" s="25">
        <v>3</v>
      </c>
      <c r="C48" s="25">
        <v>1</v>
      </c>
      <c r="D48" s="25" t="s">
        <v>78</v>
      </c>
      <c r="E48" s="26" t="s">
        <v>79</v>
      </c>
      <c r="F48" s="25" t="s">
        <v>31</v>
      </c>
      <c r="G48" s="30">
        <v>50791</v>
      </c>
      <c r="H48" s="31">
        <v>49</v>
      </c>
      <c r="I48" s="32">
        <v>58</v>
      </c>
      <c r="J48" s="32">
        <v>35</v>
      </c>
      <c r="K48" s="36"/>
      <c r="L48" s="36"/>
      <c r="M48" s="36"/>
      <c r="N48" s="36"/>
      <c r="O48" s="36"/>
      <c r="P48" s="36"/>
      <c r="Q48" s="36"/>
      <c r="R48" s="36"/>
      <c r="S48" s="33">
        <v>46.5</v>
      </c>
      <c r="T48" s="34"/>
    </row>
    <row r="49" spans="1:21" ht="15.75" customHeight="1">
      <c r="A49" s="25">
        <v>2</v>
      </c>
      <c r="B49" s="25">
        <v>3</v>
      </c>
      <c r="C49" s="25">
        <v>1</v>
      </c>
      <c r="D49" s="25" t="s">
        <v>78</v>
      </c>
      <c r="E49" s="26" t="s">
        <v>79</v>
      </c>
      <c r="F49" s="25" t="s">
        <v>34</v>
      </c>
      <c r="G49" s="30">
        <v>50850</v>
      </c>
      <c r="H49" s="31">
        <v>46</v>
      </c>
      <c r="I49" s="32">
        <v>98</v>
      </c>
      <c r="J49" s="32">
        <v>99</v>
      </c>
      <c r="K49" s="36"/>
      <c r="L49" s="36"/>
      <c r="M49" s="36"/>
      <c r="N49" s="36"/>
      <c r="O49" s="36"/>
      <c r="P49" s="36"/>
      <c r="Q49" s="36"/>
      <c r="R49" s="36"/>
      <c r="S49" s="33">
        <v>98.5</v>
      </c>
      <c r="T49" s="34"/>
    </row>
    <row r="50" spans="1:21" ht="15.75" customHeight="1">
      <c r="A50" s="25">
        <v>2</v>
      </c>
      <c r="B50" s="25">
        <v>3</v>
      </c>
      <c r="C50" s="25">
        <v>2</v>
      </c>
      <c r="D50" s="25" t="s">
        <v>81</v>
      </c>
      <c r="E50" s="26" t="s">
        <v>82</v>
      </c>
      <c r="F50" s="25" t="s">
        <v>25</v>
      </c>
      <c r="G50" s="30">
        <v>50723</v>
      </c>
      <c r="H50" s="31">
        <v>44</v>
      </c>
      <c r="I50" s="32">
        <v>42</v>
      </c>
      <c r="J50" s="32">
        <v>23</v>
      </c>
      <c r="K50" s="36"/>
      <c r="L50" s="36"/>
      <c r="M50" s="36"/>
      <c r="N50" s="36"/>
      <c r="O50" s="36"/>
      <c r="P50" s="36"/>
      <c r="Q50" s="36"/>
      <c r="R50" s="36"/>
      <c r="S50" s="33">
        <v>32.5</v>
      </c>
      <c r="T50" s="34"/>
    </row>
    <row r="51" spans="1:21" ht="15.75" customHeight="1">
      <c r="A51" s="25">
        <v>2</v>
      </c>
      <c r="B51" s="25">
        <v>3</v>
      </c>
      <c r="C51" s="25">
        <v>2</v>
      </c>
      <c r="D51" s="25" t="s">
        <v>81</v>
      </c>
      <c r="E51" s="26" t="s">
        <v>82</v>
      </c>
      <c r="F51" s="25" t="s">
        <v>34</v>
      </c>
      <c r="G51" s="30">
        <v>50518</v>
      </c>
      <c r="H51" s="31">
        <v>61</v>
      </c>
      <c r="I51" s="32">
        <v>32</v>
      </c>
      <c r="J51" s="32">
        <v>58</v>
      </c>
      <c r="K51" s="32">
        <v>58</v>
      </c>
      <c r="L51" s="36"/>
      <c r="M51" s="36"/>
      <c r="N51" s="36"/>
      <c r="O51" s="36"/>
      <c r="P51" s="36"/>
      <c r="Q51" s="36"/>
      <c r="R51" s="36"/>
      <c r="S51" s="33">
        <v>49.3</v>
      </c>
      <c r="T51" s="34"/>
    </row>
    <row r="52" spans="1:21" ht="15.75" customHeight="1">
      <c r="A52" s="68">
        <v>2</v>
      </c>
      <c r="B52" s="25">
        <v>3</v>
      </c>
      <c r="C52" s="25">
        <v>2</v>
      </c>
      <c r="D52" s="25" t="s">
        <v>85</v>
      </c>
      <c r="E52" s="26" t="s">
        <v>86</v>
      </c>
      <c r="F52" s="25" t="s">
        <v>68</v>
      </c>
      <c r="G52" s="30">
        <v>50832</v>
      </c>
      <c r="H52" s="31">
        <v>251</v>
      </c>
      <c r="I52" s="32">
        <v>54</v>
      </c>
      <c r="J52" s="32">
        <v>38</v>
      </c>
      <c r="K52" s="32">
        <v>46</v>
      </c>
      <c r="L52" s="32">
        <v>47</v>
      </c>
      <c r="M52" s="32">
        <v>50</v>
      </c>
      <c r="N52" s="32">
        <v>55</v>
      </c>
      <c r="O52" s="32">
        <v>54</v>
      </c>
      <c r="P52" s="32">
        <v>61</v>
      </c>
      <c r="Q52" s="32">
        <v>56</v>
      </c>
      <c r="R52" s="32">
        <v>52</v>
      </c>
      <c r="S52" s="33">
        <v>51.3</v>
      </c>
      <c r="T52" s="34"/>
    </row>
    <row r="53" spans="1:21" ht="15.75" customHeight="1">
      <c r="A53" s="25">
        <v>2</v>
      </c>
      <c r="B53" s="25">
        <v>3</v>
      </c>
      <c r="C53" s="25">
        <v>2</v>
      </c>
      <c r="D53" s="25" t="s">
        <v>81</v>
      </c>
      <c r="E53" s="26" t="s">
        <v>82</v>
      </c>
      <c r="F53" s="25" t="s">
        <v>34</v>
      </c>
      <c r="G53" s="30">
        <v>50628</v>
      </c>
      <c r="H53" s="31">
        <v>28</v>
      </c>
      <c r="I53" s="32">
        <v>40</v>
      </c>
      <c r="J53" s="36"/>
      <c r="K53" s="36"/>
      <c r="L53" s="36"/>
      <c r="M53" s="36"/>
      <c r="N53" s="36"/>
      <c r="O53" s="36"/>
      <c r="P53" s="36"/>
      <c r="Q53" s="36"/>
      <c r="R53" s="36"/>
      <c r="S53" s="33">
        <v>40</v>
      </c>
      <c r="T53" s="34"/>
    </row>
    <row r="54" spans="1:21" ht="15.75" customHeight="1">
      <c r="A54" s="25">
        <v>2</v>
      </c>
      <c r="B54" s="25">
        <v>3</v>
      </c>
      <c r="C54" s="25">
        <v>2</v>
      </c>
      <c r="D54" s="25" t="s">
        <v>81</v>
      </c>
      <c r="E54" s="26" t="s">
        <v>82</v>
      </c>
      <c r="F54" s="25" t="s">
        <v>34</v>
      </c>
      <c r="G54" s="30">
        <v>50520</v>
      </c>
      <c r="H54" s="31">
        <v>142</v>
      </c>
      <c r="I54" s="32">
        <v>21</v>
      </c>
      <c r="J54" s="32">
        <v>34</v>
      </c>
      <c r="K54" s="32">
        <v>39</v>
      </c>
      <c r="L54" s="32">
        <v>30</v>
      </c>
      <c r="M54" s="32">
        <v>45</v>
      </c>
      <c r="N54" s="32">
        <v>43</v>
      </c>
      <c r="O54" s="36"/>
      <c r="P54" s="36"/>
      <c r="Q54" s="36"/>
      <c r="R54" s="36"/>
      <c r="S54" s="33">
        <v>35.299999999999997</v>
      </c>
      <c r="T54" s="34"/>
    </row>
    <row r="55" spans="1:21" ht="15.75" customHeight="1">
      <c r="A55" s="25">
        <v>2</v>
      </c>
      <c r="B55" s="25">
        <v>3</v>
      </c>
      <c r="C55" s="25">
        <v>2</v>
      </c>
      <c r="D55" s="25" t="s">
        <v>81</v>
      </c>
      <c r="E55" s="26" t="s">
        <v>82</v>
      </c>
      <c r="F55" s="25" t="s">
        <v>34</v>
      </c>
      <c r="G55" s="30">
        <v>50483</v>
      </c>
      <c r="H55" s="31">
        <v>3</v>
      </c>
      <c r="I55" s="32">
        <v>20</v>
      </c>
      <c r="J55" s="36"/>
      <c r="K55" s="36"/>
      <c r="L55" s="36"/>
      <c r="M55" s="36"/>
      <c r="N55" s="36"/>
      <c r="O55" s="36"/>
      <c r="P55" s="36"/>
      <c r="Q55" s="36"/>
      <c r="R55" s="36"/>
      <c r="S55" s="33">
        <v>20</v>
      </c>
      <c r="T55" s="34"/>
    </row>
    <row r="56" spans="1:21" ht="15.75" customHeight="1">
      <c r="A56" s="70">
        <v>2</v>
      </c>
      <c r="B56" s="70">
        <v>3</v>
      </c>
      <c r="C56" s="70">
        <v>3</v>
      </c>
      <c r="D56" s="70" t="s">
        <v>72</v>
      </c>
      <c r="E56" s="72" t="s">
        <v>73</v>
      </c>
      <c r="F56" s="70" t="s">
        <v>68</v>
      </c>
      <c r="G56" s="75">
        <v>50618</v>
      </c>
      <c r="H56" s="76">
        <v>96</v>
      </c>
      <c r="I56" s="77">
        <v>17</v>
      </c>
      <c r="J56" s="77">
        <v>18</v>
      </c>
      <c r="K56" s="77">
        <v>16</v>
      </c>
      <c r="L56" s="77">
        <v>10</v>
      </c>
      <c r="M56" s="77">
        <v>15</v>
      </c>
      <c r="N56" s="77">
        <v>11</v>
      </c>
      <c r="O56" s="81"/>
      <c r="P56" s="81"/>
      <c r="Q56" s="81"/>
      <c r="R56" s="81"/>
      <c r="S56" s="70">
        <v>14.5</v>
      </c>
      <c r="T56" s="83" t="s">
        <v>87</v>
      </c>
    </row>
    <row r="57" spans="1:21" ht="15.75" customHeight="1">
      <c r="A57" s="25">
        <v>2</v>
      </c>
      <c r="B57" s="25">
        <v>3</v>
      </c>
      <c r="C57" s="25">
        <v>4</v>
      </c>
      <c r="D57" s="25" t="s">
        <v>72</v>
      </c>
      <c r="E57" s="26" t="s">
        <v>73</v>
      </c>
      <c r="F57" s="25" t="s">
        <v>31</v>
      </c>
      <c r="G57" s="30">
        <v>50803</v>
      </c>
      <c r="H57" s="31">
        <v>486</v>
      </c>
      <c r="I57" s="32">
        <v>17</v>
      </c>
      <c r="J57" s="32">
        <v>35</v>
      </c>
      <c r="K57" s="32">
        <v>33</v>
      </c>
      <c r="L57" s="32">
        <v>13</v>
      </c>
      <c r="M57" s="32">
        <v>22</v>
      </c>
      <c r="N57" s="32">
        <v>32</v>
      </c>
      <c r="O57" s="32">
        <v>47</v>
      </c>
      <c r="P57" s="32">
        <v>30</v>
      </c>
      <c r="Q57" s="36"/>
      <c r="R57" s="36"/>
      <c r="S57" s="33">
        <v>28.6</v>
      </c>
      <c r="T57" s="34"/>
    </row>
    <row r="58" spans="1:21" ht="15.75" customHeight="1">
      <c r="A58" s="70">
        <v>2</v>
      </c>
      <c r="B58" s="70">
        <v>3</v>
      </c>
      <c r="C58" s="70">
        <v>4</v>
      </c>
      <c r="D58" s="70" t="s">
        <v>72</v>
      </c>
      <c r="E58" s="72" t="s">
        <v>73</v>
      </c>
      <c r="F58" s="70" t="s">
        <v>68</v>
      </c>
      <c r="G58" s="75">
        <v>50618</v>
      </c>
      <c r="H58" s="76">
        <v>49</v>
      </c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3" t="s">
        <v>87</v>
      </c>
      <c r="U58" s="91"/>
    </row>
    <row r="59" spans="1:21" ht="15.75" customHeight="1">
      <c r="A59" s="25">
        <v>2</v>
      </c>
      <c r="B59" s="25">
        <v>3</v>
      </c>
      <c r="C59" s="25">
        <v>5</v>
      </c>
      <c r="D59" s="25" t="s">
        <v>89</v>
      </c>
      <c r="E59" s="26" t="s">
        <v>90</v>
      </c>
      <c r="F59" s="25" t="s">
        <v>34</v>
      </c>
      <c r="G59" s="30">
        <v>50854</v>
      </c>
      <c r="H59" s="31">
        <v>179</v>
      </c>
      <c r="I59" s="32">
        <v>25</v>
      </c>
      <c r="J59" s="32">
        <v>14</v>
      </c>
      <c r="K59" s="32">
        <v>32</v>
      </c>
      <c r="L59" s="32">
        <v>36</v>
      </c>
      <c r="M59" s="32">
        <v>49</v>
      </c>
      <c r="N59" s="32">
        <v>24</v>
      </c>
      <c r="O59" s="32">
        <v>19</v>
      </c>
      <c r="P59" s="32">
        <v>20</v>
      </c>
      <c r="Q59" s="36"/>
      <c r="R59" s="36"/>
      <c r="S59" s="33">
        <v>27.4</v>
      </c>
      <c r="T59" s="34"/>
    </row>
    <row r="60" spans="1:21" ht="15.75" customHeight="1">
      <c r="A60" s="25">
        <v>2</v>
      </c>
      <c r="B60" s="25">
        <v>3</v>
      </c>
      <c r="C60" s="25">
        <v>5</v>
      </c>
      <c r="D60" s="25" t="s">
        <v>89</v>
      </c>
      <c r="E60" s="26" t="s">
        <v>90</v>
      </c>
      <c r="F60" s="25" t="s">
        <v>25</v>
      </c>
      <c r="G60" s="30">
        <v>50846</v>
      </c>
      <c r="H60" s="31">
        <v>114</v>
      </c>
      <c r="I60" s="32">
        <v>66</v>
      </c>
      <c r="J60" s="32">
        <v>50</v>
      </c>
      <c r="K60" s="32">
        <v>52</v>
      </c>
      <c r="L60" s="32">
        <v>35</v>
      </c>
      <c r="M60" s="32">
        <v>24</v>
      </c>
      <c r="N60" s="32">
        <v>20</v>
      </c>
      <c r="O60" s="36"/>
      <c r="P60" s="36"/>
      <c r="Q60" s="36"/>
      <c r="R60" s="36"/>
      <c r="S60" s="33">
        <v>41.2</v>
      </c>
      <c r="T60" s="34"/>
    </row>
    <row r="61" spans="1:21" ht="15.75" customHeight="1">
      <c r="A61" s="25">
        <v>2</v>
      </c>
      <c r="B61" s="25">
        <v>3</v>
      </c>
      <c r="C61" s="25">
        <v>6</v>
      </c>
      <c r="D61" s="25" t="s">
        <v>58</v>
      </c>
      <c r="E61" s="26" t="s">
        <v>59</v>
      </c>
      <c r="F61" s="25" t="s">
        <v>68</v>
      </c>
      <c r="G61" s="30">
        <v>50816</v>
      </c>
      <c r="H61" s="31">
        <v>983</v>
      </c>
      <c r="I61" s="32">
        <v>22</v>
      </c>
      <c r="J61" s="32">
        <v>18</v>
      </c>
      <c r="K61" s="32">
        <v>62</v>
      </c>
      <c r="L61" s="32">
        <v>75</v>
      </c>
      <c r="M61" s="32">
        <v>94</v>
      </c>
      <c r="N61" s="32">
        <v>109</v>
      </c>
      <c r="O61" s="32">
        <v>120</v>
      </c>
      <c r="P61" s="32">
        <v>118</v>
      </c>
      <c r="Q61" s="32">
        <v>51</v>
      </c>
      <c r="R61" s="32">
        <v>136</v>
      </c>
      <c r="S61" s="33">
        <v>80.5</v>
      </c>
      <c r="T61" s="36"/>
    </row>
    <row r="62" spans="1:21" ht="15.75" customHeight="1">
      <c r="A62" s="25">
        <v>2</v>
      </c>
      <c r="B62" s="25">
        <v>3</v>
      </c>
      <c r="C62" s="25">
        <v>6</v>
      </c>
      <c r="D62" s="25" t="s">
        <v>58</v>
      </c>
      <c r="E62" s="26" t="s">
        <v>59</v>
      </c>
      <c r="F62" s="25" t="s">
        <v>34</v>
      </c>
      <c r="G62" s="30">
        <v>50773</v>
      </c>
      <c r="H62" s="31">
        <v>13</v>
      </c>
      <c r="I62" s="32">
        <v>46</v>
      </c>
      <c r="J62" s="36"/>
      <c r="K62" s="36"/>
      <c r="L62" s="36"/>
      <c r="M62" s="36"/>
      <c r="N62" s="36"/>
      <c r="O62" s="36"/>
      <c r="P62" s="36"/>
      <c r="Q62" s="36"/>
      <c r="R62" s="36"/>
      <c r="S62" s="33">
        <v>46</v>
      </c>
      <c r="T62" s="34"/>
    </row>
    <row r="63" spans="1:21" ht="15.75" customHeight="1">
      <c r="A63" s="25">
        <v>2</v>
      </c>
      <c r="B63" s="25">
        <v>3</v>
      </c>
      <c r="C63" s="25">
        <v>6</v>
      </c>
      <c r="D63" s="25" t="s">
        <v>91</v>
      </c>
      <c r="E63" s="26" t="s">
        <v>92</v>
      </c>
      <c r="F63" s="25" t="s">
        <v>31</v>
      </c>
      <c r="G63" s="30">
        <v>50784</v>
      </c>
      <c r="H63" s="31">
        <v>32</v>
      </c>
      <c r="I63" s="32">
        <v>25</v>
      </c>
      <c r="J63" s="36"/>
      <c r="K63" s="36"/>
      <c r="L63" s="36"/>
      <c r="M63" s="36"/>
      <c r="N63" s="36"/>
      <c r="O63" s="36"/>
      <c r="P63" s="36"/>
      <c r="Q63" s="36"/>
      <c r="R63" s="36"/>
      <c r="S63" s="33">
        <v>25</v>
      </c>
      <c r="T63" s="34"/>
    </row>
    <row r="64" spans="1:21" ht="15.75" customHeight="1">
      <c r="A64" s="25">
        <v>2</v>
      </c>
      <c r="B64" s="25">
        <v>3</v>
      </c>
      <c r="C64" s="25">
        <v>7</v>
      </c>
      <c r="D64" s="25" t="s">
        <v>93</v>
      </c>
      <c r="E64" s="26" t="s">
        <v>94</v>
      </c>
      <c r="F64" s="25" t="s">
        <v>34</v>
      </c>
      <c r="G64" s="30">
        <v>50604</v>
      </c>
      <c r="H64" s="31">
        <v>350</v>
      </c>
      <c r="I64" s="32">
        <v>74</v>
      </c>
      <c r="J64" s="32">
        <v>80</v>
      </c>
      <c r="K64" s="32">
        <v>77</v>
      </c>
      <c r="L64" s="32">
        <v>120</v>
      </c>
      <c r="M64" s="32">
        <v>115</v>
      </c>
      <c r="N64" s="32">
        <v>112</v>
      </c>
      <c r="O64" s="32">
        <v>99</v>
      </c>
      <c r="P64" s="32">
        <v>97</v>
      </c>
      <c r="Q64" s="32">
        <v>66</v>
      </c>
      <c r="R64" s="32">
        <v>108</v>
      </c>
      <c r="S64" s="33">
        <v>94.8</v>
      </c>
      <c r="T64" s="34"/>
    </row>
    <row r="65" spans="1:20" ht="15.75" customHeight="1">
      <c r="A65" s="53">
        <v>2</v>
      </c>
      <c r="B65" s="53">
        <v>3</v>
      </c>
      <c r="C65" s="53">
        <v>7</v>
      </c>
      <c r="D65" s="53" t="s">
        <v>72</v>
      </c>
      <c r="E65" s="54" t="s">
        <v>73</v>
      </c>
      <c r="F65" s="53" t="s">
        <v>31</v>
      </c>
      <c r="G65" s="55">
        <v>50803</v>
      </c>
      <c r="H65" s="57">
        <v>132</v>
      </c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59"/>
      <c r="T65" s="61" t="s">
        <v>55</v>
      </c>
    </row>
    <row r="66" spans="1:20" ht="15.75" customHeight="1">
      <c r="A66" s="25">
        <v>2</v>
      </c>
      <c r="B66" s="25">
        <v>3</v>
      </c>
      <c r="C66" s="25">
        <v>8</v>
      </c>
      <c r="D66" s="25" t="s">
        <v>95</v>
      </c>
      <c r="E66" s="26" t="s">
        <v>96</v>
      </c>
      <c r="F66" s="25" t="s">
        <v>34</v>
      </c>
      <c r="G66" s="30">
        <v>50886</v>
      </c>
      <c r="H66" s="31">
        <v>289</v>
      </c>
      <c r="I66" s="32">
        <v>22</v>
      </c>
      <c r="J66" s="32">
        <v>26</v>
      </c>
      <c r="K66" s="32">
        <v>23</v>
      </c>
      <c r="L66" s="32">
        <v>17</v>
      </c>
      <c r="M66" s="32">
        <v>20</v>
      </c>
      <c r="N66" s="32">
        <v>26</v>
      </c>
      <c r="O66" s="32">
        <v>23</v>
      </c>
      <c r="P66" s="32">
        <v>23</v>
      </c>
      <c r="Q66" s="32">
        <v>31</v>
      </c>
      <c r="R66" s="32">
        <v>39</v>
      </c>
      <c r="S66" s="33">
        <v>25</v>
      </c>
      <c r="T66" s="34"/>
    </row>
    <row r="67" spans="1:20" ht="15.75" customHeight="1">
      <c r="A67" s="25">
        <v>2</v>
      </c>
      <c r="B67" s="25">
        <v>3</v>
      </c>
      <c r="C67" s="25">
        <v>8</v>
      </c>
      <c r="D67" s="25" t="s">
        <v>74</v>
      </c>
      <c r="E67" s="26" t="s">
        <v>75</v>
      </c>
      <c r="F67" s="25" t="s">
        <v>34</v>
      </c>
      <c r="G67" s="30">
        <v>50887</v>
      </c>
      <c r="H67" s="31">
        <v>179</v>
      </c>
      <c r="I67" s="32">
        <v>28</v>
      </c>
      <c r="J67" s="32">
        <v>18</v>
      </c>
      <c r="K67" s="32">
        <v>20</v>
      </c>
      <c r="L67" s="32">
        <v>20</v>
      </c>
      <c r="M67" s="32">
        <v>16</v>
      </c>
      <c r="N67" s="32">
        <v>13</v>
      </c>
      <c r="O67" s="32">
        <v>6</v>
      </c>
      <c r="P67" s="32">
        <v>5</v>
      </c>
      <c r="Q67" s="32">
        <v>8</v>
      </c>
      <c r="R67" s="36"/>
      <c r="S67" s="33">
        <v>14.9</v>
      </c>
      <c r="T67" s="34"/>
    </row>
    <row r="68" spans="1:20" ht="15.75" customHeight="1">
      <c r="A68" s="25">
        <v>2</v>
      </c>
      <c r="B68" s="25">
        <v>3</v>
      </c>
      <c r="C68" s="25">
        <v>9</v>
      </c>
      <c r="D68" s="25" t="s">
        <v>97</v>
      </c>
      <c r="E68" s="26" t="s">
        <v>98</v>
      </c>
      <c r="F68" s="25" t="s">
        <v>68</v>
      </c>
      <c r="G68" s="30">
        <v>50845</v>
      </c>
      <c r="H68" s="31">
        <v>459</v>
      </c>
      <c r="I68" s="32">
        <v>19</v>
      </c>
      <c r="J68" s="32">
        <v>14</v>
      </c>
      <c r="K68" s="32">
        <v>13</v>
      </c>
      <c r="L68" s="32">
        <v>19.5</v>
      </c>
      <c r="M68" s="32">
        <v>16.5</v>
      </c>
      <c r="N68" s="32">
        <v>15</v>
      </c>
      <c r="O68" s="32">
        <v>17.5</v>
      </c>
      <c r="P68" s="32">
        <v>15</v>
      </c>
      <c r="Q68" s="32">
        <v>12</v>
      </c>
      <c r="R68" s="32">
        <v>21.5</v>
      </c>
      <c r="S68" s="33">
        <v>16.3</v>
      </c>
      <c r="T68" s="34"/>
    </row>
    <row r="69" spans="1:20" ht="15.75" customHeight="1">
      <c r="A69" s="38">
        <v>2</v>
      </c>
      <c r="B69" s="38">
        <v>3</v>
      </c>
      <c r="C69" s="38">
        <v>9</v>
      </c>
      <c r="D69" s="38" t="s">
        <v>97</v>
      </c>
      <c r="E69" s="40" t="s">
        <v>98</v>
      </c>
      <c r="F69" s="38" t="s">
        <v>34</v>
      </c>
      <c r="G69" s="43">
        <v>50590</v>
      </c>
      <c r="H69" s="46">
        <v>3</v>
      </c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50" t="s">
        <v>43</v>
      </c>
    </row>
    <row r="70" spans="1:20" ht="15.75" customHeight="1">
      <c r="A70" s="25">
        <v>2</v>
      </c>
      <c r="B70" s="25">
        <v>3</v>
      </c>
      <c r="C70" s="25">
        <v>9</v>
      </c>
      <c r="D70" s="25" t="s">
        <v>99</v>
      </c>
      <c r="E70" s="96"/>
      <c r="F70" s="25" t="s">
        <v>25</v>
      </c>
      <c r="G70" s="30">
        <v>50848</v>
      </c>
      <c r="H70" s="31">
        <v>217</v>
      </c>
      <c r="I70" s="32">
        <v>32</v>
      </c>
      <c r="J70" s="32">
        <v>29</v>
      </c>
      <c r="K70" s="32">
        <v>33</v>
      </c>
      <c r="L70" s="32">
        <v>18</v>
      </c>
      <c r="M70" s="32">
        <v>21</v>
      </c>
      <c r="N70" s="32">
        <v>20</v>
      </c>
      <c r="O70" s="32">
        <v>19</v>
      </c>
      <c r="P70" s="32">
        <v>21</v>
      </c>
      <c r="Q70" s="36"/>
      <c r="R70" s="36"/>
      <c r="S70" s="33">
        <v>24.1</v>
      </c>
      <c r="T70" s="34"/>
    </row>
    <row r="71" spans="1:20" ht="15.75" customHeight="1">
      <c r="A71" s="53">
        <v>2</v>
      </c>
      <c r="B71" s="53">
        <v>3</v>
      </c>
      <c r="C71" s="53">
        <v>9</v>
      </c>
      <c r="D71" s="53" t="s">
        <v>100</v>
      </c>
      <c r="E71" s="54" t="s">
        <v>101</v>
      </c>
      <c r="F71" s="53" t="s">
        <v>68</v>
      </c>
      <c r="G71" s="55">
        <v>50645</v>
      </c>
      <c r="H71" s="57">
        <v>102</v>
      </c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61" t="s">
        <v>55</v>
      </c>
    </row>
    <row r="72" spans="1:20" ht="15.75" customHeight="1">
      <c r="A72" s="25">
        <v>2</v>
      </c>
      <c r="B72" s="25">
        <v>3</v>
      </c>
      <c r="C72" s="25">
        <v>9</v>
      </c>
      <c r="D72" s="25" t="s">
        <v>100</v>
      </c>
      <c r="E72" s="26" t="s">
        <v>101</v>
      </c>
      <c r="F72" s="25" t="s">
        <v>25</v>
      </c>
      <c r="G72" s="30">
        <v>50746</v>
      </c>
      <c r="H72" s="31">
        <v>53</v>
      </c>
      <c r="I72" s="32">
        <v>37</v>
      </c>
      <c r="J72" s="32">
        <v>30</v>
      </c>
      <c r="K72" s="32">
        <v>28</v>
      </c>
      <c r="L72" s="36"/>
      <c r="M72" s="36"/>
      <c r="N72" s="36"/>
      <c r="O72" s="36"/>
      <c r="P72" s="36"/>
      <c r="Q72" s="36"/>
      <c r="R72" s="36"/>
      <c r="S72" s="33">
        <v>31.7</v>
      </c>
      <c r="T72" s="34"/>
    </row>
    <row r="73" spans="1:20" ht="15.75" customHeight="1">
      <c r="A73" s="25">
        <v>2</v>
      </c>
      <c r="B73" s="25">
        <v>3</v>
      </c>
      <c r="C73" s="25">
        <v>9</v>
      </c>
      <c r="D73" s="25" t="s">
        <v>100</v>
      </c>
      <c r="E73" s="26" t="s">
        <v>101</v>
      </c>
      <c r="F73" s="25" t="s">
        <v>31</v>
      </c>
      <c r="G73" s="30">
        <v>50804</v>
      </c>
      <c r="H73" s="31">
        <v>29</v>
      </c>
      <c r="I73" s="32">
        <v>42</v>
      </c>
      <c r="J73" s="36"/>
      <c r="K73" s="36"/>
      <c r="L73" s="36"/>
      <c r="M73" s="36"/>
      <c r="N73" s="36"/>
      <c r="O73" s="36"/>
      <c r="P73" s="36"/>
      <c r="Q73" s="36"/>
      <c r="R73" s="36"/>
      <c r="S73" s="33">
        <v>42</v>
      </c>
      <c r="T73" s="34"/>
    </row>
    <row r="74" spans="1:20" ht="15.75" customHeight="1">
      <c r="A74" s="25">
        <v>2</v>
      </c>
      <c r="B74" s="25">
        <v>3</v>
      </c>
      <c r="C74" s="25">
        <v>11</v>
      </c>
      <c r="D74" s="25" t="s">
        <v>102</v>
      </c>
      <c r="E74" s="26" t="s">
        <v>103</v>
      </c>
      <c r="F74" s="25" t="s">
        <v>31</v>
      </c>
      <c r="G74" s="30">
        <v>50821</v>
      </c>
      <c r="H74" s="31">
        <v>369</v>
      </c>
      <c r="I74" s="32">
        <v>62</v>
      </c>
      <c r="J74" s="32">
        <v>74</v>
      </c>
      <c r="K74" s="32">
        <v>52</v>
      </c>
      <c r="L74" s="32">
        <v>44</v>
      </c>
      <c r="M74" s="32">
        <v>58</v>
      </c>
      <c r="N74" s="32">
        <v>74</v>
      </c>
      <c r="O74" s="32">
        <v>77</v>
      </c>
      <c r="P74" s="32">
        <v>62</v>
      </c>
      <c r="Q74" s="32">
        <v>49</v>
      </c>
      <c r="R74" s="32">
        <v>62</v>
      </c>
      <c r="S74" s="33">
        <v>61.4</v>
      </c>
      <c r="T74" s="34"/>
    </row>
    <row r="75" spans="1:20" ht="15.75" customHeight="1">
      <c r="A75" s="53">
        <v>2</v>
      </c>
      <c r="B75" s="53">
        <v>3</v>
      </c>
      <c r="C75" s="53">
        <v>11</v>
      </c>
      <c r="D75" s="53" t="s">
        <v>102</v>
      </c>
      <c r="E75" s="54" t="s">
        <v>103</v>
      </c>
      <c r="F75" s="53" t="s">
        <v>34</v>
      </c>
      <c r="G75" s="55">
        <v>50415</v>
      </c>
      <c r="H75" s="57">
        <v>4</v>
      </c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61" t="s">
        <v>55</v>
      </c>
    </row>
    <row r="76" spans="1:20" ht="15.75" customHeight="1">
      <c r="A76" s="25">
        <v>2</v>
      </c>
      <c r="B76" s="25">
        <v>3</v>
      </c>
      <c r="C76" s="25">
        <v>11</v>
      </c>
      <c r="D76" s="25" t="s">
        <v>102</v>
      </c>
      <c r="E76" s="26" t="s">
        <v>104</v>
      </c>
      <c r="F76" s="25" t="s">
        <v>68</v>
      </c>
      <c r="G76" s="30">
        <v>50658</v>
      </c>
      <c r="H76" s="31">
        <v>136</v>
      </c>
      <c r="I76" s="32">
        <v>74</v>
      </c>
      <c r="J76" s="32">
        <v>90</v>
      </c>
      <c r="K76" s="32">
        <v>54</v>
      </c>
      <c r="L76" s="32">
        <v>66</v>
      </c>
      <c r="M76" s="32">
        <v>91</v>
      </c>
      <c r="N76" s="36"/>
      <c r="O76" s="36"/>
      <c r="P76" s="36"/>
      <c r="Q76" s="36"/>
      <c r="R76" s="36"/>
      <c r="S76" s="33">
        <v>75</v>
      </c>
      <c r="T76" s="34"/>
    </row>
    <row r="77" spans="1:20" ht="15.75" customHeight="1">
      <c r="A77" s="25">
        <v>2</v>
      </c>
      <c r="B77" s="25">
        <v>3</v>
      </c>
      <c r="C77" s="25">
        <v>12</v>
      </c>
      <c r="D77" s="25" t="s">
        <v>102</v>
      </c>
      <c r="E77" s="26" t="s">
        <v>103</v>
      </c>
      <c r="F77" s="25" t="s">
        <v>68</v>
      </c>
      <c r="G77" s="30">
        <v>50817</v>
      </c>
      <c r="H77" s="31">
        <v>1429</v>
      </c>
      <c r="I77" s="32">
        <v>53</v>
      </c>
      <c r="J77" s="32">
        <v>67</v>
      </c>
      <c r="K77" s="32">
        <v>68</v>
      </c>
      <c r="L77" s="32">
        <v>58</v>
      </c>
      <c r="M77" s="32">
        <v>52</v>
      </c>
      <c r="N77" s="32">
        <v>87</v>
      </c>
      <c r="O77" s="32">
        <v>43</v>
      </c>
      <c r="P77" s="32">
        <v>40</v>
      </c>
      <c r="Q77" s="32">
        <v>60</v>
      </c>
      <c r="R77" s="32">
        <v>37</v>
      </c>
      <c r="S77" s="33">
        <v>56.5</v>
      </c>
      <c r="T77" s="34"/>
    </row>
    <row r="78" spans="1:20" ht="15.75" customHeight="1">
      <c r="A78" s="25">
        <v>2</v>
      </c>
      <c r="B78" s="25">
        <v>3</v>
      </c>
      <c r="C78" s="25">
        <v>13</v>
      </c>
      <c r="D78" s="25" t="s">
        <v>105</v>
      </c>
      <c r="E78" s="26" t="s">
        <v>106</v>
      </c>
      <c r="F78" s="25" t="s">
        <v>25</v>
      </c>
      <c r="G78" s="30">
        <v>50859</v>
      </c>
      <c r="H78" s="31">
        <v>349</v>
      </c>
      <c r="I78" s="32">
        <v>137</v>
      </c>
      <c r="J78" s="32">
        <v>91</v>
      </c>
      <c r="K78" s="32">
        <v>112</v>
      </c>
      <c r="L78" s="32">
        <v>97</v>
      </c>
      <c r="M78" s="32">
        <v>75</v>
      </c>
      <c r="N78" s="32">
        <v>105</v>
      </c>
      <c r="O78" s="32">
        <v>122</v>
      </c>
      <c r="P78" s="32">
        <v>98</v>
      </c>
      <c r="Q78" s="32">
        <v>140</v>
      </c>
      <c r="R78" s="32">
        <v>155</v>
      </c>
      <c r="S78" s="33">
        <v>113.2</v>
      </c>
      <c r="T78" s="34"/>
    </row>
    <row r="79" spans="1:20" ht="15.75" customHeight="1">
      <c r="A79" s="25">
        <v>2</v>
      </c>
      <c r="B79" s="25">
        <v>3</v>
      </c>
      <c r="C79" s="25">
        <v>13</v>
      </c>
      <c r="D79" s="25" t="s">
        <v>105</v>
      </c>
      <c r="E79" s="26" t="s">
        <v>106</v>
      </c>
      <c r="F79" s="25" t="s">
        <v>25</v>
      </c>
      <c r="G79" s="30">
        <v>50735</v>
      </c>
      <c r="H79" s="31">
        <v>22</v>
      </c>
      <c r="I79" s="32">
        <v>74</v>
      </c>
      <c r="J79" s="36"/>
      <c r="K79" s="36"/>
      <c r="L79" s="36"/>
      <c r="M79" s="36"/>
      <c r="N79" s="36"/>
      <c r="O79" s="36"/>
      <c r="P79" s="36"/>
      <c r="Q79" s="36"/>
      <c r="R79" s="36"/>
      <c r="S79" s="33">
        <v>74</v>
      </c>
      <c r="T79" s="34"/>
    </row>
    <row r="80" spans="1:20" ht="15.75" customHeight="1">
      <c r="A80" s="25">
        <v>2</v>
      </c>
      <c r="B80" s="25">
        <v>3</v>
      </c>
      <c r="C80" s="25">
        <v>13</v>
      </c>
      <c r="D80" s="25" t="s">
        <v>105</v>
      </c>
      <c r="E80" s="26" t="s">
        <v>106</v>
      </c>
      <c r="F80" s="25" t="s">
        <v>25</v>
      </c>
      <c r="G80" s="30">
        <v>50756</v>
      </c>
      <c r="H80" s="31">
        <v>37</v>
      </c>
      <c r="I80" s="32">
        <v>105</v>
      </c>
      <c r="J80" s="36"/>
      <c r="K80" s="36"/>
      <c r="L80" s="36"/>
      <c r="M80" s="36"/>
      <c r="N80" s="36"/>
      <c r="O80" s="36"/>
      <c r="P80" s="36"/>
      <c r="Q80" s="36"/>
      <c r="R80" s="36"/>
      <c r="S80" s="33">
        <v>105</v>
      </c>
      <c r="T80" s="34"/>
    </row>
    <row r="81" spans="1:26" ht="15.75" customHeight="1">
      <c r="A81" s="25">
        <v>2</v>
      </c>
      <c r="B81" s="25">
        <v>3</v>
      </c>
      <c r="C81" s="25">
        <v>13</v>
      </c>
      <c r="D81" s="25" t="s">
        <v>105</v>
      </c>
      <c r="E81" s="26" t="s">
        <v>106</v>
      </c>
      <c r="F81" s="25" t="s">
        <v>68</v>
      </c>
      <c r="G81" s="30">
        <v>50836</v>
      </c>
      <c r="H81" s="31">
        <v>172</v>
      </c>
      <c r="I81" s="32">
        <v>145</v>
      </c>
      <c r="J81" s="32">
        <v>165</v>
      </c>
      <c r="K81" s="32">
        <v>169</v>
      </c>
      <c r="L81" s="32">
        <v>95</v>
      </c>
      <c r="M81" s="32">
        <v>95</v>
      </c>
      <c r="N81" s="32">
        <v>155</v>
      </c>
      <c r="O81" s="32">
        <v>146</v>
      </c>
      <c r="P81" s="32">
        <v>180</v>
      </c>
      <c r="Q81" s="36"/>
      <c r="R81" s="36"/>
      <c r="S81" s="33">
        <v>143.80000000000001</v>
      </c>
      <c r="T81" s="34"/>
    </row>
    <row r="82" spans="1:26" ht="15.75" customHeight="1">
      <c r="A82" s="25">
        <v>2</v>
      </c>
      <c r="B82" s="25">
        <v>3</v>
      </c>
      <c r="C82" s="25">
        <v>14</v>
      </c>
      <c r="D82" s="25" t="s">
        <v>107</v>
      </c>
      <c r="E82" s="26" t="s">
        <v>108</v>
      </c>
      <c r="F82" s="25" t="s">
        <v>25</v>
      </c>
      <c r="G82" s="30">
        <v>50847</v>
      </c>
      <c r="H82" s="31">
        <v>371</v>
      </c>
      <c r="I82" s="32">
        <v>37</v>
      </c>
      <c r="J82" s="32">
        <v>19</v>
      </c>
      <c r="K82" s="32">
        <v>31</v>
      </c>
      <c r="L82" s="32">
        <v>18</v>
      </c>
      <c r="M82" s="32">
        <v>23</v>
      </c>
      <c r="N82" s="32">
        <v>20</v>
      </c>
      <c r="O82" s="32">
        <v>40</v>
      </c>
      <c r="P82" s="32">
        <v>29</v>
      </c>
      <c r="Q82" s="32">
        <v>39</v>
      </c>
      <c r="R82" s="32">
        <v>49</v>
      </c>
      <c r="S82" s="33">
        <v>30.5</v>
      </c>
      <c r="T82" s="34"/>
    </row>
    <row r="83" spans="1:26" ht="15.75" customHeight="1">
      <c r="A83" s="25">
        <v>2</v>
      </c>
      <c r="B83" s="25">
        <v>3</v>
      </c>
      <c r="C83" s="25">
        <v>14</v>
      </c>
      <c r="D83" s="25" t="s">
        <v>107</v>
      </c>
      <c r="E83" s="26" t="s">
        <v>108</v>
      </c>
      <c r="F83" s="25" t="s">
        <v>109</v>
      </c>
      <c r="G83" s="30">
        <v>50743</v>
      </c>
      <c r="H83" s="31">
        <v>88</v>
      </c>
      <c r="I83" s="32">
        <v>37</v>
      </c>
      <c r="J83" s="32"/>
      <c r="K83" s="32"/>
      <c r="L83" s="36"/>
      <c r="M83" s="36"/>
      <c r="N83" s="36"/>
      <c r="O83" s="36"/>
      <c r="P83" s="36"/>
      <c r="Q83" s="36"/>
      <c r="R83" s="36"/>
      <c r="S83" s="33">
        <v>37</v>
      </c>
      <c r="T83" s="34"/>
    </row>
    <row r="84" spans="1:26" ht="15.75" customHeight="1">
      <c r="A84" s="25">
        <v>2</v>
      </c>
      <c r="B84" s="25">
        <v>3</v>
      </c>
      <c r="C84" s="25">
        <v>17</v>
      </c>
      <c r="D84" s="25" t="s">
        <v>60</v>
      </c>
      <c r="E84" s="26" t="s">
        <v>71</v>
      </c>
      <c r="F84" s="25" t="s">
        <v>25</v>
      </c>
      <c r="G84" s="30">
        <v>50747</v>
      </c>
      <c r="H84" s="31">
        <v>1</v>
      </c>
      <c r="I84" s="32">
        <v>206</v>
      </c>
      <c r="J84" s="36"/>
      <c r="K84" s="36"/>
      <c r="L84" s="36"/>
      <c r="M84" s="36"/>
      <c r="N84" s="36"/>
      <c r="O84" s="36"/>
      <c r="P84" s="36"/>
      <c r="Q84" s="36"/>
      <c r="R84" s="36"/>
      <c r="S84" s="33">
        <v>206</v>
      </c>
      <c r="T84" s="34"/>
    </row>
    <row r="85" spans="1:26" ht="15.75" customHeight="1">
      <c r="A85" s="101">
        <v>2</v>
      </c>
      <c r="B85" s="101">
        <v>3</v>
      </c>
      <c r="C85" s="101">
        <v>17</v>
      </c>
      <c r="D85" s="101" t="s">
        <v>60</v>
      </c>
      <c r="E85" s="104" t="s">
        <v>61</v>
      </c>
      <c r="F85" s="101" t="s">
        <v>25</v>
      </c>
      <c r="G85" s="107">
        <v>50733</v>
      </c>
      <c r="H85" s="110">
        <v>114</v>
      </c>
      <c r="I85" s="111">
        <v>54</v>
      </c>
      <c r="J85" s="112"/>
      <c r="K85" s="112"/>
      <c r="L85" s="112"/>
      <c r="M85" s="112"/>
      <c r="N85" s="112"/>
      <c r="O85" s="112"/>
      <c r="P85" s="112"/>
      <c r="Q85" s="112"/>
      <c r="R85" s="112"/>
      <c r="S85" s="101">
        <v>54</v>
      </c>
      <c r="T85" s="113" t="s">
        <v>111</v>
      </c>
      <c r="U85" s="90"/>
      <c r="V85" s="90"/>
      <c r="W85" s="90"/>
      <c r="X85" s="90"/>
      <c r="Y85" s="90"/>
      <c r="Z85" s="90"/>
    </row>
    <row r="86" spans="1:26" ht="15.75" customHeight="1">
      <c r="A86" s="25">
        <v>2</v>
      </c>
      <c r="B86" s="25">
        <v>3</v>
      </c>
      <c r="C86" s="25">
        <v>17</v>
      </c>
      <c r="D86" s="25" t="s">
        <v>60</v>
      </c>
      <c r="E86" s="26" t="s">
        <v>61</v>
      </c>
      <c r="F86" s="25" t="s">
        <v>68</v>
      </c>
      <c r="G86" s="30">
        <v>50636</v>
      </c>
      <c r="H86" s="31">
        <v>36</v>
      </c>
      <c r="I86" s="32">
        <v>55</v>
      </c>
      <c r="J86" s="32">
        <v>149</v>
      </c>
      <c r="K86" s="36"/>
      <c r="L86" s="36"/>
      <c r="M86" s="36"/>
      <c r="N86" s="36"/>
      <c r="O86" s="36"/>
      <c r="P86" s="36"/>
      <c r="Q86" s="36"/>
      <c r="R86" s="36"/>
      <c r="S86" s="33">
        <v>102</v>
      </c>
      <c r="T86" s="34"/>
    </row>
    <row r="87" spans="1:26" ht="15.75" customHeight="1">
      <c r="A87" s="38">
        <v>2</v>
      </c>
      <c r="B87" s="38">
        <v>3</v>
      </c>
      <c r="C87" s="38">
        <v>17</v>
      </c>
      <c r="D87" s="38" t="s">
        <v>60</v>
      </c>
      <c r="E87" s="40" t="s">
        <v>61</v>
      </c>
      <c r="F87" s="38" t="s">
        <v>68</v>
      </c>
      <c r="G87" s="43">
        <v>50668</v>
      </c>
      <c r="H87" s="46">
        <v>34</v>
      </c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50" t="s">
        <v>43</v>
      </c>
    </row>
    <row r="88" spans="1:26" ht="15.75" customHeight="1">
      <c r="A88" s="25">
        <v>2</v>
      </c>
      <c r="B88" s="25">
        <v>3</v>
      </c>
      <c r="C88" s="25">
        <v>17</v>
      </c>
      <c r="D88" s="25" t="s">
        <v>60</v>
      </c>
      <c r="E88" s="26" t="s">
        <v>61</v>
      </c>
      <c r="F88" s="25" t="s">
        <v>68</v>
      </c>
      <c r="G88" s="30">
        <v>50626</v>
      </c>
      <c r="H88" s="31">
        <v>8</v>
      </c>
      <c r="I88" s="32">
        <v>72</v>
      </c>
      <c r="J88" s="36"/>
      <c r="K88" s="36"/>
      <c r="L88" s="36"/>
      <c r="M88" s="36"/>
      <c r="N88" s="36"/>
      <c r="O88" s="36"/>
      <c r="P88" s="36"/>
      <c r="Q88" s="36"/>
      <c r="R88" s="36"/>
      <c r="S88" s="33">
        <v>72</v>
      </c>
      <c r="T88" s="34"/>
    </row>
    <row r="89" spans="1:26" ht="15.75" customHeight="1">
      <c r="A89" s="25">
        <v>2</v>
      </c>
      <c r="B89" s="25">
        <v>3</v>
      </c>
      <c r="C89" s="25">
        <v>17</v>
      </c>
      <c r="D89" s="25" t="s">
        <v>60</v>
      </c>
      <c r="E89" s="26" t="s">
        <v>61</v>
      </c>
      <c r="F89" s="25" t="s">
        <v>34</v>
      </c>
      <c r="G89" s="30">
        <v>50595</v>
      </c>
      <c r="H89" s="31">
        <v>45</v>
      </c>
      <c r="I89" s="32">
        <v>21</v>
      </c>
      <c r="J89" s="32">
        <v>130</v>
      </c>
      <c r="K89" s="32">
        <v>68</v>
      </c>
      <c r="L89" s="36"/>
      <c r="M89" s="36"/>
      <c r="N89" s="36"/>
      <c r="O89" s="36"/>
      <c r="P89" s="36"/>
      <c r="Q89" s="36"/>
      <c r="R89" s="36"/>
      <c r="S89" s="33">
        <v>73</v>
      </c>
      <c r="T89" s="34"/>
    </row>
    <row r="90" spans="1:26" ht="15.75" customHeight="1">
      <c r="A90" s="25">
        <v>2</v>
      </c>
      <c r="B90" s="25">
        <v>3</v>
      </c>
      <c r="C90" s="25">
        <v>17</v>
      </c>
      <c r="D90" s="25" t="s">
        <v>60</v>
      </c>
      <c r="E90" s="26" t="s">
        <v>61</v>
      </c>
      <c r="F90" s="25" t="s">
        <v>68</v>
      </c>
      <c r="G90" s="30">
        <v>50818</v>
      </c>
      <c r="H90" s="31">
        <v>67</v>
      </c>
      <c r="I90" s="32">
        <v>47</v>
      </c>
      <c r="J90" s="32">
        <v>100</v>
      </c>
      <c r="K90" s="32">
        <v>108</v>
      </c>
      <c r="L90" s="36"/>
      <c r="M90" s="36"/>
      <c r="N90" s="36"/>
      <c r="O90" s="36"/>
      <c r="P90" s="36"/>
      <c r="Q90" s="36"/>
      <c r="R90" s="36"/>
      <c r="S90" s="33">
        <v>85</v>
      </c>
      <c r="T90" s="34"/>
    </row>
    <row r="91" spans="1:26" ht="15.75" customHeight="1">
      <c r="A91" s="25">
        <v>2</v>
      </c>
      <c r="B91" s="25">
        <v>3</v>
      </c>
      <c r="C91" s="25">
        <v>17</v>
      </c>
      <c r="D91" s="25" t="s">
        <v>60</v>
      </c>
      <c r="E91" s="26" t="s">
        <v>61</v>
      </c>
      <c r="F91" s="25" t="s">
        <v>31</v>
      </c>
      <c r="G91" s="30">
        <v>50810</v>
      </c>
      <c r="H91" s="31">
        <v>127</v>
      </c>
      <c r="I91" s="32">
        <v>184</v>
      </c>
      <c r="J91" s="32">
        <v>180</v>
      </c>
      <c r="K91" s="32">
        <v>153</v>
      </c>
      <c r="L91" s="32">
        <v>172</v>
      </c>
      <c r="M91" s="32">
        <v>213</v>
      </c>
      <c r="N91" s="32">
        <v>207</v>
      </c>
      <c r="O91" s="32">
        <v>214</v>
      </c>
      <c r="P91" s="32">
        <v>203</v>
      </c>
      <c r="Q91" s="36"/>
      <c r="R91" s="36"/>
      <c r="S91" s="33">
        <v>190.8</v>
      </c>
      <c r="T91" s="34"/>
    </row>
    <row r="92" spans="1:26" ht="15.75" customHeight="1">
      <c r="A92" s="25">
        <v>2</v>
      </c>
      <c r="B92" s="25">
        <v>3</v>
      </c>
      <c r="C92" s="25">
        <v>17</v>
      </c>
      <c r="D92" s="25" t="s">
        <v>60</v>
      </c>
      <c r="E92" s="26" t="s">
        <v>61</v>
      </c>
      <c r="F92" s="25" t="s">
        <v>25</v>
      </c>
      <c r="G92" s="30">
        <v>50749</v>
      </c>
      <c r="H92" s="31">
        <v>29</v>
      </c>
      <c r="I92" s="32">
        <v>65</v>
      </c>
      <c r="J92" s="36"/>
      <c r="K92" s="36"/>
      <c r="L92" s="36"/>
      <c r="M92" s="36"/>
      <c r="N92" s="36"/>
      <c r="O92" s="36"/>
      <c r="P92" s="36"/>
      <c r="Q92" s="36"/>
      <c r="R92" s="36"/>
      <c r="S92" s="33">
        <v>65</v>
      </c>
      <c r="T92" s="34"/>
    </row>
    <row r="93" spans="1:26" ht="15.75" customHeight="1">
      <c r="A93" s="25">
        <v>2</v>
      </c>
      <c r="B93" s="25">
        <v>3</v>
      </c>
      <c r="C93" s="25">
        <v>18</v>
      </c>
      <c r="D93" s="25" t="s">
        <v>112</v>
      </c>
      <c r="E93" s="26" t="s">
        <v>113</v>
      </c>
      <c r="F93" s="25" t="s">
        <v>25</v>
      </c>
      <c r="G93" s="30">
        <v>50758</v>
      </c>
      <c r="H93" s="31">
        <v>246</v>
      </c>
      <c r="I93" s="32">
        <v>60</v>
      </c>
      <c r="J93" s="32">
        <v>103</v>
      </c>
      <c r="K93" s="32">
        <v>123</v>
      </c>
      <c r="L93" s="32">
        <v>72</v>
      </c>
      <c r="M93" s="32">
        <v>87</v>
      </c>
      <c r="N93" s="32">
        <v>120</v>
      </c>
      <c r="O93" s="32">
        <v>80</v>
      </c>
      <c r="P93" s="32">
        <v>85</v>
      </c>
      <c r="Q93" s="32">
        <v>93</v>
      </c>
      <c r="R93" s="32">
        <v>67</v>
      </c>
      <c r="S93" s="33">
        <v>89</v>
      </c>
      <c r="T93" s="34"/>
    </row>
    <row r="94" spans="1:26" ht="15.75" customHeight="1">
      <c r="A94" s="25">
        <v>2</v>
      </c>
      <c r="B94" s="25">
        <v>3</v>
      </c>
      <c r="C94" s="25">
        <v>18</v>
      </c>
      <c r="D94" s="25" t="s">
        <v>114</v>
      </c>
      <c r="E94" s="26" t="s">
        <v>115</v>
      </c>
      <c r="F94" s="25" t="s">
        <v>25</v>
      </c>
      <c r="G94" s="30">
        <v>50858</v>
      </c>
      <c r="H94" s="31">
        <v>98</v>
      </c>
      <c r="I94" s="32">
        <v>17</v>
      </c>
      <c r="J94" s="32">
        <v>10</v>
      </c>
      <c r="K94" s="32">
        <v>14</v>
      </c>
      <c r="L94" s="36"/>
      <c r="M94" s="36"/>
      <c r="N94" s="36"/>
      <c r="O94" s="36"/>
      <c r="P94" s="36"/>
      <c r="Q94" s="36"/>
      <c r="R94" s="36"/>
      <c r="S94" s="33">
        <v>13.7</v>
      </c>
      <c r="T94" s="34"/>
    </row>
    <row r="95" spans="1:26" ht="15.75" customHeight="1">
      <c r="A95" s="25">
        <v>2</v>
      </c>
      <c r="B95" s="25">
        <v>3</v>
      </c>
      <c r="C95" s="25">
        <v>18</v>
      </c>
      <c r="D95" s="25" t="s">
        <v>112</v>
      </c>
      <c r="E95" s="26" t="s">
        <v>113</v>
      </c>
      <c r="F95" s="25" t="s">
        <v>25</v>
      </c>
      <c r="G95" s="30">
        <v>50812</v>
      </c>
      <c r="H95" s="31">
        <v>29</v>
      </c>
      <c r="I95" s="32">
        <v>20</v>
      </c>
      <c r="J95" s="36"/>
      <c r="K95" s="36"/>
      <c r="L95" s="36"/>
      <c r="M95" s="36"/>
      <c r="N95" s="36"/>
      <c r="O95" s="36"/>
      <c r="P95" s="36"/>
      <c r="Q95" s="36"/>
      <c r="R95" s="36"/>
      <c r="S95" s="33">
        <v>20</v>
      </c>
      <c r="T95" s="34"/>
    </row>
    <row r="96" spans="1:26" ht="15.75" customHeight="1">
      <c r="A96" s="38">
        <v>2</v>
      </c>
      <c r="B96" s="38">
        <v>3</v>
      </c>
      <c r="C96" s="38">
        <v>18</v>
      </c>
      <c r="D96" s="38" t="s">
        <v>112</v>
      </c>
      <c r="E96" s="40" t="s">
        <v>113</v>
      </c>
      <c r="F96" s="38" t="s">
        <v>116</v>
      </c>
      <c r="G96" s="43">
        <v>50065</v>
      </c>
      <c r="H96" s="46">
        <v>10</v>
      </c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50" t="s">
        <v>43</v>
      </c>
    </row>
    <row r="97" spans="1:26" ht="15.75" customHeight="1">
      <c r="A97" s="25">
        <v>2</v>
      </c>
      <c r="B97" s="25">
        <v>3</v>
      </c>
      <c r="C97" s="25">
        <v>18</v>
      </c>
      <c r="D97" s="25" t="s">
        <v>114</v>
      </c>
      <c r="E97" s="26" t="s">
        <v>115</v>
      </c>
      <c r="F97" s="25" t="s">
        <v>117</v>
      </c>
      <c r="G97" s="30">
        <v>50535</v>
      </c>
      <c r="H97" s="31">
        <v>24</v>
      </c>
      <c r="I97" s="32">
        <v>4</v>
      </c>
      <c r="J97" s="36"/>
      <c r="K97" s="36"/>
      <c r="L97" s="36"/>
      <c r="M97" s="36"/>
      <c r="N97" s="36"/>
      <c r="O97" s="36"/>
      <c r="P97" s="36"/>
      <c r="Q97" s="36"/>
      <c r="R97" s="36"/>
      <c r="S97" s="33">
        <v>4</v>
      </c>
      <c r="T97" s="34"/>
    </row>
    <row r="98" spans="1:26" ht="15.75" customHeight="1">
      <c r="A98" s="25">
        <v>2</v>
      </c>
      <c r="B98" s="25">
        <v>3</v>
      </c>
      <c r="C98" s="25">
        <v>19</v>
      </c>
      <c r="D98" s="25" t="s">
        <v>32</v>
      </c>
      <c r="E98" s="26" t="s">
        <v>33</v>
      </c>
      <c r="F98" s="25" t="s">
        <v>34</v>
      </c>
      <c r="G98" s="30">
        <v>50563</v>
      </c>
      <c r="H98" s="31">
        <v>338</v>
      </c>
      <c r="I98" s="32">
        <v>118</v>
      </c>
      <c r="J98" s="32">
        <v>117</v>
      </c>
      <c r="K98" s="32">
        <v>194</v>
      </c>
      <c r="L98" s="32">
        <v>7</v>
      </c>
      <c r="M98" s="32">
        <v>56</v>
      </c>
      <c r="N98" s="32">
        <v>57</v>
      </c>
      <c r="O98" s="32">
        <v>60</v>
      </c>
      <c r="P98" s="32">
        <v>51</v>
      </c>
      <c r="Q98" s="32">
        <v>57</v>
      </c>
      <c r="R98" s="32">
        <v>112</v>
      </c>
      <c r="S98" s="33">
        <v>82.9</v>
      </c>
      <c r="T98" s="34"/>
    </row>
    <row r="99" spans="1:26" ht="15.75" customHeight="1">
      <c r="A99" s="116">
        <v>2</v>
      </c>
      <c r="B99" s="116">
        <v>3</v>
      </c>
      <c r="C99" s="116">
        <v>19</v>
      </c>
      <c r="D99" s="116" t="s">
        <v>112</v>
      </c>
      <c r="E99" s="117" t="s">
        <v>113</v>
      </c>
      <c r="F99" s="116" t="s">
        <v>34</v>
      </c>
      <c r="G99" s="118">
        <v>50688</v>
      </c>
      <c r="H99" s="119">
        <v>113</v>
      </c>
      <c r="I99" s="120">
        <v>105</v>
      </c>
      <c r="J99" s="120">
        <v>93</v>
      </c>
      <c r="K99" s="120">
        <v>90</v>
      </c>
      <c r="L99" s="120">
        <v>119</v>
      </c>
      <c r="M99" s="120">
        <v>118</v>
      </c>
      <c r="N99" s="120">
        <v>125</v>
      </c>
      <c r="O99" s="120">
        <v>122</v>
      </c>
      <c r="P99" s="120">
        <v>153</v>
      </c>
      <c r="Q99" s="123"/>
      <c r="R99" s="123"/>
      <c r="S99" s="116">
        <v>115.6</v>
      </c>
      <c r="T99" s="124" t="s">
        <v>118</v>
      </c>
      <c r="U99" s="90"/>
      <c r="V99" s="90"/>
      <c r="W99" s="90"/>
      <c r="X99" s="90"/>
      <c r="Y99" s="90"/>
      <c r="Z99" s="90"/>
    </row>
    <row r="100" spans="1:26" ht="15.75" customHeight="1">
      <c r="A100" s="68">
        <v>2</v>
      </c>
      <c r="B100" s="25">
        <v>3</v>
      </c>
      <c r="C100" s="25">
        <v>19</v>
      </c>
      <c r="D100" s="25" t="s">
        <v>112</v>
      </c>
      <c r="E100" s="26" t="s">
        <v>113</v>
      </c>
      <c r="F100" s="25" t="s">
        <v>68</v>
      </c>
      <c r="G100" s="30">
        <v>50146</v>
      </c>
      <c r="H100" s="31">
        <v>9</v>
      </c>
      <c r="I100" s="32">
        <v>83</v>
      </c>
      <c r="J100" s="36"/>
      <c r="K100" s="36"/>
      <c r="L100" s="36"/>
      <c r="M100" s="36"/>
      <c r="N100" s="36"/>
      <c r="O100" s="36"/>
      <c r="P100" s="36"/>
      <c r="Q100" s="36"/>
      <c r="R100" s="36"/>
      <c r="S100" s="33">
        <v>83</v>
      </c>
      <c r="T100" s="34"/>
    </row>
    <row r="101" spans="1:26" ht="15.75" customHeight="1">
      <c r="A101" s="116">
        <v>2</v>
      </c>
      <c r="B101" s="116">
        <v>3</v>
      </c>
      <c r="C101" s="116">
        <v>19</v>
      </c>
      <c r="D101" s="116" t="s">
        <v>112</v>
      </c>
      <c r="E101" s="117" t="s">
        <v>113</v>
      </c>
      <c r="F101" s="116" t="s">
        <v>25</v>
      </c>
      <c r="G101" s="118">
        <v>50758</v>
      </c>
      <c r="H101" s="119">
        <v>133</v>
      </c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4" t="s">
        <v>119</v>
      </c>
      <c r="U101" s="90"/>
      <c r="V101" s="90"/>
      <c r="W101" s="90"/>
      <c r="X101" s="90"/>
      <c r="Y101" s="90"/>
      <c r="Z101" s="90"/>
    </row>
    <row r="102" spans="1:26" ht="15.75" customHeight="1">
      <c r="A102" s="25">
        <v>2</v>
      </c>
      <c r="B102" s="25">
        <v>3</v>
      </c>
      <c r="C102" s="25">
        <v>21</v>
      </c>
      <c r="D102" s="25" t="s">
        <v>120</v>
      </c>
      <c r="E102" s="26" t="s">
        <v>121</v>
      </c>
      <c r="F102" s="25" t="s">
        <v>25</v>
      </c>
      <c r="G102" s="30">
        <v>50745</v>
      </c>
      <c r="H102" s="31">
        <v>131</v>
      </c>
      <c r="I102" s="32">
        <v>55</v>
      </c>
      <c r="J102" s="32">
        <v>54</v>
      </c>
      <c r="K102" s="32">
        <v>118</v>
      </c>
      <c r="L102" s="32">
        <v>135</v>
      </c>
      <c r="M102" s="32">
        <v>112</v>
      </c>
      <c r="N102" s="32">
        <v>122</v>
      </c>
      <c r="O102" s="36"/>
      <c r="P102" s="36"/>
      <c r="Q102" s="36"/>
      <c r="R102" s="36"/>
      <c r="S102" s="33">
        <v>99.3</v>
      </c>
      <c r="T102" s="34"/>
    </row>
    <row r="103" spans="1:26" ht="15.75" customHeight="1">
      <c r="A103" s="25">
        <v>2</v>
      </c>
      <c r="B103" s="25">
        <v>3</v>
      </c>
      <c r="C103" s="25">
        <v>21</v>
      </c>
      <c r="D103" s="25" t="s">
        <v>120</v>
      </c>
      <c r="E103" s="26" t="s">
        <v>121</v>
      </c>
      <c r="F103" s="25" t="s">
        <v>31</v>
      </c>
      <c r="G103" s="30">
        <v>50718</v>
      </c>
      <c r="H103" s="31">
        <v>168</v>
      </c>
      <c r="I103" s="32">
        <v>3.5</v>
      </c>
      <c r="J103" s="32">
        <v>89</v>
      </c>
      <c r="K103" s="32">
        <v>90</v>
      </c>
      <c r="L103" s="32">
        <v>80</v>
      </c>
      <c r="M103" s="32">
        <v>95</v>
      </c>
      <c r="N103" s="32">
        <v>99</v>
      </c>
      <c r="O103" s="32">
        <v>77</v>
      </c>
      <c r="P103" s="32">
        <v>102</v>
      </c>
      <c r="Q103" s="36"/>
      <c r="R103" s="36"/>
      <c r="S103" s="33">
        <v>79.400000000000006</v>
      </c>
      <c r="T103" s="34"/>
    </row>
    <row r="104" spans="1:26" ht="15.75" customHeight="1">
      <c r="A104" s="25">
        <v>2</v>
      </c>
      <c r="B104" s="25">
        <v>3</v>
      </c>
      <c r="C104" s="25">
        <v>21</v>
      </c>
      <c r="D104" s="25" t="s">
        <v>120</v>
      </c>
      <c r="E104" s="26" t="s">
        <v>121</v>
      </c>
      <c r="F104" s="25" t="s">
        <v>25</v>
      </c>
      <c r="G104" s="30">
        <v>50681</v>
      </c>
      <c r="H104" s="31">
        <v>9</v>
      </c>
      <c r="I104" s="32">
        <v>70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33">
        <v>70</v>
      </c>
      <c r="T104" s="34"/>
    </row>
    <row r="105" spans="1:26" ht="15.75" customHeight="1">
      <c r="A105" s="25">
        <v>2</v>
      </c>
      <c r="B105" s="25">
        <v>3</v>
      </c>
      <c r="C105" s="25">
        <v>22</v>
      </c>
      <c r="D105" s="25" t="s">
        <v>122</v>
      </c>
      <c r="E105" s="26" t="s">
        <v>123</v>
      </c>
      <c r="F105" s="25" t="s">
        <v>34</v>
      </c>
      <c r="G105" s="30">
        <v>50732</v>
      </c>
      <c r="H105" s="31">
        <v>274</v>
      </c>
      <c r="I105" s="32">
        <v>71</v>
      </c>
      <c r="J105" s="32">
        <v>78</v>
      </c>
      <c r="K105" s="32">
        <v>63</v>
      </c>
      <c r="L105" s="32">
        <v>99</v>
      </c>
      <c r="M105" s="32">
        <v>54</v>
      </c>
      <c r="N105" s="32">
        <v>131</v>
      </c>
      <c r="O105" s="32">
        <v>162</v>
      </c>
      <c r="P105" s="32">
        <v>117</v>
      </c>
      <c r="Q105" s="32">
        <v>120</v>
      </c>
      <c r="R105" s="32">
        <v>80</v>
      </c>
      <c r="S105" s="33">
        <v>97.5</v>
      </c>
      <c r="T105" s="34"/>
    </row>
    <row r="106" spans="1:26" ht="15.75" customHeight="1">
      <c r="A106" s="25">
        <v>2</v>
      </c>
      <c r="B106" s="25">
        <v>3</v>
      </c>
      <c r="C106" s="25">
        <v>22</v>
      </c>
      <c r="D106" s="25" t="s">
        <v>122</v>
      </c>
      <c r="E106" s="26" t="s">
        <v>123</v>
      </c>
      <c r="F106" s="25" t="s">
        <v>34</v>
      </c>
      <c r="G106" s="30">
        <v>50545</v>
      </c>
      <c r="H106" s="31">
        <v>13</v>
      </c>
      <c r="I106" s="32">
        <v>110</v>
      </c>
      <c r="J106" s="32">
        <v>50</v>
      </c>
      <c r="K106" s="32">
        <v>37</v>
      </c>
      <c r="L106" s="32">
        <v>53.5</v>
      </c>
      <c r="M106" s="32">
        <v>63</v>
      </c>
      <c r="N106" s="36"/>
      <c r="O106" s="36"/>
      <c r="P106" s="36"/>
      <c r="Q106" s="36"/>
      <c r="R106" s="36"/>
      <c r="S106" s="33">
        <v>62.7</v>
      </c>
      <c r="T106" s="34"/>
    </row>
    <row r="107" spans="1:26" ht="15.75" customHeight="1">
      <c r="A107" s="25">
        <v>2</v>
      </c>
      <c r="B107" s="25">
        <v>3</v>
      </c>
      <c r="C107" s="25">
        <v>22</v>
      </c>
      <c r="D107" s="25" t="s">
        <v>122</v>
      </c>
      <c r="E107" s="26" t="s">
        <v>123</v>
      </c>
      <c r="F107" s="25" t="s">
        <v>25</v>
      </c>
      <c r="G107" s="30">
        <v>50833</v>
      </c>
      <c r="H107" s="31">
        <v>204</v>
      </c>
      <c r="I107" s="32">
        <v>26</v>
      </c>
      <c r="J107" s="32">
        <v>20</v>
      </c>
      <c r="K107" s="32">
        <v>34</v>
      </c>
      <c r="L107" s="32">
        <v>30</v>
      </c>
      <c r="M107" s="32">
        <v>69</v>
      </c>
      <c r="N107" s="32">
        <v>51</v>
      </c>
      <c r="O107" s="32">
        <v>47</v>
      </c>
      <c r="P107" s="32">
        <v>82</v>
      </c>
      <c r="Q107" s="36"/>
      <c r="R107" s="36"/>
      <c r="S107" s="33">
        <v>44.9</v>
      </c>
      <c r="T107" s="34"/>
    </row>
    <row r="108" spans="1:26" ht="15.75" customHeight="1">
      <c r="A108" s="25">
        <v>2</v>
      </c>
      <c r="B108" s="25">
        <v>3</v>
      </c>
      <c r="C108" s="25">
        <v>22</v>
      </c>
      <c r="D108" s="25" t="s">
        <v>122</v>
      </c>
      <c r="E108" s="26" t="s">
        <v>123</v>
      </c>
      <c r="F108" s="25" t="s">
        <v>25</v>
      </c>
      <c r="G108" s="30">
        <v>50725</v>
      </c>
      <c r="H108" s="31">
        <v>62</v>
      </c>
      <c r="I108" s="32">
        <v>148</v>
      </c>
      <c r="J108" s="32">
        <v>142</v>
      </c>
      <c r="K108" s="32">
        <v>159</v>
      </c>
      <c r="L108" s="36"/>
      <c r="M108" s="36"/>
      <c r="N108" s="36"/>
      <c r="O108" s="36"/>
      <c r="P108" s="36"/>
      <c r="Q108" s="36"/>
      <c r="R108" s="36"/>
      <c r="S108" s="33">
        <v>149.69999999999999</v>
      </c>
      <c r="T108" s="34"/>
    </row>
    <row r="109" spans="1:26" ht="15.75" customHeight="1">
      <c r="A109" s="25">
        <v>2</v>
      </c>
      <c r="B109" s="25">
        <v>4</v>
      </c>
      <c r="C109" s="25">
        <v>2</v>
      </c>
      <c r="D109" s="25" t="s">
        <v>124</v>
      </c>
      <c r="E109" s="26" t="s">
        <v>125</v>
      </c>
      <c r="F109" s="25" t="s">
        <v>31</v>
      </c>
      <c r="G109" s="30">
        <v>50761</v>
      </c>
      <c r="H109" s="31">
        <v>250</v>
      </c>
      <c r="I109" s="32">
        <v>79</v>
      </c>
      <c r="J109" s="32">
        <v>45</v>
      </c>
      <c r="K109" s="32">
        <v>58</v>
      </c>
      <c r="L109" s="32">
        <v>54</v>
      </c>
      <c r="M109" s="32">
        <v>44</v>
      </c>
      <c r="N109" s="32">
        <v>54</v>
      </c>
      <c r="O109" s="32">
        <v>39</v>
      </c>
      <c r="P109" s="32">
        <v>45</v>
      </c>
      <c r="Q109" s="32">
        <v>33</v>
      </c>
      <c r="R109" s="32">
        <v>20</v>
      </c>
      <c r="S109" s="33">
        <v>47.1</v>
      </c>
      <c r="T109" s="34"/>
    </row>
    <row r="110" spans="1:26" ht="15.75" customHeight="1">
      <c r="A110" s="25">
        <v>2</v>
      </c>
      <c r="B110" s="25">
        <v>4</v>
      </c>
      <c r="C110" s="25">
        <v>2</v>
      </c>
      <c r="D110" s="25" t="s">
        <v>124</v>
      </c>
      <c r="E110" s="26" t="s">
        <v>125</v>
      </c>
      <c r="F110" s="25" t="s">
        <v>25</v>
      </c>
      <c r="G110" s="30">
        <v>50113</v>
      </c>
      <c r="H110" s="31">
        <v>172</v>
      </c>
      <c r="I110" s="32">
        <v>61</v>
      </c>
      <c r="J110" s="32">
        <v>80</v>
      </c>
      <c r="K110" s="32">
        <v>60</v>
      </c>
      <c r="L110" s="32">
        <v>73</v>
      </c>
      <c r="M110" s="32">
        <v>52</v>
      </c>
      <c r="N110" s="32">
        <v>59</v>
      </c>
      <c r="O110" s="32">
        <v>51</v>
      </c>
      <c r="P110" s="32">
        <v>33</v>
      </c>
      <c r="Q110" s="36"/>
      <c r="R110" s="36"/>
      <c r="S110" s="33">
        <v>58.6</v>
      </c>
      <c r="T110" s="34"/>
    </row>
    <row r="111" spans="1:26" ht="15.75" customHeight="1">
      <c r="A111" s="38">
        <v>2</v>
      </c>
      <c r="B111" s="38">
        <v>4</v>
      </c>
      <c r="C111" s="38">
        <v>2</v>
      </c>
      <c r="D111" s="38" t="s">
        <v>124</v>
      </c>
      <c r="E111" s="40" t="s">
        <v>125</v>
      </c>
      <c r="F111" s="38" t="s">
        <v>25</v>
      </c>
      <c r="G111" s="43">
        <v>50659</v>
      </c>
      <c r="H111" s="46">
        <v>63</v>
      </c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50" t="s">
        <v>43</v>
      </c>
    </row>
    <row r="112" spans="1:26" ht="15.75" customHeight="1">
      <c r="A112" s="128">
        <v>2</v>
      </c>
      <c r="B112" s="128">
        <v>4</v>
      </c>
      <c r="C112" s="128">
        <v>2</v>
      </c>
      <c r="D112" s="128" t="s">
        <v>126</v>
      </c>
      <c r="E112" s="130" t="s">
        <v>127</v>
      </c>
      <c r="F112" s="128" t="s">
        <v>25</v>
      </c>
      <c r="G112" s="131">
        <v>50767</v>
      </c>
      <c r="H112" s="132">
        <v>145</v>
      </c>
      <c r="I112" s="133">
        <v>39</v>
      </c>
      <c r="J112" s="134"/>
      <c r="K112" s="134"/>
      <c r="L112" s="134"/>
      <c r="M112" s="134"/>
      <c r="N112" s="134"/>
      <c r="O112" s="134"/>
      <c r="P112" s="134"/>
      <c r="Q112" s="134"/>
      <c r="R112" s="134"/>
      <c r="S112" s="128">
        <v>39</v>
      </c>
      <c r="T112" s="136" t="s">
        <v>128</v>
      </c>
      <c r="U112" s="137"/>
      <c r="V112" s="137"/>
      <c r="W112" s="137"/>
      <c r="X112" s="137"/>
      <c r="Y112" s="137"/>
      <c r="Z112" s="137"/>
    </row>
    <row r="113" spans="1:26" ht="15.75" customHeight="1">
      <c r="A113" s="25">
        <v>2</v>
      </c>
      <c r="B113" s="25">
        <v>4</v>
      </c>
      <c r="C113" s="25">
        <v>3</v>
      </c>
      <c r="D113" s="25" t="s">
        <v>60</v>
      </c>
      <c r="E113" s="26" t="s">
        <v>61</v>
      </c>
      <c r="F113" s="25" t="s">
        <v>31</v>
      </c>
      <c r="G113" s="30">
        <v>50810</v>
      </c>
      <c r="H113" s="31">
        <v>482</v>
      </c>
      <c r="I113" s="32">
        <v>151</v>
      </c>
      <c r="J113" s="32">
        <v>117</v>
      </c>
      <c r="K113" s="32">
        <v>145</v>
      </c>
      <c r="L113" s="32">
        <v>187</v>
      </c>
      <c r="M113" s="32">
        <v>177</v>
      </c>
      <c r="N113" s="32">
        <v>154</v>
      </c>
      <c r="O113" s="32">
        <v>132</v>
      </c>
      <c r="P113" s="32">
        <v>167</v>
      </c>
      <c r="Q113" s="32">
        <v>144</v>
      </c>
      <c r="R113" s="32">
        <v>64</v>
      </c>
      <c r="S113" s="33">
        <v>143.80000000000001</v>
      </c>
      <c r="T113" s="34"/>
    </row>
    <row r="114" spans="1:26" ht="15.75" customHeight="1">
      <c r="A114" s="25">
        <v>2</v>
      </c>
      <c r="B114" s="25">
        <v>4</v>
      </c>
      <c r="C114" s="25">
        <v>4</v>
      </c>
      <c r="D114" s="25" t="s">
        <v>129</v>
      </c>
      <c r="E114" s="26" t="s">
        <v>130</v>
      </c>
      <c r="F114" s="25" t="s">
        <v>31</v>
      </c>
      <c r="G114" s="30">
        <v>50827</v>
      </c>
      <c r="H114" s="31">
        <v>654</v>
      </c>
      <c r="I114" s="32">
        <v>38</v>
      </c>
      <c r="J114" s="32">
        <v>20</v>
      </c>
      <c r="K114" s="32">
        <v>17</v>
      </c>
      <c r="L114" s="32">
        <v>16</v>
      </c>
      <c r="M114" s="32">
        <v>34</v>
      </c>
      <c r="N114" s="32">
        <v>24</v>
      </c>
      <c r="O114" s="32">
        <v>24</v>
      </c>
      <c r="P114" s="32">
        <v>27</v>
      </c>
      <c r="Q114" s="32">
        <v>29</v>
      </c>
      <c r="R114" s="32">
        <v>24</v>
      </c>
      <c r="S114" s="33">
        <v>25.3</v>
      </c>
      <c r="T114" s="34"/>
    </row>
    <row r="115" spans="1:26" ht="15.75" customHeight="1">
      <c r="A115" s="128">
        <v>2</v>
      </c>
      <c r="B115" s="128">
        <v>4</v>
      </c>
      <c r="C115" s="128">
        <v>4</v>
      </c>
      <c r="D115" s="128" t="s">
        <v>60</v>
      </c>
      <c r="E115" s="130" t="s">
        <v>61</v>
      </c>
      <c r="F115" s="128" t="s">
        <v>31</v>
      </c>
      <c r="G115" s="131">
        <v>50860</v>
      </c>
      <c r="H115" s="132">
        <v>214</v>
      </c>
      <c r="I115" s="133">
        <v>39</v>
      </c>
      <c r="J115" s="133">
        <v>58</v>
      </c>
      <c r="K115" s="133">
        <v>28</v>
      </c>
      <c r="L115" s="133">
        <v>41</v>
      </c>
      <c r="M115" s="133">
        <v>44</v>
      </c>
      <c r="N115" s="133">
        <v>42</v>
      </c>
      <c r="O115" s="133">
        <v>25</v>
      </c>
      <c r="P115" s="133">
        <v>28</v>
      </c>
      <c r="Q115" s="133">
        <v>25</v>
      </c>
      <c r="R115" s="134"/>
      <c r="S115" s="128">
        <v>36.700000000000003</v>
      </c>
      <c r="T115" s="136" t="s">
        <v>131</v>
      </c>
      <c r="U115" s="137"/>
      <c r="V115" s="137"/>
      <c r="W115" s="137"/>
      <c r="X115" s="137"/>
      <c r="Y115" s="137"/>
      <c r="Z115" s="137"/>
    </row>
    <row r="116" spans="1:26" ht="15.75" customHeight="1">
      <c r="A116" s="25">
        <v>2</v>
      </c>
      <c r="B116" s="25">
        <v>4</v>
      </c>
      <c r="C116" s="25">
        <v>5</v>
      </c>
      <c r="D116" s="25" t="s">
        <v>56</v>
      </c>
      <c r="E116" s="26" t="s">
        <v>57</v>
      </c>
      <c r="F116" s="25" t="s">
        <v>31</v>
      </c>
      <c r="G116" s="30">
        <v>50712</v>
      </c>
      <c r="H116" s="31">
        <v>621</v>
      </c>
      <c r="I116" s="32">
        <v>103</v>
      </c>
      <c r="J116" s="32">
        <v>88</v>
      </c>
      <c r="K116" s="32">
        <v>123</v>
      </c>
      <c r="L116" s="32">
        <v>102</v>
      </c>
      <c r="M116" s="32">
        <v>120</v>
      </c>
      <c r="N116" s="32">
        <v>122</v>
      </c>
      <c r="O116" s="32">
        <v>138</v>
      </c>
      <c r="P116" s="32">
        <v>85</v>
      </c>
      <c r="Q116" s="32">
        <v>175</v>
      </c>
      <c r="R116" s="32">
        <v>89</v>
      </c>
      <c r="S116" s="33">
        <v>114.5</v>
      </c>
      <c r="T116" s="34"/>
    </row>
    <row r="117" spans="1:26" ht="15.75" customHeight="1">
      <c r="A117" s="25">
        <v>2</v>
      </c>
      <c r="B117" s="25">
        <v>4</v>
      </c>
      <c r="C117" s="25">
        <v>6</v>
      </c>
      <c r="D117" s="25" t="s">
        <v>132</v>
      </c>
      <c r="E117" s="26" t="s">
        <v>133</v>
      </c>
      <c r="F117" s="25" t="s">
        <v>109</v>
      </c>
      <c r="G117" s="30">
        <v>50716</v>
      </c>
      <c r="H117" s="31">
        <v>82</v>
      </c>
      <c r="I117" s="32">
        <v>5</v>
      </c>
      <c r="J117" s="32">
        <v>5.5</v>
      </c>
      <c r="K117" s="32">
        <v>6</v>
      </c>
      <c r="L117" s="32">
        <v>2</v>
      </c>
      <c r="M117" s="36"/>
      <c r="N117" s="36"/>
      <c r="O117" s="36"/>
      <c r="P117" s="36"/>
      <c r="Q117" s="36"/>
      <c r="R117" s="36"/>
      <c r="S117" s="33">
        <v>4.5999999999999996</v>
      </c>
      <c r="T117" s="34"/>
    </row>
    <row r="118" spans="1:26" ht="15.75" customHeight="1">
      <c r="A118" s="25">
        <v>2</v>
      </c>
      <c r="B118" s="25">
        <v>4</v>
      </c>
      <c r="C118" s="25">
        <v>6</v>
      </c>
      <c r="D118" s="25" t="s">
        <v>132</v>
      </c>
      <c r="E118" s="26" t="s">
        <v>133</v>
      </c>
      <c r="F118" s="25" t="s">
        <v>109</v>
      </c>
      <c r="G118" s="30">
        <v>50789</v>
      </c>
      <c r="H118" s="31">
        <v>327</v>
      </c>
      <c r="I118" s="32">
        <v>48</v>
      </c>
      <c r="J118" s="32">
        <v>54</v>
      </c>
      <c r="K118" s="32">
        <v>43</v>
      </c>
      <c r="L118" s="32">
        <v>36</v>
      </c>
      <c r="M118" s="32">
        <v>35</v>
      </c>
      <c r="N118" s="32">
        <v>35</v>
      </c>
      <c r="O118" s="32">
        <v>32</v>
      </c>
      <c r="P118" s="32">
        <v>37</v>
      </c>
      <c r="Q118" s="32">
        <v>28</v>
      </c>
      <c r="R118" s="32">
        <v>3</v>
      </c>
      <c r="S118" s="33">
        <v>35.1</v>
      </c>
      <c r="T118" s="34"/>
    </row>
    <row r="119" spans="1:26" ht="15.75" customHeight="1">
      <c r="A119" s="25">
        <v>2</v>
      </c>
      <c r="B119" s="25">
        <v>4</v>
      </c>
      <c r="C119" s="25">
        <v>6</v>
      </c>
      <c r="D119" s="25" t="s">
        <v>132</v>
      </c>
      <c r="E119" s="26" t="s">
        <v>133</v>
      </c>
      <c r="F119" s="25" t="s">
        <v>34</v>
      </c>
      <c r="G119" s="30">
        <v>50710</v>
      </c>
      <c r="H119" s="31">
        <v>15</v>
      </c>
      <c r="I119" s="32">
        <v>41</v>
      </c>
      <c r="J119" s="32">
        <v>39</v>
      </c>
      <c r="K119" s="32">
        <v>22</v>
      </c>
      <c r="L119" s="36"/>
      <c r="M119" s="36"/>
      <c r="N119" s="36"/>
      <c r="O119" s="36"/>
      <c r="P119" s="36"/>
      <c r="Q119" s="36"/>
      <c r="R119" s="36"/>
      <c r="S119" s="33">
        <v>34</v>
      </c>
      <c r="T119" s="34"/>
    </row>
    <row r="120" spans="1:26" ht="15.75" customHeight="1">
      <c r="A120" s="25">
        <v>2</v>
      </c>
      <c r="B120" s="25">
        <v>4</v>
      </c>
      <c r="C120" s="25">
        <v>7</v>
      </c>
      <c r="D120" s="25" t="s">
        <v>134</v>
      </c>
      <c r="E120" s="26" t="s">
        <v>135</v>
      </c>
      <c r="F120" s="25" t="s">
        <v>25</v>
      </c>
      <c r="G120" s="30">
        <v>50268</v>
      </c>
      <c r="H120" s="31">
        <v>411</v>
      </c>
      <c r="I120" s="32">
        <v>15</v>
      </c>
      <c r="J120" s="32">
        <v>16</v>
      </c>
      <c r="K120" s="32">
        <v>44</v>
      </c>
      <c r="L120" s="32">
        <v>50</v>
      </c>
      <c r="M120" s="32">
        <v>39</v>
      </c>
      <c r="N120" s="32">
        <v>20</v>
      </c>
      <c r="O120" s="32">
        <v>39</v>
      </c>
      <c r="P120" s="32">
        <v>41</v>
      </c>
      <c r="Q120" s="32">
        <v>33</v>
      </c>
      <c r="R120" s="32">
        <v>22</v>
      </c>
      <c r="S120" s="33">
        <v>31.9</v>
      </c>
      <c r="T120" s="34"/>
    </row>
    <row r="121" spans="1:26" ht="15.75" customHeight="1">
      <c r="A121" s="53">
        <v>2</v>
      </c>
      <c r="B121" s="53">
        <v>4</v>
      </c>
      <c r="C121" s="53">
        <v>7</v>
      </c>
      <c r="D121" s="53" t="s">
        <v>134</v>
      </c>
      <c r="E121" s="54" t="s">
        <v>135</v>
      </c>
      <c r="F121" s="53" t="s">
        <v>68</v>
      </c>
      <c r="G121" s="55">
        <v>50169</v>
      </c>
      <c r="H121" s="57">
        <v>10</v>
      </c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61" t="s">
        <v>55</v>
      </c>
    </row>
    <row r="122" spans="1:26" ht="15.75" customHeight="1">
      <c r="A122" s="25">
        <v>2</v>
      </c>
      <c r="B122" s="25">
        <v>4</v>
      </c>
      <c r="C122" s="25">
        <v>9</v>
      </c>
      <c r="D122" s="25" t="s">
        <v>136</v>
      </c>
      <c r="E122" s="26" t="s">
        <v>137</v>
      </c>
      <c r="F122" s="25" t="s">
        <v>68</v>
      </c>
      <c r="G122" s="30">
        <v>50830</v>
      </c>
      <c r="H122" s="31">
        <v>329</v>
      </c>
      <c r="I122" s="32">
        <v>127</v>
      </c>
      <c r="J122" s="32">
        <v>139</v>
      </c>
      <c r="K122" s="32">
        <v>136</v>
      </c>
      <c r="L122" s="32">
        <v>124</v>
      </c>
      <c r="M122" s="32">
        <v>137</v>
      </c>
      <c r="N122" s="32">
        <v>117</v>
      </c>
      <c r="O122" s="32">
        <v>138</v>
      </c>
      <c r="P122" s="32">
        <v>141</v>
      </c>
      <c r="Q122" s="32">
        <v>114</v>
      </c>
      <c r="R122" s="32">
        <v>123</v>
      </c>
      <c r="S122" s="33">
        <v>129.6</v>
      </c>
      <c r="T122" s="34"/>
    </row>
    <row r="123" spans="1:26" ht="15.75" customHeight="1">
      <c r="A123" s="25">
        <v>2</v>
      </c>
      <c r="B123" s="25">
        <v>4</v>
      </c>
      <c r="C123" s="25">
        <v>9</v>
      </c>
      <c r="D123" s="25" t="s">
        <v>136</v>
      </c>
      <c r="E123" s="26" t="s">
        <v>137</v>
      </c>
      <c r="F123" s="25" t="s">
        <v>25</v>
      </c>
      <c r="G123" s="30">
        <v>50757</v>
      </c>
      <c r="H123" s="31">
        <v>10</v>
      </c>
      <c r="I123" s="32">
        <v>25</v>
      </c>
      <c r="J123" s="36"/>
      <c r="K123" s="36"/>
      <c r="L123" s="36"/>
      <c r="M123" s="36"/>
      <c r="N123" s="36"/>
      <c r="O123" s="36"/>
      <c r="P123" s="36"/>
      <c r="Q123" s="36"/>
      <c r="R123" s="36"/>
      <c r="S123" s="33">
        <v>25</v>
      </c>
      <c r="T123" s="34"/>
    </row>
    <row r="124" spans="1:26" ht="15.75" customHeight="1">
      <c r="A124" s="25">
        <v>2</v>
      </c>
      <c r="B124" s="25">
        <v>4</v>
      </c>
      <c r="C124" s="25">
        <v>10</v>
      </c>
      <c r="D124" s="25" t="s">
        <v>138</v>
      </c>
      <c r="E124" s="26" t="s">
        <v>139</v>
      </c>
      <c r="F124" s="25" t="s">
        <v>68</v>
      </c>
      <c r="G124" s="30">
        <v>50828</v>
      </c>
      <c r="H124" s="31">
        <v>954</v>
      </c>
      <c r="I124" s="32">
        <v>58</v>
      </c>
      <c r="J124" s="32">
        <v>40</v>
      </c>
      <c r="K124" s="32">
        <v>40</v>
      </c>
      <c r="L124" s="32">
        <v>34</v>
      </c>
      <c r="M124" s="32">
        <v>55</v>
      </c>
      <c r="N124" s="32">
        <v>80</v>
      </c>
      <c r="O124" s="32">
        <v>78</v>
      </c>
      <c r="P124" s="32">
        <v>39</v>
      </c>
      <c r="Q124" s="32">
        <v>68</v>
      </c>
      <c r="R124" s="32">
        <v>48</v>
      </c>
      <c r="S124" s="33">
        <v>54</v>
      </c>
      <c r="T124" s="34"/>
    </row>
    <row r="125" spans="1:26" ht="15.75" customHeight="1">
      <c r="A125" s="25">
        <v>2</v>
      </c>
      <c r="B125" s="25">
        <v>4</v>
      </c>
      <c r="C125" s="25">
        <v>10</v>
      </c>
      <c r="D125" s="25" t="s">
        <v>140</v>
      </c>
      <c r="E125" s="26" t="s">
        <v>141</v>
      </c>
      <c r="F125" s="25" t="s">
        <v>25</v>
      </c>
      <c r="G125" s="30">
        <v>50763</v>
      </c>
      <c r="H125" s="31">
        <v>19</v>
      </c>
      <c r="I125" s="32">
        <v>35</v>
      </c>
      <c r="J125" s="36"/>
      <c r="K125" s="36"/>
      <c r="L125" s="36"/>
      <c r="M125" s="36"/>
      <c r="N125" s="36"/>
      <c r="O125" s="36"/>
      <c r="P125" s="36"/>
      <c r="Q125" s="36"/>
      <c r="R125" s="36"/>
      <c r="S125" s="33">
        <v>35</v>
      </c>
      <c r="T125" s="34"/>
    </row>
    <row r="126" spans="1:26" ht="15.75" customHeight="1">
      <c r="A126" s="25">
        <v>2</v>
      </c>
      <c r="B126" s="25">
        <v>4</v>
      </c>
      <c r="C126" s="25">
        <v>10</v>
      </c>
      <c r="D126" s="25" t="s">
        <v>138</v>
      </c>
      <c r="E126" s="26" t="s">
        <v>139</v>
      </c>
      <c r="F126" s="25" t="s">
        <v>68</v>
      </c>
      <c r="G126" s="30">
        <v>50295</v>
      </c>
      <c r="H126" s="31">
        <v>11</v>
      </c>
      <c r="I126" s="32">
        <v>76</v>
      </c>
      <c r="J126" s="32">
        <v>41</v>
      </c>
      <c r="K126" s="36"/>
      <c r="L126" s="36"/>
      <c r="M126" s="36"/>
      <c r="N126" s="36"/>
      <c r="O126" s="36"/>
      <c r="P126" s="36"/>
      <c r="Q126" s="36"/>
      <c r="R126" s="36"/>
      <c r="S126" s="33">
        <v>58.5</v>
      </c>
      <c r="T126" s="34"/>
    </row>
    <row r="127" spans="1:26" ht="15.75" customHeight="1">
      <c r="A127" s="25">
        <v>2</v>
      </c>
      <c r="B127" s="25">
        <v>4</v>
      </c>
      <c r="C127" s="25">
        <v>10</v>
      </c>
      <c r="D127" s="25" t="s">
        <v>140</v>
      </c>
      <c r="E127" s="26" t="s">
        <v>141</v>
      </c>
      <c r="F127" s="25" t="s">
        <v>68</v>
      </c>
      <c r="G127" s="30">
        <v>50638</v>
      </c>
      <c r="H127" s="31">
        <v>52</v>
      </c>
      <c r="I127" s="32">
        <v>58</v>
      </c>
      <c r="J127" s="32">
        <v>67</v>
      </c>
      <c r="K127" s="32">
        <v>65</v>
      </c>
      <c r="L127" s="36"/>
      <c r="M127" s="36"/>
      <c r="N127" s="36"/>
      <c r="O127" s="36"/>
      <c r="P127" s="36"/>
      <c r="Q127" s="36"/>
      <c r="R127" s="36"/>
      <c r="S127" s="33">
        <v>63.3</v>
      </c>
      <c r="T127" s="34"/>
    </row>
    <row r="128" spans="1:26" ht="15.75" customHeight="1">
      <c r="A128" s="25">
        <v>2</v>
      </c>
      <c r="B128" s="25">
        <v>4</v>
      </c>
      <c r="C128" s="25">
        <v>10</v>
      </c>
      <c r="D128" s="25" t="s">
        <v>138</v>
      </c>
      <c r="E128" s="26" t="s">
        <v>139</v>
      </c>
      <c r="F128" s="25" t="s">
        <v>25</v>
      </c>
      <c r="G128" s="30">
        <v>50750</v>
      </c>
      <c r="H128" s="31">
        <v>82</v>
      </c>
      <c r="I128" s="32">
        <v>55</v>
      </c>
      <c r="J128" s="36"/>
      <c r="K128" s="36"/>
      <c r="L128" s="36"/>
      <c r="M128" s="36"/>
      <c r="N128" s="36"/>
      <c r="O128" s="36"/>
      <c r="P128" s="36"/>
      <c r="Q128" s="36"/>
      <c r="R128" s="36"/>
      <c r="S128" s="33">
        <v>55</v>
      </c>
      <c r="T128" s="34"/>
    </row>
    <row r="129" spans="1:20" ht="15.75" customHeight="1">
      <c r="A129" s="38">
        <v>2</v>
      </c>
      <c r="B129" s="38">
        <v>4</v>
      </c>
      <c r="C129" s="38">
        <v>11</v>
      </c>
      <c r="D129" s="38" t="s">
        <v>142</v>
      </c>
      <c r="E129" s="40" t="s">
        <v>143</v>
      </c>
      <c r="F129" s="38" t="s">
        <v>144</v>
      </c>
      <c r="G129" s="43">
        <v>50769</v>
      </c>
      <c r="H129" s="46">
        <v>2</v>
      </c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50" t="s">
        <v>43</v>
      </c>
    </row>
    <row r="130" spans="1:20" ht="15.75" customHeight="1">
      <c r="A130" s="25">
        <v>2</v>
      </c>
      <c r="B130" s="25">
        <v>4</v>
      </c>
      <c r="C130" s="25">
        <v>13</v>
      </c>
      <c r="D130" s="25" t="s">
        <v>32</v>
      </c>
      <c r="E130" s="26" t="s">
        <v>33</v>
      </c>
      <c r="F130" s="25" t="s">
        <v>68</v>
      </c>
      <c r="G130" s="30">
        <v>50819</v>
      </c>
      <c r="H130" s="31">
        <v>1285</v>
      </c>
      <c r="I130" s="32">
        <v>108</v>
      </c>
      <c r="J130" s="32">
        <v>146</v>
      </c>
      <c r="K130" s="32">
        <v>145</v>
      </c>
      <c r="L130" s="32">
        <v>26</v>
      </c>
      <c r="M130" s="32">
        <v>84</v>
      </c>
      <c r="N130" s="32">
        <v>82</v>
      </c>
      <c r="O130" s="32">
        <v>100</v>
      </c>
      <c r="P130" s="32">
        <v>92</v>
      </c>
      <c r="Q130" s="32">
        <v>81</v>
      </c>
      <c r="R130" s="32">
        <v>43</v>
      </c>
      <c r="S130" s="33">
        <v>90.7</v>
      </c>
      <c r="T130" s="34"/>
    </row>
    <row r="131" spans="1:20" ht="15.75" customHeight="1">
      <c r="A131" s="25">
        <v>2</v>
      </c>
      <c r="B131" s="25">
        <v>4</v>
      </c>
      <c r="C131" s="25">
        <v>14</v>
      </c>
      <c r="D131" s="25" t="s">
        <v>145</v>
      </c>
      <c r="E131" s="26" t="s">
        <v>146</v>
      </c>
      <c r="F131" s="25" t="s">
        <v>31</v>
      </c>
      <c r="G131" s="30">
        <v>50809</v>
      </c>
      <c r="H131" s="31">
        <v>664</v>
      </c>
      <c r="I131" s="32">
        <v>89</v>
      </c>
      <c r="J131" s="32">
        <v>96</v>
      </c>
      <c r="K131" s="32">
        <v>94</v>
      </c>
      <c r="L131" s="32">
        <v>90</v>
      </c>
      <c r="M131" s="32">
        <v>90</v>
      </c>
      <c r="N131" s="32">
        <v>90</v>
      </c>
      <c r="O131" s="32">
        <v>88</v>
      </c>
      <c r="P131" s="32">
        <v>58</v>
      </c>
      <c r="Q131" s="32">
        <v>76</v>
      </c>
      <c r="R131" s="32">
        <v>37</v>
      </c>
      <c r="S131" s="33">
        <v>80.8</v>
      </c>
      <c r="T131" s="34"/>
    </row>
    <row r="132" spans="1:20" ht="15.75" customHeight="1">
      <c r="A132" s="38">
        <v>2</v>
      </c>
      <c r="B132" s="38">
        <v>4</v>
      </c>
      <c r="C132" s="38">
        <v>15</v>
      </c>
      <c r="D132" s="38" t="s">
        <v>147</v>
      </c>
      <c r="E132" s="40" t="s">
        <v>148</v>
      </c>
      <c r="F132" s="38" t="s">
        <v>25</v>
      </c>
      <c r="G132" s="43">
        <v>50376</v>
      </c>
      <c r="H132" s="46">
        <v>6</v>
      </c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50" t="s">
        <v>43</v>
      </c>
    </row>
    <row r="133" spans="1:20" ht="15.75" customHeight="1">
      <c r="A133" s="25">
        <v>2</v>
      </c>
      <c r="B133" s="25">
        <v>4</v>
      </c>
      <c r="C133" s="25">
        <v>15</v>
      </c>
      <c r="D133" s="25" t="s">
        <v>149</v>
      </c>
      <c r="E133" s="26" t="s">
        <v>150</v>
      </c>
      <c r="F133" s="25" t="s">
        <v>31</v>
      </c>
      <c r="G133" s="30">
        <v>50815</v>
      </c>
      <c r="H133" s="31">
        <v>81</v>
      </c>
      <c r="I133" s="32">
        <v>113</v>
      </c>
      <c r="J133" s="32">
        <v>148</v>
      </c>
      <c r="K133" s="32">
        <v>131</v>
      </c>
      <c r="L133" s="36"/>
      <c r="M133" s="36"/>
      <c r="N133" s="36"/>
      <c r="O133" s="36"/>
      <c r="P133" s="36"/>
      <c r="Q133" s="36"/>
      <c r="R133" s="36"/>
      <c r="S133" s="33">
        <v>130.69999999999999</v>
      </c>
      <c r="T133" s="34"/>
    </row>
    <row r="134" spans="1:20" ht="15.75" customHeight="1">
      <c r="A134" s="25">
        <v>2</v>
      </c>
      <c r="B134" s="25">
        <v>4</v>
      </c>
      <c r="C134" s="25">
        <v>15</v>
      </c>
      <c r="D134" s="25" t="s">
        <v>145</v>
      </c>
      <c r="E134" s="26" t="s">
        <v>146</v>
      </c>
      <c r="F134" s="25" t="s">
        <v>31</v>
      </c>
      <c r="G134" s="30">
        <v>50711</v>
      </c>
      <c r="H134" s="31">
        <v>100</v>
      </c>
      <c r="I134" s="32">
        <v>84</v>
      </c>
      <c r="J134" s="32">
        <v>66</v>
      </c>
      <c r="K134" s="32">
        <v>39</v>
      </c>
      <c r="L134" s="36"/>
      <c r="M134" s="36"/>
      <c r="N134" s="36"/>
      <c r="O134" s="36"/>
      <c r="P134" s="36"/>
      <c r="Q134" s="36"/>
      <c r="R134" s="36"/>
      <c r="S134" s="33">
        <v>63</v>
      </c>
      <c r="T134" s="34"/>
    </row>
    <row r="135" spans="1:20" ht="15.75" customHeight="1">
      <c r="A135" s="25">
        <v>2</v>
      </c>
      <c r="B135" s="25">
        <v>4</v>
      </c>
      <c r="C135" s="25">
        <v>15</v>
      </c>
      <c r="D135" s="25" t="s">
        <v>145</v>
      </c>
      <c r="E135" s="26" t="s">
        <v>146</v>
      </c>
      <c r="F135" s="25" t="s">
        <v>68</v>
      </c>
      <c r="G135" s="30">
        <v>50701</v>
      </c>
      <c r="H135" s="31">
        <v>70</v>
      </c>
      <c r="I135" s="32">
        <v>15</v>
      </c>
      <c r="J135" s="32">
        <v>25</v>
      </c>
      <c r="K135" s="32">
        <v>16</v>
      </c>
      <c r="L135" s="36"/>
      <c r="M135" s="36"/>
      <c r="N135" s="36"/>
      <c r="O135" s="36"/>
      <c r="P135" s="36"/>
      <c r="Q135" s="36"/>
      <c r="R135" s="36"/>
      <c r="S135" s="33">
        <v>18.7</v>
      </c>
      <c r="T135" s="34"/>
    </row>
    <row r="136" spans="1:20" ht="15.75" customHeight="1">
      <c r="A136" s="25">
        <v>2</v>
      </c>
      <c r="B136" s="25">
        <v>4</v>
      </c>
      <c r="C136" s="25">
        <v>15</v>
      </c>
      <c r="D136" s="25" t="s">
        <v>151</v>
      </c>
      <c r="E136" s="26" t="s">
        <v>152</v>
      </c>
      <c r="F136" s="25" t="s">
        <v>144</v>
      </c>
      <c r="G136" s="30">
        <v>50776</v>
      </c>
      <c r="H136" s="31">
        <v>28</v>
      </c>
      <c r="I136" s="32">
        <v>28</v>
      </c>
      <c r="J136" s="36"/>
      <c r="K136" s="36"/>
      <c r="L136" s="36"/>
      <c r="M136" s="36"/>
      <c r="N136" s="36"/>
      <c r="O136" s="36"/>
      <c r="P136" s="36"/>
      <c r="Q136" s="36"/>
      <c r="R136" s="36"/>
      <c r="S136" s="33">
        <v>28</v>
      </c>
      <c r="T136" s="34"/>
    </row>
    <row r="137" spans="1:20" ht="15.75" customHeight="1">
      <c r="A137" s="38">
        <v>2</v>
      </c>
      <c r="B137" s="38">
        <v>4</v>
      </c>
      <c r="C137" s="38">
        <v>15</v>
      </c>
      <c r="D137" s="38" t="s">
        <v>151</v>
      </c>
      <c r="E137" s="40" t="s">
        <v>152</v>
      </c>
      <c r="F137" s="38" t="s">
        <v>31</v>
      </c>
      <c r="G137" s="43">
        <v>50811</v>
      </c>
      <c r="H137" s="46">
        <v>4</v>
      </c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50" t="s">
        <v>43</v>
      </c>
    </row>
    <row r="138" spans="1:20" ht="15.75" customHeight="1">
      <c r="A138" s="25">
        <v>2</v>
      </c>
      <c r="B138" s="25">
        <v>4</v>
      </c>
      <c r="C138" s="25">
        <v>15</v>
      </c>
      <c r="D138" s="25" t="s">
        <v>153</v>
      </c>
      <c r="E138" s="26" t="s">
        <v>154</v>
      </c>
      <c r="F138" s="25" t="s">
        <v>155</v>
      </c>
      <c r="G138" s="30">
        <v>50851</v>
      </c>
      <c r="H138" s="31">
        <v>15</v>
      </c>
      <c r="I138" s="32">
        <v>28</v>
      </c>
      <c r="J138" s="36"/>
      <c r="K138" s="36"/>
      <c r="L138" s="36"/>
      <c r="M138" s="36"/>
      <c r="N138" s="36"/>
      <c r="O138" s="36"/>
      <c r="P138" s="36"/>
      <c r="Q138" s="36"/>
      <c r="R138" s="36"/>
      <c r="S138" s="33">
        <v>28</v>
      </c>
      <c r="T138" s="34"/>
    </row>
    <row r="139" spans="1:20" ht="15.75" customHeight="1">
      <c r="A139" s="25">
        <v>2</v>
      </c>
      <c r="B139" s="25">
        <v>4</v>
      </c>
      <c r="C139" s="25">
        <v>15</v>
      </c>
      <c r="D139" s="25" t="s">
        <v>156</v>
      </c>
      <c r="E139" s="26" t="s">
        <v>157</v>
      </c>
      <c r="F139" s="25" t="s">
        <v>31</v>
      </c>
      <c r="G139" s="30">
        <v>50805</v>
      </c>
      <c r="H139" s="31">
        <v>15</v>
      </c>
      <c r="I139" s="32">
        <v>40</v>
      </c>
      <c r="J139" s="36"/>
      <c r="K139" s="36"/>
      <c r="L139" s="36"/>
      <c r="M139" s="36"/>
      <c r="N139" s="36"/>
      <c r="O139" s="36"/>
      <c r="P139" s="36"/>
      <c r="Q139" s="36"/>
      <c r="R139" s="36"/>
      <c r="S139" s="33">
        <v>40</v>
      </c>
      <c r="T139" s="34"/>
    </row>
    <row r="140" spans="1:20" ht="15.75" customHeight="1">
      <c r="A140" s="25">
        <v>2</v>
      </c>
      <c r="B140" s="25">
        <v>4</v>
      </c>
      <c r="C140" s="25">
        <v>15</v>
      </c>
      <c r="D140" s="25" t="s">
        <v>158</v>
      </c>
      <c r="E140" s="26" t="s">
        <v>159</v>
      </c>
      <c r="F140" s="25" t="s">
        <v>31</v>
      </c>
      <c r="G140" s="30">
        <v>50849</v>
      </c>
      <c r="H140" s="31">
        <v>27</v>
      </c>
      <c r="I140" s="32">
        <v>33</v>
      </c>
      <c r="J140" s="36"/>
      <c r="K140" s="36"/>
      <c r="L140" s="36"/>
      <c r="M140" s="36"/>
      <c r="N140" s="36"/>
      <c r="O140" s="36"/>
      <c r="P140" s="36"/>
      <c r="Q140" s="36"/>
      <c r="R140" s="36"/>
      <c r="S140" s="33">
        <v>33</v>
      </c>
      <c r="T140" s="34"/>
    </row>
    <row r="141" spans="1:20" ht="15.75" customHeight="1">
      <c r="A141" s="25">
        <v>2</v>
      </c>
      <c r="B141" s="25">
        <v>4</v>
      </c>
      <c r="C141" s="25">
        <v>15</v>
      </c>
      <c r="D141" s="25" t="s">
        <v>160</v>
      </c>
      <c r="E141" s="26" t="s">
        <v>161</v>
      </c>
      <c r="F141" s="25" t="s">
        <v>34</v>
      </c>
      <c r="G141" s="30">
        <v>50707</v>
      </c>
      <c r="H141" s="31">
        <v>30</v>
      </c>
      <c r="I141" s="32">
        <v>27</v>
      </c>
      <c r="J141" s="36"/>
      <c r="K141" s="36"/>
      <c r="L141" s="36"/>
      <c r="M141" s="36"/>
      <c r="N141" s="36"/>
      <c r="O141" s="36"/>
      <c r="P141" s="36"/>
      <c r="Q141" s="36"/>
      <c r="R141" s="36"/>
      <c r="S141" s="33">
        <v>27</v>
      </c>
      <c r="T141" s="34"/>
    </row>
    <row r="142" spans="1:20" ht="15.75" customHeight="1">
      <c r="A142" s="25">
        <v>2</v>
      </c>
      <c r="B142" s="25">
        <v>4</v>
      </c>
      <c r="C142" s="25">
        <v>15</v>
      </c>
      <c r="D142" s="25" t="s">
        <v>162</v>
      </c>
      <c r="E142" s="26" t="s">
        <v>163</v>
      </c>
      <c r="F142" s="25" t="s">
        <v>34</v>
      </c>
      <c r="G142" s="30">
        <v>50840</v>
      </c>
      <c r="H142" s="31">
        <v>1</v>
      </c>
      <c r="I142" s="32">
        <v>23</v>
      </c>
      <c r="J142" s="36"/>
      <c r="K142" s="36"/>
      <c r="L142" s="36"/>
      <c r="M142" s="36"/>
      <c r="N142" s="36"/>
      <c r="O142" s="36"/>
      <c r="P142" s="36"/>
      <c r="Q142" s="36"/>
      <c r="R142" s="36"/>
      <c r="S142" s="33">
        <v>23</v>
      </c>
      <c r="T142" s="34"/>
    </row>
    <row r="143" spans="1:20" ht="15.75" customHeight="1">
      <c r="A143" s="53">
        <v>2</v>
      </c>
      <c r="B143" s="53">
        <v>4</v>
      </c>
      <c r="C143" s="53">
        <v>15</v>
      </c>
      <c r="D143" s="53" t="s">
        <v>164</v>
      </c>
      <c r="E143" s="54" t="s">
        <v>165</v>
      </c>
      <c r="F143" s="53" t="s">
        <v>166</v>
      </c>
      <c r="G143" s="55">
        <v>50775</v>
      </c>
      <c r="H143" s="57">
        <v>1</v>
      </c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61" t="s">
        <v>55</v>
      </c>
    </row>
    <row r="144" spans="1:20" ht="15.75" customHeight="1">
      <c r="A144" s="38">
        <v>2</v>
      </c>
      <c r="B144" s="38">
        <v>4</v>
      </c>
      <c r="C144" s="38">
        <v>15</v>
      </c>
      <c r="D144" s="38" t="s">
        <v>149</v>
      </c>
      <c r="E144" s="40" t="s">
        <v>150</v>
      </c>
      <c r="F144" s="38" t="s">
        <v>68</v>
      </c>
      <c r="G144" s="43">
        <v>50669</v>
      </c>
      <c r="H144" s="46">
        <v>4</v>
      </c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50" t="s">
        <v>43</v>
      </c>
    </row>
    <row r="145" spans="1:20" ht="15.75" customHeight="1">
      <c r="A145" s="38">
        <v>2</v>
      </c>
      <c r="B145" s="38">
        <v>4</v>
      </c>
      <c r="C145" s="38">
        <v>15</v>
      </c>
      <c r="D145" s="38" t="s">
        <v>149</v>
      </c>
      <c r="E145" s="40" t="s">
        <v>150</v>
      </c>
      <c r="F145" s="38" t="s">
        <v>34</v>
      </c>
      <c r="G145" s="43">
        <v>50433</v>
      </c>
      <c r="H145" s="46">
        <v>3</v>
      </c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50" t="s">
        <v>43</v>
      </c>
    </row>
    <row r="146" spans="1:20" ht="15.75" customHeight="1">
      <c r="A146" s="25">
        <v>2</v>
      </c>
      <c r="B146" s="25">
        <v>4</v>
      </c>
      <c r="C146" s="25">
        <v>16</v>
      </c>
      <c r="D146" s="25" t="s">
        <v>167</v>
      </c>
      <c r="E146" s="26" t="s">
        <v>168</v>
      </c>
      <c r="F146" s="25" t="s">
        <v>31</v>
      </c>
      <c r="G146" s="30">
        <v>50865</v>
      </c>
      <c r="H146" s="31">
        <v>628</v>
      </c>
      <c r="I146" s="32">
        <v>30</v>
      </c>
      <c r="J146" s="32">
        <v>46</v>
      </c>
      <c r="K146" s="32">
        <v>33</v>
      </c>
      <c r="L146" s="32">
        <v>25</v>
      </c>
      <c r="M146" s="32">
        <v>32</v>
      </c>
      <c r="N146" s="32">
        <v>34</v>
      </c>
      <c r="O146" s="32">
        <v>12</v>
      </c>
      <c r="P146" s="32">
        <v>26</v>
      </c>
      <c r="Q146" s="32">
        <v>32</v>
      </c>
      <c r="R146" s="32">
        <v>34</v>
      </c>
      <c r="S146" s="33">
        <v>30.4</v>
      </c>
      <c r="T146" s="34"/>
    </row>
    <row r="147" spans="1:20" ht="15.75" customHeight="1">
      <c r="A147" s="25">
        <v>2</v>
      </c>
      <c r="B147" s="25">
        <v>4</v>
      </c>
      <c r="C147" s="25">
        <v>16</v>
      </c>
      <c r="D147" s="25" t="s">
        <v>145</v>
      </c>
      <c r="E147" s="26" t="s">
        <v>146</v>
      </c>
      <c r="F147" s="25" t="s">
        <v>31</v>
      </c>
      <c r="G147" s="30">
        <v>50866</v>
      </c>
      <c r="H147" s="31">
        <v>86</v>
      </c>
      <c r="I147" s="32">
        <v>50</v>
      </c>
      <c r="J147" s="32">
        <v>48</v>
      </c>
      <c r="K147" s="32">
        <v>29</v>
      </c>
      <c r="L147" s="32">
        <v>28</v>
      </c>
      <c r="M147" s="36"/>
      <c r="N147" s="36"/>
      <c r="O147" s="36"/>
      <c r="P147" s="36"/>
      <c r="Q147" s="36"/>
      <c r="R147" s="36"/>
      <c r="S147" s="33">
        <v>38.799999999999997</v>
      </c>
      <c r="T147" s="34"/>
    </row>
    <row r="148" spans="1:20" ht="15.75" customHeight="1">
      <c r="A148" s="68">
        <v>2</v>
      </c>
      <c r="B148" s="25">
        <v>4</v>
      </c>
      <c r="C148" s="25">
        <v>17</v>
      </c>
      <c r="D148" s="25" t="s">
        <v>169</v>
      </c>
      <c r="E148" s="26" t="s">
        <v>170</v>
      </c>
      <c r="F148" s="25" t="s">
        <v>34</v>
      </c>
      <c r="G148" s="30">
        <v>50596</v>
      </c>
      <c r="H148" s="31">
        <v>110</v>
      </c>
      <c r="I148" s="32">
        <v>99</v>
      </c>
      <c r="J148" s="32">
        <v>112</v>
      </c>
      <c r="K148" s="32">
        <v>106</v>
      </c>
      <c r="L148" s="32">
        <v>84</v>
      </c>
      <c r="M148" s="32">
        <v>73</v>
      </c>
      <c r="N148" s="32">
        <v>98</v>
      </c>
      <c r="O148" s="36"/>
      <c r="P148" s="36"/>
      <c r="Q148" s="36"/>
      <c r="R148" s="36"/>
      <c r="S148" s="33">
        <v>95.3</v>
      </c>
      <c r="T148" s="34"/>
    </row>
    <row r="149" spans="1:20" ht="15.75" customHeight="1">
      <c r="A149" s="25">
        <v>2</v>
      </c>
      <c r="B149" s="25">
        <v>4</v>
      </c>
      <c r="C149" s="25">
        <v>17</v>
      </c>
      <c r="D149" s="25" t="s">
        <v>169</v>
      </c>
      <c r="E149" s="26" t="s">
        <v>170</v>
      </c>
      <c r="F149" s="25" t="s">
        <v>34</v>
      </c>
      <c r="G149" s="30">
        <v>50571</v>
      </c>
      <c r="H149" s="31">
        <v>223</v>
      </c>
      <c r="I149" s="32">
        <v>100</v>
      </c>
      <c r="J149" s="32">
        <v>112</v>
      </c>
      <c r="K149" s="32">
        <v>82</v>
      </c>
      <c r="L149" s="32">
        <v>129</v>
      </c>
      <c r="M149" s="32">
        <v>116</v>
      </c>
      <c r="N149" s="32">
        <v>120</v>
      </c>
      <c r="O149" s="32">
        <v>116</v>
      </c>
      <c r="P149" s="32">
        <v>139</v>
      </c>
      <c r="Q149" s="36"/>
      <c r="R149" s="36"/>
      <c r="S149" s="33">
        <v>114.3</v>
      </c>
      <c r="T149" s="34"/>
    </row>
    <row r="150" spans="1:20" ht="15.75" customHeight="1">
      <c r="A150" s="25">
        <v>2</v>
      </c>
      <c r="B150" s="25">
        <v>4</v>
      </c>
      <c r="C150" s="25">
        <v>18</v>
      </c>
      <c r="D150" s="25" t="s">
        <v>171</v>
      </c>
      <c r="E150" s="26" t="s">
        <v>172</v>
      </c>
      <c r="F150" s="25" t="s">
        <v>25</v>
      </c>
      <c r="G150" s="30">
        <v>50831</v>
      </c>
      <c r="H150" s="31">
        <v>249</v>
      </c>
      <c r="I150" s="32">
        <v>37</v>
      </c>
      <c r="J150" s="32">
        <v>33</v>
      </c>
      <c r="K150" s="32">
        <v>39</v>
      </c>
      <c r="L150" s="32">
        <v>38</v>
      </c>
      <c r="M150" s="32">
        <v>43</v>
      </c>
      <c r="N150" s="32">
        <v>50</v>
      </c>
      <c r="O150" s="32">
        <v>49</v>
      </c>
      <c r="P150" s="32">
        <v>57</v>
      </c>
      <c r="Q150" s="32">
        <v>50</v>
      </c>
      <c r="R150" s="32">
        <v>32</v>
      </c>
      <c r="S150" s="33">
        <v>42.8</v>
      </c>
      <c r="T150" s="34"/>
    </row>
    <row r="151" spans="1:20" ht="15.75" customHeight="1">
      <c r="A151" s="25">
        <v>2</v>
      </c>
      <c r="B151" s="25">
        <v>4</v>
      </c>
      <c r="C151" s="25">
        <v>19</v>
      </c>
      <c r="D151" s="25" t="s">
        <v>107</v>
      </c>
      <c r="E151" s="26" t="s">
        <v>108</v>
      </c>
      <c r="F151" s="25" t="s">
        <v>31</v>
      </c>
      <c r="G151" s="30">
        <v>50862</v>
      </c>
      <c r="H151" s="31">
        <v>714</v>
      </c>
      <c r="I151" s="32">
        <v>30</v>
      </c>
      <c r="J151" s="32">
        <v>46</v>
      </c>
      <c r="K151" s="32">
        <v>43</v>
      </c>
      <c r="L151" s="32">
        <v>42</v>
      </c>
      <c r="M151" s="32">
        <v>49</v>
      </c>
      <c r="N151" s="32">
        <v>45</v>
      </c>
      <c r="O151" s="32">
        <v>28</v>
      </c>
      <c r="P151" s="32">
        <v>26</v>
      </c>
      <c r="Q151" s="32">
        <v>12</v>
      </c>
      <c r="R151" s="32">
        <v>37</v>
      </c>
      <c r="S151" s="33">
        <v>35.799999999999997</v>
      </c>
      <c r="T151" s="34"/>
    </row>
    <row r="152" spans="1:20" ht="15.75" customHeight="1">
      <c r="A152" s="25">
        <v>2</v>
      </c>
      <c r="B152" s="25">
        <v>4</v>
      </c>
      <c r="C152" s="25">
        <v>20</v>
      </c>
      <c r="D152" s="25" t="s">
        <v>173</v>
      </c>
      <c r="E152" s="26" t="s">
        <v>174</v>
      </c>
      <c r="F152" s="25" t="s">
        <v>25</v>
      </c>
      <c r="G152" s="30">
        <v>50678</v>
      </c>
      <c r="H152" s="31">
        <v>4</v>
      </c>
      <c r="I152" s="32">
        <v>23</v>
      </c>
      <c r="J152" s="36"/>
      <c r="K152" s="36"/>
      <c r="L152" s="36"/>
      <c r="M152" s="36"/>
      <c r="N152" s="36"/>
      <c r="O152" s="36"/>
      <c r="P152" s="36"/>
      <c r="Q152" s="36"/>
      <c r="R152" s="36"/>
      <c r="S152" s="33">
        <v>23</v>
      </c>
      <c r="T152" s="34"/>
    </row>
    <row r="153" spans="1:20" ht="15.75" customHeight="1">
      <c r="A153" s="25">
        <v>2</v>
      </c>
      <c r="B153" s="25">
        <v>4</v>
      </c>
      <c r="C153" s="25">
        <v>20</v>
      </c>
      <c r="D153" s="25" t="s">
        <v>175</v>
      </c>
      <c r="E153" s="26" t="s">
        <v>176</v>
      </c>
      <c r="F153" s="25" t="s">
        <v>31</v>
      </c>
      <c r="G153" s="30">
        <v>50867</v>
      </c>
      <c r="H153" s="31">
        <v>303</v>
      </c>
      <c r="I153" s="32">
        <v>9</v>
      </c>
      <c r="J153" s="32">
        <v>15</v>
      </c>
      <c r="K153" s="32">
        <v>16</v>
      </c>
      <c r="L153" s="32">
        <v>13</v>
      </c>
      <c r="M153" s="32">
        <v>12</v>
      </c>
      <c r="N153" s="32">
        <v>14</v>
      </c>
      <c r="O153" s="32">
        <v>9</v>
      </c>
      <c r="P153" s="32">
        <v>10</v>
      </c>
      <c r="Q153" s="36"/>
      <c r="R153" s="36"/>
      <c r="S153" s="33">
        <v>12.3</v>
      </c>
      <c r="T153" s="34"/>
    </row>
    <row r="154" spans="1:20" ht="15.75" customHeight="1">
      <c r="A154" s="25">
        <v>2</v>
      </c>
      <c r="B154" s="25">
        <v>4</v>
      </c>
      <c r="C154" s="25">
        <v>21</v>
      </c>
      <c r="D154" s="25" t="s">
        <v>177</v>
      </c>
      <c r="E154" s="26" t="s">
        <v>178</v>
      </c>
      <c r="F154" s="25" t="s">
        <v>31</v>
      </c>
      <c r="G154" s="30">
        <v>50861</v>
      </c>
      <c r="H154" s="31">
        <v>714</v>
      </c>
      <c r="I154" s="32">
        <v>27</v>
      </c>
      <c r="J154" s="32">
        <v>40</v>
      </c>
      <c r="K154" s="32">
        <v>39</v>
      </c>
      <c r="L154" s="32">
        <v>31</v>
      </c>
      <c r="M154" s="32">
        <v>42</v>
      </c>
      <c r="N154" s="32">
        <v>21</v>
      </c>
      <c r="O154" s="32">
        <v>17</v>
      </c>
      <c r="P154" s="32">
        <v>33</v>
      </c>
      <c r="Q154" s="32">
        <v>31</v>
      </c>
      <c r="R154" s="32">
        <v>24</v>
      </c>
      <c r="S154" s="33">
        <v>30.5</v>
      </c>
      <c r="T154" s="34"/>
    </row>
    <row r="155" spans="1:20" ht="15.75" customHeight="1">
      <c r="A155" s="25">
        <v>2</v>
      </c>
      <c r="B155" s="25">
        <v>4</v>
      </c>
      <c r="C155" s="25">
        <v>22</v>
      </c>
      <c r="D155" s="25" t="s">
        <v>179</v>
      </c>
      <c r="E155" s="26" t="s">
        <v>180</v>
      </c>
      <c r="F155" s="25" t="s">
        <v>31</v>
      </c>
      <c r="G155" s="30">
        <v>50843</v>
      </c>
      <c r="H155" s="31">
        <v>330</v>
      </c>
      <c r="I155" s="32">
        <v>28</v>
      </c>
      <c r="J155" s="32">
        <v>26</v>
      </c>
      <c r="K155" s="32">
        <v>17</v>
      </c>
      <c r="L155" s="32">
        <v>20</v>
      </c>
      <c r="M155" s="32">
        <v>19</v>
      </c>
      <c r="N155" s="32">
        <v>15</v>
      </c>
      <c r="O155" s="32">
        <v>13</v>
      </c>
      <c r="P155" s="32">
        <v>39</v>
      </c>
      <c r="Q155" s="32">
        <v>16</v>
      </c>
      <c r="R155" s="32">
        <v>22</v>
      </c>
      <c r="S155" s="33">
        <v>21.5</v>
      </c>
      <c r="T155" s="34"/>
    </row>
    <row r="156" spans="1:20" ht="15.75" customHeight="1">
      <c r="A156" s="25">
        <v>2</v>
      </c>
      <c r="B156" s="25">
        <v>5</v>
      </c>
      <c r="C156" s="25">
        <v>1</v>
      </c>
      <c r="D156" s="25" t="s">
        <v>95</v>
      </c>
      <c r="E156" s="26" t="s">
        <v>96</v>
      </c>
      <c r="F156" s="25" t="s">
        <v>68</v>
      </c>
      <c r="G156" s="30">
        <v>50620</v>
      </c>
      <c r="H156" s="31">
        <v>260</v>
      </c>
      <c r="I156" s="32">
        <v>36</v>
      </c>
      <c r="J156" s="32">
        <v>50</v>
      </c>
      <c r="K156" s="32">
        <v>52</v>
      </c>
      <c r="L156" s="32">
        <v>51</v>
      </c>
      <c r="M156" s="32">
        <v>70</v>
      </c>
      <c r="N156" s="32">
        <v>63</v>
      </c>
      <c r="O156" s="36"/>
      <c r="P156" s="36"/>
      <c r="Q156" s="36"/>
      <c r="R156" s="36"/>
      <c r="S156" s="33">
        <v>53.7</v>
      </c>
      <c r="T156" s="34"/>
    </row>
    <row r="157" spans="1:20" ht="15.75" customHeight="1">
      <c r="A157" s="25">
        <v>2</v>
      </c>
      <c r="B157" s="25">
        <v>5</v>
      </c>
      <c r="C157" s="25">
        <v>1</v>
      </c>
      <c r="D157" s="25" t="s">
        <v>181</v>
      </c>
      <c r="E157" s="26" t="s">
        <v>182</v>
      </c>
      <c r="F157" s="25" t="s">
        <v>31</v>
      </c>
      <c r="G157" s="30">
        <v>50782</v>
      </c>
      <c r="H157" s="31">
        <v>162</v>
      </c>
      <c r="I157" s="32">
        <v>31</v>
      </c>
      <c r="J157" s="32">
        <v>40</v>
      </c>
      <c r="K157" s="32">
        <v>39</v>
      </c>
      <c r="L157" s="32">
        <v>33</v>
      </c>
      <c r="M157" s="32">
        <v>57</v>
      </c>
      <c r="N157" s="36"/>
      <c r="O157" s="36"/>
      <c r="P157" s="36"/>
      <c r="Q157" s="36"/>
      <c r="R157" s="36"/>
      <c r="S157" s="33">
        <v>40</v>
      </c>
      <c r="T157" s="34"/>
    </row>
    <row r="158" spans="1:20" ht="15.75" customHeight="1">
      <c r="A158" s="25">
        <v>2</v>
      </c>
      <c r="B158" s="25">
        <v>5</v>
      </c>
      <c r="C158" s="25">
        <v>2</v>
      </c>
      <c r="D158" s="25" t="s">
        <v>56</v>
      </c>
      <c r="E158" s="26" t="s">
        <v>57</v>
      </c>
      <c r="F158" s="25" t="s">
        <v>68</v>
      </c>
      <c r="G158" s="30">
        <v>50664</v>
      </c>
      <c r="H158" s="31">
        <v>125</v>
      </c>
      <c r="I158" s="32">
        <v>78</v>
      </c>
      <c r="J158" s="32">
        <v>43</v>
      </c>
      <c r="K158" s="32">
        <v>60</v>
      </c>
      <c r="L158" s="32">
        <v>64</v>
      </c>
      <c r="M158" s="32">
        <v>65</v>
      </c>
      <c r="N158" s="32">
        <v>100</v>
      </c>
      <c r="O158" s="36"/>
      <c r="P158" s="36"/>
      <c r="Q158" s="36"/>
      <c r="R158" s="36"/>
      <c r="S158" s="33">
        <v>68.3</v>
      </c>
      <c r="T158" s="34"/>
    </row>
    <row r="159" spans="1:20" ht="15.75" customHeight="1">
      <c r="A159" s="25">
        <v>2</v>
      </c>
      <c r="B159" s="25">
        <v>5</v>
      </c>
      <c r="C159" s="25">
        <v>3</v>
      </c>
      <c r="D159" s="25" t="s">
        <v>37</v>
      </c>
      <c r="E159" s="26" t="s">
        <v>38</v>
      </c>
      <c r="F159" s="25" t="s">
        <v>31</v>
      </c>
      <c r="G159" s="30">
        <v>50785</v>
      </c>
      <c r="H159" s="31">
        <v>128</v>
      </c>
      <c r="I159" s="32">
        <v>113</v>
      </c>
      <c r="J159" s="32">
        <v>96</v>
      </c>
      <c r="K159" s="32">
        <v>92</v>
      </c>
      <c r="L159" s="32">
        <v>140</v>
      </c>
      <c r="M159" s="32">
        <v>125</v>
      </c>
      <c r="N159" s="32">
        <v>145</v>
      </c>
      <c r="O159" s="32">
        <v>128</v>
      </c>
      <c r="P159" s="32">
        <v>115</v>
      </c>
      <c r="Q159" s="36"/>
      <c r="R159" s="36"/>
      <c r="S159" s="33">
        <v>119.3</v>
      </c>
      <c r="T159" s="34"/>
    </row>
    <row r="160" spans="1:20" ht="15.75" customHeight="1">
      <c r="A160" s="25">
        <v>2</v>
      </c>
      <c r="B160" s="25">
        <v>5</v>
      </c>
      <c r="C160" s="25">
        <v>4</v>
      </c>
      <c r="D160" s="25" t="s">
        <v>35</v>
      </c>
      <c r="E160" s="26" t="s">
        <v>36</v>
      </c>
      <c r="F160" s="25" t="s">
        <v>31</v>
      </c>
      <c r="G160" s="30">
        <v>50806</v>
      </c>
      <c r="H160" s="31">
        <v>284</v>
      </c>
      <c r="I160" s="32">
        <v>45</v>
      </c>
      <c r="J160" s="32">
        <v>99</v>
      </c>
      <c r="K160" s="32">
        <v>216</v>
      </c>
      <c r="L160" s="32">
        <v>107</v>
      </c>
      <c r="M160" s="32">
        <v>203</v>
      </c>
      <c r="N160" s="32">
        <v>174</v>
      </c>
      <c r="O160" s="32">
        <v>138</v>
      </c>
      <c r="P160" s="32">
        <v>190</v>
      </c>
      <c r="Q160" s="32">
        <v>230</v>
      </c>
      <c r="R160" s="32">
        <v>220</v>
      </c>
      <c r="S160" s="33">
        <v>162.19999999999999</v>
      </c>
      <c r="T160" s="34"/>
    </row>
    <row r="161" spans="1:26" ht="15.75" customHeight="1">
      <c r="A161" s="25">
        <v>2</v>
      </c>
      <c r="B161" s="25">
        <v>5</v>
      </c>
      <c r="C161" s="25">
        <v>4</v>
      </c>
      <c r="D161" s="25" t="s">
        <v>35</v>
      </c>
      <c r="E161" s="26" t="s">
        <v>36</v>
      </c>
      <c r="F161" s="25" t="s">
        <v>68</v>
      </c>
      <c r="G161" s="30">
        <v>50829</v>
      </c>
      <c r="H161" s="31">
        <v>418</v>
      </c>
      <c r="I161" s="32">
        <v>167</v>
      </c>
      <c r="J161" s="32">
        <v>107</v>
      </c>
      <c r="K161" s="32">
        <v>193</v>
      </c>
      <c r="L161" s="32">
        <v>193</v>
      </c>
      <c r="M161" s="32">
        <v>99</v>
      </c>
      <c r="N161" s="32">
        <v>109</v>
      </c>
      <c r="O161" s="32">
        <v>170</v>
      </c>
      <c r="P161" s="32">
        <v>71</v>
      </c>
      <c r="Q161" s="32">
        <v>125</v>
      </c>
      <c r="R161" s="32">
        <v>102</v>
      </c>
      <c r="S161" s="33">
        <v>133.6</v>
      </c>
      <c r="T161" s="34"/>
    </row>
    <row r="162" spans="1:26" ht="15.75" customHeight="1">
      <c r="A162" s="25">
        <v>2</v>
      </c>
      <c r="B162" s="25">
        <v>5</v>
      </c>
      <c r="C162" s="25">
        <v>5</v>
      </c>
      <c r="D162" s="25" t="s">
        <v>183</v>
      </c>
      <c r="E162" s="26" t="s">
        <v>184</v>
      </c>
      <c r="F162" s="25" t="s">
        <v>31</v>
      </c>
      <c r="G162" s="30">
        <v>50808</v>
      </c>
      <c r="H162" s="31">
        <v>363</v>
      </c>
      <c r="I162" s="32">
        <v>46</v>
      </c>
      <c r="J162" s="32">
        <v>55</v>
      </c>
      <c r="K162" s="32">
        <v>54</v>
      </c>
      <c r="L162" s="32">
        <v>72</v>
      </c>
      <c r="M162" s="32">
        <v>70</v>
      </c>
      <c r="N162" s="32">
        <v>80</v>
      </c>
      <c r="O162" s="32">
        <v>82</v>
      </c>
      <c r="P162" s="32">
        <v>82</v>
      </c>
      <c r="Q162" s="32">
        <v>93</v>
      </c>
      <c r="R162" s="32">
        <v>107</v>
      </c>
      <c r="S162" s="33">
        <v>74.099999999999994</v>
      </c>
      <c r="T162" s="34"/>
    </row>
    <row r="163" spans="1:26" ht="15.75" customHeight="1">
      <c r="A163" s="25">
        <v>2</v>
      </c>
      <c r="B163" s="25">
        <v>5</v>
      </c>
      <c r="C163" s="25">
        <v>5</v>
      </c>
      <c r="D163" s="25" t="s">
        <v>183</v>
      </c>
      <c r="E163" s="26" t="s">
        <v>184</v>
      </c>
      <c r="F163" s="25" t="s">
        <v>25</v>
      </c>
      <c r="G163" s="30">
        <v>50774</v>
      </c>
      <c r="H163" s="31">
        <v>2</v>
      </c>
      <c r="I163" s="32">
        <v>129</v>
      </c>
      <c r="J163" s="32">
        <v>100</v>
      </c>
      <c r="K163" s="36"/>
      <c r="L163" s="36"/>
      <c r="M163" s="36"/>
      <c r="N163" s="36"/>
      <c r="O163" s="36"/>
      <c r="P163" s="36"/>
      <c r="Q163" s="36"/>
      <c r="R163" s="36"/>
      <c r="S163" s="33">
        <v>114.5</v>
      </c>
      <c r="T163" s="34"/>
    </row>
    <row r="164" spans="1:26" ht="15.75" customHeight="1">
      <c r="A164" s="25">
        <v>2</v>
      </c>
      <c r="B164" s="25">
        <v>5</v>
      </c>
      <c r="C164" s="25">
        <v>6</v>
      </c>
      <c r="D164" s="25" t="s">
        <v>49</v>
      </c>
      <c r="E164" s="26" t="s">
        <v>50</v>
      </c>
      <c r="F164" s="25" t="s">
        <v>68</v>
      </c>
      <c r="G164" s="30">
        <v>50838</v>
      </c>
      <c r="H164" s="31">
        <v>1374</v>
      </c>
      <c r="I164" s="32">
        <v>13</v>
      </c>
      <c r="J164" s="32">
        <v>14</v>
      </c>
      <c r="K164" s="32">
        <v>14</v>
      </c>
      <c r="L164" s="32">
        <v>11</v>
      </c>
      <c r="M164" s="32">
        <v>12</v>
      </c>
      <c r="N164" s="32">
        <v>13</v>
      </c>
      <c r="O164" s="32">
        <v>9</v>
      </c>
      <c r="P164" s="32">
        <v>11.5</v>
      </c>
      <c r="Q164" s="32">
        <v>7.5</v>
      </c>
      <c r="R164" s="32">
        <v>11.5</v>
      </c>
      <c r="S164" s="33">
        <v>11.7</v>
      </c>
      <c r="T164" s="34"/>
    </row>
    <row r="165" spans="1:26" ht="15.75" customHeight="1">
      <c r="A165" s="25">
        <v>2</v>
      </c>
      <c r="B165" s="25">
        <v>5</v>
      </c>
      <c r="C165" s="25">
        <v>7</v>
      </c>
      <c r="D165" s="25" t="s">
        <v>185</v>
      </c>
      <c r="E165" s="26" t="s">
        <v>186</v>
      </c>
      <c r="F165" s="25" t="s">
        <v>31</v>
      </c>
      <c r="G165" s="30">
        <v>50844</v>
      </c>
      <c r="H165" s="31">
        <v>515</v>
      </c>
      <c r="I165" s="32">
        <v>30</v>
      </c>
      <c r="J165" s="32">
        <v>30</v>
      </c>
      <c r="K165" s="32">
        <v>31</v>
      </c>
      <c r="L165" s="32">
        <v>29</v>
      </c>
      <c r="M165" s="32">
        <v>25.5</v>
      </c>
      <c r="N165" s="32">
        <v>32</v>
      </c>
      <c r="O165" s="32">
        <v>21</v>
      </c>
      <c r="P165" s="32">
        <v>22</v>
      </c>
      <c r="Q165" s="32">
        <v>21</v>
      </c>
      <c r="R165" s="32">
        <v>20</v>
      </c>
      <c r="S165" s="33">
        <v>26.2</v>
      </c>
      <c r="T165" s="34"/>
    </row>
    <row r="166" spans="1:26" ht="15.75" customHeight="1">
      <c r="A166" s="25">
        <v>2</v>
      </c>
      <c r="B166" s="25">
        <v>5</v>
      </c>
      <c r="C166" s="25">
        <v>8</v>
      </c>
      <c r="D166" s="25" t="s">
        <v>187</v>
      </c>
      <c r="E166" s="26" t="s">
        <v>188</v>
      </c>
      <c r="F166" s="25" t="s">
        <v>68</v>
      </c>
      <c r="G166" s="30">
        <v>50881</v>
      </c>
      <c r="H166" s="31">
        <v>738</v>
      </c>
      <c r="I166" s="32">
        <v>38</v>
      </c>
      <c r="J166" s="32">
        <v>38</v>
      </c>
      <c r="K166" s="32">
        <v>30</v>
      </c>
      <c r="L166" s="32">
        <v>14</v>
      </c>
      <c r="M166" s="32">
        <v>9</v>
      </c>
      <c r="N166" s="32">
        <v>12</v>
      </c>
      <c r="O166" s="32">
        <v>6</v>
      </c>
      <c r="P166" s="32">
        <v>6</v>
      </c>
      <c r="Q166" s="32">
        <v>4</v>
      </c>
      <c r="R166" s="32">
        <v>4</v>
      </c>
      <c r="S166" s="33">
        <v>16.100000000000001</v>
      </c>
      <c r="T166" s="34"/>
    </row>
    <row r="167" spans="1:26" ht="15.75" customHeight="1">
      <c r="A167" s="25">
        <v>2</v>
      </c>
      <c r="B167" s="25">
        <v>5</v>
      </c>
      <c r="C167" s="25">
        <v>8</v>
      </c>
      <c r="D167" s="25" t="s">
        <v>102</v>
      </c>
      <c r="E167" s="26" t="s">
        <v>103</v>
      </c>
      <c r="F167" s="25" t="s">
        <v>68</v>
      </c>
      <c r="G167" s="30">
        <v>50882</v>
      </c>
      <c r="H167" s="31">
        <v>549</v>
      </c>
      <c r="I167" s="32">
        <v>17</v>
      </c>
      <c r="J167" s="32">
        <v>19</v>
      </c>
      <c r="K167" s="32">
        <v>9</v>
      </c>
      <c r="L167" s="32">
        <v>18</v>
      </c>
      <c r="M167" s="32">
        <v>38.5</v>
      </c>
      <c r="N167" s="32">
        <v>15</v>
      </c>
      <c r="O167" s="32">
        <v>22</v>
      </c>
      <c r="P167" s="32">
        <v>24</v>
      </c>
      <c r="Q167" s="32">
        <v>29</v>
      </c>
      <c r="R167" s="36"/>
      <c r="S167" s="33">
        <v>21.3</v>
      </c>
      <c r="T167" s="34"/>
    </row>
    <row r="168" spans="1:26" ht="15.75" customHeight="1">
      <c r="A168" s="25">
        <v>2</v>
      </c>
      <c r="B168" s="25">
        <v>5</v>
      </c>
      <c r="C168" s="25">
        <v>9</v>
      </c>
      <c r="D168" s="25" t="s">
        <v>189</v>
      </c>
      <c r="E168" s="26" t="s">
        <v>190</v>
      </c>
      <c r="F168" s="25" t="s">
        <v>31</v>
      </c>
      <c r="G168" s="30">
        <v>50798</v>
      </c>
      <c r="H168" s="31">
        <v>182</v>
      </c>
      <c r="I168" s="32">
        <v>55</v>
      </c>
      <c r="J168" s="32">
        <v>74</v>
      </c>
      <c r="K168" s="32">
        <v>78</v>
      </c>
      <c r="L168" s="32">
        <v>81</v>
      </c>
      <c r="M168" s="32">
        <v>37</v>
      </c>
      <c r="N168" s="32">
        <v>56</v>
      </c>
      <c r="O168" s="36"/>
      <c r="P168" s="36"/>
      <c r="Q168" s="36"/>
      <c r="R168" s="36"/>
      <c r="S168" s="33">
        <v>63.5</v>
      </c>
      <c r="T168" s="34"/>
    </row>
    <row r="169" spans="1:26" ht="15.75" customHeight="1">
      <c r="A169" s="25">
        <v>2</v>
      </c>
      <c r="B169" s="25">
        <v>5</v>
      </c>
      <c r="C169" s="25">
        <v>9</v>
      </c>
      <c r="D169" s="25" t="s">
        <v>189</v>
      </c>
      <c r="E169" s="26" t="s">
        <v>190</v>
      </c>
      <c r="F169" s="25" t="s">
        <v>31</v>
      </c>
      <c r="G169" s="30">
        <v>50856</v>
      </c>
      <c r="H169" s="31">
        <v>162</v>
      </c>
      <c r="I169" s="32">
        <v>52</v>
      </c>
      <c r="J169" s="32">
        <v>58</v>
      </c>
      <c r="K169" s="32">
        <v>42</v>
      </c>
      <c r="L169" s="32">
        <v>30</v>
      </c>
      <c r="M169" s="32">
        <v>19</v>
      </c>
      <c r="N169" s="32">
        <v>15</v>
      </c>
      <c r="O169" s="36"/>
      <c r="P169" s="36"/>
      <c r="Q169" s="36"/>
      <c r="R169" s="36"/>
      <c r="S169" s="33">
        <v>36</v>
      </c>
      <c r="T169" s="34"/>
    </row>
    <row r="170" spans="1:26" ht="15.75" customHeight="1">
      <c r="A170" s="25">
        <v>2</v>
      </c>
      <c r="B170" s="25">
        <v>5</v>
      </c>
      <c r="C170" s="25">
        <v>9</v>
      </c>
      <c r="D170" s="25" t="s">
        <v>189</v>
      </c>
      <c r="E170" s="26" t="s">
        <v>190</v>
      </c>
      <c r="F170" s="25" t="s">
        <v>68</v>
      </c>
      <c r="G170" s="30">
        <v>50698</v>
      </c>
      <c r="H170" s="31">
        <v>87</v>
      </c>
      <c r="I170" s="32">
        <v>54</v>
      </c>
      <c r="J170" s="32">
        <v>35</v>
      </c>
      <c r="K170" s="32">
        <v>93</v>
      </c>
      <c r="L170" s="32">
        <v>103</v>
      </c>
      <c r="M170" s="32">
        <v>70</v>
      </c>
      <c r="N170" s="36"/>
      <c r="O170" s="36"/>
      <c r="P170" s="36"/>
      <c r="Q170" s="36"/>
      <c r="R170" s="36"/>
      <c r="S170" s="33">
        <v>71</v>
      </c>
      <c r="T170" s="34"/>
    </row>
    <row r="171" spans="1:26" ht="15.75" customHeight="1">
      <c r="A171" s="38">
        <v>2</v>
      </c>
      <c r="B171" s="38">
        <v>5</v>
      </c>
      <c r="C171" s="38">
        <v>10</v>
      </c>
      <c r="D171" s="38" t="s">
        <v>112</v>
      </c>
      <c r="E171" s="40" t="s">
        <v>113</v>
      </c>
      <c r="F171" s="38" t="s">
        <v>31</v>
      </c>
      <c r="G171" s="43">
        <v>50538</v>
      </c>
      <c r="H171" s="150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50" t="s">
        <v>43</v>
      </c>
    </row>
    <row r="172" spans="1:26" ht="15.75" customHeight="1">
      <c r="A172" s="25">
        <v>2</v>
      </c>
      <c r="B172" s="25">
        <v>5</v>
      </c>
      <c r="C172" s="25">
        <v>10</v>
      </c>
      <c r="D172" s="25" t="s">
        <v>191</v>
      </c>
      <c r="E172" s="26" t="s">
        <v>192</v>
      </c>
      <c r="F172" s="25" t="s">
        <v>68</v>
      </c>
      <c r="G172" s="30">
        <v>50837</v>
      </c>
      <c r="H172" s="31">
        <v>330</v>
      </c>
      <c r="I172" s="32">
        <v>165</v>
      </c>
      <c r="J172" s="32">
        <v>103</v>
      </c>
      <c r="K172" s="32">
        <v>112</v>
      </c>
      <c r="L172" s="32">
        <v>126.5</v>
      </c>
      <c r="M172" s="32">
        <v>163</v>
      </c>
      <c r="N172" s="32">
        <v>107</v>
      </c>
      <c r="O172" s="32">
        <v>126</v>
      </c>
      <c r="P172" s="32">
        <v>173</v>
      </c>
      <c r="Q172" s="32">
        <v>189</v>
      </c>
      <c r="R172" s="32">
        <v>61</v>
      </c>
      <c r="S172" s="33">
        <v>132.6</v>
      </c>
      <c r="T172" s="34"/>
    </row>
    <row r="173" spans="1:26" ht="15.75" customHeight="1">
      <c r="A173" s="153">
        <v>2</v>
      </c>
      <c r="B173" s="153">
        <v>5</v>
      </c>
      <c r="C173" s="153">
        <v>12</v>
      </c>
      <c r="D173" s="153" t="s">
        <v>49</v>
      </c>
      <c r="E173" s="155" t="s">
        <v>50</v>
      </c>
      <c r="F173" s="153" t="s">
        <v>31</v>
      </c>
      <c r="G173" s="156">
        <v>50566</v>
      </c>
      <c r="H173" s="157">
        <v>90</v>
      </c>
      <c r="I173" s="159">
        <v>21</v>
      </c>
      <c r="J173" s="160"/>
      <c r="K173" s="160"/>
      <c r="L173" s="160"/>
      <c r="M173" s="160"/>
      <c r="N173" s="160"/>
      <c r="O173" s="160"/>
      <c r="P173" s="160"/>
      <c r="Q173" s="160"/>
      <c r="R173" s="160"/>
      <c r="S173" s="153">
        <v>21</v>
      </c>
      <c r="T173" s="136" t="s">
        <v>193</v>
      </c>
      <c r="U173" s="90"/>
      <c r="V173" s="90"/>
      <c r="W173" s="90"/>
      <c r="X173" s="90"/>
      <c r="Y173" s="90"/>
      <c r="Z173" s="90"/>
    </row>
    <row r="174" spans="1:26" ht="15.75" customHeight="1">
      <c r="A174" s="25">
        <v>2</v>
      </c>
      <c r="B174" s="25">
        <v>5</v>
      </c>
      <c r="C174" s="25">
        <v>12</v>
      </c>
      <c r="D174" s="25" t="s">
        <v>49</v>
      </c>
      <c r="E174" s="26" t="s">
        <v>50</v>
      </c>
      <c r="F174" s="25" t="s">
        <v>34</v>
      </c>
      <c r="G174" s="30">
        <v>50476</v>
      </c>
      <c r="H174" s="31">
        <v>192</v>
      </c>
      <c r="I174" s="32">
        <v>27</v>
      </c>
      <c r="J174" s="32">
        <v>13.5</v>
      </c>
      <c r="K174" s="32">
        <v>15.5</v>
      </c>
      <c r="L174" s="32">
        <v>15</v>
      </c>
      <c r="M174" s="32">
        <v>13</v>
      </c>
      <c r="N174" s="32">
        <v>20</v>
      </c>
      <c r="O174" s="32">
        <v>18</v>
      </c>
      <c r="P174" s="32">
        <v>19</v>
      </c>
      <c r="Q174" s="36"/>
      <c r="R174" s="36"/>
      <c r="S174" s="33">
        <v>17.600000000000001</v>
      </c>
      <c r="T174" s="34"/>
    </row>
    <row r="175" spans="1:26" ht="15.75" customHeight="1">
      <c r="A175" s="25">
        <v>2</v>
      </c>
      <c r="B175" s="25">
        <v>5</v>
      </c>
      <c r="C175" s="25">
        <v>12</v>
      </c>
      <c r="D175" s="25" t="s">
        <v>49</v>
      </c>
      <c r="E175" s="26" t="s">
        <v>194</v>
      </c>
      <c r="F175" s="25" t="s">
        <v>34</v>
      </c>
      <c r="G175" s="30">
        <v>50634</v>
      </c>
      <c r="H175" s="31">
        <v>74</v>
      </c>
      <c r="I175" s="32">
        <v>7.5</v>
      </c>
      <c r="J175" s="32">
        <v>13.5</v>
      </c>
      <c r="K175" s="36"/>
      <c r="L175" s="36"/>
      <c r="M175" s="36"/>
      <c r="N175" s="36"/>
      <c r="O175" s="36"/>
      <c r="P175" s="36"/>
      <c r="Q175" s="36"/>
      <c r="R175" s="36"/>
      <c r="S175" s="33">
        <v>10.5</v>
      </c>
      <c r="T175" s="34"/>
    </row>
    <row r="176" spans="1:26" ht="15.75" customHeight="1">
      <c r="A176" s="25">
        <v>2</v>
      </c>
      <c r="B176" s="25">
        <v>5</v>
      </c>
      <c r="C176" s="25">
        <v>12</v>
      </c>
      <c r="D176" s="25" t="s">
        <v>49</v>
      </c>
      <c r="E176" s="26" t="s">
        <v>50</v>
      </c>
      <c r="F176" s="25" t="s">
        <v>68</v>
      </c>
      <c r="G176" s="30">
        <v>50633</v>
      </c>
      <c r="H176" s="31">
        <v>158</v>
      </c>
      <c r="I176" s="32">
        <v>13</v>
      </c>
      <c r="J176" s="32">
        <v>20</v>
      </c>
      <c r="K176" s="32">
        <v>9</v>
      </c>
      <c r="L176" s="32">
        <v>7.5</v>
      </c>
      <c r="M176" s="32">
        <v>12</v>
      </c>
      <c r="N176" s="32">
        <v>24</v>
      </c>
      <c r="O176" s="36"/>
      <c r="P176" s="36"/>
      <c r="Q176" s="36"/>
      <c r="R176" s="36"/>
      <c r="S176" s="33">
        <v>14.3</v>
      </c>
      <c r="T176" s="34"/>
    </row>
    <row r="177" spans="1:20" ht="15.75" customHeight="1">
      <c r="A177" s="25">
        <v>2</v>
      </c>
      <c r="B177" s="25">
        <v>5</v>
      </c>
      <c r="C177" s="25">
        <v>13</v>
      </c>
      <c r="D177" s="25" t="s">
        <v>37</v>
      </c>
      <c r="E177" s="26" t="s">
        <v>38</v>
      </c>
      <c r="F177" s="25" t="s">
        <v>25</v>
      </c>
      <c r="G177" s="30">
        <v>50342</v>
      </c>
      <c r="H177" s="31">
        <v>3</v>
      </c>
      <c r="I177" s="32">
        <v>87</v>
      </c>
      <c r="J177" s="36"/>
      <c r="K177" s="36"/>
      <c r="L177" s="36"/>
      <c r="M177" s="36"/>
      <c r="N177" s="36"/>
      <c r="O177" s="36"/>
      <c r="P177" s="36"/>
      <c r="Q177" s="36"/>
      <c r="R177" s="36"/>
      <c r="S177" s="33">
        <v>87</v>
      </c>
      <c r="T177" s="34"/>
    </row>
    <row r="178" spans="1:20" ht="15.75" customHeight="1">
      <c r="A178" s="25">
        <v>2</v>
      </c>
      <c r="B178" s="25">
        <v>5</v>
      </c>
      <c r="C178" s="25">
        <v>13</v>
      </c>
      <c r="D178" s="25" t="s">
        <v>37</v>
      </c>
      <c r="E178" s="26" t="s">
        <v>38</v>
      </c>
      <c r="F178" s="25" t="s">
        <v>31</v>
      </c>
      <c r="G178" s="30">
        <v>50785</v>
      </c>
      <c r="H178" s="31">
        <v>131</v>
      </c>
      <c r="I178" s="32">
        <v>84</v>
      </c>
      <c r="J178" s="32">
        <v>133</v>
      </c>
      <c r="K178" s="32">
        <v>127</v>
      </c>
      <c r="L178" s="32">
        <v>109</v>
      </c>
      <c r="M178" s="32">
        <v>114</v>
      </c>
      <c r="N178" s="36"/>
      <c r="O178" s="36"/>
      <c r="P178" s="36"/>
      <c r="Q178" s="36"/>
      <c r="R178" s="36"/>
      <c r="S178" s="33">
        <v>113.4</v>
      </c>
      <c r="T178" s="34"/>
    </row>
    <row r="179" spans="1:20" ht="15.75" customHeight="1">
      <c r="A179" s="25">
        <v>2</v>
      </c>
      <c r="B179" s="25">
        <v>5</v>
      </c>
      <c r="C179" s="25">
        <v>13</v>
      </c>
      <c r="D179" s="25" t="s">
        <v>37</v>
      </c>
      <c r="E179" s="26" t="s">
        <v>38</v>
      </c>
      <c r="F179" s="25" t="s">
        <v>25</v>
      </c>
      <c r="G179" s="30">
        <v>50694</v>
      </c>
      <c r="H179" s="31">
        <v>161</v>
      </c>
      <c r="I179" s="32">
        <v>87</v>
      </c>
      <c r="J179" s="32">
        <v>110</v>
      </c>
      <c r="K179" s="32">
        <v>83</v>
      </c>
      <c r="L179" s="36"/>
      <c r="M179" s="36"/>
      <c r="N179" s="36"/>
      <c r="O179" s="36"/>
      <c r="P179" s="36"/>
      <c r="Q179" s="36"/>
      <c r="R179" s="36"/>
      <c r="S179" s="33">
        <v>93.3</v>
      </c>
      <c r="T179" s="34"/>
    </row>
    <row r="180" spans="1:20" ht="15.75" customHeight="1">
      <c r="A180" s="25">
        <v>2</v>
      </c>
      <c r="B180" s="25">
        <v>5</v>
      </c>
      <c r="C180" s="25">
        <v>13</v>
      </c>
      <c r="D180" s="25" t="s">
        <v>37</v>
      </c>
      <c r="E180" s="26" t="s">
        <v>38</v>
      </c>
      <c r="F180" s="25" t="s">
        <v>68</v>
      </c>
      <c r="G180" s="30">
        <v>50600</v>
      </c>
      <c r="H180" s="31">
        <v>36</v>
      </c>
      <c r="I180" s="32">
        <v>72</v>
      </c>
      <c r="J180" s="36"/>
      <c r="K180" s="36"/>
      <c r="L180" s="36"/>
      <c r="M180" s="36"/>
      <c r="N180" s="36"/>
      <c r="O180" s="36"/>
      <c r="P180" s="36"/>
      <c r="Q180" s="36"/>
      <c r="R180" s="36"/>
      <c r="S180" s="33">
        <v>72</v>
      </c>
      <c r="T180" s="34"/>
    </row>
    <row r="181" spans="1:20" ht="15.75" customHeight="1">
      <c r="A181" s="25">
        <v>2</v>
      </c>
      <c r="B181" s="25">
        <v>5</v>
      </c>
      <c r="C181" s="25">
        <v>13</v>
      </c>
      <c r="D181" s="25" t="s">
        <v>37</v>
      </c>
      <c r="E181" s="26" t="s">
        <v>38</v>
      </c>
      <c r="F181" s="25" t="s">
        <v>34</v>
      </c>
      <c r="G181" s="30">
        <v>50663</v>
      </c>
      <c r="H181" s="31">
        <v>14</v>
      </c>
      <c r="I181" s="32">
        <v>98</v>
      </c>
      <c r="J181" s="36"/>
      <c r="K181" s="36"/>
      <c r="L181" s="36"/>
      <c r="M181" s="36"/>
      <c r="N181" s="36"/>
      <c r="O181" s="36"/>
      <c r="P181" s="36"/>
      <c r="Q181" s="36"/>
      <c r="R181" s="36"/>
      <c r="S181" s="33">
        <v>98</v>
      </c>
      <c r="T181" s="34"/>
    </row>
    <row r="182" spans="1:20" ht="15.75" customHeight="1">
      <c r="A182" s="25">
        <v>2</v>
      </c>
      <c r="B182" s="25">
        <v>5</v>
      </c>
      <c r="C182" s="25">
        <v>13</v>
      </c>
      <c r="D182" s="25" t="s">
        <v>37</v>
      </c>
      <c r="E182" s="26" t="s">
        <v>38</v>
      </c>
      <c r="F182" s="25" t="s">
        <v>68</v>
      </c>
      <c r="G182" s="30">
        <v>50696</v>
      </c>
      <c r="H182" s="31">
        <v>45</v>
      </c>
      <c r="I182" s="32">
        <v>100</v>
      </c>
      <c r="J182" s="36"/>
      <c r="K182" s="36"/>
      <c r="L182" s="36"/>
      <c r="M182" s="36"/>
      <c r="N182" s="36"/>
      <c r="O182" s="36"/>
      <c r="P182" s="36"/>
      <c r="Q182" s="36"/>
      <c r="R182" s="36"/>
      <c r="S182" s="33">
        <v>100</v>
      </c>
      <c r="T182" s="34"/>
    </row>
    <row r="183" spans="1:20" ht="15.75" customHeight="1">
      <c r="A183" s="25">
        <v>2</v>
      </c>
      <c r="B183" s="25">
        <v>6</v>
      </c>
      <c r="C183" s="25">
        <v>1</v>
      </c>
      <c r="D183" s="25" t="s">
        <v>195</v>
      </c>
      <c r="E183" s="26" t="s">
        <v>196</v>
      </c>
      <c r="F183" s="25" t="s">
        <v>34</v>
      </c>
      <c r="G183" s="30">
        <v>50703</v>
      </c>
      <c r="H183" s="31">
        <v>190</v>
      </c>
      <c r="I183" s="32">
        <v>98</v>
      </c>
      <c r="J183" s="32">
        <v>150</v>
      </c>
      <c r="K183" s="32">
        <v>94</v>
      </c>
      <c r="L183" s="32">
        <v>146</v>
      </c>
      <c r="M183" s="32">
        <v>145</v>
      </c>
      <c r="N183" s="32">
        <v>116</v>
      </c>
      <c r="O183" s="32">
        <v>100</v>
      </c>
      <c r="P183" s="36"/>
      <c r="Q183" s="36"/>
      <c r="R183" s="36"/>
      <c r="S183" s="33">
        <v>121.3</v>
      </c>
      <c r="T183" s="34"/>
    </row>
    <row r="184" spans="1:20" ht="15.75" customHeight="1">
      <c r="A184" s="25">
        <v>2</v>
      </c>
      <c r="B184" s="25">
        <v>6</v>
      </c>
      <c r="C184" s="25">
        <v>2</v>
      </c>
      <c r="D184" s="25" t="s">
        <v>197</v>
      </c>
      <c r="E184" s="26" t="s">
        <v>198</v>
      </c>
      <c r="F184" s="25" t="s">
        <v>25</v>
      </c>
      <c r="G184" s="30">
        <v>50771</v>
      </c>
      <c r="H184" s="31">
        <v>9</v>
      </c>
      <c r="I184" s="32">
        <v>53</v>
      </c>
      <c r="J184" s="36"/>
      <c r="K184" s="36"/>
      <c r="L184" s="36"/>
      <c r="M184" s="36"/>
      <c r="N184" s="36"/>
      <c r="O184" s="36"/>
      <c r="P184" s="36"/>
      <c r="Q184" s="36"/>
      <c r="R184" s="36"/>
      <c r="S184" s="33">
        <v>53</v>
      </c>
      <c r="T184" s="34"/>
    </row>
    <row r="185" spans="1:20" ht="15.75" customHeight="1">
      <c r="A185" s="25">
        <v>2</v>
      </c>
      <c r="B185" s="25">
        <v>6</v>
      </c>
      <c r="C185" s="25">
        <v>2</v>
      </c>
      <c r="D185" s="25" t="s">
        <v>37</v>
      </c>
      <c r="E185" s="26" t="s">
        <v>38</v>
      </c>
      <c r="F185" s="25" t="s">
        <v>34</v>
      </c>
      <c r="G185" s="30">
        <v>50622</v>
      </c>
      <c r="H185" s="31">
        <v>47</v>
      </c>
      <c r="I185" s="32">
        <v>55</v>
      </c>
      <c r="J185" s="36"/>
      <c r="K185" s="36"/>
      <c r="L185" s="36"/>
      <c r="M185" s="36"/>
      <c r="N185" s="36"/>
      <c r="O185" s="36"/>
      <c r="P185" s="36"/>
      <c r="Q185" s="36"/>
      <c r="R185" s="36"/>
      <c r="S185" s="33">
        <v>55</v>
      </c>
      <c r="T185" s="34"/>
    </row>
    <row r="186" spans="1:20" ht="15.75" customHeight="1">
      <c r="A186" s="53">
        <v>2</v>
      </c>
      <c r="B186" s="53">
        <v>6</v>
      </c>
      <c r="C186" s="53">
        <v>2</v>
      </c>
      <c r="D186" s="53" t="s">
        <v>37</v>
      </c>
      <c r="E186" s="54" t="s">
        <v>38</v>
      </c>
      <c r="F186" s="53" t="s">
        <v>25</v>
      </c>
      <c r="G186" s="55">
        <v>50694</v>
      </c>
      <c r="H186" s="57">
        <v>81</v>
      </c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61" t="s">
        <v>55</v>
      </c>
    </row>
    <row r="187" spans="1:20" ht="15.75" customHeight="1">
      <c r="A187" s="53">
        <v>2</v>
      </c>
      <c r="B187" s="53">
        <v>6</v>
      </c>
      <c r="C187" s="53">
        <v>2</v>
      </c>
      <c r="D187" s="53" t="s">
        <v>199</v>
      </c>
      <c r="E187" s="54" t="s">
        <v>200</v>
      </c>
      <c r="F187" s="53" t="s">
        <v>34</v>
      </c>
      <c r="G187" s="55">
        <v>50603</v>
      </c>
      <c r="H187" s="57">
        <v>65</v>
      </c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61" t="s">
        <v>55</v>
      </c>
    </row>
    <row r="188" spans="1:20" ht="15.75" customHeight="1">
      <c r="A188" s="53">
        <v>2</v>
      </c>
      <c r="B188" s="53">
        <v>6</v>
      </c>
      <c r="C188" s="53">
        <v>2</v>
      </c>
      <c r="D188" s="53" t="s">
        <v>199</v>
      </c>
      <c r="E188" s="54" t="s">
        <v>200</v>
      </c>
      <c r="F188" s="53" t="s">
        <v>34</v>
      </c>
      <c r="G188" s="55">
        <v>50656</v>
      </c>
      <c r="H188" s="57">
        <v>23</v>
      </c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61" t="s">
        <v>55</v>
      </c>
    </row>
    <row r="189" spans="1:20" ht="15.75" customHeight="1">
      <c r="A189" s="25">
        <v>2</v>
      </c>
      <c r="B189" s="25">
        <v>6</v>
      </c>
      <c r="C189" s="25">
        <v>3</v>
      </c>
      <c r="D189" s="25" t="s">
        <v>201</v>
      </c>
      <c r="E189" s="26" t="s">
        <v>202</v>
      </c>
      <c r="F189" s="25" t="s">
        <v>34</v>
      </c>
      <c r="G189" s="30">
        <v>50601</v>
      </c>
      <c r="H189" s="31">
        <v>146</v>
      </c>
      <c r="I189" s="32">
        <v>69</v>
      </c>
      <c r="J189" s="32">
        <v>90</v>
      </c>
      <c r="K189" s="32">
        <v>77</v>
      </c>
      <c r="L189" s="32">
        <v>70</v>
      </c>
      <c r="M189" s="32">
        <v>64</v>
      </c>
      <c r="N189" s="32">
        <v>42</v>
      </c>
      <c r="O189" s="36"/>
      <c r="P189" s="36"/>
      <c r="Q189" s="36"/>
      <c r="R189" s="36"/>
      <c r="S189" s="33">
        <v>68.7</v>
      </c>
      <c r="T189" s="34"/>
    </row>
    <row r="190" spans="1:20" ht="15.75" customHeight="1">
      <c r="A190" s="25">
        <v>2</v>
      </c>
      <c r="B190" s="25">
        <v>6</v>
      </c>
      <c r="C190" s="25">
        <v>3</v>
      </c>
      <c r="D190" s="25" t="s">
        <v>201</v>
      </c>
      <c r="E190" s="26" t="s">
        <v>202</v>
      </c>
      <c r="F190" s="25" t="s">
        <v>25</v>
      </c>
      <c r="G190" s="30">
        <v>50525</v>
      </c>
      <c r="H190" s="31">
        <v>42</v>
      </c>
      <c r="I190" s="32">
        <v>75</v>
      </c>
      <c r="J190" s="32">
        <v>75</v>
      </c>
      <c r="K190" s="36"/>
      <c r="L190" s="36"/>
      <c r="M190" s="36"/>
      <c r="N190" s="36"/>
      <c r="O190" s="36"/>
      <c r="P190" s="36"/>
      <c r="Q190" s="36"/>
      <c r="R190" s="36"/>
      <c r="S190" s="33">
        <v>75</v>
      </c>
      <c r="T190" s="34"/>
    </row>
    <row r="191" spans="1:20" ht="15.75" customHeight="1">
      <c r="A191" s="25">
        <v>2</v>
      </c>
      <c r="B191" s="25">
        <v>6</v>
      </c>
      <c r="C191" s="25">
        <v>3</v>
      </c>
      <c r="D191" s="25" t="s">
        <v>199</v>
      </c>
      <c r="E191" s="26" t="s">
        <v>200</v>
      </c>
      <c r="F191" s="25" t="s">
        <v>34</v>
      </c>
      <c r="G191" s="30">
        <v>50603</v>
      </c>
      <c r="H191" s="31">
        <v>32</v>
      </c>
      <c r="I191" s="32">
        <v>60</v>
      </c>
      <c r="J191" s="32">
        <v>46</v>
      </c>
      <c r="K191" s="36"/>
      <c r="L191" s="36"/>
      <c r="M191" s="36"/>
      <c r="N191" s="36"/>
      <c r="O191" s="36"/>
      <c r="P191" s="36"/>
      <c r="Q191" s="36"/>
      <c r="R191" s="36"/>
      <c r="S191" s="33">
        <v>53</v>
      </c>
      <c r="T191" s="34"/>
    </row>
    <row r="192" spans="1:20" ht="15.75" customHeight="1">
      <c r="A192" s="25">
        <v>2</v>
      </c>
      <c r="B192" s="25">
        <v>6</v>
      </c>
      <c r="C192" s="25">
        <v>4</v>
      </c>
      <c r="D192" s="25" t="s">
        <v>203</v>
      </c>
      <c r="E192" s="26" t="s">
        <v>204</v>
      </c>
      <c r="F192" s="25" t="s">
        <v>68</v>
      </c>
      <c r="G192" s="30">
        <v>50835</v>
      </c>
      <c r="H192" s="31">
        <v>580</v>
      </c>
      <c r="I192" s="32">
        <v>120</v>
      </c>
      <c r="J192" s="32">
        <v>162</v>
      </c>
      <c r="K192" s="32">
        <v>144</v>
      </c>
      <c r="L192" s="32">
        <v>77</v>
      </c>
      <c r="M192" s="32">
        <v>80</v>
      </c>
      <c r="N192" s="32">
        <v>126</v>
      </c>
      <c r="O192" s="32">
        <v>127</v>
      </c>
      <c r="P192" s="32">
        <v>62</v>
      </c>
      <c r="Q192" s="32">
        <v>145</v>
      </c>
      <c r="R192" s="32">
        <v>92</v>
      </c>
      <c r="S192" s="33">
        <v>113.5</v>
      </c>
      <c r="T192" s="34"/>
    </row>
    <row r="193" spans="1:20" ht="15.75" customHeight="1">
      <c r="A193" s="25">
        <v>2</v>
      </c>
      <c r="B193" s="25">
        <v>6</v>
      </c>
      <c r="C193" s="25">
        <v>5</v>
      </c>
      <c r="D193" s="25" t="s">
        <v>203</v>
      </c>
      <c r="E193" s="26" t="s">
        <v>204</v>
      </c>
      <c r="F193" s="25" t="s">
        <v>68</v>
      </c>
      <c r="G193" s="30">
        <v>50835</v>
      </c>
      <c r="H193" s="31">
        <v>308</v>
      </c>
      <c r="I193" s="32">
        <v>127</v>
      </c>
      <c r="J193" s="32">
        <v>119</v>
      </c>
      <c r="K193" s="32">
        <v>134</v>
      </c>
      <c r="L193" s="32">
        <v>103</v>
      </c>
      <c r="M193" s="32">
        <v>117</v>
      </c>
      <c r="N193" s="32">
        <v>137</v>
      </c>
      <c r="O193" s="32">
        <v>107</v>
      </c>
      <c r="P193" s="32">
        <v>135</v>
      </c>
      <c r="Q193" s="36"/>
      <c r="R193" s="36"/>
      <c r="S193" s="33">
        <v>122.4</v>
      </c>
      <c r="T193" s="34"/>
    </row>
    <row r="194" spans="1:20" ht="15.75" customHeight="1">
      <c r="A194" s="25">
        <v>2</v>
      </c>
      <c r="B194" s="25">
        <v>6</v>
      </c>
      <c r="C194" s="25">
        <v>5</v>
      </c>
      <c r="D194" s="25" t="s">
        <v>167</v>
      </c>
      <c r="E194" s="26" t="s">
        <v>168</v>
      </c>
      <c r="F194" s="25" t="s">
        <v>25</v>
      </c>
      <c r="G194" s="30">
        <v>50744</v>
      </c>
      <c r="H194" s="31">
        <v>1</v>
      </c>
      <c r="I194" s="32">
        <v>45</v>
      </c>
      <c r="J194" s="36"/>
      <c r="K194" s="36"/>
      <c r="L194" s="36"/>
      <c r="M194" s="36"/>
      <c r="N194" s="36"/>
      <c r="O194" s="36"/>
      <c r="P194" s="36"/>
      <c r="Q194" s="36"/>
      <c r="R194" s="36"/>
      <c r="S194" s="33">
        <v>45</v>
      </c>
      <c r="T194" s="34"/>
    </row>
    <row r="195" spans="1:20" ht="15.75" customHeight="1">
      <c r="A195" s="25">
        <v>2</v>
      </c>
      <c r="B195" s="25">
        <v>7</v>
      </c>
      <c r="C195" s="25">
        <v>1</v>
      </c>
      <c r="D195" s="25" t="s">
        <v>177</v>
      </c>
      <c r="E195" s="26" t="s">
        <v>178</v>
      </c>
      <c r="F195" s="25" t="s">
        <v>68</v>
      </c>
      <c r="G195" s="30">
        <v>50852</v>
      </c>
      <c r="H195" s="31">
        <v>256</v>
      </c>
      <c r="I195" s="32">
        <v>50</v>
      </c>
      <c r="J195" s="32">
        <v>44</v>
      </c>
      <c r="K195" s="32">
        <v>43</v>
      </c>
      <c r="L195" s="32">
        <v>36</v>
      </c>
      <c r="M195" s="32">
        <v>36</v>
      </c>
      <c r="N195" s="32">
        <v>36</v>
      </c>
      <c r="O195" s="32">
        <v>23</v>
      </c>
      <c r="P195" s="32">
        <v>26</v>
      </c>
      <c r="Q195" s="36"/>
      <c r="R195" s="36"/>
      <c r="S195" s="33">
        <v>36.799999999999997</v>
      </c>
      <c r="T195" s="34"/>
    </row>
    <row r="196" spans="1:20" ht="15.75" customHeight="1">
      <c r="A196" s="68">
        <v>2</v>
      </c>
      <c r="B196" s="25">
        <v>7</v>
      </c>
      <c r="C196" s="25">
        <v>2</v>
      </c>
      <c r="D196" s="25" t="s">
        <v>205</v>
      </c>
      <c r="E196" s="26" t="s">
        <v>206</v>
      </c>
      <c r="F196" s="25" t="s">
        <v>34</v>
      </c>
      <c r="G196" s="30">
        <v>50853</v>
      </c>
      <c r="H196" s="31">
        <v>642</v>
      </c>
      <c r="I196" s="32">
        <v>52</v>
      </c>
      <c r="J196" s="32">
        <v>50</v>
      </c>
      <c r="K196" s="32">
        <v>42</v>
      </c>
      <c r="L196" s="32">
        <v>38</v>
      </c>
      <c r="M196" s="32">
        <v>33</v>
      </c>
      <c r="N196" s="32">
        <v>35</v>
      </c>
      <c r="O196" s="32">
        <v>25</v>
      </c>
      <c r="P196" s="32">
        <v>25</v>
      </c>
      <c r="Q196" s="32">
        <v>19</v>
      </c>
      <c r="R196" s="32">
        <v>18</v>
      </c>
      <c r="S196" s="33">
        <v>33.700000000000003</v>
      </c>
      <c r="T196" s="34"/>
    </row>
    <row r="197" spans="1:20" ht="15.75" customHeight="1">
      <c r="A197" s="25">
        <v>2</v>
      </c>
      <c r="B197" s="25">
        <v>7</v>
      </c>
      <c r="C197" s="25">
        <v>3</v>
      </c>
      <c r="D197" s="25" t="s">
        <v>208</v>
      </c>
      <c r="E197" s="26" t="s">
        <v>209</v>
      </c>
      <c r="F197" s="25" t="s">
        <v>68</v>
      </c>
      <c r="G197" s="30">
        <v>50635</v>
      </c>
      <c r="H197" s="31">
        <v>311</v>
      </c>
      <c r="I197" s="32">
        <v>61</v>
      </c>
      <c r="J197" s="32">
        <v>40</v>
      </c>
      <c r="K197" s="32">
        <v>53</v>
      </c>
      <c r="L197" s="32">
        <v>20</v>
      </c>
      <c r="M197" s="32">
        <v>18</v>
      </c>
      <c r="N197" s="32">
        <v>79</v>
      </c>
      <c r="O197" s="32">
        <v>71</v>
      </c>
      <c r="P197" s="32">
        <v>74</v>
      </c>
      <c r="Q197" s="32">
        <v>50</v>
      </c>
      <c r="R197" s="32">
        <v>37</v>
      </c>
      <c r="S197" s="33">
        <v>50.3</v>
      </c>
      <c r="T197" s="34"/>
    </row>
    <row r="198" spans="1:20" ht="15.75" customHeight="1">
      <c r="A198" s="25">
        <v>2</v>
      </c>
      <c r="B198" s="25">
        <v>7</v>
      </c>
      <c r="C198" s="25">
        <v>3</v>
      </c>
      <c r="D198" s="25" t="s">
        <v>81</v>
      </c>
      <c r="E198" s="26" t="s">
        <v>82</v>
      </c>
      <c r="F198" s="25" t="s">
        <v>34</v>
      </c>
      <c r="G198" s="30">
        <v>50555</v>
      </c>
      <c r="H198" s="31">
        <v>5</v>
      </c>
      <c r="I198" s="32">
        <v>40</v>
      </c>
      <c r="J198" s="36"/>
      <c r="K198" s="36"/>
      <c r="L198" s="36"/>
      <c r="M198" s="36"/>
      <c r="N198" s="36"/>
      <c r="O198" s="36"/>
      <c r="P198" s="36"/>
      <c r="Q198" s="36"/>
      <c r="R198" s="36"/>
      <c r="S198" s="33">
        <v>40</v>
      </c>
      <c r="T198" s="34"/>
    </row>
    <row r="199" spans="1:20" ht="15.75" customHeight="1">
      <c r="A199" s="25">
        <v>2</v>
      </c>
      <c r="B199" s="25">
        <v>7</v>
      </c>
      <c r="C199" s="25">
        <v>3</v>
      </c>
      <c r="D199" s="25" t="s">
        <v>208</v>
      </c>
      <c r="E199" s="26" t="s">
        <v>209</v>
      </c>
      <c r="F199" s="25" t="s">
        <v>34</v>
      </c>
      <c r="G199" s="30">
        <v>50617</v>
      </c>
      <c r="H199" s="31">
        <v>75</v>
      </c>
      <c r="I199" s="32">
        <v>58</v>
      </c>
      <c r="J199" s="36"/>
      <c r="K199" s="36"/>
      <c r="L199" s="36"/>
      <c r="M199" s="36"/>
      <c r="N199" s="36"/>
      <c r="O199" s="36"/>
      <c r="P199" s="36"/>
      <c r="Q199" s="36"/>
      <c r="R199" s="36"/>
      <c r="S199" s="33">
        <v>58</v>
      </c>
      <c r="T199" s="34"/>
    </row>
    <row r="200" spans="1:20" ht="15.75" customHeight="1">
      <c r="A200" s="53">
        <v>2</v>
      </c>
      <c r="B200" s="53">
        <v>7</v>
      </c>
      <c r="C200" s="53">
        <v>4</v>
      </c>
      <c r="D200" s="53" t="s">
        <v>210</v>
      </c>
      <c r="E200" s="54" t="s">
        <v>211</v>
      </c>
      <c r="F200" s="53" t="s">
        <v>34</v>
      </c>
      <c r="G200" s="55">
        <v>50578</v>
      </c>
      <c r="H200" s="57">
        <v>4</v>
      </c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61" t="s">
        <v>55</v>
      </c>
    </row>
    <row r="201" spans="1:20" ht="15.75" customHeight="1">
      <c r="A201" s="53">
        <v>2</v>
      </c>
      <c r="B201" s="53">
        <v>7</v>
      </c>
      <c r="C201" s="53">
        <v>4</v>
      </c>
      <c r="D201" s="53" t="s">
        <v>212</v>
      </c>
      <c r="E201" s="54" t="s">
        <v>213</v>
      </c>
      <c r="F201" s="53" t="s">
        <v>34</v>
      </c>
      <c r="G201" s="55">
        <v>50579</v>
      </c>
      <c r="H201" s="57">
        <v>1</v>
      </c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61" t="s">
        <v>55</v>
      </c>
    </row>
    <row r="202" spans="1:20" ht="15.75" customHeight="1">
      <c r="A202" s="25">
        <v>2</v>
      </c>
      <c r="B202" s="25">
        <v>7</v>
      </c>
      <c r="C202" s="25">
        <v>4</v>
      </c>
      <c r="D202" s="25" t="s">
        <v>214</v>
      </c>
      <c r="E202" s="26" t="s">
        <v>215</v>
      </c>
      <c r="F202" s="25" t="s">
        <v>34</v>
      </c>
      <c r="G202" s="30">
        <v>50580</v>
      </c>
      <c r="H202" s="31">
        <v>25</v>
      </c>
      <c r="I202" s="32">
        <v>130</v>
      </c>
      <c r="J202" s="36"/>
      <c r="K202" s="36"/>
      <c r="L202" s="36"/>
      <c r="M202" s="36"/>
      <c r="N202" s="36"/>
      <c r="O202" s="36"/>
      <c r="P202" s="36"/>
      <c r="Q202" s="36"/>
      <c r="R202" s="36"/>
      <c r="S202" s="33">
        <v>130</v>
      </c>
      <c r="T202" s="34"/>
    </row>
    <row r="203" spans="1:20" ht="15.75" customHeight="1">
      <c r="A203" s="25">
        <v>2</v>
      </c>
      <c r="B203" s="25">
        <v>7</v>
      </c>
      <c r="C203" s="25">
        <v>4</v>
      </c>
      <c r="D203" s="25" t="s">
        <v>216</v>
      </c>
      <c r="E203" s="26" t="s">
        <v>217</v>
      </c>
      <c r="F203" s="25" t="s">
        <v>34</v>
      </c>
      <c r="G203" s="30">
        <v>50584</v>
      </c>
      <c r="H203" s="31">
        <v>92</v>
      </c>
      <c r="I203" s="32">
        <v>68</v>
      </c>
      <c r="J203" s="32">
        <v>56</v>
      </c>
      <c r="K203" s="32">
        <v>52</v>
      </c>
      <c r="L203" s="32">
        <v>35</v>
      </c>
      <c r="M203" s="36"/>
      <c r="N203" s="36"/>
      <c r="O203" s="36"/>
      <c r="P203" s="36"/>
      <c r="Q203" s="36"/>
      <c r="R203" s="36"/>
      <c r="S203" s="33">
        <v>52.8</v>
      </c>
      <c r="T203" s="34"/>
    </row>
    <row r="204" spans="1:20" ht="15.75" customHeight="1">
      <c r="A204" s="25">
        <v>2</v>
      </c>
      <c r="B204" s="25">
        <v>7</v>
      </c>
      <c r="C204" s="25">
        <v>4</v>
      </c>
      <c r="D204" s="25" t="s">
        <v>218</v>
      </c>
      <c r="E204" s="26" t="s">
        <v>219</v>
      </c>
      <c r="F204" s="25" t="s">
        <v>34</v>
      </c>
      <c r="G204" s="30">
        <v>50547</v>
      </c>
      <c r="H204" s="31">
        <v>73</v>
      </c>
      <c r="I204" s="32">
        <v>78</v>
      </c>
      <c r="J204" s="32">
        <v>29</v>
      </c>
      <c r="K204" s="32">
        <v>65</v>
      </c>
      <c r="L204" s="36"/>
      <c r="M204" s="36"/>
      <c r="N204" s="36"/>
      <c r="O204" s="36"/>
      <c r="P204" s="36"/>
      <c r="Q204" s="36"/>
      <c r="R204" s="36"/>
      <c r="S204" s="33">
        <v>57.3</v>
      </c>
      <c r="T204" s="34"/>
    </row>
    <row r="205" spans="1:20" ht="15.75" customHeight="1">
      <c r="A205" s="25">
        <v>2</v>
      </c>
      <c r="B205" s="25">
        <v>7</v>
      </c>
      <c r="C205" s="25">
        <v>4</v>
      </c>
      <c r="D205" s="25" t="s">
        <v>218</v>
      </c>
      <c r="E205" s="26" t="s">
        <v>219</v>
      </c>
      <c r="F205" s="25" t="s">
        <v>25</v>
      </c>
      <c r="G205" s="30">
        <v>50389</v>
      </c>
      <c r="H205" s="31">
        <v>14</v>
      </c>
      <c r="I205" s="32">
        <v>162</v>
      </c>
      <c r="J205" s="36"/>
      <c r="K205" s="36"/>
      <c r="L205" s="36"/>
      <c r="M205" s="36"/>
      <c r="N205" s="36"/>
      <c r="O205" s="36"/>
      <c r="P205" s="36"/>
      <c r="Q205" s="36"/>
      <c r="R205" s="36"/>
      <c r="S205" s="33">
        <v>162</v>
      </c>
      <c r="T205" s="34"/>
    </row>
    <row r="206" spans="1:20" ht="15.75" customHeight="1">
      <c r="A206" s="25">
        <v>2</v>
      </c>
      <c r="B206" s="25">
        <v>7</v>
      </c>
      <c r="C206" s="25">
        <v>4</v>
      </c>
      <c r="D206" s="25" t="s">
        <v>218</v>
      </c>
      <c r="E206" s="26" t="s">
        <v>219</v>
      </c>
      <c r="F206" s="25" t="s">
        <v>25</v>
      </c>
      <c r="G206" s="30">
        <v>50676</v>
      </c>
      <c r="H206" s="31">
        <v>3</v>
      </c>
      <c r="I206" s="32">
        <v>208</v>
      </c>
      <c r="J206" s="36"/>
      <c r="K206" s="36"/>
      <c r="L206" s="36"/>
      <c r="M206" s="36"/>
      <c r="N206" s="36"/>
      <c r="O206" s="36"/>
      <c r="P206" s="36"/>
      <c r="Q206" s="36"/>
      <c r="R206" s="36"/>
      <c r="S206" s="33">
        <v>208</v>
      </c>
      <c r="T206" s="34"/>
    </row>
    <row r="207" spans="1:20" ht="15.75" customHeight="1">
      <c r="A207" s="25">
        <v>2</v>
      </c>
      <c r="B207" s="25">
        <v>7</v>
      </c>
      <c r="C207" s="25">
        <v>5</v>
      </c>
      <c r="D207" s="25" t="s">
        <v>160</v>
      </c>
      <c r="E207" s="26" t="s">
        <v>161</v>
      </c>
      <c r="F207" s="25" t="s">
        <v>25</v>
      </c>
      <c r="G207" s="30">
        <v>50863</v>
      </c>
      <c r="H207" s="31">
        <v>168</v>
      </c>
      <c r="I207" s="32">
        <v>33</v>
      </c>
      <c r="J207" s="32">
        <v>35</v>
      </c>
      <c r="K207" s="32">
        <v>60</v>
      </c>
      <c r="L207" s="32">
        <v>65</v>
      </c>
      <c r="M207" s="32">
        <v>47</v>
      </c>
      <c r="N207" s="36"/>
      <c r="O207" s="36"/>
      <c r="P207" s="36"/>
      <c r="Q207" s="36"/>
      <c r="R207" s="36"/>
      <c r="S207" s="33">
        <v>48</v>
      </c>
      <c r="T207" s="34"/>
    </row>
    <row r="208" spans="1:20" ht="15.75" customHeight="1">
      <c r="A208" s="25">
        <v>2</v>
      </c>
      <c r="B208" s="25">
        <v>7</v>
      </c>
      <c r="C208" s="25">
        <v>5</v>
      </c>
      <c r="D208" s="25" t="s">
        <v>189</v>
      </c>
      <c r="E208" s="26" t="s">
        <v>190</v>
      </c>
      <c r="F208" s="25" t="s">
        <v>25</v>
      </c>
      <c r="G208" s="30">
        <v>50864</v>
      </c>
      <c r="H208" s="31">
        <v>279</v>
      </c>
      <c r="I208" s="32">
        <v>45</v>
      </c>
      <c r="J208" s="32">
        <v>58</v>
      </c>
      <c r="K208" s="32">
        <v>53</v>
      </c>
      <c r="L208" s="32">
        <v>54</v>
      </c>
      <c r="M208" s="32">
        <v>52</v>
      </c>
      <c r="N208" s="32">
        <v>46</v>
      </c>
      <c r="O208" s="32">
        <v>49</v>
      </c>
      <c r="P208" s="32">
        <v>56</v>
      </c>
      <c r="Q208" s="36"/>
      <c r="R208" s="36"/>
      <c r="S208" s="33">
        <v>51.6</v>
      </c>
      <c r="T208" s="34"/>
    </row>
    <row r="209" spans="1:26" ht="15.75" customHeight="1">
      <c r="A209" s="25">
        <v>2</v>
      </c>
      <c r="B209" s="25">
        <v>7</v>
      </c>
      <c r="C209" s="25">
        <v>6</v>
      </c>
      <c r="D209" s="25" t="s">
        <v>100</v>
      </c>
      <c r="E209" s="26" t="s">
        <v>101</v>
      </c>
      <c r="F209" s="25" t="s">
        <v>31</v>
      </c>
      <c r="G209" s="30">
        <v>50692</v>
      </c>
      <c r="H209" s="31">
        <v>462</v>
      </c>
      <c r="I209" s="32">
        <v>17</v>
      </c>
      <c r="J209" s="32">
        <v>18</v>
      </c>
      <c r="K209" s="32">
        <v>8</v>
      </c>
      <c r="L209" s="32">
        <v>11</v>
      </c>
      <c r="M209" s="32">
        <v>8</v>
      </c>
      <c r="N209" s="32">
        <v>7</v>
      </c>
      <c r="O209" s="32">
        <v>12</v>
      </c>
      <c r="P209" s="32">
        <v>12</v>
      </c>
      <c r="Q209" s="32">
        <v>6</v>
      </c>
      <c r="R209" s="32">
        <v>6</v>
      </c>
      <c r="S209" s="33">
        <v>10.5</v>
      </c>
      <c r="T209" s="34"/>
    </row>
    <row r="210" spans="1:26" ht="15.75" customHeight="1">
      <c r="A210" s="25">
        <v>2</v>
      </c>
      <c r="B210" s="25">
        <v>7</v>
      </c>
      <c r="C210" s="25">
        <v>7</v>
      </c>
      <c r="D210" s="25" t="s">
        <v>58</v>
      </c>
      <c r="E210" s="26" t="s">
        <v>59</v>
      </c>
      <c r="F210" s="25" t="s">
        <v>25</v>
      </c>
      <c r="G210" s="30">
        <v>50868</v>
      </c>
      <c r="H210" s="31">
        <v>416</v>
      </c>
      <c r="I210" s="32">
        <v>112</v>
      </c>
      <c r="J210" s="32">
        <v>94</v>
      </c>
      <c r="K210" s="32">
        <v>102</v>
      </c>
      <c r="L210" s="32">
        <v>55</v>
      </c>
      <c r="M210" s="32">
        <v>102</v>
      </c>
      <c r="N210" s="32">
        <v>36.6</v>
      </c>
      <c r="O210" s="32">
        <v>55</v>
      </c>
      <c r="P210" s="32">
        <v>61</v>
      </c>
      <c r="Q210" s="32">
        <v>50</v>
      </c>
      <c r="R210" s="32">
        <v>20</v>
      </c>
      <c r="S210" s="33">
        <v>68.8</v>
      </c>
      <c r="T210" s="34"/>
    </row>
    <row r="211" spans="1:26" ht="15.75" customHeight="1">
      <c r="A211" s="165">
        <v>2</v>
      </c>
      <c r="B211" s="165">
        <v>7</v>
      </c>
      <c r="C211" s="165">
        <v>7</v>
      </c>
      <c r="D211" s="165" t="s">
        <v>97</v>
      </c>
      <c r="E211" s="166" t="s">
        <v>220</v>
      </c>
      <c r="F211" s="165" t="s">
        <v>25</v>
      </c>
      <c r="G211" s="167">
        <v>50869</v>
      </c>
      <c r="H211" s="168">
        <v>214</v>
      </c>
      <c r="I211" s="165">
        <v>15</v>
      </c>
      <c r="J211" s="165">
        <v>10.3</v>
      </c>
      <c r="K211" s="165">
        <v>10</v>
      </c>
      <c r="L211" s="165">
        <v>8.5</v>
      </c>
      <c r="M211" s="169"/>
      <c r="N211" s="169"/>
      <c r="O211" s="169"/>
      <c r="P211" s="169"/>
      <c r="Q211" s="169"/>
      <c r="R211" s="169"/>
      <c r="S211" s="165">
        <v>11</v>
      </c>
      <c r="T211" s="136" t="s">
        <v>221</v>
      </c>
      <c r="U211" s="170"/>
      <c r="V211" s="170"/>
      <c r="W211" s="170"/>
      <c r="X211" s="170"/>
      <c r="Y211" s="170"/>
      <c r="Z211" s="170"/>
    </row>
    <row r="212" spans="1:26" ht="15.75" customHeight="1">
      <c r="A212" s="25">
        <v>2</v>
      </c>
      <c r="B212" s="25">
        <v>7</v>
      </c>
      <c r="C212" s="25">
        <v>9</v>
      </c>
      <c r="D212" s="25" t="s">
        <v>222</v>
      </c>
      <c r="E212" s="26" t="s">
        <v>223</v>
      </c>
      <c r="F212" s="25" t="s">
        <v>25</v>
      </c>
      <c r="G212" s="30">
        <v>50870</v>
      </c>
      <c r="H212" s="31">
        <v>93</v>
      </c>
      <c r="I212" s="32">
        <v>38.5</v>
      </c>
      <c r="J212" s="32">
        <v>47</v>
      </c>
      <c r="K212" s="32">
        <v>14</v>
      </c>
      <c r="L212" s="32">
        <v>25.5</v>
      </c>
      <c r="M212" s="36"/>
      <c r="N212" s="36"/>
      <c r="O212" s="36"/>
      <c r="P212" s="36"/>
      <c r="Q212" s="36"/>
      <c r="R212" s="36"/>
      <c r="S212" s="33">
        <v>31.3</v>
      </c>
      <c r="T212" s="34"/>
    </row>
    <row r="213" spans="1:26" ht="15.75" customHeight="1">
      <c r="A213" s="25">
        <v>2</v>
      </c>
      <c r="B213" s="25">
        <v>7</v>
      </c>
      <c r="C213" s="25">
        <v>9</v>
      </c>
      <c r="D213" s="25" t="s">
        <v>138</v>
      </c>
      <c r="E213" s="26" t="s">
        <v>139</v>
      </c>
      <c r="F213" s="25" t="s">
        <v>25</v>
      </c>
      <c r="G213" s="30">
        <v>50871</v>
      </c>
      <c r="H213" s="31">
        <v>433</v>
      </c>
      <c r="I213" s="32">
        <v>76</v>
      </c>
      <c r="J213" s="32">
        <v>60</v>
      </c>
      <c r="K213" s="32">
        <v>38</v>
      </c>
      <c r="L213" s="32">
        <v>41</v>
      </c>
      <c r="M213" s="32">
        <v>50</v>
      </c>
      <c r="N213" s="32">
        <v>29</v>
      </c>
      <c r="O213" s="32">
        <v>29</v>
      </c>
      <c r="P213" s="32">
        <v>18</v>
      </c>
      <c r="Q213" s="32">
        <v>32</v>
      </c>
      <c r="R213" s="32">
        <v>29</v>
      </c>
      <c r="S213" s="33">
        <v>40.200000000000003</v>
      </c>
      <c r="T213" s="34"/>
    </row>
    <row r="214" spans="1:26" ht="15.75" customHeight="1">
      <c r="A214" s="165">
        <v>2</v>
      </c>
      <c r="B214" s="165">
        <v>7</v>
      </c>
      <c r="C214" s="165">
        <v>11</v>
      </c>
      <c r="D214" s="165" t="s">
        <v>224</v>
      </c>
      <c r="E214" s="166" t="s">
        <v>225</v>
      </c>
      <c r="F214" s="165" t="s">
        <v>25</v>
      </c>
      <c r="G214" s="167">
        <v>50872</v>
      </c>
      <c r="H214" s="168">
        <v>200</v>
      </c>
      <c r="I214" s="165">
        <v>27</v>
      </c>
      <c r="J214" s="169"/>
      <c r="K214" s="171"/>
      <c r="L214" s="171"/>
      <c r="M214" s="171"/>
      <c r="N214" s="171"/>
      <c r="O214" s="171"/>
      <c r="P214" s="171"/>
      <c r="Q214" s="171"/>
      <c r="R214" s="171"/>
      <c r="S214" s="165">
        <v>27</v>
      </c>
      <c r="T214" s="136" t="s">
        <v>221</v>
      </c>
      <c r="U214" s="170"/>
      <c r="V214" s="170"/>
      <c r="W214" s="170"/>
      <c r="X214" s="170"/>
      <c r="Y214" s="170"/>
      <c r="Z214" s="170"/>
    </row>
    <row r="215" spans="1:26" ht="15.75" customHeight="1">
      <c r="A215" s="53">
        <v>2</v>
      </c>
      <c r="B215" s="53">
        <v>7</v>
      </c>
      <c r="C215" s="53">
        <v>11</v>
      </c>
      <c r="D215" s="53" t="s">
        <v>212</v>
      </c>
      <c r="E215" s="54" t="s">
        <v>213</v>
      </c>
      <c r="F215" s="53" t="s">
        <v>25</v>
      </c>
      <c r="G215" s="55">
        <v>50873</v>
      </c>
      <c r="H215" s="57">
        <v>186</v>
      </c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61" t="s">
        <v>55</v>
      </c>
    </row>
    <row r="216" spans="1:26" ht="15.75" customHeight="1">
      <c r="A216" s="25">
        <v>2</v>
      </c>
      <c r="B216" s="25">
        <v>7</v>
      </c>
      <c r="C216" s="25">
        <v>11</v>
      </c>
      <c r="D216" s="25" t="s">
        <v>74</v>
      </c>
      <c r="E216" s="26" t="s">
        <v>75</v>
      </c>
      <c r="F216" s="25" t="s">
        <v>25</v>
      </c>
      <c r="G216" s="30">
        <v>50885</v>
      </c>
      <c r="H216" s="31">
        <v>222</v>
      </c>
      <c r="I216" s="32">
        <v>33</v>
      </c>
      <c r="J216" s="32">
        <v>15</v>
      </c>
      <c r="K216" s="32">
        <v>24</v>
      </c>
      <c r="L216" s="32">
        <v>17</v>
      </c>
      <c r="M216" s="32">
        <v>37</v>
      </c>
      <c r="N216" s="32">
        <v>26</v>
      </c>
      <c r="O216" s="32">
        <v>14</v>
      </c>
      <c r="P216" s="32">
        <v>9.5</v>
      </c>
      <c r="Q216" s="32">
        <v>15</v>
      </c>
      <c r="R216" s="32">
        <v>3</v>
      </c>
      <c r="S216" s="33">
        <v>19.399999999999999</v>
      </c>
      <c r="T216" s="34"/>
    </row>
    <row r="217" spans="1:26" ht="15.75" customHeight="1">
      <c r="A217" s="25">
        <v>2</v>
      </c>
      <c r="B217" s="25">
        <v>7</v>
      </c>
      <c r="C217" s="25">
        <v>12</v>
      </c>
      <c r="D217" s="25" t="s">
        <v>226</v>
      </c>
      <c r="E217" s="26" t="s">
        <v>227</v>
      </c>
      <c r="F217" s="25" t="s">
        <v>34</v>
      </c>
      <c r="G217" s="30">
        <v>50662</v>
      </c>
      <c r="H217" s="31">
        <v>31</v>
      </c>
      <c r="I217" s="32">
        <v>31</v>
      </c>
      <c r="J217" s="36"/>
      <c r="K217" s="36"/>
      <c r="L217" s="36"/>
      <c r="M217" s="36"/>
      <c r="N217" s="36"/>
      <c r="O217" s="36"/>
      <c r="P217" s="36"/>
      <c r="Q217" s="36"/>
      <c r="R217" s="36"/>
      <c r="S217" s="33">
        <v>31</v>
      </c>
      <c r="T217" s="34"/>
    </row>
    <row r="218" spans="1:26" ht="15.75" customHeight="1">
      <c r="A218" s="25">
        <v>2</v>
      </c>
      <c r="B218" s="25">
        <v>7</v>
      </c>
      <c r="C218" s="25">
        <v>12</v>
      </c>
      <c r="D218" s="25" t="s">
        <v>212</v>
      </c>
      <c r="E218" s="26" t="s">
        <v>213</v>
      </c>
      <c r="F218" s="25" t="s">
        <v>48</v>
      </c>
      <c r="G218" s="30">
        <v>10995</v>
      </c>
      <c r="H218" s="31">
        <v>170</v>
      </c>
      <c r="I218" s="32">
        <v>102</v>
      </c>
      <c r="J218" s="32">
        <v>60</v>
      </c>
      <c r="K218" s="32">
        <v>18</v>
      </c>
      <c r="L218" s="32">
        <v>18</v>
      </c>
      <c r="M218" s="32">
        <v>21</v>
      </c>
      <c r="N218" s="32">
        <v>62</v>
      </c>
      <c r="O218" s="36"/>
      <c r="P218" s="36"/>
      <c r="Q218" s="36"/>
      <c r="R218" s="36"/>
      <c r="S218" s="33">
        <v>46.8</v>
      </c>
      <c r="T218" s="34"/>
    </row>
    <row r="219" spans="1:26" ht="15.75" customHeight="1">
      <c r="A219" s="25">
        <v>2</v>
      </c>
      <c r="B219" s="25">
        <v>7</v>
      </c>
      <c r="C219" s="25">
        <v>13</v>
      </c>
      <c r="D219" s="25" t="s">
        <v>66</v>
      </c>
      <c r="E219" s="26" t="s">
        <v>67</v>
      </c>
      <c r="F219" s="25" t="s">
        <v>31</v>
      </c>
      <c r="G219" s="30">
        <v>50323</v>
      </c>
      <c r="H219" s="31">
        <v>143</v>
      </c>
      <c r="I219" s="32">
        <v>20</v>
      </c>
      <c r="J219" s="32">
        <v>16</v>
      </c>
      <c r="K219" s="32">
        <v>22</v>
      </c>
      <c r="L219" s="32">
        <v>32</v>
      </c>
      <c r="M219" s="32">
        <v>33</v>
      </c>
      <c r="N219" s="32">
        <v>29</v>
      </c>
      <c r="O219" s="36"/>
      <c r="P219" s="36"/>
      <c r="Q219" s="36"/>
      <c r="R219" s="36"/>
      <c r="S219" s="33">
        <v>25.3</v>
      </c>
      <c r="T219" s="34"/>
    </row>
    <row r="220" spans="1:26" ht="15.75" customHeight="1">
      <c r="A220" s="25">
        <v>2</v>
      </c>
      <c r="B220" s="25">
        <v>7</v>
      </c>
      <c r="C220" s="25">
        <v>13</v>
      </c>
      <c r="D220" s="25" t="s">
        <v>66</v>
      </c>
      <c r="E220" s="26" t="s">
        <v>67</v>
      </c>
      <c r="F220" s="25" t="s">
        <v>31</v>
      </c>
      <c r="G220" s="30">
        <v>50726</v>
      </c>
      <c r="H220" s="31">
        <v>166</v>
      </c>
      <c r="I220" s="32">
        <v>36</v>
      </c>
      <c r="J220" s="32">
        <v>24</v>
      </c>
      <c r="K220" s="32">
        <v>46</v>
      </c>
      <c r="L220" s="32">
        <v>25</v>
      </c>
      <c r="M220" s="32">
        <v>15</v>
      </c>
      <c r="N220" s="32">
        <v>10</v>
      </c>
      <c r="O220" s="32">
        <v>13</v>
      </c>
      <c r="P220" s="32">
        <v>46</v>
      </c>
      <c r="Q220" s="36"/>
      <c r="R220" s="36"/>
      <c r="S220" s="33">
        <v>26.9</v>
      </c>
      <c r="T220" s="34"/>
    </row>
    <row r="221" spans="1:26" ht="15.75" customHeight="1">
      <c r="A221" s="25">
        <v>2</v>
      </c>
      <c r="B221" s="25">
        <v>7</v>
      </c>
      <c r="C221" s="25">
        <v>13</v>
      </c>
      <c r="D221" s="25" t="s">
        <v>66</v>
      </c>
      <c r="E221" s="26" t="s">
        <v>67</v>
      </c>
      <c r="F221" s="25" t="s">
        <v>34</v>
      </c>
      <c r="G221" s="30">
        <v>50087</v>
      </c>
      <c r="H221" s="31">
        <v>132</v>
      </c>
      <c r="I221" s="32">
        <v>35</v>
      </c>
      <c r="J221" s="32">
        <v>35</v>
      </c>
      <c r="K221" s="32">
        <v>20</v>
      </c>
      <c r="L221" s="32">
        <v>24</v>
      </c>
      <c r="M221" s="32">
        <v>24</v>
      </c>
      <c r="N221" s="32">
        <v>45</v>
      </c>
      <c r="O221" s="32">
        <v>50</v>
      </c>
      <c r="P221" s="32">
        <v>47</v>
      </c>
      <c r="Q221" s="36"/>
      <c r="R221" s="36"/>
      <c r="S221" s="33">
        <v>35</v>
      </c>
      <c r="T221" s="34"/>
    </row>
    <row r="222" spans="1:26" ht="15.75" customHeight="1">
      <c r="A222" s="25">
        <v>2</v>
      </c>
      <c r="B222" s="25">
        <v>7</v>
      </c>
      <c r="C222" s="25">
        <v>13</v>
      </c>
      <c r="D222" s="25" t="s">
        <v>66</v>
      </c>
      <c r="E222" s="26" t="s">
        <v>67</v>
      </c>
      <c r="F222" s="25" t="s">
        <v>31</v>
      </c>
      <c r="G222" s="30">
        <v>50724</v>
      </c>
      <c r="H222" s="31">
        <v>224</v>
      </c>
      <c r="I222" s="32">
        <v>19</v>
      </c>
      <c r="J222" s="32">
        <v>22</v>
      </c>
      <c r="K222" s="32">
        <v>22</v>
      </c>
      <c r="L222" s="32">
        <v>39</v>
      </c>
      <c r="M222" s="32">
        <v>35</v>
      </c>
      <c r="N222" s="32">
        <v>48</v>
      </c>
      <c r="O222" s="32">
        <v>52</v>
      </c>
      <c r="P222" s="32">
        <v>70</v>
      </c>
      <c r="Q222" s="32">
        <v>18</v>
      </c>
      <c r="R222" s="32">
        <v>17</v>
      </c>
      <c r="S222" s="33">
        <v>34.200000000000003</v>
      </c>
      <c r="T222" s="34"/>
    </row>
    <row r="223" spans="1:26" ht="15.75" customHeight="1">
      <c r="A223" s="53">
        <v>2</v>
      </c>
      <c r="B223" s="53">
        <v>7</v>
      </c>
      <c r="C223" s="53">
        <v>14</v>
      </c>
      <c r="D223" s="53" t="s">
        <v>228</v>
      </c>
      <c r="E223" s="54" t="s">
        <v>229</v>
      </c>
      <c r="F223" s="53" t="s">
        <v>25</v>
      </c>
      <c r="G223" s="55">
        <v>50855</v>
      </c>
      <c r="H223" s="57">
        <v>26</v>
      </c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61" t="s">
        <v>55</v>
      </c>
    </row>
    <row r="224" spans="1:26" ht="15.75" customHeight="1">
      <c r="A224" s="25">
        <v>2</v>
      </c>
      <c r="B224" s="25">
        <v>7</v>
      </c>
      <c r="C224" s="25">
        <v>16</v>
      </c>
      <c r="D224" s="25" t="s">
        <v>138</v>
      </c>
      <c r="E224" s="26" t="s">
        <v>139</v>
      </c>
      <c r="F224" s="25" t="s">
        <v>25</v>
      </c>
      <c r="G224" s="30">
        <v>50879</v>
      </c>
      <c r="H224" s="31">
        <v>477</v>
      </c>
      <c r="I224" s="32">
        <v>13</v>
      </c>
      <c r="J224" s="32">
        <v>16</v>
      </c>
      <c r="K224" s="32">
        <v>16</v>
      </c>
      <c r="L224" s="32">
        <v>16</v>
      </c>
      <c r="M224" s="32">
        <v>26</v>
      </c>
      <c r="N224" s="32">
        <v>25</v>
      </c>
      <c r="O224" s="32">
        <v>35</v>
      </c>
      <c r="P224" s="32">
        <v>69</v>
      </c>
      <c r="Q224" s="32">
        <v>65</v>
      </c>
      <c r="R224" s="32">
        <v>39</v>
      </c>
      <c r="S224" s="33">
        <v>32</v>
      </c>
      <c r="T224" s="34"/>
    </row>
    <row r="225" spans="1:20" ht="15.75" customHeight="1">
      <c r="A225" s="25">
        <v>2</v>
      </c>
      <c r="B225" s="25">
        <v>7</v>
      </c>
      <c r="C225" s="25">
        <v>16</v>
      </c>
      <c r="D225" s="25" t="s">
        <v>122</v>
      </c>
      <c r="E225" s="26" t="s">
        <v>123</v>
      </c>
      <c r="F225" s="25" t="s">
        <v>25</v>
      </c>
      <c r="G225" s="30">
        <v>50888</v>
      </c>
      <c r="H225" s="31">
        <v>135</v>
      </c>
      <c r="I225" s="32">
        <v>11</v>
      </c>
      <c r="J225" s="32">
        <v>11</v>
      </c>
      <c r="K225" s="32">
        <v>5.5</v>
      </c>
      <c r="L225" s="32">
        <v>21</v>
      </c>
      <c r="M225" s="32">
        <v>11.5</v>
      </c>
      <c r="N225" s="32">
        <v>13</v>
      </c>
      <c r="O225" s="36"/>
      <c r="P225" s="36"/>
      <c r="Q225" s="36"/>
      <c r="R225" s="36"/>
      <c r="S225" s="33">
        <v>12.2</v>
      </c>
      <c r="T225" s="34"/>
    </row>
    <row r="226" spans="1:20" ht="15.75" customHeight="1">
      <c r="A226" s="25">
        <v>2</v>
      </c>
      <c r="B226" s="25">
        <v>7</v>
      </c>
      <c r="C226" s="25">
        <v>17</v>
      </c>
      <c r="D226" s="25" t="s">
        <v>66</v>
      </c>
      <c r="E226" s="26" t="s">
        <v>67</v>
      </c>
      <c r="F226" s="25" t="s">
        <v>34</v>
      </c>
      <c r="G226" s="30">
        <v>50459</v>
      </c>
      <c r="H226" s="31">
        <v>126</v>
      </c>
      <c r="I226" s="32">
        <v>45</v>
      </c>
      <c r="J226" s="32">
        <v>30</v>
      </c>
      <c r="K226" s="32">
        <v>42</v>
      </c>
      <c r="L226" s="32">
        <v>30</v>
      </c>
      <c r="M226" s="32">
        <v>47</v>
      </c>
      <c r="N226" s="32">
        <v>58</v>
      </c>
      <c r="O226" s="36"/>
      <c r="P226" s="36"/>
      <c r="Q226" s="36"/>
      <c r="R226" s="36"/>
      <c r="S226" s="33">
        <v>42</v>
      </c>
      <c r="T226" s="34"/>
    </row>
    <row r="227" spans="1:20" ht="15.75" customHeight="1">
      <c r="A227" s="25">
        <v>2</v>
      </c>
      <c r="B227" s="25">
        <v>7</v>
      </c>
      <c r="C227" s="25">
        <v>17</v>
      </c>
      <c r="D227" s="25" t="s">
        <v>66</v>
      </c>
      <c r="E227" s="26" t="s">
        <v>67</v>
      </c>
      <c r="F227" s="25" t="s">
        <v>34</v>
      </c>
      <c r="G227" s="30">
        <v>50602</v>
      </c>
      <c r="H227" s="31">
        <v>42</v>
      </c>
      <c r="I227" s="32">
        <v>46</v>
      </c>
      <c r="J227" s="32">
        <v>12</v>
      </c>
      <c r="K227" s="36"/>
      <c r="L227" s="36"/>
      <c r="M227" s="36"/>
      <c r="N227" s="36"/>
      <c r="O227" s="36"/>
      <c r="P227" s="36"/>
      <c r="Q227" s="36"/>
      <c r="R227" s="36"/>
      <c r="S227" s="33">
        <v>29</v>
      </c>
      <c r="T227" s="34"/>
    </row>
    <row r="228" spans="1:20" ht="15.75" customHeight="1">
      <c r="A228" s="25">
        <v>2</v>
      </c>
      <c r="B228" s="25">
        <v>7</v>
      </c>
      <c r="C228" s="25">
        <v>18</v>
      </c>
      <c r="D228" s="25" t="s">
        <v>230</v>
      </c>
      <c r="E228" s="26" t="s">
        <v>231</v>
      </c>
      <c r="F228" s="25" t="s">
        <v>48</v>
      </c>
      <c r="G228" s="30">
        <v>50206</v>
      </c>
      <c r="H228" s="31">
        <v>73</v>
      </c>
      <c r="I228" s="32">
        <v>36</v>
      </c>
      <c r="J228" s="32">
        <v>63</v>
      </c>
      <c r="K228" s="32">
        <v>33</v>
      </c>
      <c r="L228" s="32">
        <v>31</v>
      </c>
      <c r="M228" s="36"/>
      <c r="N228" s="36"/>
      <c r="O228" s="36"/>
      <c r="P228" s="36"/>
      <c r="Q228" s="36"/>
      <c r="R228" s="36"/>
      <c r="S228" s="33">
        <v>40.799999999999997</v>
      </c>
      <c r="T228" s="34"/>
    </row>
    <row r="229" spans="1:20" ht="15.75" customHeight="1">
      <c r="A229" s="25">
        <v>2</v>
      </c>
      <c r="B229" s="25">
        <v>7</v>
      </c>
      <c r="C229" s="25">
        <v>18</v>
      </c>
      <c r="D229" s="25" t="s">
        <v>232</v>
      </c>
      <c r="E229" s="96"/>
      <c r="F229" s="25" t="s">
        <v>68</v>
      </c>
      <c r="G229" s="30">
        <v>50779</v>
      </c>
      <c r="H229" s="31">
        <v>91</v>
      </c>
      <c r="I229" s="32">
        <v>33</v>
      </c>
      <c r="J229" s="32">
        <v>33</v>
      </c>
      <c r="K229" s="32">
        <v>27</v>
      </c>
      <c r="L229" s="32">
        <v>33</v>
      </c>
      <c r="M229" s="36"/>
      <c r="N229" s="36"/>
      <c r="O229" s="36"/>
      <c r="P229" s="36"/>
      <c r="Q229" s="36"/>
      <c r="R229" s="36"/>
      <c r="S229" s="33">
        <v>31.5</v>
      </c>
      <c r="T229" s="34"/>
    </row>
    <row r="230" spans="1:20" ht="15.75" customHeight="1">
      <c r="A230" s="25">
        <v>2</v>
      </c>
      <c r="B230" s="25">
        <v>8</v>
      </c>
      <c r="C230" s="25">
        <v>2</v>
      </c>
      <c r="D230" s="25" t="s">
        <v>233</v>
      </c>
      <c r="E230" s="26" t="s">
        <v>234</v>
      </c>
      <c r="F230" s="25" t="s">
        <v>48</v>
      </c>
      <c r="G230" s="30">
        <v>50778</v>
      </c>
      <c r="H230" s="31">
        <v>118</v>
      </c>
      <c r="I230" s="32">
        <v>35</v>
      </c>
      <c r="J230" s="32">
        <v>55</v>
      </c>
      <c r="K230" s="36"/>
      <c r="L230" s="36"/>
      <c r="M230" s="36"/>
      <c r="N230" s="36"/>
      <c r="O230" s="36"/>
      <c r="P230" s="36"/>
      <c r="Q230" s="36"/>
      <c r="R230" s="36"/>
      <c r="S230" s="33">
        <v>45</v>
      </c>
      <c r="T230" s="34"/>
    </row>
    <row r="231" spans="1:20" ht="15.75" customHeight="1">
      <c r="A231" s="25">
        <v>2</v>
      </c>
      <c r="B231" s="25">
        <v>8</v>
      </c>
      <c r="C231" s="25">
        <v>2</v>
      </c>
      <c r="D231" s="25" t="s">
        <v>233</v>
      </c>
      <c r="E231" s="26" t="s">
        <v>234</v>
      </c>
      <c r="F231" s="25" t="s">
        <v>34</v>
      </c>
      <c r="G231" s="30">
        <v>50587</v>
      </c>
      <c r="H231" s="31">
        <v>47</v>
      </c>
      <c r="I231" s="32">
        <v>74</v>
      </c>
      <c r="J231" s="32">
        <v>28</v>
      </c>
      <c r="K231" s="36"/>
      <c r="L231" s="36"/>
      <c r="M231" s="36"/>
      <c r="N231" s="36"/>
      <c r="O231" s="36"/>
      <c r="P231" s="36"/>
      <c r="Q231" s="36"/>
      <c r="R231" s="36"/>
      <c r="S231" s="33">
        <v>51</v>
      </c>
      <c r="T231" s="34"/>
    </row>
    <row r="232" spans="1:20" ht="15.75" customHeight="1">
      <c r="A232" s="25">
        <v>2</v>
      </c>
      <c r="B232" s="25">
        <v>8</v>
      </c>
      <c r="C232" s="25">
        <v>3</v>
      </c>
      <c r="D232" s="25" t="s">
        <v>134</v>
      </c>
      <c r="E232" s="26" t="s">
        <v>135</v>
      </c>
      <c r="F232" s="25" t="s">
        <v>25</v>
      </c>
      <c r="G232" s="30">
        <v>50268</v>
      </c>
      <c r="H232" s="31">
        <v>210</v>
      </c>
      <c r="I232" s="32">
        <v>14</v>
      </c>
      <c r="J232" s="32">
        <v>19</v>
      </c>
      <c r="K232" s="32">
        <v>33</v>
      </c>
      <c r="L232" s="32">
        <v>28</v>
      </c>
      <c r="M232" s="32">
        <v>45</v>
      </c>
      <c r="N232" s="32">
        <v>36</v>
      </c>
      <c r="O232" s="32">
        <v>48</v>
      </c>
      <c r="P232" s="32">
        <v>28</v>
      </c>
      <c r="Q232" s="36"/>
      <c r="R232" s="36"/>
      <c r="S232" s="33">
        <v>31.4</v>
      </c>
      <c r="T232" s="34"/>
    </row>
    <row r="233" spans="1:20" ht="15.75" customHeight="1">
      <c r="A233" s="25">
        <v>2</v>
      </c>
      <c r="B233" s="25">
        <v>8</v>
      </c>
      <c r="C233" s="25">
        <v>4</v>
      </c>
      <c r="D233" s="25" t="s">
        <v>132</v>
      </c>
      <c r="E233" s="26" t="s">
        <v>133</v>
      </c>
      <c r="F233" s="25" t="s">
        <v>68</v>
      </c>
      <c r="G233" s="30">
        <v>50454</v>
      </c>
      <c r="H233" s="31">
        <v>273</v>
      </c>
      <c r="I233" s="32">
        <v>9</v>
      </c>
      <c r="J233" s="32">
        <v>9</v>
      </c>
      <c r="K233" s="32">
        <v>10</v>
      </c>
      <c r="L233" s="32">
        <v>12</v>
      </c>
      <c r="M233" s="32">
        <v>10</v>
      </c>
      <c r="N233" s="32">
        <v>11</v>
      </c>
      <c r="O233" s="36"/>
      <c r="P233" s="36"/>
      <c r="Q233" s="36"/>
      <c r="R233" s="36"/>
      <c r="S233" s="33">
        <v>10.199999999999999</v>
      </c>
      <c r="T233" s="34"/>
    </row>
    <row r="234" spans="1:20" ht="15.75" customHeight="1">
      <c r="A234" s="25">
        <v>2</v>
      </c>
      <c r="B234" s="25">
        <v>8</v>
      </c>
      <c r="C234" s="25">
        <v>4</v>
      </c>
      <c r="D234" s="25" t="s">
        <v>132</v>
      </c>
      <c r="E234" s="26" t="s">
        <v>133</v>
      </c>
      <c r="F234" s="25" t="s">
        <v>34</v>
      </c>
      <c r="G234" s="30">
        <v>50570</v>
      </c>
      <c r="H234" s="31">
        <v>226</v>
      </c>
      <c r="I234" s="32">
        <v>7.5</v>
      </c>
      <c r="J234" s="32">
        <v>8.8000000000000007</v>
      </c>
      <c r="K234" s="32">
        <v>2.5</v>
      </c>
      <c r="L234" s="32">
        <v>7</v>
      </c>
      <c r="M234" s="32">
        <v>2</v>
      </c>
      <c r="N234" s="32">
        <v>6</v>
      </c>
      <c r="O234" s="32">
        <v>4</v>
      </c>
      <c r="P234" s="32">
        <v>5</v>
      </c>
      <c r="Q234" s="36"/>
      <c r="R234" s="36"/>
      <c r="S234" s="33">
        <v>5.4</v>
      </c>
      <c r="T234" s="34"/>
    </row>
    <row r="235" spans="1:20" ht="15.75" customHeight="1">
      <c r="A235" s="25">
        <v>2</v>
      </c>
      <c r="B235" s="25">
        <v>8</v>
      </c>
      <c r="C235" s="25">
        <v>5</v>
      </c>
      <c r="D235" s="25" t="s">
        <v>142</v>
      </c>
      <c r="E235" s="26" t="s">
        <v>143</v>
      </c>
      <c r="F235" s="25" t="s">
        <v>31</v>
      </c>
      <c r="G235" s="30">
        <v>50824</v>
      </c>
      <c r="H235" s="31">
        <v>67</v>
      </c>
      <c r="I235" s="32">
        <v>59</v>
      </c>
      <c r="J235" s="36"/>
      <c r="K235" s="36"/>
      <c r="L235" s="36"/>
      <c r="M235" s="36"/>
      <c r="N235" s="36"/>
      <c r="O235" s="36"/>
      <c r="P235" s="36"/>
      <c r="Q235" s="36"/>
      <c r="R235" s="36"/>
      <c r="S235" s="33">
        <v>59</v>
      </c>
      <c r="T235" s="34"/>
    </row>
    <row r="236" spans="1:20" ht="15.75" customHeight="1">
      <c r="A236" s="25">
        <v>2</v>
      </c>
      <c r="B236" s="25">
        <v>8</v>
      </c>
      <c r="C236" s="25">
        <v>5</v>
      </c>
      <c r="D236" s="25" t="s">
        <v>142</v>
      </c>
      <c r="E236" s="26" t="s">
        <v>143</v>
      </c>
      <c r="F236" s="25" t="s">
        <v>25</v>
      </c>
      <c r="G236" s="30">
        <v>50766</v>
      </c>
      <c r="H236" s="31">
        <v>26</v>
      </c>
      <c r="I236" s="32">
        <v>42</v>
      </c>
      <c r="J236" s="36"/>
      <c r="K236" s="36"/>
      <c r="L236" s="36"/>
      <c r="M236" s="36"/>
      <c r="N236" s="36"/>
      <c r="O236" s="36"/>
      <c r="P236" s="36"/>
      <c r="Q236" s="36"/>
      <c r="R236" s="36"/>
      <c r="S236" s="33">
        <v>42</v>
      </c>
      <c r="T236" s="34"/>
    </row>
    <row r="237" spans="1:20" ht="15.75" customHeight="1">
      <c r="A237" s="25">
        <v>2</v>
      </c>
      <c r="B237" s="25">
        <v>8</v>
      </c>
      <c r="C237" s="25">
        <v>6</v>
      </c>
      <c r="D237" s="25" t="s">
        <v>37</v>
      </c>
      <c r="E237" s="26" t="s">
        <v>38</v>
      </c>
      <c r="F237" s="25" t="s">
        <v>31</v>
      </c>
      <c r="G237" s="30">
        <v>50826</v>
      </c>
      <c r="H237" s="31">
        <v>185</v>
      </c>
      <c r="I237" s="32">
        <v>120</v>
      </c>
      <c r="J237" s="32">
        <v>87</v>
      </c>
      <c r="K237" s="32">
        <v>68</v>
      </c>
      <c r="L237" s="32">
        <v>82</v>
      </c>
      <c r="M237" s="32">
        <v>59</v>
      </c>
      <c r="N237" s="32">
        <v>68</v>
      </c>
      <c r="O237" s="36"/>
      <c r="P237" s="36"/>
      <c r="Q237" s="36"/>
      <c r="R237" s="36"/>
      <c r="S237" s="33">
        <v>80.7</v>
      </c>
      <c r="T237" s="34"/>
    </row>
    <row r="238" spans="1:20" ht="15.75" customHeight="1">
      <c r="A238" s="25">
        <v>2</v>
      </c>
      <c r="B238" s="25">
        <v>8</v>
      </c>
      <c r="C238" s="25">
        <v>6</v>
      </c>
      <c r="D238" s="25" t="s">
        <v>58</v>
      </c>
      <c r="E238" s="26" t="s">
        <v>59</v>
      </c>
      <c r="F238" s="25" t="s">
        <v>31</v>
      </c>
      <c r="G238" s="30">
        <v>50839</v>
      </c>
      <c r="H238" s="31">
        <v>215</v>
      </c>
      <c r="I238" s="32">
        <v>120</v>
      </c>
      <c r="J238" s="32">
        <v>94</v>
      </c>
      <c r="K238" s="32">
        <v>70</v>
      </c>
      <c r="L238" s="32">
        <v>66</v>
      </c>
      <c r="M238" s="32">
        <v>34</v>
      </c>
      <c r="N238" s="32">
        <v>35</v>
      </c>
      <c r="O238" s="36"/>
      <c r="P238" s="36"/>
      <c r="Q238" s="36"/>
      <c r="R238" s="36"/>
      <c r="S238" s="33">
        <v>69.8</v>
      </c>
      <c r="T238" s="34"/>
    </row>
    <row r="239" spans="1:20" ht="15.75" customHeight="1">
      <c r="A239" s="25">
        <v>2</v>
      </c>
      <c r="B239" s="25">
        <v>8</v>
      </c>
      <c r="C239" s="25">
        <v>6</v>
      </c>
      <c r="D239" s="25" t="s">
        <v>173</v>
      </c>
      <c r="E239" s="26" t="s">
        <v>174</v>
      </c>
      <c r="F239" s="25" t="s">
        <v>31</v>
      </c>
      <c r="G239" s="30">
        <v>50825</v>
      </c>
      <c r="H239" s="31">
        <v>132</v>
      </c>
      <c r="I239" s="32">
        <v>78</v>
      </c>
      <c r="J239" s="32">
        <v>66</v>
      </c>
      <c r="K239" s="32">
        <v>60</v>
      </c>
      <c r="L239" s="32">
        <v>46</v>
      </c>
      <c r="M239" s="32">
        <v>40</v>
      </c>
      <c r="N239" s="32">
        <v>30</v>
      </c>
      <c r="O239" s="36"/>
      <c r="P239" s="36"/>
      <c r="Q239" s="36"/>
      <c r="R239" s="36"/>
      <c r="S239" s="33">
        <v>53.3</v>
      </c>
      <c r="T239" s="34"/>
    </row>
    <row r="240" spans="1:20" ht="15.75" customHeight="1">
      <c r="A240" s="25">
        <v>2</v>
      </c>
      <c r="B240" s="25">
        <v>8</v>
      </c>
      <c r="C240" s="25">
        <v>7</v>
      </c>
      <c r="D240" s="25" t="s">
        <v>171</v>
      </c>
      <c r="E240" s="26" t="s">
        <v>172</v>
      </c>
      <c r="F240" s="25" t="s">
        <v>25</v>
      </c>
      <c r="G240" s="30">
        <v>50878</v>
      </c>
      <c r="H240" s="31">
        <v>396</v>
      </c>
      <c r="I240" s="32">
        <v>12</v>
      </c>
      <c r="J240" s="32">
        <v>13</v>
      </c>
      <c r="K240" s="32">
        <v>17</v>
      </c>
      <c r="L240" s="32">
        <v>19</v>
      </c>
      <c r="M240" s="32">
        <v>16</v>
      </c>
      <c r="N240" s="32">
        <v>19</v>
      </c>
      <c r="O240" s="36"/>
      <c r="P240" s="36"/>
      <c r="Q240" s="36"/>
      <c r="R240" s="36"/>
      <c r="S240" s="33">
        <v>16</v>
      </c>
      <c r="T240" s="34"/>
    </row>
    <row r="241" spans="1:20" ht="15.75" customHeight="1">
      <c r="A241" s="38">
        <v>2</v>
      </c>
      <c r="B241" s="38">
        <v>8</v>
      </c>
      <c r="C241" s="38">
        <v>8</v>
      </c>
      <c r="D241" s="38" t="s">
        <v>235</v>
      </c>
      <c r="E241" s="40" t="s">
        <v>236</v>
      </c>
      <c r="F241" s="38" t="s">
        <v>34</v>
      </c>
      <c r="G241" s="43">
        <v>50569</v>
      </c>
      <c r="H241" s="46">
        <v>7</v>
      </c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50" t="s">
        <v>43</v>
      </c>
    </row>
    <row r="242" spans="1:20" ht="15.75" customHeight="1">
      <c r="A242" s="25">
        <v>2</v>
      </c>
      <c r="B242" s="25">
        <v>8</v>
      </c>
      <c r="C242" s="25">
        <v>8</v>
      </c>
      <c r="D242" s="25" t="s">
        <v>85</v>
      </c>
      <c r="E242" s="26" t="s">
        <v>86</v>
      </c>
      <c r="F242" s="25" t="s">
        <v>31</v>
      </c>
      <c r="G242" s="30">
        <v>50796</v>
      </c>
      <c r="H242" s="31">
        <v>256</v>
      </c>
      <c r="I242" s="32">
        <v>79</v>
      </c>
      <c r="J242" s="32">
        <v>74</v>
      </c>
      <c r="K242" s="36"/>
      <c r="L242" s="36"/>
      <c r="M242" s="36"/>
      <c r="N242" s="36"/>
      <c r="O242" s="36"/>
      <c r="P242" s="36"/>
      <c r="Q242" s="36"/>
      <c r="R242" s="36"/>
      <c r="S242" s="33">
        <v>76.5</v>
      </c>
      <c r="T242" s="34"/>
    </row>
    <row r="243" spans="1:20" ht="15.75" customHeight="1">
      <c r="A243" s="25">
        <v>2</v>
      </c>
      <c r="B243" s="25">
        <v>8</v>
      </c>
      <c r="C243" s="25">
        <v>10</v>
      </c>
      <c r="D243" s="25" t="s">
        <v>169</v>
      </c>
      <c r="E243" s="26" t="s">
        <v>170</v>
      </c>
      <c r="F243" s="25" t="s">
        <v>25</v>
      </c>
      <c r="G243" s="30">
        <v>50883</v>
      </c>
      <c r="H243" s="31">
        <v>158</v>
      </c>
      <c r="I243" s="32">
        <v>14</v>
      </c>
      <c r="J243" s="32">
        <v>14</v>
      </c>
      <c r="K243" s="32">
        <v>21</v>
      </c>
      <c r="L243" s="32">
        <v>17</v>
      </c>
      <c r="M243" s="32">
        <v>14</v>
      </c>
      <c r="N243" s="32">
        <v>17</v>
      </c>
      <c r="O243" s="32">
        <v>25</v>
      </c>
      <c r="P243" s="32">
        <v>16</v>
      </c>
      <c r="Q243" s="36"/>
      <c r="R243" s="36"/>
      <c r="S243" s="33">
        <v>17.3</v>
      </c>
      <c r="T243" s="34"/>
    </row>
    <row r="244" spans="1:20" ht="15.75" customHeight="1">
      <c r="A244" s="68">
        <v>2</v>
      </c>
      <c r="B244" s="25">
        <v>8</v>
      </c>
      <c r="C244" s="25">
        <v>10</v>
      </c>
      <c r="D244" s="25" t="s">
        <v>218</v>
      </c>
      <c r="E244" s="26" t="s">
        <v>219</v>
      </c>
      <c r="F244" s="25" t="s">
        <v>25</v>
      </c>
      <c r="G244" s="30">
        <v>50884</v>
      </c>
      <c r="H244" s="31">
        <v>262</v>
      </c>
      <c r="I244" s="32">
        <v>10</v>
      </c>
      <c r="J244" s="32">
        <v>13</v>
      </c>
      <c r="K244" s="32">
        <v>7</v>
      </c>
      <c r="L244" s="32">
        <v>9</v>
      </c>
      <c r="M244" s="32">
        <v>10</v>
      </c>
      <c r="N244" s="32">
        <v>13</v>
      </c>
      <c r="O244" s="32">
        <v>10</v>
      </c>
      <c r="P244" s="32">
        <v>12</v>
      </c>
      <c r="Q244" s="36"/>
      <c r="R244" s="36"/>
      <c r="S244" s="33">
        <v>10.5</v>
      </c>
      <c r="T244" s="34"/>
    </row>
    <row r="245" spans="1:20" ht="15.75" customHeight="1">
      <c r="A245" s="25">
        <v>2</v>
      </c>
      <c r="B245" s="25">
        <v>8</v>
      </c>
      <c r="C245" s="25">
        <v>11</v>
      </c>
      <c r="D245" s="25" t="s">
        <v>237</v>
      </c>
      <c r="E245" s="26" t="s">
        <v>238</v>
      </c>
      <c r="F245" s="25" t="s">
        <v>25</v>
      </c>
      <c r="G245" s="30">
        <v>50751</v>
      </c>
      <c r="H245" s="31">
        <v>239</v>
      </c>
      <c r="I245" s="32">
        <v>81.7</v>
      </c>
      <c r="J245" s="32">
        <v>86</v>
      </c>
      <c r="K245" s="32">
        <v>96</v>
      </c>
      <c r="L245" s="32">
        <v>102</v>
      </c>
      <c r="M245" s="32">
        <v>98</v>
      </c>
      <c r="N245" s="32">
        <v>31</v>
      </c>
      <c r="O245" s="32">
        <v>29</v>
      </c>
      <c r="P245" s="32">
        <v>63</v>
      </c>
      <c r="Q245" s="36"/>
      <c r="R245" s="36"/>
      <c r="S245" s="33">
        <v>73.3</v>
      </c>
      <c r="T245" s="34"/>
    </row>
    <row r="246" spans="1:20" ht="15.75" customHeight="1">
      <c r="A246" s="25">
        <v>2</v>
      </c>
      <c r="B246" s="25">
        <v>8</v>
      </c>
      <c r="C246" s="25">
        <v>11</v>
      </c>
      <c r="D246" s="25" t="s">
        <v>237</v>
      </c>
      <c r="E246" s="26" t="s">
        <v>238</v>
      </c>
      <c r="F246" s="25" t="s">
        <v>68</v>
      </c>
      <c r="G246" s="30">
        <v>50737</v>
      </c>
      <c r="H246" s="31">
        <v>31</v>
      </c>
      <c r="I246" s="32">
        <v>32</v>
      </c>
      <c r="J246" s="36"/>
      <c r="K246" s="36"/>
      <c r="L246" s="36"/>
      <c r="M246" s="36"/>
      <c r="N246" s="36"/>
      <c r="O246" s="36"/>
      <c r="P246" s="36"/>
      <c r="Q246" s="36"/>
      <c r="R246" s="36"/>
      <c r="S246" s="33">
        <v>32</v>
      </c>
      <c r="T246" s="34"/>
    </row>
    <row r="247" spans="1:20" ht="15.75" customHeight="1">
      <c r="A247" s="53">
        <v>2</v>
      </c>
      <c r="B247" s="53">
        <v>8</v>
      </c>
      <c r="C247" s="53">
        <v>11</v>
      </c>
      <c r="D247" s="53" t="s">
        <v>237</v>
      </c>
      <c r="E247" s="54" t="s">
        <v>238</v>
      </c>
      <c r="F247" s="53" t="s">
        <v>34</v>
      </c>
      <c r="G247" s="55">
        <v>50543</v>
      </c>
      <c r="H247" s="57">
        <v>38</v>
      </c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61" t="s">
        <v>55</v>
      </c>
    </row>
    <row r="248" spans="1:20" ht="15.75" customHeight="1">
      <c r="A248" s="25">
        <v>2</v>
      </c>
      <c r="B248" s="25">
        <v>8</v>
      </c>
      <c r="C248" s="25">
        <v>11</v>
      </c>
      <c r="D248" s="25" t="s">
        <v>237</v>
      </c>
      <c r="E248" s="26" t="s">
        <v>238</v>
      </c>
      <c r="F248" s="25" t="s">
        <v>34</v>
      </c>
      <c r="G248" s="30">
        <v>50738</v>
      </c>
      <c r="H248" s="31">
        <v>54</v>
      </c>
      <c r="I248" s="32">
        <v>30</v>
      </c>
      <c r="J248" s="32">
        <v>36</v>
      </c>
      <c r="K248" s="36"/>
      <c r="L248" s="36"/>
      <c r="M248" s="36"/>
      <c r="N248" s="36"/>
      <c r="O248" s="36"/>
      <c r="P248" s="36"/>
      <c r="Q248" s="36"/>
      <c r="R248" s="36"/>
      <c r="S248" s="33">
        <v>33</v>
      </c>
      <c r="T248" s="34"/>
    </row>
    <row r="249" spans="1:20" ht="15.75" customHeight="1">
      <c r="A249" s="25">
        <v>2</v>
      </c>
      <c r="B249" s="25">
        <v>8</v>
      </c>
      <c r="C249" s="25">
        <v>11</v>
      </c>
      <c r="D249" s="25" t="s">
        <v>237</v>
      </c>
      <c r="E249" s="26" t="s">
        <v>238</v>
      </c>
      <c r="F249" s="25" t="s">
        <v>68</v>
      </c>
      <c r="G249" s="30">
        <v>50644</v>
      </c>
      <c r="H249" s="31">
        <v>14</v>
      </c>
      <c r="I249" s="32">
        <v>29</v>
      </c>
      <c r="J249" s="36"/>
      <c r="K249" s="36"/>
      <c r="L249" s="36"/>
      <c r="M249" s="36"/>
      <c r="N249" s="36"/>
      <c r="O249" s="36"/>
      <c r="P249" s="36"/>
      <c r="Q249" s="36"/>
      <c r="R249" s="36"/>
      <c r="S249" s="33">
        <v>29</v>
      </c>
      <c r="T249" s="34"/>
    </row>
    <row r="250" spans="1:20" ht="15.75" customHeight="1">
      <c r="A250" s="38">
        <v>2</v>
      </c>
      <c r="B250" s="38">
        <v>8</v>
      </c>
      <c r="C250" s="38">
        <v>11</v>
      </c>
      <c r="D250" s="38" t="s">
        <v>237</v>
      </c>
      <c r="E250" s="40" t="s">
        <v>238</v>
      </c>
      <c r="F250" s="38" t="s">
        <v>25</v>
      </c>
      <c r="G250" s="43">
        <v>50275</v>
      </c>
      <c r="H250" s="46">
        <v>24</v>
      </c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50" t="s">
        <v>43</v>
      </c>
    </row>
    <row r="251" spans="1:20" ht="15.75" customHeight="1">
      <c r="A251" s="38">
        <v>2</v>
      </c>
      <c r="B251" s="38">
        <v>8</v>
      </c>
      <c r="C251" s="38">
        <v>11</v>
      </c>
      <c r="D251" s="38" t="s">
        <v>237</v>
      </c>
      <c r="E251" s="40" t="s">
        <v>238</v>
      </c>
      <c r="F251" s="38" t="s">
        <v>34</v>
      </c>
      <c r="G251" s="43">
        <v>50709</v>
      </c>
      <c r="H251" s="46">
        <v>31</v>
      </c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50" t="s">
        <v>43</v>
      </c>
    </row>
    <row r="252" spans="1:20" ht="15.75" customHeight="1">
      <c r="A252" s="16">
        <v>2</v>
      </c>
      <c r="B252" s="16">
        <v>8</v>
      </c>
      <c r="C252" s="16">
        <v>12</v>
      </c>
      <c r="D252" s="16" t="s">
        <v>239</v>
      </c>
      <c r="E252" s="18" t="s">
        <v>240</v>
      </c>
      <c r="F252" s="16" t="s">
        <v>25</v>
      </c>
      <c r="G252" s="20">
        <v>30885</v>
      </c>
      <c r="H252" s="21">
        <v>408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3" t="s">
        <v>26</v>
      </c>
    </row>
    <row r="253" spans="1:20" ht="15.75" customHeight="1">
      <c r="A253" s="25">
        <v>2</v>
      </c>
      <c r="B253" s="25">
        <v>8</v>
      </c>
      <c r="C253" s="25">
        <v>13</v>
      </c>
      <c r="D253" s="25" t="s">
        <v>134</v>
      </c>
      <c r="E253" s="26" t="s">
        <v>135</v>
      </c>
      <c r="F253" s="25" t="s">
        <v>25</v>
      </c>
      <c r="G253" s="30">
        <v>50142</v>
      </c>
      <c r="H253" s="31">
        <v>224</v>
      </c>
      <c r="I253" s="32">
        <v>50</v>
      </c>
      <c r="J253" s="32">
        <v>59</v>
      </c>
      <c r="K253" s="32">
        <v>48</v>
      </c>
      <c r="L253" s="32">
        <v>62</v>
      </c>
      <c r="M253" s="32">
        <v>53</v>
      </c>
      <c r="N253" s="32">
        <v>64</v>
      </c>
      <c r="O253" s="32">
        <v>43</v>
      </c>
      <c r="P253" s="32">
        <v>55</v>
      </c>
      <c r="Q253" s="36"/>
      <c r="R253" s="36"/>
      <c r="S253" s="33">
        <v>54.3</v>
      </c>
      <c r="T253" s="34"/>
    </row>
    <row r="254" spans="1:20" ht="15.75" customHeight="1">
      <c r="A254" s="25">
        <v>2</v>
      </c>
      <c r="B254" s="25">
        <v>8</v>
      </c>
      <c r="C254" s="25">
        <v>13</v>
      </c>
      <c r="D254" s="25" t="s">
        <v>136</v>
      </c>
      <c r="E254" s="26" t="s">
        <v>137</v>
      </c>
      <c r="F254" s="25" t="s">
        <v>25</v>
      </c>
      <c r="G254" s="30">
        <v>50857</v>
      </c>
      <c r="H254" s="31">
        <v>106</v>
      </c>
      <c r="I254" s="32">
        <v>75</v>
      </c>
      <c r="J254" s="32">
        <v>112</v>
      </c>
      <c r="K254" s="32">
        <v>119</v>
      </c>
      <c r="L254" s="32">
        <v>92</v>
      </c>
      <c r="M254" s="36"/>
      <c r="N254" s="36"/>
      <c r="O254" s="36"/>
      <c r="P254" s="36"/>
      <c r="Q254" s="36"/>
      <c r="R254" s="36"/>
      <c r="S254" s="33">
        <v>99.5</v>
      </c>
      <c r="T254" s="34"/>
    </row>
    <row r="255" spans="1:20" ht="15.75" customHeight="1">
      <c r="A255" s="25">
        <v>2</v>
      </c>
      <c r="B255" s="25">
        <v>8</v>
      </c>
      <c r="C255" s="25">
        <v>14</v>
      </c>
      <c r="D255" s="25" t="s">
        <v>241</v>
      </c>
      <c r="E255" s="26" t="s">
        <v>242</v>
      </c>
      <c r="F255" s="25" t="s">
        <v>25</v>
      </c>
      <c r="G255" s="30">
        <v>50876</v>
      </c>
      <c r="H255" s="31">
        <v>420</v>
      </c>
      <c r="I255" s="32">
        <v>18</v>
      </c>
      <c r="J255" s="32">
        <v>21</v>
      </c>
      <c r="K255" s="32">
        <v>48</v>
      </c>
      <c r="L255" s="32">
        <v>30</v>
      </c>
      <c r="M255" s="32">
        <v>27</v>
      </c>
      <c r="N255" s="32">
        <v>32</v>
      </c>
      <c r="O255" s="32">
        <v>31</v>
      </c>
      <c r="P255" s="32">
        <v>43</v>
      </c>
      <c r="Q255" s="32">
        <v>38.5</v>
      </c>
      <c r="R255" s="32">
        <v>35.5</v>
      </c>
      <c r="S255" s="33">
        <v>32.4</v>
      </c>
      <c r="T255" s="34"/>
    </row>
    <row r="256" spans="1:20" ht="15.75" customHeight="1">
      <c r="A256" s="25">
        <v>2</v>
      </c>
      <c r="B256" s="25">
        <v>8</v>
      </c>
      <c r="C256" s="25">
        <v>15</v>
      </c>
      <c r="D256" s="25" t="s">
        <v>203</v>
      </c>
      <c r="E256" s="26" t="s">
        <v>204</v>
      </c>
      <c r="F256" s="25" t="s">
        <v>31</v>
      </c>
      <c r="G256" s="30">
        <v>50841</v>
      </c>
      <c r="H256" s="31">
        <v>390</v>
      </c>
      <c r="I256" s="32">
        <v>84</v>
      </c>
      <c r="J256" s="32">
        <v>97</v>
      </c>
      <c r="K256" s="32">
        <v>174</v>
      </c>
      <c r="L256" s="32">
        <v>125</v>
      </c>
      <c r="M256" s="32">
        <v>116</v>
      </c>
      <c r="N256" s="32">
        <v>149</v>
      </c>
      <c r="O256" s="32">
        <v>80</v>
      </c>
      <c r="P256" s="32">
        <v>71</v>
      </c>
      <c r="Q256" s="32">
        <v>62</v>
      </c>
      <c r="R256" s="32">
        <v>44</v>
      </c>
      <c r="S256" s="33">
        <v>100.2</v>
      </c>
      <c r="T256" s="34"/>
    </row>
    <row r="257" spans="1:20" ht="15.75" customHeight="1">
      <c r="A257" s="25">
        <v>2</v>
      </c>
      <c r="B257" s="25">
        <v>8</v>
      </c>
      <c r="C257" s="25">
        <v>15</v>
      </c>
      <c r="D257" s="25" t="s">
        <v>203</v>
      </c>
      <c r="E257" s="26" t="s">
        <v>204</v>
      </c>
      <c r="F257" s="25" t="s">
        <v>25</v>
      </c>
      <c r="G257" s="30">
        <v>50657</v>
      </c>
      <c r="H257" s="31">
        <v>8</v>
      </c>
      <c r="I257" s="32">
        <v>111</v>
      </c>
      <c r="J257" s="36"/>
      <c r="K257" s="36"/>
      <c r="L257" s="36"/>
      <c r="M257" s="36"/>
      <c r="N257" s="36"/>
      <c r="O257" s="36"/>
      <c r="P257" s="36"/>
      <c r="Q257" s="36"/>
      <c r="R257" s="36"/>
      <c r="S257" s="33">
        <v>111</v>
      </c>
      <c r="T257" s="34"/>
    </row>
    <row r="258" spans="1:20" ht="15.75" customHeight="1">
      <c r="A258" s="25">
        <v>2</v>
      </c>
      <c r="B258" s="25">
        <v>8</v>
      </c>
      <c r="C258" s="25">
        <v>15</v>
      </c>
      <c r="D258" s="25" t="s">
        <v>203</v>
      </c>
      <c r="E258" s="26" t="s">
        <v>204</v>
      </c>
      <c r="F258" s="25" t="s">
        <v>31</v>
      </c>
      <c r="G258" s="30">
        <v>50777</v>
      </c>
      <c r="H258" s="31">
        <v>9</v>
      </c>
      <c r="I258" s="32">
        <v>58</v>
      </c>
      <c r="J258" s="36"/>
      <c r="K258" s="36"/>
      <c r="L258" s="36"/>
      <c r="M258" s="36"/>
      <c r="N258" s="36"/>
      <c r="O258" s="36"/>
      <c r="P258" s="36"/>
      <c r="Q258" s="36"/>
      <c r="R258" s="36"/>
      <c r="S258" s="33">
        <v>58</v>
      </c>
      <c r="T258" s="34"/>
    </row>
    <row r="259" spans="1:20" ht="15.75" customHeight="1">
      <c r="A259" s="25">
        <v>2</v>
      </c>
      <c r="B259" s="25">
        <v>8</v>
      </c>
      <c r="C259" s="25">
        <v>15</v>
      </c>
      <c r="D259" s="25" t="s">
        <v>203</v>
      </c>
      <c r="E259" s="26" t="s">
        <v>204</v>
      </c>
      <c r="F259" s="25" t="s">
        <v>31</v>
      </c>
      <c r="G259" s="30">
        <v>50799</v>
      </c>
      <c r="H259" s="31">
        <v>7</v>
      </c>
      <c r="I259" s="32">
        <v>88</v>
      </c>
      <c r="J259" s="36"/>
      <c r="K259" s="36"/>
      <c r="L259" s="36"/>
      <c r="M259" s="36"/>
      <c r="N259" s="36"/>
      <c r="O259" s="36"/>
      <c r="P259" s="36"/>
      <c r="Q259" s="36"/>
      <c r="R259" s="36"/>
      <c r="S259" s="33">
        <v>88</v>
      </c>
      <c r="T259" s="34"/>
    </row>
    <row r="260" spans="1:20" ht="15.75" customHeight="1">
      <c r="A260" s="38">
        <v>2</v>
      </c>
      <c r="B260" s="38">
        <v>12</v>
      </c>
      <c r="C260" s="38">
        <v>22</v>
      </c>
      <c r="D260" s="38" t="s">
        <v>243</v>
      </c>
      <c r="E260" s="40" t="s">
        <v>244</v>
      </c>
      <c r="F260" s="38" t="s">
        <v>109</v>
      </c>
      <c r="G260" s="43">
        <v>30655</v>
      </c>
      <c r="H260" s="46">
        <v>6</v>
      </c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50" t="s">
        <v>43</v>
      </c>
    </row>
    <row r="261" spans="1:20" ht="15.75" customHeight="1">
      <c r="A261" s="36"/>
      <c r="B261" s="36"/>
      <c r="C261" s="36"/>
      <c r="D261" s="36"/>
      <c r="E261" s="174"/>
      <c r="F261" s="36"/>
      <c r="G261" s="36"/>
      <c r="H261" s="175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4"/>
    </row>
    <row r="262" spans="1:20" ht="15.75" customHeight="1">
      <c r="A262" s="3"/>
      <c r="B262" s="3"/>
      <c r="C262" s="3"/>
      <c r="D262" s="3"/>
      <c r="E262" s="4"/>
      <c r="F262" s="3"/>
      <c r="G262" s="3"/>
      <c r="H262" s="1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176"/>
    </row>
    <row r="263" spans="1:20">
      <c r="A263" s="177" t="s">
        <v>245</v>
      </c>
      <c r="B263" s="3"/>
      <c r="C263" s="3"/>
      <c r="D263" s="3"/>
      <c r="E263" s="4"/>
      <c r="F263" s="3"/>
      <c r="G263" s="3"/>
      <c r="H263" s="1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176"/>
    </row>
    <row r="264" spans="1:20">
      <c r="A264" s="3"/>
      <c r="B264" s="3"/>
      <c r="C264" s="3"/>
      <c r="D264" s="3"/>
      <c r="E264" s="4"/>
      <c r="F264" s="3"/>
      <c r="G264" s="3"/>
      <c r="H264" s="1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176"/>
    </row>
    <row r="265" spans="1:20">
      <c r="A265" s="3"/>
      <c r="B265" s="3"/>
      <c r="C265" s="3"/>
      <c r="D265" s="3"/>
      <c r="E265" s="4"/>
      <c r="F265" s="3"/>
      <c r="G265" s="3"/>
      <c r="H265" s="1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176"/>
    </row>
    <row r="266" spans="1:20">
      <c r="A266" s="3"/>
      <c r="B266" s="3"/>
      <c r="C266" s="3"/>
      <c r="D266" s="3"/>
      <c r="E266" s="4"/>
      <c r="F266" s="3"/>
      <c r="G266" s="3"/>
      <c r="H266" s="1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176"/>
    </row>
    <row r="267" spans="1:20">
      <c r="A267" s="3"/>
      <c r="B267" s="3"/>
      <c r="C267" s="3"/>
      <c r="D267" s="3"/>
      <c r="E267" s="4"/>
      <c r="F267" s="3"/>
      <c r="G267" s="3"/>
      <c r="H267" s="1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176"/>
    </row>
    <row r="268" spans="1:20">
      <c r="A268" s="3"/>
      <c r="B268" s="3"/>
      <c r="C268" s="3"/>
      <c r="D268" s="3"/>
      <c r="E268" s="4"/>
      <c r="F268" s="3"/>
      <c r="G268" s="3"/>
      <c r="H268" s="1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176"/>
    </row>
    <row r="269" spans="1:20">
      <c r="A269" s="3"/>
      <c r="B269" s="3"/>
      <c r="C269" s="3"/>
      <c r="D269" s="3"/>
      <c r="E269" s="4"/>
      <c r="F269" s="3"/>
      <c r="G269" s="3"/>
      <c r="H269" s="1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176"/>
    </row>
    <row r="270" spans="1:20">
      <c r="A270" s="3"/>
      <c r="B270" s="3"/>
      <c r="C270" s="3"/>
      <c r="D270" s="3"/>
      <c r="E270" s="4"/>
      <c r="F270" s="3"/>
      <c r="G270" s="3"/>
      <c r="H270" s="1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176"/>
    </row>
    <row r="271" spans="1:20">
      <c r="A271" s="3"/>
      <c r="B271" s="3"/>
      <c r="C271" s="3"/>
      <c r="D271" s="3"/>
      <c r="E271" s="4"/>
      <c r="F271" s="3"/>
      <c r="G271" s="3"/>
      <c r="H271" s="1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176"/>
    </row>
    <row r="272" spans="1:20">
      <c r="A272" s="3"/>
      <c r="B272" s="3"/>
      <c r="C272" s="3"/>
      <c r="D272" s="3"/>
      <c r="E272" s="4"/>
      <c r="F272" s="3"/>
      <c r="G272" s="3"/>
      <c r="H272" s="1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176"/>
    </row>
    <row r="273" spans="1:20">
      <c r="A273" s="3"/>
      <c r="B273" s="3"/>
      <c r="C273" s="3"/>
      <c r="D273" s="3"/>
      <c r="E273" s="4"/>
      <c r="F273" s="3"/>
      <c r="G273" s="3"/>
      <c r="H273" s="1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176"/>
    </row>
    <row r="274" spans="1:20">
      <c r="A274" s="3"/>
      <c r="B274" s="3"/>
      <c r="C274" s="3"/>
      <c r="D274" s="3"/>
      <c r="E274" s="4"/>
      <c r="F274" s="3"/>
      <c r="G274" s="3"/>
      <c r="H274" s="1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176"/>
    </row>
    <row r="275" spans="1:20">
      <c r="A275" s="3"/>
      <c r="B275" s="3"/>
      <c r="C275" s="3"/>
      <c r="D275" s="3"/>
      <c r="E275" s="4"/>
      <c r="F275" s="3"/>
      <c r="G275" s="3"/>
      <c r="H275" s="1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176"/>
    </row>
    <row r="276" spans="1:20">
      <c r="A276" s="3"/>
      <c r="B276" s="3"/>
      <c r="C276" s="3"/>
      <c r="D276" s="3"/>
      <c r="E276" s="4"/>
      <c r="F276" s="3"/>
      <c r="G276" s="3"/>
      <c r="H276" s="1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176"/>
    </row>
    <row r="277" spans="1:20">
      <c r="A277" s="3"/>
      <c r="B277" s="3"/>
      <c r="C277" s="3"/>
      <c r="D277" s="3"/>
      <c r="E277" s="4"/>
      <c r="F277" s="3"/>
      <c r="G277" s="3"/>
      <c r="H277" s="1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176"/>
    </row>
    <row r="278" spans="1:20">
      <c r="A278" s="3"/>
      <c r="B278" s="3"/>
      <c r="C278" s="3"/>
      <c r="D278" s="3"/>
      <c r="E278" s="4"/>
      <c r="F278" s="3"/>
      <c r="G278" s="3"/>
      <c r="H278" s="1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176"/>
    </row>
    <row r="279" spans="1:20">
      <c r="A279" s="3"/>
      <c r="B279" s="3"/>
      <c r="C279" s="3"/>
      <c r="D279" s="3"/>
      <c r="E279" s="4"/>
      <c r="F279" s="3"/>
      <c r="G279" s="3"/>
      <c r="H279" s="1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176"/>
    </row>
    <row r="280" spans="1:20">
      <c r="A280" s="3"/>
      <c r="B280" s="3"/>
      <c r="C280" s="3"/>
      <c r="D280" s="3"/>
      <c r="E280" s="4"/>
      <c r="F280" s="3"/>
      <c r="G280" s="3"/>
      <c r="H280" s="1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176"/>
    </row>
    <row r="281" spans="1:20">
      <c r="A281" s="3"/>
      <c r="B281" s="3"/>
      <c r="C281" s="3"/>
      <c r="D281" s="3"/>
      <c r="E281" s="4"/>
      <c r="F281" s="3"/>
      <c r="G281" s="3"/>
      <c r="H281" s="1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176"/>
    </row>
    <row r="282" spans="1:20">
      <c r="A282" s="3"/>
      <c r="B282" s="3"/>
      <c r="C282" s="3"/>
      <c r="D282" s="3"/>
      <c r="E282" s="4"/>
      <c r="F282" s="3"/>
      <c r="G282" s="3"/>
      <c r="H282" s="1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176"/>
    </row>
    <row r="283" spans="1:20">
      <c r="A283" s="3"/>
      <c r="B283" s="3"/>
      <c r="C283" s="3"/>
      <c r="D283" s="3"/>
      <c r="E283" s="4"/>
      <c r="F283" s="3"/>
      <c r="G283" s="3"/>
      <c r="H283" s="1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176"/>
    </row>
    <row r="284" spans="1:20">
      <c r="A284" s="3"/>
      <c r="B284" s="3"/>
      <c r="C284" s="3"/>
      <c r="D284" s="3"/>
      <c r="E284" s="4"/>
      <c r="F284" s="3"/>
      <c r="G284" s="3"/>
      <c r="H284" s="1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176"/>
    </row>
    <row r="285" spans="1:20">
      <c r="A285" s="3"/>
      <c r="B285" s="3"/>
      <c r="C285" s="3"/>
      <c r="D285" s="3"/>
      <c r="E285" s="4"/>
      <c r="F285" s="3"/>
      <c r="G285" s="3"/>
      <c r="H285" s="1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176"/>
    </row>
    <row r="286" spans="1:20">
      <c r="A286" s="3"/>
      <c r="B286" s="3"/>
      <c r="C286" s="3"/>
      <c r="D286" s="3"/>
      <c r="E286" s="4"/>
      <c r="F286" s="3"/>
      <c r="G286" s="3"/>
      <c r="H286" s="1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176"/>
    </row>
    <row r="287" spans="1:20">
      <c r="A287" s="3"/>
      <c r="B287" s="3"/>
      <c r="C287" s="3"/>
      <c r="D287" s="3"/>
      <c r="E287" s="4"/>
      <c r="F287" s="3"/>
      <c r="G287" s="3"/>
      <c r="H287" s="1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176"/>
    </row>
    <row r="288" spans="1:20">
      <c r="A288" s="3"/>
      <c r="B288" s="3"/>
      <c r="C288" s="3"/>
      <c r="D288" s="3"/>
      <c r="E288" s="4"/>
      <c r="F288" s="3"/>
      <c r="G288" s="3"/>
      <c r="H288" s="1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176"/>
    </row>
    <row r="289" spans="1:20">
      <c r="A289" s="3"/>
      <c r="B289" s="3"/>
      <c r="C289" s="3"/>
      <c r="D289" s="3"/>
      <c r="E289" s="4"/>
      <c r="F289" s="3"/>
      <c r="G289" s="3"/>
      <c r="H289" s="1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176"/>
    </row>
    <row r="290" spans="1:20">
      <c r="A290" s="3"/>
      <c r="B290" s="3"/>
      <c r="C290" s="3"/>
      <c r="D290" s="3"/>
      <c r="E290" s="4"/>
      <c r="F290" s="3"/>
      <c r="G290" s="3"/>
      <c r="H290" s="1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176"/>
    </row>
    <row r="291" spans="1:20">
      <c r="A291" s="3"/>
      <c r="B291" s="3"/>
      <c r="C291" s="3"/>
      <c r="D291" s="3"/>
      <c r="E291" s="4"/>
      <c r="F291" s="3"/>
      <c r="G291" s="3"/>
      <c r="H291" s="1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176"/>
    </row>
    <row r="292" spans="1:20">
      <c r="A292" s="3"/>
      <c r="B292" s="3"/>
      <c r="C292" s="3"/>
      <c r="D292" s="3"/>
      <c r="E292" s="4"/>
      <c r="F292" s="3"/>
      <c r="G292" s="3"/>
      <c r="H292" s="1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176"/>
    </row>
    <row r="293" spans="1:20">
      <c r="A293" s="3"/>
      <c r="B293" s="3"/>
      <c r="C293" s="3"/>
      <c r="D293" s="3"/>
      <c r="E293" s="4"/>
      <c r="F293" s="3"/>
      <c r="G293" s="3"/>
      <c r="H293" s="1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176"/>
    </row>
    <row r="294" spans="1:20">
      <c r="A294" s="3"/>
      <c r="B294" s="3"/>
      <c r="C294" s="3"/>
      <c r="D294" s="3"/>
      <c r="E294" s="4"/>
      <c r="F294" s="3"/>
      <c r="G294" s="3"/>
      <c r="H294" s="1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176"/>
    </row>
    <row r="295" spans="1:20">
      <c r="A295" s="3"/>
      <c r="B295" s="3"/>
      <c r="C295" s="3"/>
      <c r="D295" s="3"/>
      <c r="E295" s="4"/>
      <c r="F295" s="3"/>
      <c r="G295" s="3"/>
      <c r="H295" s="1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176"/>
    </row>
    <row r="296" spans="1:20">
      <c r="A296" s="3"/>
      <c r="B296" s="3"/>
      <c r="C296" s="3"/>
      <c r="D296" s="3"/>
      <c r="E296" s="4"/>
      <c r="F296" s="3"/>
      <c r="G296" s="3"/>
      <c r="H296" s="1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176"/>
    </row>
    <row r="297" spans="1:20">
      <c r="A297" s="3"/>
      <c r="B297" s="3"/>
      <c r="C297" s="3"/>
      <c r="D297" s="3"/>
      <c r="E297" s="4"/>
      <c r="F297" s="3"/>
      <c r="G297" s="3"/>
      <c r="H297" s="1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176"/>
    </row>
    <row r="298" spans="1:20">
      <c r="A298" s="3"/>
      <c r="B298" s="3"/>
      <c r="C298" s="3"/>
      <c r="D298" s="3"/>
      <c r="E298" s="4"/>
      <c r="F298" s="3"/>
      <c r="G298" s="3"/>
      <c r="H298" s="1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176"/>
    </row>
    <row r="299" spans="1:20">
      <c r="A299" s="3"/>
      <c r="B299" s="3"/>
      <c r="C299" s="3"/>
      <c r="D299" s="3"/>
      <c r="E299" s="4"/>
      <c r="F299" s="3"/>
      <c r="G299" s="3"/>
      <c r="H299" s="1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176"/>
    </row>
    <row r="300" spans="1:20">
      <c r="A300" s="3"/>
      <c r="B300" s="3"/>
      <c r="C300" s="3"/>
      <c r="D300" s="3"/>
      <c r="E300" s="4"/>
      <c r="F300" s="3"/>
      <c r="G300" s="3"/>
      <c r="H300" s="1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176"/>
    </row>
    <row r="301" spans="1:20">
      <c r="A301" s="3"/>
      <c r="B301" s="3"/>
      <c r="C301" s="3"/>
      <c r="D301" s="3"/>
      <c r="E301" s="4"/>
      <c r="F301" s="3"/>
      <c r="G301" s="3"/>
      <c r="H301" s="1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176"/>
    </row>
    <row r="302" spans="1:20">
      <c r="A302" s="3"/>
      <c r="B302" s="3"/>
      <c r="C302" s="3"/>
      <c r="D302" s="3"/>
      <c r="E302" s="4"/>
      <c r="F302" s="3"/>
      <c r="G302" s="3"/>
      <c r="H302" s="1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176"/>
    </row>
    <row r="303" spans="1:20">
      <c r="A303" s="3"/>
      <c r="B303" s="3"/>
      <c r="C303" s="3"/>
      <c r="D303" s="3"/>
      <c r="E303" s="4"/>
      <c r="F303" s="3"/>
      <c r="G303" s="3"/>
      <c r="H303" s="1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176"/>
    </row>
    <row r="304" spans="1:20">
      <c r="A304" s="3"/>
      <c r="B304" s="3"/>
      <c r="C304" s="3"/>
      <c r="D304" s="3"/>
      <c r="E304" s="4"/>
      <c r="F304" s="3"/>
      <c r="G304" s="3"/>
      <c r="H304" s="1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176"/>
    </row>
    <row r="305" spans="1:20">
      <c r="A305" s="3"/>
      <c r="B305" s="3"/>
      <c r="C305" s="3"/>
      <c r="D305" s="3"/>
      <c r="E305" s="4"/>
      <c r="F305" s="3"/>
      <c r="G305" s="3"/>
      <c r="H305" s="1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176"/>
    </row>
    <row r="306" spans="1:20">
      <c r="A306" s="3"/>
      <c r="B306" s="3"/>
      <c r="C306" s="3"/>
      <c r="D306" s="3"/>
      <c r="E306" s="4"/>
      <c r="F306" s="3"/>
      <c r="G306" s="3"/>
      <c r="H306" s="1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176"/>
    </row>
    <row r="307" spans="1:20">
      <c r="A307" s="3"/>
      <c r="B307" s="3"/>
      <c r="C307" s="3"/>
      <c r="D307" s="3"/>
      <c r="E307" s="4"/>
      <c r="F307" s="3"/>
      <c r="G307" s="3"/>
      <c r="H307" s="1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176"/>
    </row>
    <row r="308" spans="1:20">
      <c r="A308" s="3"/>
      <c r="B308" s="3"/>
      <c r="C308" s="3"/>
      <c r="D308" s="3"/>
      <c r="E308" s="4"/>
      <c r="F308" s="3"/>
      <c r="G308" s="3"/>
      <c r="H308" s="1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176"/>
    </row>
    <row r="309" spans="1:20">
      <c r="A309" s="3"/>
      <c r="B309" s="3"/>
      <c r="C309" s="3"/>
      <c r="D309" s="3"/>
      <c r="E309" s="4"/>
      <c r="F309" s="3"/>
      <c r="G309" s="3"/>
      <c r="H309" s="1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176"/>
    </row>
    <row r="310" spans="1:20">
      <c r="A310" s="3"/>
      <c r="B310" s="3"/>
      <c r="C310" s="3"/>
      <c r="D310" s="3"/>
      <c r="E310" s="4"/>
      <c r="F310" s="3"/>
      <c r="G310" s="3"/>
      <c r="H310" s="1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176"/>
    </row>
    <row r="311" spans="1:20">
      <c r="A311" s="3"/>
      <c r="B311" s="3"/>
      <c r="C311" s="3"/>
      <c r="D311" s="3"/>
      <c r="E311" s="4"/>
      <c r="F311" s="3"/>
      <c r="G311" s="3"/>
      <c r="H311" s="1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176"/>
    </row>
    <row r="312" spans="1:20">
      <c r="A312" s="3"/>
      <c r="B312" s="3"/>
      <c r="C312" s="3"/>
      <c r="D312" s="3"/>
      <c r="E312" s="4"/>
      <c r="F312" s="3"/>
      <c r="G312" s="3"/>
      <c r="H312" s="1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176"/>
    </row>
    <row r="313" spans="1:20">
      <c r="A313" s="3"/>
      <c r="B313" s="3"/>
      <c r="C313" s="3"/>
      <c r="D313" s="3"/>
      <c r="E313" s="4"/>
      <c r="F313" s="3"/>
      <c r="G313" s="3"/>
      <c r="H313" s="1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176"/>
    </row>
    <row r="314" spans="1:20">
      <c r="A314" s="3"/>
      <c r="B314" s="3"/>
      <c r="C314" s="3"/>
      <c r="D314" s="3"/>
      <c r="E314" s="4"/>
      <c r="F314" s="3"/>
      <c r="G314" s="3"/>
      <c r="H314" s="1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176"/>
    </row>
    <row r="315" spans="1:20">
      <c r="A315" s="3"/>
      <c r="B315" s="3"/>
      <c r="C315" s="3"/>
      <c r="D315" s="3"/>
      <c r="E315" s="4"/>
      <c r="F315" s="3"/>
      <c r="G315" s="3"/>
      <c r="H315" s="1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176"/>
    </row>
    <row r="316" spans="1:20">
      <c r="A316" s="3"/>
      <c r="B316" s="3"/>
      <c r="C316" s="3"/>
      <c r="D316" s="3"/>
      <c r="E316" s="4"/>
      <c r="F316" s="3"/>
      <c r="G316" s="3"/>
      <c r="H316" s="1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176"/>
    </row>
    <row r="317" spans="1:20">
      <c r="A317" s="3"/>
      <c r="B317" s="3"/>
      <c r="C317" s="3"/>
      <c r="D317" s="3"/>
      <c r="E317" s="4"/>
      <c r="F317" s="3"/>
      <c r="G317" s="3"/>
      <c r="H317" s="1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176"/>
    </row>
    <row r="318" spans="1:20">
      <c r="A318" s="3"/>
      <c r="B318" s="3"/>
      <c r="C318" s="3"/>
      <c r="D318" s="3"/>
      <c r="E318" s="4"/>
      <c r="F318" s="3"/>
      <c r="G318" s="3"/>
      <c r="H318" s="1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176"/>
    </row>
    <row r="319" spans="1:20">
      <c r="A319" s="3"/>
      <c r="B319" s="3"/>
      <c r="C319" s="3"/>
      <c r="D319" s="3"/>
      <c r="E319" s="4"/>
      <c r="F319" s="3"/>
      <c r="G319" s="3"/>
      <c r="H319" s="1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176"/>
    </row>
    <row r="320" spans="1:20">
      <c r="A320" s="3"/>
      <c r="B320" s="3"/>
      <c r="C320" s="3"/>
      <c r="D320" s="3"/>
      <c r="E320" s="4"/>
      <c r="F320" s="3"/>
      <c r="G320" s="3"/>
      <c r="H320" s="1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176"/>
    </row>
    <row r="321" spans="1:20">
      <c r="A321" s="3"/>
      <c r="B321" s="3"/>
      <c r="C321" s="3"/>
      <c r="D321" s="3"/>
      <c r="E321" s="4"/>
      <c r="F321" s="3"/>
      <c r="G321" s="3"/>
      <c r="H321" s="1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176"/>
    </row>
    <row r="322" spans="1:20">
      <c r="A322" s="3"/>
      <c r="B322" s="3"/>
      <c r="C322" s="3"/>
      <c r="D322" s="3"/>
      <c r="E322" s="4"/>
      <c r="F322" s="3"/>
      <c r="G322" s="3"/>
      <c r="H322" s="1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176"/>
    </row>
    <row r="323" spans="1:20">
      <c r="A323" s="3"/>
      <c r="B323" s="3"/>
      <c r="C323" s="3"/>
      <c r="D323" s="3"/>
      <c r="E323" s="4"/>
      <c r="F323" s="3"/>
      <c r="G323" s="3"/>
      <c r="H323" s="1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176"/>
    </row>
    <row r="324" spans="1:20">
      <c r="A324" s="3"/>
      <c r="B324" s="3"/>
      <c r="C324" s="3"/>
      <c r="D324" s="3"/>
      <c r="E324" s="4"/>
      <c r="F324" s="3"/>
      <c r="G324" s="3"/>
      <c r="H324" s="1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176"/>
    </row>
    <row r="325" spans="1:20">
      <c r="A325" s="3"/>
      <c r="B325" s="3"/>
      <c r="C325" s="3"/>
      <c r="D325" s="3"/>
      <c r="E325" s="4"/>
      <c r="F325" s="3"/>
      <c r="G325" s="3"/>
      <c r="H325" s="1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176"/>
    </row>
    <row r="326" spans="1:20">
      <c r="A326" s="3"/>
      <c r="B326" s="3"/>
      <c r="C326" s="3"/>
      <c r="D326" s="3"/>
      <c r="E326" s="4"/>
      <c r="F326" s="3"/>
      <c r="G326" s="3"/>
      <c r="H326" s="1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176"/>
    </row>
    <row r="327" spans="1:20">
      <c r="A327" s="3"/>
      <c r="B327" s="3"/>
      <c r="C327" s="3"/>
      <c r="D327" s="3"/>
      <c r="E327" s="4"/>
      <c r="F327" s="3"/>
      <c r="G327" s="3"/>
      <c r="H327" s="1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176"/>
    </row>
    <row r="328" spans="1:20">
      <c r="A328" s="3"/>
      <c r="B328" s="3"/>
      <c r="C328" s="3"/>
      <c r="D328" s="3"/>
      <c r="E328" s="4"/>
      <c r="F328" s="3"/>
      <c r="G328" s="3"/>
      <c r="H328" s="1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176"/>
    </row>
    <row r="329" spans="1:20">
      <c r="A329" s="3"/>
      <c r="B329" s="3"/>
      <c r="C329" s="3"/>
      <c r="D329" s="3"/>
      <c r="E329" s="4"/>
      <c r="F329" s="3"/>
      <c r="G329" s="3"/>
      <c r="H329" s="1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176"/>
    </row>
    <row r="330" spans="1:20">
      <c r="A330" s="3"/>
      <c r="B330" s="3"/>
      <c r="C330" s="3"/>
      <c r="D330" s="3"/>
      <c r="E330" s="4"/>
      <c r="F330" s="3"/>
      <c r="G330" s="3"/>
      <c r="H330" s="1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176"/>
    </row>
    <row r="331" spans="1:20">
      <c r="A331" s="3"/>
      <c r="B331" s="3"/>
      <c r="C331" s="3"/>
      <c r="D331" s="3"/>
      <c r="E331" s="4"/>
      <c r="F331" s="3"/>
      <c r="G331" s="3"/>
      <c r="H331" s="1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176"/>
    </row>
    <row r="332" spans="1:20">
      <c r="A332" s="3"/>
      <c r="B332" s="3"/>
      <c r="C332" s="3"/>
      <c r="D332" s="3"/>
      <c r="E332" s="4"/>
      <c r="F332" s="3"/>
      <c r="G332" s="3"/>
      <c r="H332" s="1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176"/>
    </row>
    <row r="333" spans="1:20">
      <c r="A333" s="3"/>
      <c r="B333" s="3"/>
      <c r="C333" s="3"/>
      <c r="D333" s="3"/>
      <c r="E333" s="4"/>
      <c r="F333" s="3"/>
      <c r="G333" s="3"/>
      <c r="H333" s="1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176"/>
    </row>
    <row r="334" spans="1:20">
      <c r="A334" s="3"/>
      <c r="B334" s="3"/>
      <c r="C334" s="3"/>
      <c r="D334" s="3"/>
      <c r="E334" s="4"/>
      <c r="F334" s="3"/>
      <c r="G334" s="3"/>
      <c r="H334" s="1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176"/>
    </row>
    <row r="335" spans="1:20">
      <c r="A335" s="3"/>
      <c r="B335" s="3"/>
      <c r="C335" s="3"/>
      <c r="D335" s="3"/>
      <c r="E335" s="4"/>
      <c r="F335" s="3"/>
      <c r="G335" s="3"/>
      <c r="H335" s="1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176"/>
    </row>
    <row r="336" spans="1:20">
      <c r="A336" s="3"/>
      <c r="B336" s="3"/>
      <c r="C336" s="3"/>
      <c r="D336" s="3"/>
      <c r="E336" s="4"/>
      <c r="F336" s="3"/>
      <c r="G336" s="3"/>
      <c r="H336" s="1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176"/>
    </row>
    <row r="337" spans="1:20">
      <c r="A337" s="3"/>
      <c r="B337" s="3"/>
      <c r="C337" s="3"/>
      <c r="D337" s="3"/>
      <c r="E337" s="4"/>
      <c r="F337" s="3"/>
      <c r="G337" s="3"/>
      <c r="H337" s="1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176"/>
    </row>
    <row r="338" spans="1:20">
      <c r="A338" s="3"/>
      <c r="B338" s="3"/>
      <c r="C338" s="3"/>
      <c r="D338" s="3"/>
      <c r="E338" s="4"/>
      <c r="F338" s="3"/>
      <c r="G338" s="3"/>
      <c r="H338" s="1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176"/>
    </row>
    <row r="339" spans="1:20">
      <c r="A339" s="3"/>
      <c r="B339" s="3"/>
      <c r="C339" s="3"/>
      <c r="D339" s="3"/>
      <c r="E339" s="4"/>
      <c r="F339" s="3"/>
      <c r="G339" s="3"/>
      <c r="H339" s="1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176"/>
    </row>
    <row r="340" spans="1:20">
      <c r="A340" s="3"/>
      <c r="B340" s="3"/>
      <c r="C340" s="3"/>
      <c r="D340" s="3"/>
      <c r="E340" s="4"/>
      <c r="F340" s="3"/>
      <c r="G340" s="3"/>
      <c r="H340" s="1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176"/>
    </row>
    <row r="341" spans="1:20">
      <c r="A341" s="3"/>
      <c r="B341" s="3"/>
      <c r="C341" s="3"/>
      <c r="D341" s="3"/>
      <c r="E341" s="4"/>
      <c r="F341" s="3"/>
      <c r="G341" s="3"/>
      <c r="H341" s="1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176"/>
    </row>
    <row r="342" spans="1:20">
      <c r="A342" s="3"/>
      <c r="B342" s="3"/>
      <c r="C342" s="3"/>
      <c r="D342" s="3"/>
      <c r="E342" s="4"/>
      <c r="F342" s="3"/>
      <c r="G342" s="3"/>
      <c r="H342" s="1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176"/>
    </row>
    <row r="343" spans="1:20">
      <c r="A343" s="3"/>
      <c r="B343" s="3"/>
      <c r="C343" s="3"/>
      <c r="D343" s="3"/>
      <c r="E343" s="4"/>
      <c r="F343" s="3"/>
      <c r="G343" s="3"/>
      <c r="H343" s="1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176"/>
    </row>
    <row r="344" spans="1:20">
      <c r="A344" s="3"/>
      <c r="B344" s="3"/>
      <c r="C344" s="3"/>
      <c r="D344" s="3"/>
      <c r="E344" s="4"/>
      <c r="F344" s="3"/>
      <c r="G344" s="3"/>
      <c r="H344" s="1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176"/>
    </row>
    <row r="345" spans="1:20">
      <c r="A345" s="3"/>
      <c r="B345" s="3"/>
      <c r="C345" s="3"/>
      <c r="D345" s="3"/>
      <c r="E345" s="4"/>
      <c r="F345" s="3"/>
      <c r="G345" s="3"/>
      <c r="H345" s="1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176"/>
    </row>
    <row r="346" spans="1:20">
      <c r="A346" s="3"/>
      <c r="B346" s="3"/>
      <c r="C346" s="3"/>
      <c r="D346" s="3"/>
      <c r="E346" s="4"/>
      <c r="F346" s="3"/>
      <c r="G346" s="3"/>
      <c r="H346" s="1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176"/>
    </row>
    <row r="347" spans="1:20">
      <c r="A347" s="3"/>
      <c r="B347" s="3"/>
      <c r="C347" s="3"/>
      <c r="D347" s="3"/>
      <c r="E347" s="4"/>
      <c r="F347" s="3"/>
      <c r="G347" s="3"/>
      <c r="H347" s="1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176"/>
    </row>
    <row r="348" spans="1:20">
      <c r="A348" s="3"/>
      <c r="B348" s="3"/>
      <c r="C348" s="3"/>
      <c r="D348" s="3"/>
      <c r="E348" s="4"/>
      <c r="F348" s="3"/>
      <c r="G348" s="3"/>
      <c r="H348" s="1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176"/>
    </row>
    <row r="349" spans="1:20">
      <c r="A349" s="3"/>
      <c r="B349" s="3"/>
      <c r="C349" s="3"/>
      <c r="D349" s="3"/>
      <c r="E349" s="4"/>
      <c r="F349" s="3"/>
      <c r="G349" s="3"/>
      <c r="H349" s="1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176"/>
    </row>
    <row r="350" spans="1:20">
      <c r="A350" s="3"/>
      <c r="B350" s="3"/>
      <c r="C350" s="3"/>
      <c r="D350" s="3"/>
      <c r="E350" s="4"/>
      <c r="F350" s="3"/>
      <c r="G350" s="3"/>
      <c r="H350" s="1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176"/>
    </row>
    <row r="351" spans="1:20">
      <c r="A351" s="3"/>
      <c r="B351" s="3"/>
      <c r="C351" s="3"/>
      <c r="D351" s="3"/>
      <c r="E351" s="4"/>
      <c r="F351" s="3"/>
      <c r="G351" s="3"/>
      <c r="H351" s="1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176"/>
    </row>
    <row r="352" spans="1:20">
      <c r="A352" s="3"/>
      <c r="B352" s="3"/>
      <c r="C352" s="3"/>
      <c r="D352" s="3"/>
      <c r="E352" s="4"/>
      <c r="F352" s="3"/>
      <c r="G352" s="3"/>
      <c r="H352" s="1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176"/>
    </row>
    <row r="353" spans="1:20">
      <c r="A353" s="3"/>
      <c r="B353" s="3"/>
      <c r="C353" s="3"/>
      <c r="D353" s="3"/>
      <c r="E353" s="4"/>
      <c r="F353" s="3"/>
      <c r="G353" s="3"/>
      <c r="H353" s="1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176"/>
    </row>
    <row r="354" spans="1:20">
      <c r="A354" s="3"/>
      <c r="B354" s="3"/>
      <c r="C354" s="3"/>
      <c r="D354" s="3"/>
      <c r="E354" s="4"/>
      <c r="F354" s="3"/>
      <c r="G354" s="3"/>
      <c r="H354" s="1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176"/>
    </row>
    <row r="355" spans="1:20">
      <c r="A355" s="3"/>
      <c r="B355" s="3"/>
      <c r="C355" s="3"/>
      <c r="D355" s="3"/>
      <c r="E355" s="4"/>
      <c r="F355" s="3"/>
      <c r="G355" s="3"/>
      <c r="H355" s="1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176"/>
    </row>
    <row r="356" spans="1:20">
      <c r="A356" s="3"/>
      <c r="B356" s="3"/>
      <c r="C356" s="3"/>
      <c r="D356" s="3"/>
      <c r="E356" s="4"/>
      <c r="F356" s="3"/>
      <c r="G356" s="3"/>
      <c r="H356" s="1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176"/>
    </row>
    <row r="357" spans="1:20">
      <c r="A357" s="3"/>
      <c r="B357" s="3"/>
      <c r="C357" s="3"/>
      <c r="D357" s="3"/>
      <c r="E357" s="4"/>
      <c r="F357" s="3"/>
      <c r="G357" s="3"/>
      <c r="H357" s="1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176"/>
    </row>
    <row r="358" spans="1:20">
      <c r="A358" s="3"/>
      <c r="B358" s="3"/>
      <c r="C358" s="3"/>
      <c r="D358" s="3"/>
      <c r="E358" s="4"/>
      <c r="F358" s="3"/>
      <c r="G358" s="3"/>
      <c r="H358" s="1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176"/>
    </row>
    <row r="359" spans="1:20">
      <c r="A359" s="3"/>
      <c r="B359" s="3"/>
      <c r="C359" s="3"/>
      <c r="D359" s="3"/>
      <c r="E359" s="4"/>
      <c r="F359" s="3"/>
      <c r="G359" s="3"/>
      <c r="H359" s="1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176"/>
    </row>
    <row r="360" spans="1:20">
      <c r="A360" s="3"/>
      <c r="B360" s="3"/>
      <c r="C360" s="3"/>
      <c r="D360" s="3"/>
      <c r="E360" s="4"/>
      <c r="F360" s="3"/>
      <c r="G360" s="3"/>
      <c r="H360" s="1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176"/>
    </row>
    <row r="361" spans="1:20">
      <c r="A361" s="3"/>
      <c r="B361" s="3"/>
      <c r="C361" s="3"/>
      <c r="D361" s="3"/>
      <c r="E361" s="4"/>
      <c r="F361" s="3"/>
      <c r="G361" s="3"/>
      <c r="H361" s="1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176"/>
    </row>
    <row r="362" spans="1:20">
      <c r="A362" s="3"/>
      <c r="B362" s="3"/>
      <c r="C362" s="3"/>
      <c r="D362" s="3"/>
      <c r="E362" s="4"/>
      <c r="F362" s="3"/>
      <c r="G362" s="3"/>
      <c r="H362" s="1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176"/>
    </row>
    <row r="363" spans="1:20">
      <c r="A363" s="3"/>
      <c r="B363" s="3"/>
      <c r="C363" s="3"/>
      <c r="D363" s="3"/>
      <c r="E363" s="4"/>
      <c r="F363" s="3"/>
      <c r="G363" s="3"/>
      <c r="H363" s="1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176"/>
    </row>
    <row r="364" spans="1:20">
      <c r="A364" s="3"/>
      <c r="B364" s="3"/>
      <c r="C364" s="3"/>
      <c r="D364" s="3"/>
      <c r="E364" s="4"/>
      <c r="F364" s="3"/>
      <c r="G364" s="3"/>
      <c r="H364" s="1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176"/>
    </row>
    <row r="365" spans="1:20">
      <c r="A365" s="3"/>
      <c r="B365" s="3"/>
      <c r="C365" s="3"/>
      <c r="D365" s="3"/>
      <c r="E365" s="4"/>
      <c r="F365" s="3"/>
      <c r="G365" s="3"/>
      <c r="H365" s="1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176"/>
    </row>
    <row r="366" spans="1:20">
      <c r="A366" s="3"/>
      <c r="B366" s="3"/>
      <c r="C366" s="3"/>
      <c r="D366" s="3"/>
      <c r="E366" s="4"/>
      <c r="F366" s="3"/>
      <c r="G366" s="3"/>
      <c r="H366" s="1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176"/>
    </row>
    <row r="367" spans="1:20">
      <c r="A367" s="3"/>
      <c r="B367" s="3"/>
      <c r="C367" s="3"/>
      <c r="D367" s="3"/>
      <c r="E367" s="4"/>
      <c r="F367" s="3"/>
      <c r="G367" s="3"/>
      <c r="H367" s="1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176"/>
    </row>
    <row r="368" spans="1:20">
      <c r="A368" s="3"/>
      <c r="B368" s="3"/>
      <c r="C368" s="3"/>
      <c r="D368" s="3"/>
      <c r="E368" s="4"/>
      <c r="F368" s="3"/>
      <c r="G368" s="3"/>
      <c r="H368" s="1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176"/>
    </row>
    <row r="369" spans="1:20">
      <c r="A369" s="3"/>
      <c r="B369" s="3"/>
      <c r="C369" s="3"/>
      <c r="D369" s="3"/>
      <c r="E369" s="4"/>
      <c r="F369" s="3"/>
      <c r="G369" s="3"/>
      <c r="H369" s="1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176"/>
    </row>
    <row r="370" spans="1:20">
      <c r="A370" s="3"/>
      <c r="B370" s="3"/>
      <c r="C370" s="3"/>
      <c r="D370" s="3"/>
      <c r="E370" s="4"/>
      <c r="F370" s="3"/>
      <c r="G370" s="3"/>
      <c r="H370" s="1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176"/>
    </row>
    <row r="371" spans="1:20">
      <c r="A371" s="3"/>
      <c r="B371" s="3"/>
      <c r="C371" s="3"/>
      <c r="D371" s="3"/>
      <c r="E371" s="4"/>
      <c r="F371" s="3"/>
      <c r="G371" s="3"/>
      <c r="H371" s="1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176"/>
    </row>
    <row r="372" spans="1:20">
      <c r="A372" s="3"/>
      <c r="B372" s="3"/>
      <c r="C372" s="3"/>
      <c r="D372" s="3"/>
      <c r="E372" s="4"/>
      <c r="F372" s="3"/>
      <c r="G372" s="3"/>
      <c r="H372" s="1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176"/>
    </row>
    <row r="373" spans="1:20">
      <c r="A373" s="3"/>
      <c r="B373" s="3"/>
      <c r="C373" s="3"/>
      <c r="D373" s="3"/>
      <c r="E373" s="4"/>
      <c r="F373" s="3"/>
      <c r="G373" s="3"/>
      <c r="H373" s="1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176"/>
    </row>
    <row r="374" spans="1:20">
      <c r="A374" s="3"/>
      <c r="B374" s="3"/>
      <c r="C374" s="3"/>
      <c r="D374" s="3"/>
      <c r="E374" s="4"/>
      <c r="F374" s="3"/>
      <c r="G374" s="3"/>
      <c r="H374" s="1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176"/>
    </row>
    <row r="375" spans="1:20">
      <c r="A375" s="3"/>
      <c r="B375" s="3"/>
      <c r="C375" s="3"/>
      <c r="D375" s="3"/>
      <c r="E375" s="4"/>
      <c r="F375" s="3"/>
      <c r="G375" s="3"/>
      <c r="H375" s="1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176"/>
    </row>
    <row r="376" spans="1:20">
      <c r="A376" s="3"/>
      <c r="B376" s="3"/>
      <c r="C376" s="3"/>
      <c r="D376" s="3"/>
      <c r="E376" s="4"/>
      <c r="F376" s="3"/>
      <c r="G376" s="3"/>
      <c r="H376" s="1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176"/>
    </row>
    <row r="377" spans="1:20">
      <c r="A377" s="3"/>
      <c r="B377" s="3"/>
      <c r="C377" s="3"/>
      <c r="D377" s="3"/>
      <c r="E377" s="4"/>
      <c r="F377" s="3"/>
      <c r="G377" s="3"/>
      <c r="H377" s="1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176"/>
    </row>
    <row r="378" spans="1:20">
      <c r="A378" s="3"/>
      <c r="B378" s="3"/>
      <c r="C378" s="3"/>
      <c r="D378" s="3"/>
      <c r="E378" s="4"/>
      <c r="F378" s="3"/>
      <c r="G378" s="3"/>
      <c r="H378" s="1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176"/>
    </row>
    <row r="379" spans="1:20">
      <c r="A379" s="3"/>
      <c r="B379" s="3"/>
      <c r="C379" s="3"/>
      <c r="D379" s="3"/>
      <c r="E379" s="4"/>
      <c r="F379" s="3"/>
      <c r="G379" s="3"/>
      <c r="H379" s="1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176"/>
    </row>
    <row r="380" spans="1:20">
      <c r="A380" s="3"/>
      <c r="B380" s="3"/>
      <c r="C380" s="3"/>
      <c r="D380" s="3"/>
      <c r="E380" s="4"/>
      <c r="F380" s="3"/>
      <c r="G380" s="3"/>
      <c r="H380" s="1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176"/>
    </row>
    <row r="381" spans="1:20">
      <c r="A381" s="3"/>
      <c r="B381" s="3"/>
      <c r="C381" s="3"/>
      <c r="D381" s="3"/>
      <c r="E381" s="4"/>
      <c r="F381" s="3"/>
      <c r="G381" s="3"/>
      <c r="H381" s="1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176"/>
    </row>
    <row r="382" spans="1:20">
      <c r="A382" s="3"/>
      <c r="B382" s="3"/>
      <c r="C382" s="3"/>
      <c r="D382" s="3"/>
      <c r="E382" s="4"/>
      <c r="F382" s="3"/>
      <c r="G382" s="3"/>
      <c r="H382" s="1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176"/>
    </row>
    <row r="383" spans="1:20">
      <c r="A383" s="3"/>
      <c r="B383" s="3"/>
      <c r="C383" s="3"/>
      <c r="D383" s="3"/>
      <c r="E383" s="4"/>
      <c r="F383" s="3"/>
      <c r="G383" s="3"/>
      <c r="H383" s="1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176"/>
    </row>
    <row r="384" spans="1:20">
      <c r="A384" s="3"/>
      <c r="B384" s="3"/>
      <c r="C384" s="3"/>
      <c r="D384" s="3"/>
      <c r="E384" s="4"/>
      <c r="F384" s="3"/>
      <c r="G384" s="3"/>
      <c r="H384" s="1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176"/>
    </row>
    <row r="385" spans="1:20">
      <c r="A385" s="3"/>
      <c r="B385" s="3"/>
      <c r="C385" s="3"/>
      <c r="D385" s="3"/>
      <c r="E385" s="4"/>
      <c r="F385" s="3"/>
      <c r="G385" s="3"/>
      <c r="H385" s="1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176"/>
    </row>
    <row r="386" spans="1:20">
      <c r="A386" s="3"/>
      <c r="B386" s="3"/>
      <c r="C386" s="3"/>
      <c r="D386" s="3"/>
      <c r="E386" s="4"/>
      <c r="F386" s="3"/>
      <c r="G386" s="3"/>
      <c r="H386" s="1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176"/>
    </row>
    <row r="387" spans="1:20">
      <c r="A387" s="3"/>
      <c r="B387" s="3"/>
      <c r="C387" s="3"/>
      <c r="D387" s="3"/>
      <c r="E387" s="4"/>
      <c r="F387" s="3"/>
      <c r="G387" s="3"/>
      <c r="H387" s="1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176"/>
    </row>
    <row r="388" spans="1:20">
      <c r="A388" s="3"/>
      <c r="B388" s="3"/>
      <c r="C388" s="3"/>
      <c r="D388" s="3"/>
      <c r="E388" s="4"/>
      <c r="F388" s="3"/>
      <c r="G388" s="3"/>
      <c r="H388" s="1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176"/>
    </row>
    <row r="389" spans="1:20">
      <c r="A389" s="3"/>
      <c r="B389" s="3"/>
      <c r="C389" s="3"/>
      <c r="D389" s="3"/>
      <c r="E389" s="4"/>
      <c r="F389" s="3"/>
      <c r="G389" s="3"/>
      <c r="H389" s="1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176"/>
    </row>
    <row r="390" spans="1:20">
      <c r="A390" s="3"/>
      <c r="B390" s="3"/>
      <c r="C390" s="3"/>
      <c r="D390" s="3"/>
      <c r="E390" s="4"/>
      <c r="F390" s="3"/>
      <c r="G390" s="3"/>
      <c r="H390" s="1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176"/>
    </row>
    <row r="391" spans="1:20">
      <c r="A391" s="3"/>
      <c r="B391" s="3"/>
      <c r="C391" s="3"/>
      <c r="D391" s="3"/>
      <c r="E391" s="4"/>
      <c r="F391" s="3"/>
      <c r="G391" s="3"/>
      <c r="H391" s="1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176"/>
    </row>
    <row r="392" spans="1:20">
      <c r="A392" s="3"/>
      <c r="B392" s="3"/>
      <c r="C392" s="3"/>
      <c r="D392" s="3"/>
      <c r="E392" s="4"/>
      <c r="F392" s="3"/>
      <c r="G392" s="3"/>
      <c r="H392" s="1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176"/>
    </row>
    <row r="393" spans="1:20">
      <c r="A393" s="3"/>
      <c r="B393" s="3"/>
      <c r="C393" s="3"/>
      <c r="D393" s="3"/>
      <c r="E393" s="4"/>
      <c r="F393" s="3"/>
      <c r="G393" s="3"/>
      <c r="H393" s="1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176"/>
    </row>
    <row r="394" spans="1:20">
      <c r="A394" s="3"/>
      <c r="B394" s="3"/>
      <c r="C394" s="3"/>
      <c r="D394" s="3"/>
      <c r="E394" s="4"/>
      <c r="F394" s="3"/>
      <c r="G394" s="3"/>
      <c r="H394" s="1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176"/>
    </row>
    <row r="395" spans="1:20">
      <c r="A395" s="3"/>
      <c r="B395" s="3"/>
      <c r="C395" s="3"/>
      <c r="D395" s="3"/>
      <c r="E395" s="4"/>
      <c r="F395" s="3"/>
      <c r="G395" s="3"/>
      <c r="H395" s="1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176"/>
    </row>
    <row r="396" spans="1:20">
      <c r="A396" s="3"/>
      <c r="B396" s="3"/>
      <c r="C396" s="3"/>
      <c r="D396" s="3"/>
      <c r="E396" s="4"/>
      <c r="F396" s="3"/>
      <c r="G396" s="3"/>
      <c r="H396" s="1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176"/>
    </row>
    <row r="397" spans="1:20">
      <c r="A397" s="3"/>
      <c r="B397" s="3"/>
      <c r="C397" s="3"/>
      <c r="D397" s="3"/>
      <c r="E397" s="4"/>
      <c r="F397" s="3"/>
      <c r="G397" s="3"/>
      <c r="H397" s="1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176"/>
    </row>
    <row r="398" spans="1:20">
      <c r="A398" s="3"/>
      <c r="B398" s="3"/>
      <c r="C398" s="3"/>
      <c r="D398" s="3"/>
      <c r="E398" s="4"/>
      <c r="F398" s="3"/>
      <c r="G398" s="3"/>
      <c r="H398" s="1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176"/>
    </row>
    <row r="399" spans="1:20">
      <c r="A399" s="3"/>
      <c r="B399" s="3"/>
      <c r="C399" s="3"/>
      <c r="D399" s="3"/>
      <c r="E399" s="4"/>
      <c r="F399" s="3"/>
      <c r="G399" s="3"/>
      <c r="H399" s="1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176"/>
    </row>
    <row r="400" spans="1:20">
      <c r="A400" s="3"/>
      <c r="B400" s="3"/>
      <c r="C400" s="3"/>
      <c r="D400" s="3"/>
      <c r="E400" s="4"/>
      <c r="F400" s="3"/>
      <c r="G400" s="3"/>
      <c r="H400" s="1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176"/>
    </row>
    <row r="401" spans="1:20">
      <c r="A401" s="3"/>
      <c r="B401" s="3"/>
      <c r="C401" s="3"/>
      <c r="D401" s="3"/>
      <c r="E401" s="4"/>
      <c r="F401" s="3"/>
      <c r="G401" s="3"/>
      <c r="H401" s="1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176"/>
    </row>
    <row r="402" spans="1:20">
      <c r="A402" s="3"/>
      <c r="B402" s="3"/>
      <c r="C402" s="3"/>
      <c r="D402" s="3"/>
      <c r="E402" s="4"/>
      <c r="F402" s="3"/>
      <c r="G402" s="3"/>
      <c r="H402" s="1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176"/>
    </row>
    <row r="403" spans="1:20">
      <c r="A403" s="3"/>
      <c r="B403" s="3"/>
      <c r="C403" s="3"/>
      <c r="D403" s="3"/>
      <c r="E403" s="4"/>
      <c r="F403" s="3"/>
      <c r="G403" s="3"/>
      <c r="H403" s="1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176"/>
    </row>
    <row r="404" spans="1:20">
      <c r="A404" s="3"/>
      <c r="B404" s="3"/>
      <c r="C404" s="3"/>
      <c r="D404" s="3"/>
      <c r="E404" s="4"/>
      <c r="F404" s="3"/>
      <c r="G404" s="3"/>
      <c r="H404" s="1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176"/>
    </row>
    <row r="405" spans="1:20">
      <c r="A405" s="3"/>
      <c r="B405" s="3"/>
      <c r="C405" s="3"/>
      <c r="D405" s="3"/>
      <c r="E405" s="4"/>
      <c r="F405" s="3"/>
      <c r="G405" s="3"/>
      <c r="H405" s="1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176"/>
    </row>
    <row r="406" spans="1:20">
      <c r="A406" s="3"/>
      <c r="B406" s="3"/>
      <c r="C406" s="3"/>
      <c r="D406" s="3"/>
      <c r="E406" s="4"/>
      <c r="F406" s="3"/>
      <c r="G406" s="3"/>
      <c r="H406" s="1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176"/>
    </row>
    <row r="407" spans="1:20">
      <c r="A407" s="3"/>
      <c r="B407" s="3"/>
      <c r="C407" s="3"/>
      <c r="D407" s="3"/>
      <c r="E407" s="4"/>
      <c r="F407" s="3"/>
      <c r="G407" s="3"/>
      <c r="H407" s="1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176"/>
    </row>
    <row r="408" spans="1:20">
      <c r="A408" s="3"/>
      <c r="B408" s="3"/>
      <c r="C408" s="3"/>
      <c r="D408" s="3"/>
      <c r="E408" s="4"/>
      <c r="F408" s="3"/>
      <c r="G408" s="3"/>
      <c r="H408" s="1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176"/>
    </row>
    <row r="409" spans="1:20">
      <c r="A409" s="3"/>
      <c r="B409" s="3"/>
      <c r="C409" s="3"/>
      <c r="D409" s="3"/>
      <c r="E409" s="4"/>
      <c r="F409" s="3"/>
      <c r="G409" s="3"/>
      <c r="H409" s="1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176"/>
    </row>
    <row r="410" spans="1:20">
      <c r="A410" s="3"/>
      <c r="B410" s="3"/>
      <c r="C410" s="3"/>
      <c r="D410" s="3"/>
      <c r="E410" s="4"/>
      <c r="F410" s="3"/>
      <c r="G410" s="3"/>
      <c r="H410" s="1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176"/>
    </row>
    <row r="411" spans="1:20">
      <c r="A411" s="3"/>
      <c r="B411" s="3"/>
      <c r="C411" s="3"/>
      <c r="D411" s="3"/>
      <c r="E411" s="4"/>
      <c r="F411" s="3"/>
      <c r="G411" s="3"/>
      <c r="H411" s="1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176"/>
    </row>
    <row r="412" spans="1:20">
      <c r="A412" s="3"/>
      <c r="B412" s="3"/>
      <c r="C412" s="3"/>
      <c r="D412" s="3"/>
      <c r="E412" s="4"/>
      <c r="F412" s="3"/>
      <c r="G412" s="3"/>
      <c r="H412" s="1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176"/>
    </row>
    <row r="413" spans="1:20">
      <c r="A413" s="3"/>
      <c r="B413" s="3"/>
      <c r="C413" s="3"/>
      <c r="D413" s="3"/>
      <c r="E413" s="4"/>
      <c r="F413" s="3"/>
      <c r="G413" s="3"/>
      <c r="H413" s="1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176"/>
    </row>
    <row r="414" spans="1:20">
      <c r="A414" s="3"/>
      <c r="B414" s="3"/>
      <c r="C414" s="3"/>
      <c r="D414" s="3"/>
      <c r="E414" s="4"/>
      <c r="F414" s="3"/>
      <c r="G414" s="3"/>
      <c r="H414" s="1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176"/>
    </row>
    <row r="415" spans="1:20">
      <c r="A415" s="3"/>
      <c r="B415" s="3"/>
      <c r="C415" s="3"/>
      <c r="D415" s="3"/>
      <c r="E415" s="4"/>
      <c r="F415" s="3"/>
      <c r="G415" s="3"/>
      <c r="H415" s="1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176"/>
    </row>
    <row r="416" spans="1:20">
      <c r="A416" s="3"/>
      <c r="B416" s="3"/>
      <c r="C416" s="3"/>
      <c r="D416" s="3"/>
      <c r="E416" s="4"/>
      <c r="F416" s="3"/>
      <c r="G416" s="3"/>
      <c r="H416" s="1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176"/>
    </row>
    <row r="417" spans="1:20">
      <c r="A417" s="3"/>
      <c r="B417" s="3"/>
      <c r="C417" s="3"/>
      <c r="D417" s="3"/>
      <c r="E417" s="4"/>
      <c r="F417" s="3"/>
      <c r="G417" s="3"/>
      <c r="H417" s="1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176"/>
    </row>
    <row r="418" spans="1:20">
      <c r="A418" s="3"/>
      <c r="B418" s="3"/>
      <c r="C418" s="3"/>
      <c r="D418" s="3"/>
      <c r="E418" s="4"/>
      <c r="F418" s="3"/>
      <c r="G418" s="3"/>
      <c r="H418" s="1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176"/>
    </row>
    <row r="419" spans="1:20">
      <c r="A419" s="3"/>
      <c r="B419" s="3"/>
      <c r="C419" s="3"/>
      <c r="D419" s="3"/>
      <c r="E419" s="4"/>
      <c r="F419" s="3"/>
      <c r="G419" s="3"/>
      <c r="H419" s="1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176"/>
    </row>
    <row r="420" spans="1:20">
      <c r="A420" s="3"/>
      <c r="B420" s="3"/>
      <c r="C420" s="3"/>
      <c r="D420" s="3"/>
      <c r="E420" s="4"/>
      <c r="F420" s="3"/>
      <c r="G420" s="3"/>
      <c r="H420" s="1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176"/>
    </row>
    <row r="421" spans="1:20">
      <c r="A421" s="3"/>
      <c r="B421" s="3"/>
      <c r="C421" s="3"/>
      <c r="D421" s="3"/>
      <c r="E421" s="4"/>
      <c r="F421" s="3"/>
      <c r="G421" s="3"/>
      <c r="H421" s="1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176"/>
    </row>
    <row r="422" spans="1:20">
      <c r="A422" s="3"/>
      <c r="B422" s="3"/>
      <c r="C422" s="3"/>
      <c r="D422" s="3"/>
      <c r="E422" s="4"/>
      <c r="F422" s="3"/>
      <c r="G422" s="3"/>
      <c r="H422" s="1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176"/>
    </row>
    <row r="423" spans="1:20">
      <c r="A423" s="3"/>
      <c r="B423" s="3"/>
      <c r="C423" s="3"/>
      <c r="D423" s="3"/>
      <c r="E423" s="4"/>
      <c r="F423" s="3"/>
      <c r="G423" s="3"/>
      <c r="H423" s="1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176"/>
    </row>
    <row r="424" spans="1:20">
      <c r="A424" s="3"/>
      <c r="B424" s="3"/>
      <c r="C424" s="3"/>
      <c r="D424" s="3"/>
      <c r="E424" s="4"/>
      <c r="F424" s="3"/>
      <c r="G424" s="3"/>
      <c r="H424" s="1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176"/>
    </row>
    <row r="425" spans="1:20">
      <c r="A425" s="3"/>
      <c r="B425" s="3"/>
      <c r="C425" s="3"/>
      <c r="D425" s="3"/>
      <c r="E425" s="4"/>
      <c r="F425" s="3"/>
      <c r="G425" s="3"/>
      <c r="H425" s="1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176"/>
    </row>
    <row r="426" spans="1:20">
      <c r="A426" s="3"/>
      <c r="B426" s="3"/>
      <c r="C426" s="3"/>
      <c r="D426" s="3"/>
      <c r="E426" s="4"/>
      <c r="F426" s="3"/>
      <c r="G426" s="3"/>
      <c r="H426" s="1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176"/>
    </row>
    <row r="427" spans="1:20">
      <c r="A427" s="3"/>
      <c r="B427" s="3"/>
      <c r="C427" s="3"/>
      <c r="D427" s="3"/>
      <c r="E427" s="4"/>
      <c r="F427" s="3"/>
      <c r="G427" s="3"/>
      <c r="H427" s="1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176"/>
    </row>
    <row r="428" spans="1:20">
      <c r="A428" s="3"/>
      <c r="B428" s="3"/>
      <c r="C428" s="3"/>
      <c r="D428" s="3"/>
      <c r="E428" s="4"/>
      <c r="F428" s="3"/>
      <c r="G428" s="3"/>
      <c r="H428" s="1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176"/>
    </row>
    <row r="429" spans="1:20">
      <c r="A429" s="3"/>
      <c r="B429" s="3"/>
      <c r="C429" s="3"/>
      <c r="D429" s="3"/>
      <c r="E429" s="4"/>
      <c r="F429" s="3"/>
      <c r="G429" s="3"/>
      <c r="H429" s="1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176"/>
    </row>
    <row r="430" spans="1:20">
      <c r="A430" s="3"/>
      <c r="B430" s="3"/>
      <c r="C430" s="3"/>
      <c r="D430" s="3"/>
      <c r="E430" s="4"/>
      <c r="F430" s="3"/>
      <c r="G430" s="3"/>
      <c r="H430" s="1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176"/>
    </row>
    <row r="431" spans="1:20">
      <c r="A431" s="3"/>
      <c r="B431" s="3"/>
      <c r="C431" s="3"/>
      <c r="D431" s="3"/>
      <c r="E431" s="4"/>
      <c r="F431" s="3"/>
      <c r="G431" s="3"/>
      <c r="H431" s="1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176"/>
    </row>
    <row r="432" spans="1:20">
      <c r="A432" s="3"/>
      <c r="B432" s="3"/>
      <c r="C432" s="3"/>
      <c r="D432" s="3"/>
      <c r="E432" s="4"/>
      <c r="F432" s="3"/>
      <c r="G432" s="3"/>
      <c r="H432" s="1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176"/>
    </row>
    <row r="433" spans="1:20">
      <c r="A433" s="3"/>
      <c r="B433" s="3"/>
      <c r="C433" s="3"/>
      <c r="D433" s="3"/>
      <c r="E433" s="4"/>
      <c r="F433" s="3"/>
      <c r="G433" s="3"/>
      <c r="H433" s="1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176"/>
    </row>
    <row r="434" spans="1:20">
      <c r="A434" s="3"/>
      <c r="B434" s="3"/>
      <c r="C434" s="3"/>
      <c r="D434" s="3"/>
      <c r="E434" s="4"/>
      <c r="F434" s="3"/>
      <c r="G434" s="3"/>
      <c r="H434" s="1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176"/>
    </row>
    <row r="435" spans="1:20">
      <c r="A435" s="3"/>
      <c r="B435" s="3"/>
      <c r="C435" s="3"/>
      <c r="D435" s="3"/>
      <c r="E435" s="4"/>
      <c r="F435" s="3"/>
      <c r="G435" s="3"/>
      <c r="H435" s="1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176"/>
    </row>
    <row r="436" spans="1:20">
      <c r="A436" s="3"/>
      <c r="B436" s="3"/>
      <c r="C436" s="3"/>
      <c r="D436" s="3"/>
      <c r="E436" s="4"/>
      <c r="F436" s="3"/>
      <c r="G436" s="3"/>
      <c r="H436" s="1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176"/>
    </row>
    <row r="437" spans="1:20">
      <c r="A437" s="3"/>
      <c r="B437" s="3"/>
      <c r="C437" s="3"/>
      <c r="D437" s="3"/>
      <c r="E437" s="4"/>
      <c r="F437" s="3"/>
      <c r="G437" s="3"/>
      <c r="H437" s="1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176"/>
    </row>
    <row r="438" spans="1:20">
      <c r="A438" s="3"/>
      <c r="B438" s="3"/>
      <c r="C438" s="3"/>
      <c r="D438" s="3"/>
      <c r="E438" s="4"/>
      <c r="F438" s="3"/>
      <c r="G438" s="3"/>
      <c r="H438" s="1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176"/>
    </row>
    <row r="439" spans="1:20">
      <c r="A439" s="3"/>
      <c r="B439" s="3"/>
      <c r="C439" s="3"/>
      <c r="D439" s="3"/>
      <c r="E439" s="4"/>
      <c r="F439" s="3"/>
      <c r="G439" s="3"/>
      <c r="H439" s="1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176"/>
    </row>
    <row r="440" spans="1:20">
      <c r="A440" s="3"/>
      <c r="B440" s="3"/>
      <c r="C440" s="3"/>
      <c r="D440" s="3"/>
      <c r="E440" s="4"/>
      <c r="F440" s="3"/>
      <c r="G440" s="3"/>
      <c r="H440" s="1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176"/>
    </row>
    <row r="441" spans="1:20">
      <c r="A441" s="3"/>
      <c r="B441" s="3"/>
      <c r="C441" s="3"/>
      <c r="D441" s="3"/>
      <c r="E441" s="4"/>
      <c r="F441" s="3"/>
      <c r="G441" s="3"/>
      <c r="H441" s="1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176"/>
    </row>
    <row r="442" spans="1:20">
      <c r="A442" s="3"/>
      <c r="B442" s="3"/>
      <c r="C442" s="3"/>
      <c r="D442" s="3"/>
      <c r="E442" s="4"/>
      <c r="F442" s="3"/>
      <c r="G442" s="3"/>
      <c r="H442" s="1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176"/>
    </row>
    <row r="443" spans="1:20">
      <c r="A443" s="3"/>
      <c r="B443" s="3"/>
      <c r="C443" s="3"/>
      <c r="D443" s="3"/>
      <c r="E443" s="4"/>
      <c r="F443" s="3"/>
      <c r="G443" s="3"/>
      <c r="H443" s="1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176"/>
    </row>
    <row r="444" spans="1:20">
      <c r="A444" s="3"/>
      <c r="B444" s="3"/>
      <c r="C444" s="3"/>
      <c r="D444" s="3"/>
      <c r="E444" s="4"/>
      <c r="F444" s="3"/>
      <c r="G444" s="3"/>
      <c r="H444" s="1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176"/>
    </row>
    <row r="445" spans="1:20">
      <c r="A445" s="3"/>
      <c r="B445" s="3"/>
      <c r="C445" s="3"/>
      <c r="D445" s="3"/>
      <c r="E445" s="4"/>
      <c r="F445" s="3"/>
      <c r="G445" s="3"/>
      <c r="H445" s="1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176"/>
    </row>
    <row r="446" spans="1:20">
      <c r="A446" s="3"/>
      <c r="B446" s="3"/>
      <c r="C446" s="3"/>
      <c r="D446" s="3"/>
      <c r="E446" s="4"/>
      <c r="F446" s="3"/>
      <c r="G446" s="3"/>
      <c r="H446" s="1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176"/>
    </row>
    <row r="447" spans="1:20">
      <c r="A447" s="3"/>
      <c r="B447" s="3"/>
      <c r="C447" s="3"/>
      <c r="D447" s="3"/>
      <c r="E447" s="4"/>
      <c r="F447" s="3"/>
      <c r="G447" s="3"/>
      <c r="H447" s="1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176"/>
    </row>
    <row r="448" spans="1:20">
      <c r="A448" s="3"/>
      <c r="B448" s="3"/>
      <c r="C448" s="3"/>
      <c r="D448" s="3"/>
      <c r="E448" s="4"/>
      <c r="F448" s="3"/>
      <c r="G448" s="3"/>
      <c r="H448" s="1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176"/>
    </row>
    <row r="449" spans="1:20">
      <c r="A449" s="3"/>
      <c r="B449" s="3"/>
      <c r="C449" s="3"/>
      <c r="D449" s="3"/>
      <c r="E449" s="4"/>
      <c r="F449" s="3"/>
      <c r="G449" s="3"/>
      <c r="H449" s="1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176"/>
    </row>
    <row r="450" spans="1:20">
      <c r="A450" s="3"/>
      <c r="B450" s="3"/>
      <c r="C450" s="3"/>
      <c r="D450" s="3"/>
      <c r="E450" s="4"/>
      <c r="F450" s="3"/>
      <c r="G450" s="3"/>
      <c r="H450" s="1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176"/>
    </row>
    <row r="451" spans="1:20">
      <c r="A451" s="3"/>
      <c r="B451" s="3"/>
      <c r="C451" s="3"/>
      <c r="D451" s="3"/>
      <c r="E451" s="4"/>
      <c r="F451" s="3"/>
      <c r="G451" s="3"/>
      <c r="H451" s="1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176"/>
    </row>
    <row r="452" spans="1:20">
      <c r="A452" s="3"/>
      <c r="B452" s="3"/>
      <c r="C452" s="3"/>
      <c r="D452" s="3"/>
      <c r="E452" s="4"/>
      <c r="F452" s="3"/>
      <c r="G452" s="3"/>
      <c r="H452" s="1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176"/>
    </row>
    <row r="453" spans="1:20">
      <c r="A453" s="3"/>
      <c r="B453" s="3"/>
      <c r="C453" s="3"/>
      <c r="D453" s="3"/>
      <c r="E453" s="4"/>
      <c r="F453" s="3"/>
      <c r="G453" s="3"/>
      <c r="H453" s="1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176"/>
    </row>
    <row r="454" spans="1:20">
      <c r="A454" s="3"/>
      <c r="B454" s="3"/>
      <c r="C454" s="3"/>
      <c r="D454" s="3"/>
      <c r="E454" s="4"/>
      <c r="F454" s="3"/>
      <c r="G454" s="3"/>
      <c r="H454" s="1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176"/>
    </row>
    <row r="455" spans="1:20">
      <c r="A455" s="3"/>
      <c r="B455" s="3"/>
      <c r="C455" s="3"/>
      <c r="D455" s="3"/>
      <c r="E455" s="4"/>
      <c r="F455" s="3"/>
      <c r="G455" s="3"/>
      <c r="H455" s="1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176"/>
    </row>
    <row r="456" spans="1:20">
      <c r="A456" s="3"/>
      <c r="B456" s="3"/>
      <c r="C456" s="3"/>
      <c r="D456" s="3"/>
      <c r="E456" s="4"/>
      <c r="F456" s="3"/>
      <c r="G456" s="3"/>
      <c r="H456" s="1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176"/>
    </row>
    <row r="457" spans="1:20">
      <c r="A457" s="3"/>
      <c r="B457" s="3"/>
      <c r="C457" s="3"/>
      <c r="D457" s="3"/>
      <c r="E457" s="4"/>
      <c r="F457" s="3"/>
      <c r="G457" s="3"/>
      <c r="H457" s="1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176"/>
    </row>
    <row r="458" spans="1:20">
      <c r="A458" s="3"/>
      <c r="B458" s="3"/>
      <c r="C458" s="3"/>
      <c r="D458" s="3"/>
      <c r="E458" s="4"/>
      <c r="F458" s="3"/>
      <c r="G458" s="3"/>
      <c r="H458" s="1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176"/>
    </row>
    <row r="459" spans="1:20">
      <c r="A459" s="3"/>
      <c r="B459" s="3"/>
      <c r="C459" s="3"/>
      <c r="D459" s="3"/>
      <c r="E459" s="4"/>
      <c r="F459" s="3"/>
      <c r="G459" s="3"/>
      <c r="H459" s="1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176"/>
    </row>
    <row r="460" spans="1:20">
      <c r="A460" s="3"/>
      <c r="B460" s="3"/>
      <c r="C460" s="3"/>
      <c r="D460" s="3"/>
      <c r="E460" s="4"/>
      <c r="F460" s="3"/>
      <c r="G460" s="3"/>
      <c r="H460" s="1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176"/>
    </row>
    <row r="461" spans="1:20">
      <c r="A461" s="3"/>
      <c r="B461" s="3"/>
      <c r="C461" s="3"/>
      <c r="D461" s="3"/>
      <c r="E461" s="4"/>
      <c r="F461" s="3"/>
      <c r="G461" s="3"/>
      <c r="H461" s="1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176"/>
    </row>
    <row r="462" spans="1:20">
      <c r="A462" s="3"/>
      <c r="B462" s="3"/>
      <c r="C462" s="3"/>
      <c r="D462" s="3"/>
      <c r="E462" s="4"/>
      <c r="F462" s="3"/>
      <c r="G462" s="3"/>
      <c r="H462" s="1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176"/>
    </row>
    <row r="463" spans="1:20">
      <c r="A463" s="3"/>
      <c r="B463" s="3"/>
      <c r="C463" s="3"/>
      <c r="D463" s="3"/>
      <c r="E463" s="4"/>
      <c r="F463" s="3"/>
      <c r="G463" s="3"/>
      <c r="H463" s="1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176"/>
    </row>
    <row r="464" spans="1:20">
      <c r="A464" s="3"/>
      <c r="B464" s="3"/>
      <c r="C464" s="3"/>
      <c r="D464" s="3"/>
      <c r="E464" s="4"/>
      <c r="F464" s="3"/>
      <c r="G464" s="3"/>
      <c r="H464" s="1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176"/>
    </row>
    <row r="465" spans="1:20">
      <c r="A465" s="3"/>
      <c r="B465" s="3"/>
      <c r="C465" s="3"/>
      <c r="D465" s="3"/>
      <c r="E465" s="4"/>
      <c r="F465" s="3"/>
      <c r="G465" s="3"/>
      <c r="H465" s="1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176"/>
    </row>
    <row r="466" spans="1:20">
      <c r="A466" s="3"/>
      <c r="B466" s="3"/>
      <c r="C466" s="3"/>
      <c r="D466" s="3"/>
      <c r="E466" s="4"/>
      <c r="F466" s="3"/>
      <c r="G466" s="3"/>
      <c r="H466" s="1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176"/>
    </row>
    <row r="467" spans="1:20">
      <c r="A467" s="3"/>
      <c r="B467" s="3"/>
      <c r="C467" s="3"/>
      <c r="D467" s="3"/>
      <c r="E467" s="4"/>
      <c r="F467" s="3"/>
      <c r="G467" s="3"/>
      <c r="H467" s="1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176"/>
    </row>
    <row r="468" spans="1:20">
      <c r="A468" s="3"/>
      <c r="B468" s="3"/>
      <c r="C468" s="3"/>
      <c r="D468" s="3"/>
      <c r="E468" s="4"/>
      <c r="F468" s="3"/>
      <c r="G468" s="3"/>
      <c r="H468" s="1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176"/>
    </row>
    <row r="469" spans="1:20">
      <c r="A469" s="3"/>
      <c r="B469" s="3"/>
      <c r="C469" s="3"/>
      <c r="D469" s="3"/>
      <c r="E469" s="4"/>
      <c r="F469" s="3"/>
      <c r="G469" s="3"/>
      <c r="H469" s="1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176"/>
    </row>
    <row r="470" spans="1:20">
      <c r="A470" s="3"/>
      <c r="B470" s="3"/>
      <c r="C470" s="3"/>
      <c r="D470" s="3"/>
      <c r="E470" s="4"/>
      <c r="F470" s="3"/>
      <c r="G470" s="3"/>
      <c r="H470" s="1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176"/>
    </row>
    <row r="471" spans="1:20">
      <c r="A471" s="3"/>
      <c r="B471" s="3"/>
      <c r="C471" s="3"/>
      <c r="D471" s="3"/>
      <c r="E471" s="4"/>
      <c r="F471" s="3"/>
      <c r="G471" s="3"/>
      <c r="H471" s="1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176"/>
    </row>
    <row r="472" spans="1:20">
      <c r="A472" s="3"/>
      <c r="B472" s="3"/>
      <c r="C472" s="3"/>
      <c r="D472" s="3"/>
      <c r="E472" s="4"/>
      <c r="F472" s="3"/>
      <c r="G472" s="3"/>
      <c r="H472" s="1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176"/>
    </row>
    <row r="473" spans="1:20">
      <c r="A473" s="3"/>
      <c r="B473" s="3"/>
      <c r="C473" s="3"/>
      <c r="D473" s="3"/>
      <c r="E473" s="4"/>
      <c r="F473" s="3"/>
      <c r="G473" s="3"/>
      <c r="H473" s="1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176"/>
    </row>
    <row r="474" spans="1:20">
      <c r="A474" s="3"/>
      <c r="B474" s="3"/>
      <c r="C474" s="3"/>
      <c r="D474" s="3"/>
      <c r="E474" s="4"/>
      <c r="F474" s="3"/>
      <c r="G474" s="3"/>
      <c r="H474" s="1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176"/>
    </row>
    <row r="475" spans="1:20">
      <c r="A475" s="3"/>
      <c r="B475" s="3"/>
      <c r="C475" s="3"/>
      <c r="D475" s="3"/>
      <c r="E475" s="4"/>
      <c r="F475" s="3"/>
      <c r="G475" s="3"/>
      <c r="H475" s="1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176"/>
    </row>
    <row r="476" spans="1:20">
      <c r="A476" s="3"/>
      <c r="B476" s="3"/>
      <c r="C476" s="3"/>
      <c r="D476" s="3"/>
      <c r="E476" s="4"/>
      <c r="F476" s="3"/>
      <c r="G476" s="3"/>
      <c r="H476" s="1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176"/>
    </row>
    <row r="477" spans="1:20">
      <c r="A477" s="3"/>
      <c r="B477" s="3"/>
      <c r="C477" s="3"/>
      <c r="D477" s="3"/>
      <c r="E477" s="4"/>
      <c r="F477" s="3"/>
      <c r="G477" s="3"/>
      <c r="H477" s="1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176"/>
    </row>
    <row r="478" spans="1:20">
      <c r="A478" s="3"/>
      <c r="B478" s="3"/>
      <c r="C478" s="3"/>
      <c r="D478" s="3"/>
      <c r="E478" s="4"/>
      <c r="F478" s="3"/>
      <c r="G478" s="3"/>
      <c r="H478" s="1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176"/>
    </row>
    <row r="479" spans="1:20">
      <c r="A479" s="3"/>
      <c r="B479" s="3"/>
      <c r="C479" s="3"/>
      <c r="D479" s="3"/>
      <c r="E479" s="4"/>
      <c r="F479" s="3"/>
      <c r="G479" s="3"/>
      <c r="H479" s="1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176"/>
    </row>
    <row r="480" spans="1:20">
      <c r="A480" s="3"/>
      <c r="B480" s="3"/>
      <c r="C480" s="3"/>
      <c r="D480" s="3"/>
      <c r="E480" s="4"/>
      <c r="F480" s="3"/>
      <c r="G480" s="3"/>
      <c r="H480" s="1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176"/>
    </row>
    <row r="481" spans="1:20">
      <c r="A481" s="3"/>
      <c r="B481" s="3"/>
      <c r="C481" s="3"/>
      <c r="D481" s="3"/>
      <c r="E481" s="4"/>
      <c r="F481" s="3"/>
      <c r="G481" s="3"/>
      <c r="H481" s="1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176"/>
    </row>
    <row r="482" spans="1:20">
      <c r="A482" s="3"/>
      <c r="B482" s="3"/>
      <c r="C482" s="3"/>
      <c r="D482" s="3"/>
      <c r="E482" s="4"/>
      <c r="F482" s="3"/>
      <c r="G482" s="3"/>
      <c r="H482" s="1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176"/>
    </row>
    <row r="483" spans="1:20">
      <c r="A483" s="3"/>
      <c r="B483" s="3"/>
      <c r="C483" s="3"/>
      <c r="D483" s="3"/>
      <c r="E483" s="4"/>
      <c r="F483" s="3"/>
      <c r="G483" s="3"/>
      <c r="H483" s="1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176"/>
    </row>
    <row r="484" spans="1:20">
      <c r="A484" s="3"/>
      <c r="B484" s="3"/>
      <c r="C484" s="3"/>
      <c r="D484" s="3"/>
      <c r="E484" s="4"/>
      <c r="F484" s="3"/>
      <c r="G484" s="3"/>
      <c r="H484" s="1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176"/>
    </row>
    <row r="485" spans="1:20">
      <c r="A485" s="3"/>
      <c r="B485" s="3"/>
      <c r="C485" s="3"/>
      <c r="D485" s="3"/>
      <c r="E485" s="4"/>
      <c r="F485" s="3"/>
      <c r="G485" s="3"/>
      <c r="H485" s="1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176"/>
    </row>
    <row r="486" spans="1:20">
      <c r="A486" s="3"/>
      <c r="B486" s="3"/>
      <c r="C486" s="3"/>
      <c r="D486" s="3"/>
      <c r="E486" s="4"/>
      <c r="F486" s="3"/>
      <c r="G486" s="3"/>
      <c r="H486" s="1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176"/>
    </row>
    <row r="487" spans="1:20">
      <c r="A487" s="3"/>
      <c r="B487" s="3"/>
      <c r="C487" s="3"/>
      <c r="D487" s="3"/>
      <c r="E487" s="4"/>
      <c r="F487" s="3"/>
      <c r="G487" s="3"/>
      <c r="H487" s="1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176"/>
    </row>
    <row r="488" spans="1:20">
      <c r="A488" s="3"/>
      <c r="B488" s="3"/>
      <c r="C488" s="3"/>
      <c r="D488" s="3"/>
      <c r="E488" s="4"/>
      <c r="F488" s="3"/>
      <c r="G488" s="3"/>
      <c r="H488" s="1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176"/>
    </row>
    <row r="489" spans="1:20">
      <c r="A489" s="3"/>
      <c r="B489" s="3"/>
      <c r="C489" s="3"/>
      <c r="D489" s="3"/>
      <c r="E489" s="4"/>
      <c r="F489" s="3"/>
      <c r="G489" s="3"/>
      <c r="H489" s="1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176"/>
    </row>
    <row r="490" spans="1:20">
      <c r="A490" s="3"/>
      <c r="B490" s="3"/>
      <c r="C490" s="3"/>
      <c r="D490" s="3"/>
      <c r="E490" s="4"/>
      <c r="F490" s="3"/>
      <c r="G490" s="3"/>
      <c r="H490" s="1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176"/>
    </row>
    <row r="491" spans="1:20">
      <c r="A491" s="3"/>
      <c r="B491" s="3"/>
      <c r="C491" s="3"/>
      <c r="D491" s="3"/>
      <c r="E491" s="4"/>
      <c r="F491" s="3"/>
      <c r="G491" s="3"/>
      <c r="H491" s="1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176"/>
    </row>
    <row r="492" spans="1:20">
      <c r="A492" s="3"/>
      <c r="B492" s="3"/>
      <c r="C492" s="3"/>
      <c r="D492" s="3"/>
      <c r="E492" s="4"/>
      <c r="F492" s="3"/>
      <c r="G492" s="3"/>
      <c r="H492" s="1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176"/>
    </row>
    <row r="493" spans="1:20">
      <c r="A493" s="3"/>
      <c r="B493" s="3"/>
      <c r="C493" s="3"/>
      <c r="D493" s="3"/>
      <c r="E493" s="4"/>
      <c r="F493" s="3"/>
      <c r="G493" s="3"/>
      <c r="H493" s="1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176"/>
    </row>
    <row r="494" spans="1:20">
      <c r="A494" s="3"/>
      <c r="B494" s="3"/>
      <c r="C494" s="3"/>
      <c r="D494" s="3"/>
      <c r="E494" s="4"/>
      <c r="F494" s="3"/>
      <c r="G494" s="3"/>
      <c r="H494" s="1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176"/>
    </row>
    <row r="495" spans="1:20">
      <c r="A495" s="3"/>
      <c r="B495" s="3"/>
      <c r="C495" s="3"/>
      <c r="D495" s="3"/>
      <c r="E495" s="4"/>
      <c r="F495" s="3"/>
      <c r="G495" s="3"/>
      <c r="H495" s="1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176"/>
    </row>
    <row r="496" spans="1:20">
      <c r="A496" s="3"/>
      <c r="B496" s="3"/>
      <c r="C496" s="3"/>
      <c r="D496" s="3"/>
      <c r="E496" s="4"/>
      <c r="F496" s="3"/>
      <c r="G496" s="3"/>
      <c r="H496" s="1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176"/>
    </row>
    <row r="497" spans="1:20">
      <c r="A497" s="3"/>
      <c r="B497" s="3"/>
      <c r="C497" s="3"/>
      <c r="D497" s="3"/>
      <c r="E497" s="4"/>
      <c r="F497" s="3"/>
      <c r="G497" s="3"/>
      <c r="H497" s="1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176"/>
    </row>
    <row r="498" spans="1:20">
      <c r="A498" s="3"/>
      <c r="B498" s="3"/>
      <c r="C498" s="3"/>
      <c r="D498" s="3"/>
      <c r="E498" s="4"/>
      <c r="F498" s="3"/>
      <c r="G498" s="3"/>
      <c r="H498" s="1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176"/>
    </row>
    <row r="499" spans="1:20">
      <c r="A499" s="3"/>
      <c r="B499" s="3"/>
      <c r="C499" s="3"/>
      <c r="D499" s="3"/>
      <c r="E499" s="4"/>
      <c r="F499" s="3"/>
      <c r="G499" s="3"/>
      <c r="H499" s="1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176"/>
    </row>
    <row r="500" spans="1:20">
      <c r="A500" s="3"/>
      <c r="B500" s="3"/>
      <c r="C500" s="3"/>
      <c r="D500" s="3"/>
      <c r="E500" s="4"/>
      <c r="F500" s="3"/>
      <c r="G500" s="3"/>
      <c r="H500" s="1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176"/>
    </row>
    <row r="501" spans="1:20">
      <c r="A501" s="3"/>
      <c r="B501" s="3"/>
      <c r="C501" s="3"/>
      <c r="D501" s="3"/>
      <c r="E501" s="4"/>
      <c r="F501" s="3"/>
      <c r="G501" s="3"/>
      <c r="H501" s="1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176"/>
    </row>
    <row r="502" spans="1:20">
      <c r="A502" s="3"/>
      <c r="B502" s="3"/>
      <c r="C502" s="3"/>
      <c r="D502" s="3"/>
      <c r="E502" s="4"/>
      <c r="F502" s="3"/>
      <c r="G502" s="3"/>
      <c r="H502" s="1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176"/>
    </row>
    <row r="503" spans="1:20">
      <c r="A503" s="3"/>
      <c r="B503" s="3"/>
      <c r="C503" s="3"/>
      <c r="D503" s="3"/>
      <c r="E503" s="4"/>
      <c r="F503" s="3"/>
      <c r="G503" s="3"/>
      <c r="H503" s="1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176"/>
    </row>
    <row r="504" spans="1:20">
      <c r="A504" s="3"/>
      <c r="B504" s="3"/>
      <c r="C504" s="3"/>
      <c r="D504" s="3"/>
      <c r="E504" s="4"/>
      <c r="F504" s="3"/>
      <c r="G504" s="3"/>
      <c r="H504" s="1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176"/>
    </row>
    <row r="505" spans="1:20">
      <c r="A505" s="3"/>
      <c r="B505" s="3"/>
      <c r="C505" s="3"/>
      <c r="D505" s="3"/>
      <c r="E505" s="4"/>
      <c r="F505" s="3"/>
      <c r="G505" s="3"/>
      <c r="H505" s="1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176"/>
    </row>
    <row r="506" spans="1:20">
      <c r="A506" s="3"/>
      <c r="B506" s="3"/>
      <c r="C506" s="3"/>
      <c r="D506" s="3"/>
      <c r="E506" s="4"/>
      <c r="F506" s="3"/>
      <c r="G506" s="3"/>
      <c r="H506" s="1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176"/>
    </row>
    <row r="507" spans="1:20">
      <c r="A507" s="3"/>
      <c r="B507" s="3"/>
      <c r="C507" s="3"/>
      <c r="D507" s="3"/>
      <c r="E507" s="4"/>
      <c r="F507" s="3"/>
      <c r="G507" s="3"/>
      <c r="H507" s="1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176"/>
    </row>
    <row r="508" spans="1:20">
      <c r="A508" s="3"/>
      <c r="B508" s="3"/>
      <c r="C508" s="3"/>
      <c r="D508" s="3"/>
      <c r="E508" s="4"/>
      <c r="F508" s="3"/>
      <c r="G508" s="3"/>
      <c r="H508" s="1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176"/>
    </row>
    <row r="509" spans="1:20">
      <c r="A509" s="3"/>
      <c r="B509" s="3"/>
      <c r="C509" s="3"/>
      <c r="D509" s="3"/>
      <c r="E509" s="4"/>
      <c r="F509" s="3"/>
      <c r="G509" s="3"/>
      <c r="H509" s="1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176"/>
    </row>
    <row r="510" spans="1:20">
      <c r="A510" s="3"/>
      <c r="B510" s="3"/>
      <c r="C510" s="3"/>
      <c r="D510" s="3"/>
      <c r="E510" s="4"/>
      <c r="F510" s="3"/>
      <c r="G510" s="3"/>
      <c r="H510" s="1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176"/>
    </row>
    <row r="511" spans="1:20">
      <c r="A511" s="3"/>
      <c r="B511" s="3"/>
      <c r="C511" s="3"/>
      <c r="D511" s="3"/>
      <c r="E511" s="4"/>
      <c r="F511" s="3"/>
      <c r="G511" s="3"/>
      <c r="H511" s="1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176"/>
    </row>
    <row r="512" spans="1:20">
      <c r="A512" s="3"/>
      <c r="B512" s="3"/>
      <c r="C512" s="3"/>
      <c r="D512" s="3"/>
      <c r="E512" s="4"/>
      <c r="F512" s="3"/>
      <c r="G512" s="3"/>
      <c r="H512" s="1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176"/>
    </row>
    <row r="513" spans="1:20">
      <c r="A513" s="3"/>
      <c r="B513" s="3"/>
      <c r="C513" s="3"/>
      <c r="D513" s="3"/>
      <c r="E513" s="4"/>
      <c r="F513" s="3"/>
      <c r="G513" s="3"/>
      <c r="H513" s="1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176"/>
    </row>
    <row r="514" spans="1:20">
      <c r="A514" s="3"/>
      <c r="B514" s="3"/>
      <c r="C514" s="3"/>
      <c r="D514" s="3"/>
      <c r="E514" s="4"/>
      <c r="F514" s="3"/>
      <c r="G514" s="3"/>
      <c r="H514" s="1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176"/>
    </row>
    <row r="515" spans="1:20">
      <c r="A515" s="3"/>
      <c r="B515" s="3"/>
      <c r="C515" s="3"/>
      <c r="D515" s="3"/>
      <c r="E515" s="4"/>
      <c r="F515" s="3"/>
      <c r="G515" s="3"/>
      <c r="H515" s="1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176"/>
    </row>
    <row r="516" spans="1:20">
      <c r="A516" s="3"/>
      <c r="B516" s="3"/>
      <c r="C516" s="3"/>
      <c r="D516" s="3"/>
      <c r="E516" s="4"/>
      <c r="F516" s="3"/>
      <c r="G516" s="3"/>
      <c r="H516" s="1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176"/>
    </row>
    <row r="517" spans="1:20">
      <c r="A517" s="3"/>
      <c r="B517" s="3"/>
      <c r="C517" s="3"/>
      <c r="D517" s="3"/>
      <c r="E517" s="4"/>
      <c r="F517" s="3"/>
      <c r="G517" s="3"/>
      <c r="H517" s="1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176"/>
    </row>
    <row r="518" spans="1:20">
      <c r="A518" s="3"/>
      <c r="B518" s="3"/>
      <c r="C518" s="3"/>
      <c r="D518" s="3"/>
      <c r="E518" s="4"/>
      <c r="F518" s="3"/>
      <c r="G518" s="3"/>
      <c r="H518" s="1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176"/>
    </row>
    <row r="519" spans="1:20">
      <c r="A519" s="3"/>
      <c r="B519" s="3"/>
      <c r="C519" s="3"/>
      <c r="D519" s="3"/>
      <c r="E519" s="4"/>
      <c r="F519" s="3"/>
      <c r="G519" s="3"/>
      <c r="H519" s="1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176"/>
    </row>
    <row r="520" spans="1:20">
      <c r="A520" s="3"/>
      <c r="B520" s="3"/>
      <c r="C520" s="3"/>
      <c r="D520" s="3"/>
      <c r="E520" s="4"/>
      <c r="F520" s="3"/>
      <c r="G520" s="3"/>
      <c r="H520" s="1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176"/>
    </row>
    <row r="521" spans="1:20">
      <c r="A521" s="3"/>
      <c r="B521" s="3"/>
      <c r="C521" s="3"/>
      <c r="D521" s="3"/>
      <c r="E521" s="4"/>
      <c r="F521" s="3"/>
      <c r="G521" s="3"/>
      <c r="H521" s="1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176"/>
    </row>
    <row r="522" spans="1:20">
      <c r="A522" s="3"/>
      <c r="B522" s="3"/>
      <c r="C522" s="3"/>
      <c r="D522" s="3"/>
      <c r="E522" s="4"/>
      <c r="F522" s="3"/>
      <c r="G522" s="3"/>
      <c r="H522" s="1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176"/>
    </row>
    <row r="523" spans="1:20">
      <c r="A523" s="3"/>
      <c r="B523" s="3"/>
      <c r="C523" s="3"/>
      <c r="D523" s="3"/>
      <c r="E523" s="4"/>
      <c r="F523" s="3"/>
      <c r="G523" s="3"/>
      <c r="H523" s="1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176"/>
    </row>
    <row r="524" spans="1:20">
      <c r="A524" s="3"/>
      <c r="B524" s="3"/>
      <c r="C524" s="3"/>
      <c r="D524" s="3"/>
      <c r="E524" s="4"/>
      <c r="F524" s="3"/>
      <c r="G524" s="3"/>
      <c r="H524" s="1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176"/>
    </row>
    <row r="525" spans="1:20">
      <c r="A525" s="3"/>
      <c r="B525" s="3"/>
      <c r="C525" s="3"/>
      <c r="D525" s="3"/>
      <c r="E525" s="4"/>
      <c r="F525" s="3"/>
      <c r="G525" s="3"/>
      <c r="H525" s="1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176"/>
    </row>
    <row r="526" spans="1:20">
      <c r="A526" s="3"/>
      <c r="B526" s="3"/>
      <c r="C526" s="3"/>
      <c r="D526" s="3"/>
      <c r="E526" s="4"/>
      <c r="F526" s="3"/>
      <c r="G526" s="3"/>
      <c r="H526" s="1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176"/>
    </row>
    <row r="527" spans="1:20">
      <c r="A527" s="3"/>
      <c r="B527" s="3"/>
      <c r="C527" s="3"/>
      <c r="D527" s="3"/>
      <c r="E527" s="4"/>
      <c r="F527" s="3"/>
      <c r="G527" s="3"/>
      <c r="H527" s="1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176"/>
    </row>
    <row r="528" spans="1:20">
      <c r="A528" s="3"/>
      <c r="B528" s="3"/>
      <c r="C528" s="3"/>
      <c r="D528" s="3"/>
      <c r="E528" s="4"/>
      <c r="F528" s="3"/>
      <c r="G528" s="3"/>
      <c r="H528" s="1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176"/>
    </row>
    <row r="529" spans="1:20">
      <c r="A529" s="3"/>
      <c r="B529" s="3"/>
      <c r="C529" s="3"/>
      <c r="D529" s="3"/>
      <c r="E529" s="4"/>
      <c r="F529" s="3"/>
      <c r="G529" s="3"/>
      <c r="H529" s="1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176"/>
    </row>
    <row r="530" spans="1:20">
      <c r="A530" s="3"/>
      <c r="B530" s="3"/>
      <c r="C530" s="3"/>
      <c r="D530" s="3"/>
      <c r="E530" s="4"/>
      <c r="F530" s="3"/>
      <c r="G530" s="3"/>
      <c r="H530" s="1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176"/>
    </row>
    <row r="531" spans="1:20">
      <c r="A531" s="3"/>
      <c r="B531" s="3"/>
      <c r="C531" s="3"/>
      <c r="D531" s="3"/>
      <c r="E531" s="4"/>
      <c r="F531" s="3"/>
      <c r="G531" s="3"/>
      <c r="H531" s="1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176"/>
    </row>
    <row r="532" spans="1:20">
      <c r="A532" s="3"/>
      <c r="B532" s="3"/>
      <c r="C532" s="3"/>
      <c r="D532" s="3"/>
      <c r="E532" s="4"/>
      <c r="F532" s="3"/>
      <c r="G532" s="3"/>
      <c r="H532" s="1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176"/>
    </row>
    <row r="533" spans="1:20">
      <c r="A533" s="3"/>
      <c r="B533" s="3"/>
      <c r="C533" s="3"/>
      <c r="D533" s="3"/>
      <c r="E533" s="4"/>
      <c r="F533" s="3"/>
      <c r="G533" s="3"/>
      <c r="H533" s="1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176"/>
    </row>
    <row r="534" spans="1:20">
      <c r="A534" s="3"/>
      <c r="B534" s="3"/>
      <c r="C534" s="3"/>
      <c r="D534" s="3"/>
      <c r="E534" s="4"/>
      <c r="F534" s="3"/>
      <c r="G534" s="3"/>
      <c r="H534" s="1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176"/>
    </row>
    <row r="535" spans="1:20">
      <c r="A535" s="3"/>
      <c r="B535" s="3"/>
      <c r="C535" s="3"/>
      <c r="D535" s="3"/>
      <c r="E535" s="4"/>
      <c r="F535" s="3"/>
      <c r="G535" s="3"/>
      <c r="H535" s="1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176"/>
    </row>
    <row r="536" spans="1:20">
      <c r="A536" s="3"/>
      <c r="B536" s="3"/>
      <c r="C536" s="3"/>
      <c r="D536" s="3"/>
      <c r="E536" s="4"/>
      <c r="F536" s="3"/>
      <c r="G536" s="3"/>
      <c r="H536" s="1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176"/>
    </row>
    <row r="537" spans="1:20">
      <c r="A537" s="3"/>
      <c r="B537" s="3"/>
      <c r="C537" s="3"/>
      <c r="D537" s="3"/>
      <c r="E537" s="4"/>
      <c r="F537" s="3"/>
      <c r="G537" s="3"/>
      <c r="H537" s="1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176"/>
    </row>
    <row r="538" spans="1:20">
      <c r="A538" s="3"/>
      <c r="B538" s="3"/>
      <c r="C538" s="3"/>
      <c r="D538" s="3"/>
      <c r="E538" s="4"/>
      <c r="F538" s="3"/>
      <c r="G538" s="3"/>
      <c r="H538" s="1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176"/>
    </row>
    <row r="539" spans="1:20">
      <c r="A539" s="3"/>
      <c r="B539" s="3"/>
      <c r="C539" s="3"/>
      <c r="D539" s="3"/>
      <c r="E539" s="4"/>
      <c r="F539" s="3"/>
      <c r="G539" s="3"/>
      <c r="H539" s="1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176"/>
    </row>
    <row r="540" spans="1:20">
      <c r="A540" s="3"/>
      <c r="B540" s="3"/>
      <c r="C540" s="3"/>
      <c r="D540" s="3"/>
      <c r="E540" s="4"/>
      <c r="F540" s="3"/>
      <c r="G540" s="3"/>
      <c r="H540" s="1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176"/>
    </row>
    <row r="541" spans="1:20">
      <c r="A541" s="3"/>
      <c r="B541" s="3"/>
      <c r="C541" s="3"/>
      <c r="D541" s="3"/>
      <c r="E541" s="4"/>
      <c r="F541" s="3"/>
      <c r="G541" s="3"/>
      <c r="H541" s="1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176"/>
    </row>
    <row r="542" spans="1:20">
      <c r="A542" s="3"/>
      <c r="B542" s="3"/>
      <c r="C542" s="3"/>
      <c r="D542" s="3"/>
      <c r="E542" s="4"/>
      <c r="F542" s="3"/>
      <c r="G542" s="3"/>
      <c r="H542" s="1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176"/>
    </row>
    <row r="543" spans="1:20">
      <c r="A543" s="3"/>
      <c r="B543" s="3"/>
      <c r="C543" s="3"/>
      <c r="D543" s="3"/>
      <c r="E543" s="4"/>
      <c r="F543" s="3"/>
      <c r="G543" s="3"/>
      <c r="H543" s="1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176"/>
    </row>
    <row r="544" spans="1:20">
      <c r="A544" s="3"/>
      <c r="B544" s="3"/>
      <c r="C544" s="3"/>
      <c r="D544" s="3"/>
      <c r="E544" s="4"/>
      <c r="F544" s="3"/>
      <c r="G544" s="3"/>
      <c r="H544" s="1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176"/>
    </row>
    <row r="545" spans="1:20">
      <c r="A545" s="3"/>
      <c r="B545" s="3"/>
      <c r="C545" s="3"/>
      <c r="D545" s="3"/>
      <c r="E545" s="4"/>
      <c r="F545" s="3"/>
      <c r="G545" s="3"/>
      <c r="H545" s="1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176"/>
    </row>
    <row r="546" spans="1:20">
      <c r="A546" s="3"/>
      <c r="B546" s="3"/>
      <c r="C546" s="3"/>
      <c r="D546" s="3"/>
      <c r="E546" s="4"/>
      <c r="F546" s="3"/>
      <c r="G546" s="3"/>
      <c r="H546" s="1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176"/>
    </row>
    <row r="547" spans="1:20">
      <c r="A547" s="3"/>
      <c r="B547" s="3"/>
      <c r="C547" s="3"/>
      <c r="D547" s="3"/>
      <c r="E547" s="4"/>
      <c r="F547" s="3"/>
      <c r="G547" s="3"/>
      <c r="H547" s="1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176"/>
    </row>
    <row r="548" spans="1:20">
      <c r="A548" s="3"/>
      <c r="B548" s="3"/>
      <c r="C548" s="3"/>
      <c r="D548" s="3"/>
      <c r="E548" s="4"/>
      <c r="F548" s="3"/>
      <c r="G548" s="3"/>
      <c r="H548" s="1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176"/>
    </row>
    <row r="549" spans="1:20">
      <c r="A549" s="3"/>
      <c r="B549" s="3"/>
      <c r="C549" s="3"/>
      <c r="D549" s="3"/>
      <c r="E549" s="4"/>
      <c r="F549" s="3"/>
      <c r="G549" s="3"/>
      <c r="H549" s="1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176"/>
    </row>
    <row r="550" spans="1:20">
      <c r="A550" s="3"/>
      <c r="B550" s="3"/>
      <c r="C550" s="3"/>
      <c r="D550" s="3"/>
      <c r="E550" s="4"/>
      <c r="F550" s="3"/>
      <c r="G550" s="3"/>
      <c r="H550" s="1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176"/>
    </row>
    <row r="551" spans="1:20">
      <c r="A551" s="3"/>
      <c r="B551" s="3"/>
      <c r="C551" s="3"/>
      <c r="D551" s="3"/>
      <c r="E551" s="4"/>
      <c r="F551" s="3"/>
      <c r="G551" s="3"/>
      <c r="H551" s="1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176"/>
    </row>
    <row r="552" spans="1:20">
      <c r="A552" s="3"/>
      <c r="B552" s="3"/>
      <c r="C552" s="3"/>
      <c r="D552" s="3"/>
      <c r="E552" s="4"/>
      <c r="F552" s="3"/>
      <c r="G552" s="3"/>
      <c r="H552" s="1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176"/>
    </row>
    <row r="553" spans="1:20">
      <c r="A553" s="3"/>
      <c r="B553" s="3"/>
      <c r="C553" s="3"/>
      <c r="D553" s="3"/>
      <c r="E553" s="4"/>
      <c r="F553" s="3"/>
      <c r="G553" s="3"/>
      <c r="H553" s="1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176"/>
    </row>
    <row r="554" spans="1:20">
      <c r="A554" s="3"/>
      <c r="B554" s="3"/>
      <c r="C554" s="3"/>
      <c r="D554" s="3"/>
      <c r="E554" s="4"/>
      <c r="F554" s="3"/>
      <c r="G554" s="3"/>
      <c r="H554" s="1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176"/>
    </row>
    <row r="555" spans="1:20">
      <c r="A555" s="3"/>
      <c r="B555" s="3"/>
      <c r="C555" s="3"/>
      <c r="D555" s="3"/>
      <c r="E555" s="4"/>
      <c r="F555" s="3"/>
      <c r="G555" s="3"/>
      <c r="H555" s="1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176"/>
    </row>
    <row r="556" spans="1:20">
      <c r="A556" s="3"/>
      <c r="B556" s="3"/>
      <c r="C556" s="3"/>
      <c r="D556" s="3"/>
      <c r="E556" s="4"/>
      <c r="F556" s="3"/>
      <c r="G556" s="3"/>
      <c r="H556" s="1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176"/>
    </row>
    <row r="557" spans="1:20">
      <c r="A557" s="3"/>
      <c r="B557" s="3"/>
      <c r="C557" s="3"/>
      <c r="D557" s="3"/>
      <c r="E557" s="4"/>
      <c r="F557" s="3"/>
      <c r="G557" s="3"/>
      <c r="H557" s="1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176"/>
    </row>
    <row r="558" spans="1:20">
      <c r="A558" s="3"/>
      <c r="B558" s="3"/>
      <c r="C558" s="3"/>
      <c r="D558" s="3"/>
      <c r="E558" s="4"/>
      <c r="F558" s="3"/>
      <c r="G558" s="3"/>
      <c r="H558" s="1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176"/>
    </row>
    <row r="559" spans="1:20">
      <c r="A559" s="3"/>
      <c r="B559" s="3"/>
      <c r="C559" s="3"/>
      <c r="D559" s="3"/>
      <c r="E559" s="4"/>
      <c r="F559" s="3"/>
      <c r="G559" s="3"/>
      <c r="H559" s="1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176"/>
    </row>
    <row r="560" spans="1:20">
      <c r="A560" s="3"/>
      <c r="B560" s="3"/>
      <c r="C560" s="3"/>
      <c r="D560" s="3"/>
      <c r="E560" s="4"/>
      <c r="F560" s="3"/>
      <c r="G560" s="3"/>
      <c r="H560" s="1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176"/>
    </row>
    <row r="561" spans="1:20">
      <c r="A561" s="3"/>
      <c r="B561" s="3"/>
      <c r="C561" s="3"/>
      <c r="D561" s="3"/>
      <c r="E561" s="4"/>
      <c r="F561" s="3"/>
      <c r="G561" s="3"/>
      <c r="H561" s="1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176"/>
    </row>
    <row r="562" spans="1:20">
      <c r="A562" s="3"/>
      <c r="B562" s="3"/>
      <c r="C562" s="3"/>
      <c r="D562" s="3"/>
      <c r="E562" s="4"/>
      <c r="F562" s="3"/>
      <c r="G562" s="3"/>
      <c r="H562" s="1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176"/>
    </row>
    <row r="563" spans="1:20">
      <c r="A563" s="3"/>
      <c r="B563" s="3"/>
      <c r="C563" s="3"/>
      <c r="D563" s="3"/>
      <c r="E563" s="4"/>
      <c r="F563" s="3"/>
      <c r="G563" s="3"/>
      <c r="H563" s="1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176"/>
    </row>
    <row r="564" spans="1:20">
      <c r="A564" s="3"/>
      <c r="B564" s="3"/>
      <c r="C564" s="3"/>
      <c r="D564" s="3"/>
      <c r="E564" s="4"/>
      <c r="F564" s="3"/>
      <c r="G564" s="3"/>
      <c r="H564" s="1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176"/>
    </row>
    <row r="565" spans="1:20">
      <c r="A565" s="3"/>
      <c r="B565" s="3"/>
      <c r="C565" s="3"/>
      <c r="D565" s="3"/>
      <c r="E565" s="4"/>
      <c r="F565" s="3"/>
      <c r="G565" s="3"/>
      <c r="H565" s="1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176"/>
    </row>
    <row r="566" spans="1:20">
      <c r="A566" s="3"/>
      <c r="B566" s="3"/>
      <c r="C566" s="3"/>
      <c r="D566" s="3"/>
      <c r="E566" s="4"/>
      <c r="F566" s="3"/>
      <c r="G566" s="3"/>
      <c r="H566" s="1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176"/>
    </row>
    <row r="567" spans="1:20">
      <c r="A567" s="3"/>
      <c r="B567" s="3"/>
      <c r="C567" s="3"/>
      <c r="D567" s="3"/>
      <c r="E567" s="4"/>
      <c r="F567" s="3"/>
      <c r="G567" s="3"/>
      <c r="H567" s="1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176"/>
    </row>
    <row r="568" spans="1:20">
      <c r="A568" s="3"/>
      <c r="B568" s="3"/>
      <c r="C568" s="3"/>
      <c r="D568" s="3"/>
      <c r="E568" s="4"/>
      <c r="F568" s="3"/>
      <c r="G568" s="3"/>
      <c r="H568" s="1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176"/>
    </row>
    <row r="569" spans="1:20">
      <c r="A569" s="3"/>
      <c r="B569" s="3"/>
      <c r="C569" s="3"/>
      <c r="D569" s="3"/>
      <c r="E569" s="4"/>
      <c r="F569" s="3"/>
      <c r="G569" s="3"/>
      <c r="H569" s="1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176"/>
    </row>
    <row r="570" spans="1:20">
      <c r="A570" s="3"/>
      <c r="B570" s="3"/>
      <c r="C570" s="3"/>
      <c r="D570" s="3"/>
      <c r="E570" s="4"/>
      <c r="F570" s="3"/>
      <c r="G570" s="3"/>
      <c r="H570" s="1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176"/>
    </row>
    <row r="571" spans="1:20">
      <c r="A571" s="3"/>
      <c r="B571" s="3"/>
      <c r="C571" s="3"/>
      <c r="D571" s="3"/>
      <c r="E571" s="4"/>
      <c r="F571" s="3"/>
      <c r="G571" s="3"/>
      <c r="H571" s="1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176"/>
    </row>
    <row r="572" spans="1:20">
      <c r="A572" s="3"/>
      <c r="B572" s="3"/>
      <c r="C572" s="3"/>
      <c r="D572" s="3"/>
      <c r="E572" s="4"/>
      <c r="F572" s="3"/>
      <c r="G572" s="3"/>
      <c r="H572" s="1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176"/>
    </row>
    <row r="573" spans="1:20">
      <c r="A573" s="3"/>
      <c r="B573" s="3"/>
      <c r="C573" s="3"/>
      <c r="D573" s="3"/>
      <c r="E573" s="4"/>
      <c r="F573" s="3"/>
      <c r="G573" s="3"/>
      <c r="H573" s="1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176"/>
    </row>
    <row r="574" spans="1:20">
      <c r="A574" s="3"/>
      <c r="B574" s="3"/>
      <c r="C574" s="3"/>
      <c r="D574" s="3"/>
      <c r="E574" s="4"/>
      <c r="F574" s="3"/>
      <c r="G574" s="3"/>
      <c r="H574" s="1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176"/>
    </row>
    <row r="575" spans="1:20">
      <c r="A575" s="3"/>
      <c r="B575" s="3"/>
      <c r="C575" s="3"/>
      <c r="D575" s="3"/>
      <c r="E575" s="4"/>
      <c r="F575" s="3"/>
      <c r="G575" s="3"/>
      <c r="H575" s="1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176"/>
    </row>
    <row r="576" spans="1:20">
      <c r="A576" s="3"/>
      <c r="B576" s="3"/>
      <c r="C576" s="3"/>
      <c r="D576" s="3"/>
      <c r="E576" s="4"/>
      <c r="F576" s="3"/>
      <c r="G576" s="3"/>
      <c r="H576" s="1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176"/>
    </row>
    <row r="577" spans="1:20">
      <c r="A577" s="3"/>
      <c r="B577" s="3"/>
      <c r="C577" s="3"/>
      <c r="D577" s="3"/>
      <c r="E577" s="4"/>
      <c r="F577" s="3"/>
      <c r="G577" s="3"/>
      <c r="H577" s="1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176"/>
    </row>
    <row r="578" spans="1:20">
      <c r="A578" s="3"/>
      <c r="B578" s="3"/>
      <c r="C578" s="3"/>
      <c r="D578" s="3"/>
      <c r="E578" s="4"/>
      <c r="F578" s="3"/>
      <c r="G578" s="3"/>
      <c r="H578" s="1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176"/>
    </row>
    <row r="579" spans="1:20">
      <c r="A579" s="3"/>
      <c r="B579" s="3"/>
      <c r="C579" s="3"/>
      <c r="D579" s="3"/>
      <c r="E579" s="4"/>
      <c r="F579" s="3"/>
      <c r="G579" s="3"/>
      <c r="H579" s="1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176"/>
    </row>
    <row r="580" spans="1:20">
      <c r="A580" s="3"/>
      <c r="B580" s="3"/>
      <c r="C580" s="3"/>
      <c r="D580" s="3"/>
      <c r="E580" s="4"/>
      <c r="F580" s="3"/>
      <c r="G580" s="3"/>
      <c r="H580" s="1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176"/>
    </row>
    <row r="581" spans="1:20">
      <c r="A581" s="3"/>
      <c r="B581" s="3"/>
      <c r="C581" s="3"/>
      <c r="D581" s="3"/>
      <c r="E581" s="4"/>
      <c r="F581" s="3"/>
      <c r="G581" s="3"/>
      <c r="H581" s="1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176"/>
    </row>
    <row r="582" spans="1:20">
      <c r="A582" s="3"/>
      <c r="B582" s="3"/>
      <c r="C582" s="3"/>
      <c r="D582" s="3"/>
      <c r="E582" s="4"/>
      <c r="F582" s="3"/>
      <c r="G582" s="3"/>
      <c r="H582" s="1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176"/>
    </row>
    <row r="583" spans="1:20">
      <c r="A583" s="3"/>
      <c r="B583" s="3"/>
      <c r="C583" s="3"/>
      <c r="D583" s="3"/>
      <c r="E583" s="4"/>
      <c r="F583" s="3"/>
      <c r="G583" s="3"/>
      <c r="H583" s="1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176"/>
    </row>
    <row r="584" spans="1:20">
      <c r="A584" s="3"/>
      <c r="B584" s="3"/>
      <c r="C584" s="3"/>
      <c r="D584" s="3"/>
      <c r="E584" s="4"/>
      <c r="F584" s="3"/>
      <c r="G584" s="3"/>
      <c r="H584" s="1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176"/>
    </row>
    <row r="585" spans="1:20">
      <c r="A585" s="3"/>
      <c r="B585" s="3"/>
      <c r="C585" s="3"/>
      <c r="D585" s="3"/>
      <c r="E585" s="4"/>
      <c r="F585" s="3"/>
      <c r="G585" s="3"/>
      <c r="H585" s="1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176"/>
    </row>
    <row r="586" spans="1:20">
      <c r="A586" s="3"/>
      <c r="B586" s="3"/>
      <c r="C586" s="3"/>
      <c r="D586" s="3"/>
      <c r="E586" s="4"/>
      <c r="F586" s="3"/>
      <c r="G586" s="3"/>
      <c r="H586" s="1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176"/>
    </row>
    <row r="587" spans="1:20">
      <c r="A587" s="3"/>
      <c r="B587" s="3"/>
      <c r="C587" s="3"/>
      <c r="D587" s="3"/>
      <c r="E587" s="4"/>
      <c r="F587" s="3"/>
      <c r="G587" s="3"/>
      <c r="H587" s="1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176"/>
    </row>
    <row r="588" spans="1:20">
      <c r="A588" s="3"/>
      <c r="B588" s="3"/>
      <c r="C588" s="3"/>
      <c r="D588" s="3"/>
      <c r="E588" s="4"/>
      <c r="F588" s="3"/>
      <c r="G588" s="3"/>
      <c r="H588" s="1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176"/>
    </row>
    <row r="589" spans="1:20">
      <c r="A589" s="3"/>
      <c r="B589" s="3"/>
      <c r="C589" s="3"/>
      <c r="D589" s="3"/>
      <c r="E589" s="4"/>
      <c r="F589" s="3"/>
      <c r="G589" s="3"/>
      <c r="H589" s="1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176"/>
    </row>
    <row r="590" spans="1:20">
      <c r="A590" s="3"/>
      <c r="B590" s="3"/>
      <c r="C590" s="3"/>
      <c r="D590" s="3"/>
      <c r="E590" s="4"/>
      <c r="F590" s="3"/>
      <c r="G590" s="3"/>
      <c r="H590" s="1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176"/>
    </row>
    <row r="591" spans="1:20">
      <c r="A591" s="3"/>
      <c r="B591" s="3"/>
      <c r="C591" s="3"/>
      <c r="D591" s="3"/>
      <c r="E591" s="4"/>
      <c r="F591" s="3"/>
      <c r="G591" s="3"/>
      <c r="H591" s="1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176"/>
    </row>
    <row r="592" spans="1:20">
      <c r="A592" s="3"/>
      <c r="B592" s="3"/>
      <c r="C592" s="3"/>
      <c r="D592" s="3"/>
      <c r="E592" s="4"/>
      <c r="F592" s="3"/>
      <c r="G592" s="3"/>
      <c r="H592" s="1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176"/>
    </row>
    <row r="593" spans="1:20">
      <c r="A593" s="3"/>
      <c r="B593" s="3"/>
      <c r="C593" s="3"/>
      <c r="D593" s="3"/>
      <c r="E593" s="4"/>
      <c r="F593" s="3"/>
      <c r="G593" s="3"/>
      <c r="H593" s="1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176"/>
    </row>
    <row r="594" spans="1:20">
      <c r="A594" s="3"/>
      <c r="B594" s="3"/>
      <c r="C594" s="3"/>
      <c r="D594" s="3"/>
      <c r="E594" s="4"/>
      <c r="F594" s="3"/>
      <c r="G594" s="3"/>
      <c r="H594" s="1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176"/>
    </row>
    <row r="595" spans="1:20">
      <c r="A595" s="3"/>
      <c r="B595" s="3"/>
      <c r="C595" s="3"/>
      <c r="D595" s="3"/>
      <c r="E595" s="4"/>
      <c r="F595" s="3"/>
      <c r="G595" s="3"/>
      <c r="H595" s="1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176"/>
    </row>
    <row r="596" spans="1:20">
      <c r="A596" s="3"/>
      <c r="B596" s="3"/>
      <c r="C596" s="3"/>
      <c r="D596" s="3"/>
      <c r="E596" s="4"/>
      <c r="F596" s="3"/>
      <c r="G596" s="3"/>
      <c r="H596" s="1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176"/>
    </row>
    <row r="597" spans="1:20">
      <c r="A597" s="3"/>
      <c r="B597" s="3"/>
      <c r="C597" s="3"/>
      <c r="D597" s="3"/>
      <c r="E597" s="4"/>
      <c r="F597" s="3"/>
      <c r="G597" s="3"/>
      <c r="H597" s="1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176"/>
    </row>
    <row r="598" spans="1:20">
      <c r="A598" s="3"/>
      <c r="B598" s="3"/>
      <c r="C598" s="3"/>
      <c r="D598" s="3"/>
      <c r="E598" s="4"/>
      <c r="F598" s="3"/>
      <c r="G598" s="3"/>
      <c r="H598" s="1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176"/>
    </row>
    <row r="599" spans="1:20">
      <c r="A599" s="3"/>
      <c r="B599" s="3"/>
      <c r="C599" s="3"/>
      <c r="D599" s="3"/>
      <c r="E599" s="4"/>
      <c r="F599" s="3"/>
      <c r="G599" s="3"/>
      <c r="H599" s="1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176"/>
    </row>
    <row r="600" spans="1:20">
      <c r="A600" s="3"/>
      <c r="B600" s="3"/>
      <c r="C600" s="3"/>
      <c r="D600" s="3"/>
      <c r="E600" s="4"/>
      <c r="F600" s="3"/>
      <c r="G600" s="3"/>
      <c r="H600" s="1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176"/>
    </row>
    <row r="601" spans="1:20">
      <c r="A601" s="3"/>
      <c r="B601" s="3"/>
      <c r="C601" s="3"/>
      <c r="D601" s="3"/>
      <c r="E601" s="4"/>
      <c r="F601" s="3"/>
      <c r="G601" s="3"/>
      <c r="H601" s="1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176"/>
    </row>
    <row r="602" spans="1:20">
      <c r="A602" s="3"/>
      <c r="B602" s="3"/>
      <c r="C602" s="3"/>
      <c r="D602" s="3"/>
      <c r="E602" s="4"/>
      <c r="F602" s="3"/>
      <c r="G602" s="3"/>
      <c r="H602" s="1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176"/>
    </row>
    <row r="603" spans="1:20">
      <c r="A603" s="3"/>
      <c r="B603" s="3"/>
      <c r="C603" s="3"/>
      <c r="D603" s="3"/>
      <c r="E603" s="4"/>
      <c r="F603" s="3"/>
      <c r="G603" s="3"/>
      <c r="H603" s="1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176"/>
    </row>
    <row r="604" spans="1:20">
      <c r="A604" s="3"/>
      <c r="B604" s="3"/>
      <c r="C604" s="3"/>
      <c r="D604" s="3"/>
      <c r="E604" s="4"/>
      <c r="F604" s="3"/>
      <c r="G604" s="3"/>
      <c r="H604" s="1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176"/>
    </row>
    <row r="605" spans="1:20">
      <c r="A605" s="3"/>
      <c r="B605" s="3"/>
      <c r="C605" s="3"/>
      <c r="D605" s="3"/>
      <c r="E605" s="4"/>
      <c r="F605" s="3"/>
      <c r="G605" s="3"/>
      <c r="H605" s="1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176"/>
    </row>
    <row r="606" spans="1:20">
      <c r="A606" s="3"/>
      <c r="B606" s="3"/>
      <c r="C606" s="3"/>
      <c r="D606" s="3"/>
      <c r="E606" s="4"/>
      <c r="F606" s="3"/>
      <c r="G606" s="3"/>
      <c r="H606" s="1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176"/>
    </row>
    <row r="607" spans="1:20">
      <c r="A607" s="3"/>
      <c r="B607" s="3"/>
      <c r="C607" s="3"/>
      <c r="D607" s="3"/>
      <c r="E607" s="4"/>
      <c r="F607" s="3"/>
      <c r="G607" s="3"/>
      <c r="H607" s="1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176"/>
    </row>
    <row r="608" spans="1:20">
      <c r="A608" s="3"/>
      <c r="B608" s="3"/>
      <c r="C608" s="3"/>
      <c r="D608" s="3"/>
      <c r="E608" s="4"/>
      <c r="F608" s="3"/>
      <c r="G608" s="3"/>
      <c r="H608" s="1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176"/>
    </row>
    <row r="609" spans="1:20">
      <c r="A609" s="3"/>
      <c r="B609" s="3"/>
      <c r="C609" s="3"/>
      <c r="D609" s="3"/>
      <c r="E609" s="4"/>
      <c r="F609" s="3"/>
      <c r="G609" s="3"/>
      <c r="H609" s="1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176"/>
    </row>
    <row r="610" spans="1:20">
      <c r="A610" s="3"/>
      <c r="B610" s="3"/>
      <c r="C610" s="3"/>
      <c r="D610" s="3"/>
      <c r="E610" s="4"/>
      <c r="F610" s="3"/>
      <c r="G610" s="3"/>
      <c r="H610" s="1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176"/>
    </row>
    <row r="611" spans="1:20">
      <c r="A611" s="3"/>
      <c r="B611" s="3"/>
      <c r="C611" s="3"/>
      <c r="D611" s="3"/>
      <c r="E611" s="4"/>
      <c r="F611" s="3"/>
      <c r="G611" s="3"/>
      <c r="H611" s="1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176"/>
    </row>
    <row r="612" spans="1:20">
      <c r="A612" s="3"/>
      <c r="B612" s="3"/>
      <c r="C612" s="3"/>
      <c r="D612" s="3"/>
      <c r="E612" s="4"/>
      <c r="F612" s="3"/>
      <c r="G612" s="3"/>
      <c r="H612" s="1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176"/>
    </row>
    <row r="613" spans="1:20">
      <c r="A613" s="3"/>
      <c r="B613" s="3"/>
      <c r="C613" s="3"/>
      <c r="D613" s="3"/>
      <c r="E613" s="4"/>
      <c r="F613" s="3"/>
      <c r="G613" s="3"/>
      <c r="H613" s="1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176"/>
    </row>
    <row r="614" spans="1:20">
      <c r="A614" s="3"/>
      <c r="B614" s="3"/>
      <c r="C614" s="3"/>
      <c r="D614" s="3"/>
      <c r="E614" s="4"/>
      <c r="F614" s="3"/>
      <c r="G614" s="3"/>
      <c r="H614" s="1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176"/>
    </row>
    <row r="615" spans="1:20">
      <c r="A615" s="3"/>
      <c r="B615" s="3"/>
      <c r="C615" s="3"/>
      <c r="D615" s="3"/>
      <c r="E615" s="4"/>
      <c r="F615" s="3"/>
      <c r="G615" s="3"/>
      <c r="H615" s="1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176"/>
    </row>
    <row r="616" spans="1:20">
      <c r="A616" s="3"/>
      <c r="B616" s="3"/>
      <c r="C616" s="3"/>
      <c r="D616" s="3"/>
      <c r="E616" s="4"/>
      <c r="F616" s="3"/>
      <c r="G616" s="3"/>
      <c r="H616" s="1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176"/>
    </row>
    <row r="617" spans="1:20">
      <c r="A617" s="3"/>
      <c r="B617" s="3"/>
      <c r="C617" s="3"/>
      <c r="D617" s="3"/>
      <c r="E617" s="4"/>
      <c r="F617" s="3"/>
      <c r="G617" s="3"/>
      <c r="H617" s="1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176"/>
    </row>
    <row r="618" spans="1:20">
      <c r="A618" s="3"/>
      <c r="B618" s="3"/>
      <c r="C618" s="3"/>
      <c r="D618" s="3"/>
      <c r="E618" s="4"/>
      <c r="F618" s="3"/>
      <c r="G618" s="3"/>
      <c r="H618" s="1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176"/>
    </row>
    <row r="619" spans="1:20">
      <c r="A619" s="3"/>
      <c r="B619" s="3"/>
      <c r="C619" s="3"/>
      <c r="D619" s="3"/>
      <c r="E619" s="4"/>
      <c r="F619" s="3"/>
      <c r="G619" s="3"/>
      <c r="H619" s="1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176"/>
    </row>
    <row r="620" spans="1:20">
      <c r="A620" s="3"/>
      <c r="B620" s="3"/>
      <c r="C620" s="3"/>
      <c r="D620" s="3"/>
      <c r="E620" s="4"/>
      <c r="F620" s="3"/>
      <c r="G620" s="3"/>
      <c r="H620" s="1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176"/>
    </row>
    <row r="621" spans="1:20">
      <c r="A621" s="3"/>
      <c r="B621" s="3"/>
      <c r="C621" s="3"/>
      <c r="D621" s="3"/>
      <c r="E621" s="4"/>
      <c r="F621" s="3"/>
      <c r="G621" s="3"/>
      <c r="H621" s="1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176"/>
    </row>
    <row r="622" spans="1:20">
      <c r="A622" s="3"/>
      <c r="B622" s="3"/>
      <c r="C622" s="3"/>
      <c r="D622" s="3"/>
      <c r="E622" s="4"/>
      <c r="F622" s="3"/>
      <c r="G622" s="3"/>
      <c r="H622" s="1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176"/>
    </row>
    <row r="623" spans="1:20">
      <c r="A623" s="3"/>
      <c r="B623" s="3"/>
      <c r="C623" s="3"/>
      <c r="D623" s="3"/>
      <c r="E623" s="4"/>
      <c r="F623" s="3"/>
      <c r="G623" s="3"/>
      <c r="H623" s="1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176"/>
    </row>
    <row r="624" spans="1:20">
      <c r="A624" s="3"/>
      <c r="B624" s="3"/>
      <c r="C624" s="3"/>
      <c r="D624" s="3"/>
      <c r="E624" s="4"/>
      <c r="F624" s="3"/>
      <c r="G624" s="3"/>
      <c r="H624" s="1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176"/>
    </row>
    <row r="625" spans="1:20">
      <c r="A625" s="3"/>
      <c r="B625" s="3"/>
      <c r="C625" s="3"/>
      <c r="D625" s="3"/>
      <c r="E625" s="4"/>
      <c r="F625" s="3"/>
      <c r="G625" s="3"/>
      <c r="H625" s="1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176"/>
    </row>
    <row r="626" spans="1:20">
      <c r="A626" s="3"/>
      <c r="B626" s="3"/>
      <c r="C626" s="3"/>
      <c r="D626" s="3"/>
      <c r="E626" s="4"/>
      <c r="F626" s="3"/>
      <c r="G626" s="3"/>
      <c r="H626" s="1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176"/>
    </row>
    <row r="627" spans="1:20">
      <c r="A627" s="3"/>
      <c r="B627" s="3"/>
      <c r="C627" s="3"/>
      <c r="D627" s="3"/>
      <c r="E627" s="4"/>
      <c r="F627" s="3"/>
      <c r="G627" s="3"/>
      <c r="H627" s="1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176"/>
    </row>
    <row r="628" spans="1:20">
      <c r="A628" s="3"/>
      <c r="B628" s="3"/>
      <c r="C628" s="3"/>
      <c r="D628" s="3"/>
      <c r="E628" s="4"/>
      <c r="F628" s="3"/>
      <c r="G628" s="3"/>
      <c r="H628" s="1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176"/>
    </row>
    <row r="629" spans="1:20">
      <c r="A629" s="3"/>
      <c r="B629" s="3"/>
      <c r="C629" s="3"/>
      <c r="D629" s="3"/>
      <c r="E629" s="4"/>
      <c r="F629" s="3"/>
      <c r="G629" s="3"/>
      <c r="H629" s="1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176"/>
    </row>
    <row r="630" spans="1:20">
      <c r="A630" s="3"/>
      <c r="B630" s="3"/>
      <c r="C630" s="3"/>
      <c r="D630" s="3"/>
      <c r="E630" s="4"/>
      <c r="F630" s="3"/>
      <c r="G630" s="3"/>
      <c r="H630" s="1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176"/>
    </row>
    <row r="631" spans="1:20">
      <c r="A631" s="3"/>
      <c r="B631" s="3"/>
      <c r="C631" s="3"/>
      <c r="D631" s="3"/>
      <c r="E631" s="4"/>
      <c r="F631" s="3"/>
      <c r="G631" s="3"/>
      <c r="H631" s="1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176"/>
    </row>
    <row r="632" spans="1:20">
      <c r="A632" s="3"/>
      <c r="B632" s="3"/>
      <c r="C632" s="3"/>
      <c r="D632" s="3"/>
      <c r="E632" s="4"/>
      <c r="F632" s="3"/>
      <c r="G632" s="3"/>
      <c r="H632" s="1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176"/>
    </row>
    <row r="633" spans="1:20">
      <c r="A633" s="3"/>
      <c r="B633" s="3"/>
      <c r="C633" s="3"/>
      <c r="D633" s="3"/>
      <c r="E633" s="4"/>
      <c r="F633" s="3"/>
      <c r="G633" s="3"/>
      <c r="H633" s="1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176"/>
    </row>
    <row r="634" spans="1:20">
      <c r="A634" s="3"/>
      <c r="B634" s="3"/>
      <c r="C634" s="3"/>
      <c r="D634" s="3"/>
      <c r="E634" s="4"/>
      <c r="F634" s="3"/>
      <c r="G634" s="3"/>
      <c r="H634" s="1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176"/>
    </row>
    <row r="635" spans="1:20">
      <c r="A635" s="3"/>
      <c r="B635" s="3"/>
      <c r="C635" s="3"/>
      <c r="D635" s="3"/>
      <c r="E635" s="4"/>
      <c r="F635" s="3"/>
      <c r="G635" s="3"/>
      <c r="H635" s="1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176"/>
    </row>
    <row r="636" spans="1:20">
      <c r="A636" s="3"/>
      <c r="B636" s="3"/>
      <c r="C636" s="3"/>
      <c r="D636" s="3"/>
      <c r="E636" s="4"/>
      <c r="F636" s="3"/>
      <c r="G636" s="3"/>
      <c r="H636" s="1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176"/>
    </row>
    <row r="637" spans="1:20">
      <c r="A637" s="3"/>
      <c r="B637" s="3"/>
      <c r="C637" s="3"/>
      <c r="D637" s="3"/>
      <c r="E637" s="4"/>
      <c r="F637" s="3"/>
      <c r="G637" s="3"/>
      <c r="H637" s="1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176"/>
    </row>
    <row r="638" spans="1:20">
      <c r="A638" s="3"/>
      <c r="B638" s="3"/>
      <c r="C638" s="3"/>
      <c r="D638" s="3"/>
      <c r="E638" s="4"/>
      <c r="F638" s="3"/>
      <c r="G638" s="3"/>
      <c r="H638" s="1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176"/>
    </row>
    <row r="639" spans="1:20">
      <c r="A639" s="3"/>
      <c r="B639" s="3"/>
      <c r="C639" s="3"/>
      <c r="D639" s="3"/>
      <c r="E639" s="4"/>
      <c r="F639" s="3"/>
      <c r="G639" s="3"/>
      <c r="H639" s="1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176"/>
    </row>
    <row r="640" spans="1:20">
      <c r="A640" s="3"/>
      <c r="B640" s="3"/>
      <c r="C640" s="3"/>
      <c r="D640" s="3"/>
      <c r="E640" s="4"/>
      <c r="F640" s="3"/>
      <c r="G640" s="3"/>
      <c r="H640" s="1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176"/>
    </row>
    <row r="641" spans="1:20">
      <c r="A641" s="3"/>
      <c r="B641" s="3"/>
      <c r="C641" s="3"/>
      <c r="D641" s="3"/>
      <c r="E641" s="4"/>
      <c r="F641" s="3"/>
      <c r="G641" s="3"/>
      <c r="H641" s="1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176"/>
    </row>
    <row r="642" spans="1:20">
      <c r="A642" s="3"/>
      <c r="B642" s="3"/>
      <c r="C642" s="3"/>
      <c r="D642" s="3"/>
      <c r="E642" s="4"/>
      <c r="F642" s="3"/>
      <c r="G642" s="3"/>
      <c r="H642" s="1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176"/>
    </row>
    <row r="643" spans="1:20">
      <c r="A643" s="3"/>
      <c r="B643" s="3"/>
      <c r="C643" s="3"/>
      <c r="D643" s="3"/>
      <c r="E643" s="4"/>
      <c r="F643" s="3"/>
      <c r="G643" s="3"/>
      <c r="H643" s="1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176"/>
    </row>
    <row r="644" spans="1:20">
      <c r="A644" s="3"/>
      <c r="B644" s="3"/>
      <c r="C644" s="3"/>
      <c r="D644" s="3"/>
      <c r="E644" s="4"/>
      <c r="F644" s="3"/>
      <c r="G644" s="3"/>
      <c r="H644" s="1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176"/>
    </row>
    <row r="645" spans="1:20">
      <c r="A645" s="3"/>
      <c r="B645" s="3"/>
      <c r="C645" s="3"/>
      <c r="D645" s="3"/>
      <c r="E645" s="4"/>
      <c r="F645" s="3"/>
      <c r="G645" s="3"/>
      <c r="H645" s="1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176"/>
    </row>
    <row r="646" spans="1:20">
      <c r="A646" s="3"/>
      <c r="B646" s="3"/>
      <c r="C646" s="3"/>
      <c r="D646" s="3"/>
      <c r="E646" s="4"/>
      <c r="F646" s="3"/>
      <c r="G646" s="3"/>
      <c r="H646" s="1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176"/>
    </row>
    <row r="647" spans="1:20">
      <c r="A647" s="3"/>
      <c r="B647" s="3"/>
      <c r="C647" s="3"/>
      <c r="D647" s="3"/>
      <c r="E647" s="4"/>
      <c r="F647" s="3"/>
      <c r="G647" s="3"/>
      <c r="H647" s="1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176"/>
    </row>
    <row r="648" spans="1:20">
      <c r="A648" s="3"/>
      <c r="B648" s="3"/>
      <c r="C648" s="3"/>
      <c r="D648" s="3"/>
      <c r="E648" s="4"/>
      <c r="F648" s="3"/>
      <c r="G648" s="3"/>
      <c r="H648" s="1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176"/>
    </row>
    <row r="649" spans="1:20">
      <c r="A649" s="3"/>
      <c r="B649" s="3"/>
      <c r="C649" s="3"/>
      <c r="D649" s="3"/>
      <c r="E649" s="4"/>
      <c r="F649" s="3"/>
      <c r="G649" s="3"/>
      <c r="H649" s="1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176"/>
    </row>
    <row r="650" spans="1:20">
      <c r="A650" s="3"/>
      <c r="B650" s="3"/>
      <c r="C650" s="3"/>
      <c r="D650" s="3"/>
      <c r="E650" s="4"/>
      <c r="F650" s="3"/>
      <c r="G650" s="3"/>
      <c r="H650" s="1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176"/>
    </row>
    <row r="651" spans="1:20">
      <c r="A651" s="3"/>
      <c r="B651" s="3"/>
      <c r="C651" s="3"/>
      <c r="D651" s="3"/>
      <c r="E651" s="4"/>
      <c r="F651" s="3"/>
      <c r="G651" s="3"/>
      <c r="H651" s="1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176"/>
    </row>
    <row r="652" spans="1:20">
      <c r="A652" s="3"/>
      <c r="B652" s="3"/>
      <c r="C652" s="3"/>
      <c r="D652" s="3"/>
      <c r="E652" s="4"/>
      <c r="F652" s="3"/>
      <c r="G652" s="3"/>
      <c r="H652" s="1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176"/>
    </row>
    <row r="653" spans="1:20">
      <c r="A653" s="3"/>
      <c r="B653" s="3"/>
      <c r="C653" s="3"/>
      <c r="D653" s="3"/>
      <c r="E653" s="4"/>
      <c r="F653" s="3"/>
      <c r="G653" s="3"/>
      <c r="H653" s="1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176"/>
    </row>
    <row r="654" spans="1:20">
      <c r="A654" s="3"/>
      <c r="B654" s="3"/>
      <c r="C654" s="3"/>
      <c r="D654" s="3"/>
      <c r="E654" s="4"/>
      <c r="F654" s="3"/>
      <c r="G654" s="3"/>
      <c r="H654" s="1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176"/>
    </row>
    <row r="655" spans="1:20">
      <c r="A655" s="3"/>
      <c r="B655" s="3"/>
      <c r="C655" s="3"/>
      <c r="D655" s="3"/>
      <c r="E655" s="4"/>
      <c r="F655" s="3"/>
      <c r="G655" s="3"/>
      <c r="H655" s="1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176"/>
    </row>
    <row r="656" spans="1:20">
      <c r="A656" s="3"/>
      <c r="B656" s="3"/>
      <c r="C656" s="3"/>
      <c r="D656" s="3"/>
      <c r="E656" s="4"/>
      <c r="F656" s="3"/>
      <c r="G656" s="3"/>
      <c r="H656" s="1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176"/>
    </row>
    <row r="657" spans="1:20">
      <c r="A657" s="3"/>
      <c r="B657" s="3"/>
      <c r="C657" s="3"/>
      <c r="D657" s="3"/>
      <c r="E657" s="4"/>
      <c r="F657" s="3"/>
      <c r="G657" s="3"/>
      <c r="H657" s="1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176"/>
    </row>
    <row r="658" spans="1:20">
      <c r="A658" s="3"/>
      <c r="B658" s="3"/>
      <c r="C658" s="3"/>
      <c r="D658" s="3"/>
      <c r="E658" s="4"/>
      <c r="F658" s="3"/>
      <c r="G658" s="3"/>
      <c r="H658" s="1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176"/>
    </row>
    <row r="659" spans="1:20">
      <c r="A659" s="3"/>
      <c r="B659" s="3"/>
      <c r="C659" s="3"/>
      <c r="D659" s="3"/>
      <c r="E659" s="4"/>
      <c r="F659" s="3"/>
      <c r="G659" s="3"/>
      <c r="H659" s="1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176"/>
    </row>
    <row r="660" spans="1:20">
      <c r="A660" s="3"/>
      <c r="B660" s="3"/>
      <c r="C660" s="3"/>
      <c r="D660" s="3"/>
      <c r="E660" s="4"/>
      <c r="F660" s="3"/>
      <c r="G660" s="3"/>
      <c r="H660" s="1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176"/>
    </row>
    <row r="661" spans="1:20">
      <c r="A661" s="3"/>
      <c r="B661" s="3"/>
      <c r="C661" s="3"/>
      <c r="D661" s="3"/>
      <c r="E661" s="4"/>
      <c r="F661" s="3"/>
      <c r="G661" s="3"/>
      <c r="H661" s="1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176"/>
    </row>
    <row r="662" spans="1:20">
      <c r="A662" s="3"/>
      <c r="B662" s="3"/>
      <c r="C662" s="3"/>
      <c r="D662" s="3"/>
      <c r="E662" s="4"/>
      <c r="F662" s="3"/>
      <c r="G662" s="3"/>
      <c r="H662" s="1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176"/>
    </row>
    <row r="663" spans="1:20">
      <c r="A663" s="3"/>
      <c r="B663" s="3"/>
      <c r="C663" s="3"/>
      <c r="D663" s="3"/>
      <c r="E663" s="4"/>
      <c r="F663" s="3"/>
      <c r="G663" s="3"/>
      <c r="H663" s="1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176"/>
    </row>
    <row r="664" spans="1:20">
      <c r="A664" s="3"/>
      <c r="B664" s="3"/>
      <c r="C664" s="3"/>
      <c r="D664" s="3"/>
      <c r="E664" s="4"/>
      <c r="F664" s="3"/>
      <c r="G664" s="3"/>
      <c r="H664" s="1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176"/>
    </row>
    <row r="665" spans="1:20">
      <c r="A665" s="3"/>
      <c r="B665" s="3"/>
      <c r="C665" s="3"/>
      <c r="D665" s="3"/>
      <c r="E665" s="4"/>
      <c r="F665" s="3"/>
      <c r="G665" s="3"/>
      <c r="H665" s="1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176"/>
    </row>
    <row r="666" spans="1:20">
      <c r="A666" s="3"/>
      <c r="B666" s="3"/>
      <c r="C666" s="3"/>
      <c r="D666" s="3"/>
      <c r="E666" s="4"/>
      <c r="F666" s="3"/>
      <c r="G666" s="3"/>
      <c r="H666" s="1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176"/>
    </row>
    <row r="667" spans="1:20">
      <c r="A667" s="3"/>
      <c r="B667" s="3"/>
      <c r="C667" s="3"/>
      <c r="D667" s="3"/>
      <c r="E667" s="4"/>
      <c r="F667" s="3"/>
      <c r="G667" s="3"/>
      <c r="H667" s="1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176"/>
    </row>
    <row r="668" spans="1:20">
      <c r="A668" s="3"/>
      <c r="B668" s="3"/>
      <c r="C668" s="3"/>
      <c r="D668" s="3"/>
      <c r="E668" s="4"/>
      <c r="F668" s="3"/>
      <c r="G668" s="3"/>
      <c r="H668" s="1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176"/>
    </row>
    <row r="669" spans="1:20">
      <c r="A669" s="3"/>
      <c r="B669" s="3"/>
      <c r="C669" s="3"/>
      <c r="D669" s="3"/>
      <c r="E669" s="4"/>
      <c r="F669" s="3"/>
      <c r="G669" s="3"/>
      <c r="H669" s="1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176"/>
    </row>
    <row r="670" spans="1:20">
      <c r="A670" s="3"/>
      <c r="B670" s="3"/>
      <c r="C670" s="3"/>
      <c r="D670" s="3"/>
      <c r="E670" s="4"/>
      <c r="F670" s="3"/>
      <c r="G670" s="3"/>
      <c r="H670" s="1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176"/>
    </row>
    <row r="671" spans="1:20">
      <c r="A671" s="3"/>
      <c r="B671" s="3"/>
      <c r="C671" s="3"/>
      <c r="D671" s="3"/>
      <c r="E671" s="4"/>
      <c r="F671" s="3"/>
      <c r="G671" s="3"/>
      <c r="H671" s="1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176"/>
    </row>
    <row r="672" spans="1:20">
      <c r="A672" s="3"/>
      <c r="B672" s="3"/>
      <c r="C672" s="3"/>
      <c r="D672" s="3"/>
      <c r="E672" s="4"/>
      <c r="F672" s="3"/>
      <c r="G672" s="3"/>
      <c r="H672" s="1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176"/>
    </row>
    <row r="673" spans="1:20">
      <c r="A673" s="3"/>
      <c r="B673" s="3"/>
      <c r="C673" s="3"/>
      <c r="D673" s="3"/>
      <c r="E673" s="4"/>
      <c r="F673" s="3"/>
      <c r="G673" s="3"/>
      <c r="H673" s="1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176"/>
    </row>
    <row r="674" spans="1:20">
      <c r="A674" s="3"/>
      <c r="B674" s="3"/>
      <c r="C674" s="3"/>
      <c r="D674" s="3"/>
      <c r="E674" s="4"/>
      <c r="F674" s="3"/>
      <c r="G674" s="3"/>
      <c r="H674" s="1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176"/>
    </row>
    <row r="675" spans="1:20">
      <c r="A675" s="3"/>
      <c r="B675" s="3"/>
      <c r="C675" s="3"/>
      <c r="D675" s="3"/>
      <c r="E675" s="4"/>
      <c r="F675" s="3"/>
      <c r="G675" s="3"/>
      <c r="H675" s="1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176"/>
    </row>
    <row r="676" spans="1:20">
      <c r="A676" s="3"/>
      <c r="B676" s="3"/>
      <c r="C676" s="3"/>
      <c r="D676" s="3"/>
      <c r="E676" s="4"/>
      <c r="F676" s="3"/>
      <c r="G676" s="3"/>
      <c r="H676" s="1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176"/>
    </row>
    <row r="677" spans="1:20">
      <c r="A677" s="3"/>
      <c r="B677" s="3"/>
      <c r="C677" s="3"/>
      <c r="D677" s="3"/>
      <c r="E677" s="4"/>
      <c r="F677" s="3"/>
      <c r="G677" s="3"/>
      <c r="H677" s="1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176"/>
    </row>
    <row r="678" spans="1:20">
      <c r="A678" s="3"/>
      <c r="B678" s="3"/>
      <c r="C678" s="3"/>
      <c r="D678" s="3"/>
      <c r="E678" s="4"/>
      <c r="F678" s="3"/>
      <c r="G678" s="3"/>
      <c r="H678" s="1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176"/>
    </row>
    <row r="679" spans="1:20">
      <c r="A679" s="3"/>
      <c r="B679" s="3"/>
      <c r="C679" s="3"/>
      <c r="D679" s="3"/>
      <c r="E679" s="4"/>
      <c r="F679" s="3"/>
      <c r="G679" s="3"/>
      <c r="H679" s="1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176"/>
    </row>
    <row r="680" spans="1:20">
      <c r="A680" s="3"/>
      <c r="B680" s="3"/>
      <c r="C680" s="3"/>
      <c r="D680" s="3"/>
      <c r="E680" s="4"/>
      <c r="F680" s="3"/>
      <c r="G680" s="3"/>
      <c r="H680" s="1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176"/>
    </row>
    <row r="681" spans="1:20">
      <c r="A681" s="3"/>
      <c r="B681" s="3"/>
      <c r="C681" s="3"/>
      <c r="D681" s="3"/>
      <c r="E681" s="4"/>
      <c r="F681" s="3"/>
      <c r="G681" s="3"/>
      <c r="H681" s="1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176"/>
    </row>
    <row r="682" spans="1:20">
      <c r="A682" s="3"/>
      <c r="B682" s="3"/>
      <c r="C682" s="3"/>
      <c r="D682" s="3"/>
      <c r="E682" s="4"/>
      <c r="F682" s="3"/>
      <c r="G682" s="3"/>
      <c r="H682" s="1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176"/>
    </row>
    <row r="683" spans="1:20">
      <c r="A683" s="3"/>
      <c r="B683" s="3"/>
      <c r="C683" s="3"/>
      <c r="D683" s="3"/>
      <c r="E683" s="4"/>
      <c r="F683" s="3"/>
      <c r="G683" s="3"/>
      <c r="H683" s="1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176"/>
    </row>
    <row r="684" spans="1:20">
      <c r="A684" s="3"/>
      <c r="B684" s="3"/>
      <c r="C684" s="3"/>
      <c r="D684" s="3"/>
      <c r="E684" s="4"/>
      <c r="F684" s="3"/>
      <c r="G684" s="3"/>
      <c r="H684" s="1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176"/>
    </row>
    <row r="685" spans="1:20">
      <c r="A685" s="3"/>
      <c r="B685" s="3"/>
      <c r="C685" s="3"/>
      <c r="D685" s="3"/>
      <c r="E685" s="4"/>
      <c r="F685" s="3"/>
      <c r="G685" s="3"/>
      <c r="H685" s="1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176"/>
    </row>
    <row r="686" spans="1:20">
      <c r="A686" s="3"/>
      <c r="B686" s="3"/>
      <c r="C686" s="3"/>
      <c r="D686" s="3"/>
      <c r="E686" s="4"/>
      <c r="F686" s="3"/>
      <c r="G686" s="3"/>
      <c r="H686" s="1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176"/>
    </row>
    <row r="687" spans="1:20">
      <c r="A687" s="3"/>
      <c r="B687" s="3"/>
      <c r="C687" s="3"/>
      <c r="D687" s="3"/>
      <c r="E687" s="4"/>
      <c r="F687" s="3"/>
      <c r="G687" s="3"/>
      <c r="H687" s="1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176"/>
    </row>
    <row r="688" spans="1:20">
      <c r="A688" s="3"/>
      <c r="B688" s="3"/>
      <c r="C688" s="3"/>
      <c r="D688" s="3"/>
      <c r="E688" s="4"/>
      <c r="F688" s="3"/>
      <c r="G688" s="3"/>
      <c r="H688" s="1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176"/>
    </row>
    <row r="689" spans="1:20">
      <c r="A689" s="3"/>
      <c r="B689" s="3"/>
      <c r="C689" s="3"/>
      <c r="D689" s="3"/>
      <c r="E689" s="4"/>
      <c r="F689" s="3"/>
      <c r="G689" s="3"/>
      <c r="H689" s="1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176"/>
    </row>
    <row r="690" spans="1:20">
      <c r="A690" s="3"/>
      <c r="B690" s="3"/>
      <c r="C690" s="3"/>
      <c r="D690" s="3"/>
      <c r="E690" s="4"/>
      <c r="F690" s="3"/>
      <c r="G690" s="3"/>
      <c r="H690" s="1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176"/>
    </row>
    <row r="691" spans="1:20">
      <c r="A691" s="3"/>
      <c r="B691" s="3"/>
      <c r="C691" s="3"/>
      <c r="D691" s="3"/>
      <c r="E691" s="4"/>
      <c r="F691" s="3"/>
      <c r="G691" s="3"/>
      <c r="H691" s="1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176"/>
    </row>
    <row r="692" spans="1:20">
      <c r="A692" s="3"/>
      <c r="B692" s="3"/>
      <c r="C692" s="3"/>
      <c r="D692" s="3"/>
      <c r="E692" s="4"/>
      <c r="F692" s="3"/>
      <c r="G692" s="3"/>
      <c r="H692" s="1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176"/>
    </row>
    <row r="693" spans="1:20">
      <c r="A693" s="3"/>
      <c r="B693" s="3"/>
      <c r="C693" s="3"/>
      <c r="D693" s="3"/>
      <c r="E693" s="4"/>
      <c r="F693" s="3"/>
      <c r="G693" s="3"/>
      <c r="H693" s="1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176"/>
    </row>
    <row r="694" spans="1:20">
      <c r="A694" s="3"/>
      <c r="B694" s="3"/>
      <c r="C694" s="3"/>
      <c r="D694" s="3"/>
      <c r="E694" s="4"/>
      <c r="F694" s="3"/>
      <c r="G694" s="3"/>
      <c r="H694" s="1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176"/>
    </row>
    <row r="695" spans="1:20">
      <c r="A695" s="3"/>
      <c r="B695" s="3"/>
      <c r="C695" s="3"/>
      <c r="D695" s="3"/>
      <c r="E695" s="4"/>
      <c r="F695" s="3"/>
      <c r="G695" s="3"/>
      <c r="H695" s="1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176"/>
    </row>
    <row r="696" spans="1:20">
      <c r="A696" s="3"/>
      <c r="B696" s="3"/>
      <c r="C696" s="3"/>
      <c r="D696" s="3"/>
      <c r="E696" s="4"/>
      <c r="F696" s="3"/>
      <c r="G696" s="3"/>
      <c r="H696" s="1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176"/>
    </row>
    <row r="697" spans="1:20">
      <c r="A697" s="3"/>
      <c r="B697" s="3"/>
      <c r="C697" s="3"/>
      <c r="D697" s="3"/>
      <c r="E697" s="4"/>
      <c r="F697" s="3"/>
      <c r="G697" s="3"/>
      <c r="H697" s="1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176"/>
    </row>
    <row r="698" spans="1:20">
      <c r="A698" s="3"/>
      <c r="B698" s="3"/>
      <c r="C698" s="3"/>
      <c r="D698" s="3"/>
      <c r="E698" s="4"/>
      <c r="F698" s="3"/>
      <c r="G698" s="3"/>
      <c r="H698" s="1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176"/>
    </row>
    <row r="699" spans="1:20">
      <c r="A699" s="3"/>
      <c r="B699" s="3"/>
      <c r="C699" s="3"/>
      <c r="D699" s="3"/>
      <c r="E699" s="4"/>
      <c r="F699" s="3"/>
      <c r="G699" s="3"/>
      <c r="H699" s="1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176"/>
    </row>
    <row r="700" spans="1:20">
      <c r="A700" s="3"/>
      <c r="B700" s="3"/>
      <c r="C700" s="3"/>
      <c r="D700" s="3"/>
      <c r="E700" s="4"/>
      <c r="F700" s="3"/>
      <c r="G700" s="3"/>
      <c r="H700" s="1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176"/>
    </row>
    <row r="701" spans="1:20">
      <c r="A701" s="3"/>
      <c r="B701" s="3"/>
      <c r="C701" s="3"/>
      <c r="D701" s="3"/>
      <c r="E701" s="4"/>
      <c r="F701" s="3"/>
      <c r="G701" s="3"/>
      <c r="H701" s="1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176"/>
    </row>
    <row r="702" spans="1:20">
      <c r="A702" s="3"/>
      <c r="B702" s="3"/>
      <c r="C702" s="3"/>
      <c r="D702" s="3"/>
      <c r="E702" s="4"/>
      <c r="F702" s="3"/>
      <c r="G702" s="3"/>
      <c r="H702" s="1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176"/>
    </row>
    <row r="703" spans="1:20">
      <c r="A703" s="3"/>
      <c r="B703" s="3"/>
      <c r="C703" s="3"/>
      <c r="D703" s="3"/>
      <c r="E703" s="4"/>
      <c r="F703" s="3"/>
      <c r="G703" s="3"/>
      <c r="H703" s="1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176"/>
    </row>
    <row r="704" spans="1:20">
      <c r="A704" s="3"/>
      <c r="B704" s="3"/>
      <c r="C704" s="3"/>
      <c r="D704" s="3"/>
      <c r="E704" s="4"/>
      <c r="F704" s="3"/>
      <c r="G704" s="3"/>
      <c r="H704" s="1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176"/>
    </row>
    <row r="705" spans="1:20">
      <c r="A705" s="3"/>
      <c r="B705" s="3"/>
      <c r="C705" s="3"/>
      <c r="D705" s="3"/>
      <c r="E705" s="4"/>
      <c r="F705" s="3"/>
      <c r="G705" s="3"/>
      <c r="H705" s="1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176"/>
    </row>
    <row r="706" spans="1:20">
      <c r="A706" s="3"/>
      <c r="B706" s="3"/>
      <c r="C706" s="3"/>
      <c r="D706" s="3"/>
      <c r="E706" s="4"/>
      <c r="F706" s="3"/>
      <c r="G706" s="3"/>
      <c r="H706" s="1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176"/>
    </row>
    <row r="707" spans="1:20">
      <c r="A707" s="3"/>
      <c r="B707" s="3"/>
      <c r="C707" s="3"/>
      <c r="D707" s="3"/>
      <c r="E707" s="4"/>
      <c r="F707" s="3"/>
      <c r="G707" s="3"/>
      <c r="H707" s="1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176"/>
    </row>
    <row r="708" spans="1:20">
      <c r="A708" s="3"/>
      <c r="B708" s="3"/>
      <c r="C708" s="3"/>
      <c r="D708" s="3"/>
      <c r="E708" s="4"/>
      <c r="F708" s="3"/>
      <c r="G708" s="3"/>
      <c r="H708" s="1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176"/>
    </row>
    <row r="709" spans="1:20">
      <c r="A709" s="3"/>
      <c r="B709" s="3"/>
      <c r="C709" s="3"/>
      <c r="D709" s="3"/>
      <c r="E709" s="4"/>
      <c r="F709" s="3"/>
      <c r="G709" s="3"/>
      <c r="H709" s="1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176"/>
    </row>
    <row r="710" spans="1:20">
      <c r="A710" s="3"/>
      <c r="B710" s="3"/>
      <c r="C710" s="3"/>
      <c r="D710" s="3"/>
      <c r="E710" s="4"/>
      <c r="F710" s="3"/>
      <c r="G710" s="3"/>
      <c r="H710" s="1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176"/>
    </row>
    <row r="711" spans="1:20">
      <c r="A711" s="3"/>
      <c r="B711" s="3"/>
      <c r="C711" s="3"/>
      <c r="D711" s="3"/>
      <c r="E711" s="4"/>
      <c r="F711" s="3"/>
      <c r="G711" s="3"/>
      <c r="H711" s="1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176"/>
    </row>
    <row r="712" spans="1:20">
      <c r="A712" s="3"/>
      <c r="B712" s="3"/>
      <c r="C712" s="3"/>
      <c r="D712" s="3"/>
      <c r="E712" s="4"/>
      <c r="F712" s="3"/>
      <c r="G712" s="3"/>
      <c r="H712" s="1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176"/>
    </row>
    <row r="713" spans="1:20">
      <c r="A713" s="3"/>
      <c r="B713" s="3"/>
      <c r="C713" s="3"/>
      <c r="D713" s="3"/>
      <c r="E713" s="4"/>
      <c r="F713" s="3"/>
      <c r="G713" s="3"/>
      <c r="H713" s="1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176"/>
    </row>
    <row r="714" spans="1:20">
      <c r="A714" s="3"/>
      <c r="B714" s="3"/>
      <c r="C714" s="3"/>
      <c r="D714" s="3"/>
      <c r="E714" s="4"/>
      <c r="F714" s="3"/>
      <c r="G714" s="3"/>
      <c r="H714" s="1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176"/>
    </row>
    <row r="715" spans="1:20">
      <c r="A715" s="3"/>
      <c r="B715" s="3"/>
      <c r="C715" s="3"/>
      <c r="D715" s="3"/>
      <c r="E715" s="4"/>
      <c r="F715" s="3"/>
      <c r="G715" s="3"/>
      <c r="H715" s="1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176"/>
    </row>
    <row r="716" spans="1:20">
      <c r="A716" s="3"/>
      <c r="B716" s="3"/>
      <c r="C716" s="3"/>
      <c r="D716" s="3"/>
      <c r="E716" s="4"/>
      <c r="F716" s="3"/>
      <c r="G716" s="3"/>
      <c r="H716" s="1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176"/>
    </row>
    <row r="717" spans="1:20">
      <c r="A717" s="3"/>
      <c r="B717" s="3"/>
      <c r="C717" s="3"/>
      <c r="D717" s="3"/>
      <c r="E717" s="4"/>
      <c r="F717" s="3"/>
      <c r="G717" s="3"/>
      <c r="H717" s="1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176"/>
    </row>
    <row r="718" spans="1:20">
      <c r="A718" s="3"/>
      <c r="B718" s="3"/>
      <c r="C718" s="3"/>
      <c r="D718" s="3"/>
      <c r="E718" s="4"/>
      <c r="F718" s="3"/>
      <c r="G718" s="3"/>
      <c r="H718" s="1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176"/>
    </row>
    <row r="719" spans="1:20">
      <c r="A719" s="3"/>
      <c r="B719" s="3"/>
      <c r="C719" s="3"/>
      <c r="D719" s="3"/>
      <c r="E719" s="4"/>
      <c r="F719" s="3"/>
      <c r="G719" s="3"/>
      <c r="H719" s="1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176"/>
    </row>
    <row r="720" spans="1:20">
      <c r="A720" s="3"/>
      <c r="B720" s="3"/>
      <c r="C720" s="3"/>
      <c r="D720" s="3"/>
      <c r="E720" s="4"/>
      <c r="F720" s="3"/>
      <c r="G720" s="3"/>
      <c r="H720" s="1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176"/>
    </row>
    <row r="721" spans="1:20">
      <c r="A721" s="3"/>
      <c r="B721" s="3"/>
      <c r="C721" s="3"/>
      <c r="D721" s="3"/>
      <c r="E721" s="4"/>
      <c r="F721" s="3"/>
      <c r="G721" s="3"/>
      <c r="H721" s="1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176"/>
    </row>
    <row r="722" spans="1:20">
      <c r="A722" s="3"/>
      <c r="B722" s="3"/>
      <c r="C722" s="3"/>
      <c r="D722" s="3"/>
      <c r="E722" s="4"/>
      <c r="F722" s="3"/>
      <c r="G722" s="3"/>
      <c r="H722" s="1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176"/>
    </row>
    <row r="723" spans="1:20">
      <c r="A723" s="3"/>
      <c r="B723" s="3"/>
      <c r="C723" s="3"/>
      <c r="D723" s="3"/>
      <c r="E723" s="4"/>
      <c r="F723" s="3"/>
      <c r="G723" s="3"/>
      <c r="H723" s="1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176"/>
    </row>
    <row r="724" spans="1:20">
      <c r="A724" s="3"/>
      <c r="B724" s="3"/>
      <c r="C724" s="3"/>
      <c r="D724" s="3"/>
      <c r="E724" s="4"/>
      <c r="F724" s="3"/>
      <c r="G724" s="3"/>
      <c r="H724" s="1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176"/>
    </row>
    <row r="725" spans="1:20">
      <c r="A725" s="3"/>
      <c r="B725" s="3"/>
      <c r="C725" s="3"/>
      <c r="D725" s="3"/>
      <c r="E725" s="4"/>
      <c r="F725" s="3"/>
      <c r="G725" s="3"/>
      <c r="H725" s="1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176"/>
    </row>
    <row r="726" spans="1:20">
      <c r="A726" s="3"/>
      <c r="B726" s="3"/>
      <c r="C726" s="3"/>
      <c r="D726" s="3"/>
      <c r="E726" s="4"/>
      <c r="F726" s="3"/>
      <c r="G726" s="3"/>
      <c r="H726" s="1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176"/>
    </row>
    <row r="727" spans="1:20">
      <c r="A727" s="3"/>
      <c r="B727" s="3"/>
      <c r="C727" s="3"/>
      <c r="D727" s="3"/>
      <c r="E727" s="4"/>
      <c r="F727" s="3"/>
      <c r="G727" s="3"/>
      <c r="H727" s="1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176"/>
    </row>
    <row r="728" spans="1:20">
      <c r="A728" s="3"/>
      <c r="B728" s="3"/>
      <c r="C728" s="3"/>
      <c r="D728" s="3"/>
      <c r="E728" s="4"/>
      <c r="F728" s="3"/>
      <c r="G728" s="3"/>
      <c r="H728" s="1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176"/>
    </row>
    <row r="729" spans="1:20">
      <c r="A729" s="3"/>
      <c r="B729" s="3"/>
      <c r="C729" s="3"/>
      <c r="D729" s="3"/>
      <c r="E729" s="4"/>
      <c r="F729" s="3"/>
      <c r="G729" s="3"/>
      <c r="H729" s="1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176"/>
    </row>
    <row r="730" spans="1:20">
      <c r="A730" s="3"/>
      <c r="B730" s="3"/>
      <c r="C730" s="3"/>
      <c r="D730" s="3"/>
      <c r="E730" s="4"/>
      <c r="F730" s="3"/>
      <c r="G730" s="3"/>
      <c r="H730" s="1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176"/>
    </row>
    <row r="731" spans="1:20">
      <c r="A731" s="3"/>
      <c r="B731" s="3"/>
      <c r="C731" s="3"/>
      <c r="D731" s="3"/>
      <c r="E731" s="4"/>
      <c r="F731" s="3"/>
      <c r="G731" s="3"/>
      <c r="H731" s="1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176"/>
    </row>
    <row r="732" spans="1:20">
      <c r="A732" s="3"/>
      <c r="B732" s="3"/>
      <c r="C732" s="3"/>
      <c r="D732" s="3"/>
      <c r="E732" s="4"/>
      <c r="F732" s="3"/>
      <c r="G732" s="3"/>
      <c r="H732" s="1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176"/>
    </row>
    <row r="733" spans="1:20">
      <c r="A733" s="3"/>
      <c r="B733" s="3"/>
      <c r="C733" s="3"/>
      <c r="D733" s="3"/>
      <c r="E733" s="4"/>
      <c r="F733" s="3"/>
      <c r="G733" s="3"/>
      <c r="H733" s="1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176"/>
    </row>
    <row r="734" spans="1:20">
      <c r="A734" s="3"/>
      <c r="B734" s="3"/>
      <c r="C734" s="3"/>
      <c r="D734" s="3"/>
      <c r="E734" s="4"/>
      <c r="F734" s="3"/>
      <c r="G734" s="3"/>
      <c r="H734" s="1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176"/>
    </row>
    <row r="735" spans="1:20">
      <c r="A735" s="3"/>
      <c r="B735" s="3"/>
      <c r="C735" s="3"/>
      <c r="D735" s="3"/>
      <c r="E735" s="4"/>
      <c r="F735" s="3"/>
      <c r="G735" s="3"/>
      <c r="H735" s="1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176"/>
    </row>
    <row r="736" spans="1:20">
      <c r="A736" s="3"/>
      <c r="B736" s="3"/>
      <c r="C736" s="3"/>
      <c r="D736" s="3"/>
      <c r="E736" s="4"/>
      <c r="F736" s="3"/>
      <c r="G736" s="3"/>
      <c r="H736" s="1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176"/>
    </row>
    <row r="737" spans="1:20">
      <c r="A737" s="3"/>
      <c r="B737" s="3"/>
      <c r="C737" s="3"/>
      <c r="D737" s="3"/>
      <c r="E737" s="4"/>
      <c r="F737" s="3"/>
      <c r="G737" s="3"/>
      <c r="H737" s="1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176"/>
    </row>
    <row r="738" spans="1:20">
      <c r="A738" s="3"/>
      <c r="B738" s="3"/>
      <c r="C738" s="3"/>
      <c r="D738" s="3"/>
      <c r="E738" s="4"/>
      <c r="F738" s="3"/>
      <c r="G738" s="3"/>
      <c r="H738" s="1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176"/>
    </row>
    <row r="739" spans="1:20">
      <c r="A739" s="3"/>
      <c r="B739" s="3"/>
      <c r="C739" s="3"/>
      <c r="D739" s="3"/>
      <c r="E739" s="4"/>
      <c r="F739" s="3"/>
      <c r="G739" s="3"/>
      <c r="H739" s="1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176"/>
    </row>
    <row r="740" spans="1:20">
      <c r="A740" s="3"/>
      <c r="B740" s="3"/>
      <c r="C740" s="3"/>
      <c r="D740" s="3"/>
      <c r="E740" s="4"/>
      <c r="F740" s="3"/>
      <c r="G740" s="3"/>
      <c r="H740" s="1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176"/>
    </row>
    <row r="741" spans="1:20">
      <c r="A741" s="3"/>
      <c r="B741" s="3"/>
      <c r="C741" s="3"/>
      <c r="D741" s="3"/>
      <c r="E741" s="4"/>
      <c r="F741" s="3"/>
      <c r="G741" s="3"/>
      <c r="H741" s="1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176"/>
    </row>
    <row r="742" spans="1:20">
      <c r="A742" s="3"/>
      <c r="B742" s="3"/>
      <c r="C742" s="3"/>
      <c r="D742" s="3"/>
      <c r="E742" s="4"/>
      <c r="F742" s="3"/>
      <c r="G742" s="3"/>
      <c r="H742" s="1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176"/>
    </row>
    <row r="743" spans="1:20">
      <c r="A743" s="3"/>
      <c r="B743" s="3"/>
      <c r="C743" s="3"/>
      <c r="D743" s="3"/>
      <c r="E743" s="4"/>
      <c r="F743" s="3"/>
      <c r="G743" s="3"/>
      <c r="H743" s="1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176"/>
    </row>
    <row r="744" spans="1:20">
      <c r="A744" s="3"/>
      <c r="B744" s="3"/>
      <c r="C744" s="3"/>
      <c r="D744" s="3"/>
      <c r="E744" s="4"/>
      <c r="F744" s="3"/>
      <c r="G744" s="3"/>
      <c r="H744" s="1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176"/>
    </row>
    <row r="745" spans="1:20">
      <c r="A745" s="3"/>
      <c r="B745" s="3"/>
      <c r="C745" s="3"/>
      <c r="D745" s="3"/>
      <c r="E745" s="4"/>
      <c r="F745" s="3"/>
      <c r="G745" s="3"/>
      <c r="H745" s="1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176"/>
    </row>
    <row r="746" spans="1:20">
      <c r="A746" s="3"/>
      <c r="B746" s="3"/>
      <c r="C746" s="3"/>
      <c r="D746" s="3"/>
      <c r="E746" s="4"/>
      <c r="F746" s="3"/>
      <c r="G746" s="3"/>
      <c r="H746" s="1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176"/>
    </row>
    <row r="747" spans="1:20">
      <c r="A747" s="3"/>
      <c r="B747" s="3"/>
      <c r="C747" s="3"/>
      <c r="D747" s="3"/>
      <c r="E747" s="4"/>
      <c r="F747" s="3"/>
      <c r="G747" s="3"/>
      <c r="H747" s="1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176"/>
    </row>
    <row r="748" spans="1:20">
      <c r="A748" s="3"/>
      <c r="B748" s="3"/>
      <c r="C748" s="3"/>
      <c r="D748" s="3"/>
      <c r="E748" s="4"/>
      <c r="F748" s="3"/>
      <c r="G748" s="3"/>
      <c r="H748" s="1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176"/>
    </row>
    <row r="749" spans="1:20">
      <c r="A749" s="3"/>
      <c r="B749" s="3"/>
      <c r="C749" s="3"/>
      <c r="D749" s="3"/>
      <c r="E749" s="4"/>
      <c r="F749" s="3"/>
      <c r="G749" s="3"/>
      <c r="H749" s="1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176"/>
    </row>
    <row r="750" spans="1:20">
      <c r="A750" s="3"/>
      <c r="B750" s="3"/>
      <c r="C750" s="3"/>
      <c r="D750" s="3"/>
      <c r="E750" s="4"/>
      <c r="F750" s="3"/>
      <c r="G750" s="3"/>
      <c r="H750" s="1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176"/>
    </row>
    <row r="751" spans="1:20">
      <c r="A751" s="3"/>
      <c r="B751" s="3"/>
      <c r="C751" s="3"/>
      <c r="D751" s="3"/>
      <c r="E751" s="4"/>
      <c r="F751" s="3"/>
      <c r="G751" s="3"/>
      <c r="H751" s="1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176"/>
    </row>
    <row r="752" spans="1:20">
      <c r="A752" s="3"/>
      <c r="B752" s="3"/>
      <c r="C752" s="3"/>
      <c r="D752" s="3"/>
      <c r="E752" s="4"/>
      <c r="F752" s="3"/>
      <c r="G752" s="3"/>
      <c r="H752" s="1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176"/>
    </row>
    <row r="753" spans="1:20">
      <c r="A753" s="3"/>
      <c r="B753" s="3"/>
      <c r="C753" s="3"/>
      <c r="D753" s="3"/>
      <c r="E753" s="4"/>
      <c r="F753" s="3"/>
      <c r="G753" s="3"/>
      <c r="H753" s="1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176"/>
    </row>
    <row r="754" spans="1:20">
      <c r="A754" s="3"/>
      <c r="B754" s="3"/>
      <c r="C754" s="3"/>
      <c r="D754" s="3"/>
      <c r="E754" s="4"/>
      <c r="F754" s="3"/>
      <c r="G754" s="3"/>
      <c r="H754" s="1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176"/>
    </row>
    <row r="755" spans="1:20">
      <c r="A755" s="3"/>
      <c r="B755" s="3"/>
      <c r="C755" s="3"/>
      <c r="D755" s="3"/>
      <c r="E755" s="4"/>
      <c r="F755" s="3"/>
      <c r="G755" s="3"/>
      <c r="H755" s="1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176"/>
    </row>
    <row r="756" spans="1:20">
      <c r="A756" s="3"/>
      <c r="B756" s="3"/>
      <c r="C756" s="3"/>
      <c r="D756" s="3"/>
      <c r="E756" s="4"/>
      <c r="F756" s="3"/>
      <c r="G756" s="3"/>
      <c r="H756" s="1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176"/>
    </row>
    <row r="757" spans="1:20">
      <c r="A757" s="3"/>
      <c r="B757" s="3"/>
      <c r="C757" s="3"/>
      <c r="D757" s="3"/>
      <c r="E757" s="4"/>
      <c r="F757" s="3"/>
      <c r="G757" s="3"/>
      <c r="H757" s="1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176"/>
    </row>
    <row r="758" spans="1:20">
      <c r="A758" s="3"/>
      <c r="B758" s="3"/>
      <c r="C758" s="3"/>
      <c r="D758" s="3"/>
      <c r="E758" s="4"/>
      <c r="F758" s="3"/>
      <c r="G758" s="3"/>
      <c r="H758" s="1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176"/>
    </row>
    <row r="759" spans="1:20">
      <c r="A759" s="3"/>
      <c r="B759" s="3"/>
      <c r="C759" s="3"/>
      <c r="D759" s="3"/>
      <c r="E759" s="4"/>
      <c r="F759" s="3"/>
      <c r="G759" s="3"/>
      <c r="H759" s="1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176"/>
    </row>
    <row r="760" spans="1:20">
      <c r="A760" s="3"/>
      <c r="B760" s="3"/>
      <c r="C760" s="3"/>
      <c r="D760" s="3"/>
      <c r="E760" s="4"/>
      <c r="F760" s="3"/>
      <c r="G760" s="3"/>
      <c r="H760" s="1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176"/>
    </row>
    <row r="761" spans="1:20">
      <c r="A761" s="3"/>
      <c r="B761" s="3"/>
      <c r="C761" s="3"/>
      <c r="D761" s="3"/>
      <c r="E761" s="4"/>
      <c r="F761" s="3"/>
      <c r="G761" s="3"/>
      <c r="H761" s="1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176"/>
    </row>
    <row r="762" spans="1:20">
      <c r="A762" s="3"/>
      <c r="B762" s="3"/>
      <c r="C762" s="3"/>
      <c r="D762" s="3"/>
      <c r="E762" s="4"/>
      <c r="F762" s="3"/>
      <c r="G762" s="3"/>
      <c r="H762" s="1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176"/>
    </row>
    <row r="763" spans="1:20">
      <c r="A763" s="3"/>
      <c r="B763" s="3"/>
      <c r="C763" s="3"/>
      <c r="D763" s="3"/>
      <c r="E763" s="4"/>
      <c r="F763" s="3"/>
      <c r="G763" s="3"/>
      <c r="H763" s="1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176"/>
    </row>
    <row r="764" spans="1:20">
      <c r="A764" s="3"/>
      <c r="B764" s="3"/>
      <c r="C764" s="3"/>
      <c r="D764" s="3"/>
      <c r="E764" s="4"/>
      <c r="F764" s="3"/>
      <c r="G764" s="3"/>
      <c r="H764" s="1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176"/>
    </row>
    <row r="765" spans="1:20">
      <c r="A765" s="3"/>
      <c r="B765" s="3"/>
      <c r="C765" s="3"/>
      <c r="D765" s="3"/>
      <c r="E765" s="4"/>
      <c r="F765" s="3"/>
      <c r="G765" s="3"/>
      <c r="H765" s="1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176"/>
    </row>
    <row r="766" spans="1:20">
      <c r="A766" s="3"/>
      <c r="B766" s="3"/>
      <c r="C766" s="3"/>
      <c r="D766" s="3"/>
      <c r="E766" s="4"/>
      <c r="F766" s="3"/>
      <c r="G766" s="3"/>
      <c r="H766" s="1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176"/>
    </row>
    <row r="767" spans="1:20">
      <c r="A767" s="3"/>
      <c r="B767" s="3"/>
      <c r="C767" s="3"/>
      <c r="D767" s="3"/>
      <c r="E767" s="4"/>
      <c r="F767" s="3"/>
      <c r="G767" s="3"/>
      <c r="H767" s="1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176"/>
    </row>
    <row r="768" spans="1:20">
      <c r="A768" s="3"/>
      <c r="B768" s="3"/>
      <c r="C768" s="3"/>
      <c r="D768" s="3"/>
      <c r="E768" s="4"/>
      <c r="F768" s="3"/>
      <c r="G768" s="3"/>
      <c r="H768" s="1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176"/>
    </row>
    <row r="769" spans="1:20">
      <c r="A769" s="3"/>
      <c r="B769" s="3"/>
      <c r="C769" s="3"/>
      <c r="D769" s="3"/>
      <c r="E769" s="4"/>
      <c r="F769" s="3"/>
      <c r="G769" s="3"/>
      <c r="H769" s="1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176"/>
    </row>
    <row r="770" spans="1:20">
      <c r="A770" s="3"/>
      <c r="B770" s="3"/>
      <c r="C770" s="3"/>
      <c r="D770" s="3"/>
      <c r="E770" s="4"/>
      <c r="F770" s="3"/>
      <c r="G770" s="3"/>
      <c r="H770" s="1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176"/>
    </row>
    <row r="771" spans="1:20">
      <c r="A771" s="3"/>
      <c r="B771" s="3"/>
      <c r="C771" s="3"/>
      <c r="D771" s="3"/>
      <c r="E771" s="4"/>
      <c r="F771" s="3"/>
      <c r="G771" s="3"/>
      <c r="H771" s="1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176"/>
    </row>
    <row r="772" spans="1:20">
      <c r="A772" s="3"/>
      <c r="B772" s="3"/>
      <c r="C772" s="3"/>
      <c r="D772" s="3"/>
      <c r="E772" s="4"/>
      <c r="F772" s="3"/>
      <c r="G772" s="3"/>
      <c r="H772" s="1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176"/>
    </row>
    <row r="773" spans="1:20">
      <c r="A773" s="3"/>
      <c r="B773" s="3"/>
      <c r="C773" s="3"/>
      <c r="D773" s="3"/>
      <c r="E773" s="4"/>
      <c r="F773" s="3"/>
      <c r="G773" s="3"/>
      <c r="H773" s="1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176"/>
    </row>
    <row r="774" spans="1:20">
      <c r="A774" s="3"/>
      <c r="B774" s="3"/>
      <c r="C774" s="3"/>
      <c r="D774" s="3"/>
      <c r="E774" s="4"/>
      <c r="F774" s="3"/>
      <c r="G774" s="3"/>
      <c r="H774" s="1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176"/>
    </row>
    <row r="775" spans="1:20">
      <c r="A775" s="3"/>
      <c r="B775" s="3"/>
      <c r="C775" s="3"/>
      <c r="D775" s="3"/>
      <c r="E775" s="4"/>
      <c r="F775" s="3"/>
      <c r="G775" s="3"/>
      <c r="H775" s="1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176"/>
    </row>
    <row r="776" spans="1:20">
      <c r="A776" s="3"/>
      <c r="B776" s="3"/>
      <c r="C776" s="3"/>
      <c r="D776" s="3"/>
      <c r="E776" s="4"/>
      <c r="F776" s="3"/>
      <c r="G776" s="3"/>
      <c r="H776" s="1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176"/>
    </row>
    <row r="777" spans="1:20">
      <c r="A777" s="3"/>
      <c r="B777" s="3"/>
      <c r="C777" s="3"/>
      <c r="D777" s="3"/>
      <c r="E777" s="4"/>
      <c r="F777" s="3"/>
      <c r="G777" s="3"/>
      <c r="H777" s="1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176"/>
    </row>
    <row r="778" spans="1:20">
      <c r="A778" s="3"/>
      <c r="B778" s="3"/>
      <c r="C778" s="3"/>
      <c r="D778" s="3"/>
      <c r="E778" s="4"/>
      <c r="F778" s="3"/>
      <c r="G778" s="3"/>
      <c r="H778" s="1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176"/>
    </row>
    <row r="779" spans="1:20">
      <c r="A779" s="3"/>
      <c r="B779" s="3"/>
      <c r="C779" s="3"/>
      <c r="D779" s="3"/>
      <c r="E779" s="4"/>
      <c r="F779" s="3"/>
      <c r="G779" s="3"/>
      <c r="H779" s="1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176"/>
    </row>
    <row r="780" spans="1:20">
      <c r="A780" s="3"/>
      <c r="B780" s="3"/>
      <c r="C780" s="3"/>
      <c r="D780" s="3"/>
      <c r="E780" s="4"/>
      <c r="F780" s="3"/>
      <c r="G780" s="3"/>
      <c r="H780" s="1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176"/>
    </row>
    <row r="781" spans="1:20">
      <c r="A781" s="3"/>
      <c r="B781" s="3"/>
      <c r="C781" s="3"/>
      <c r="D781" s="3"/>
      <c r="E781" s="4"/>
      <c r="F781" s="3"/>
      <c r="G781" s="3"/>
      <c r="H781" s="1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176"/>
    </row>
    <row r="782" spans="1:20">
      <c r="A782" s="3"/>
      <c r="B782" s="3"/>
      <c r="C782" s="3"/>
      <c r="D782" s="3"/>
      <c r="E782" s="4"/>
      <c r="F782" s="3"/>
      <c r="G782" s="3"/>
      <c r="H782" s="1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176"/>
    </row>
    <row r="783" spans="1:20">
      <c r="A783" s="3"/>
      <c r="B783" s="3"/>
      <c r="C783" s="3"/>
      <c r="D783" s="3"/>
      <c r="E783" s="4"/>
      <c r="F783" s="3"/>
      <c r="G783" s="3"/>
      <c r="H783" s="1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176"/>
    </row>
    <row r="784" spans="1:20">
      <c r="A784" s="3"/>
      <c r="B784" s="3"/>
      <c r="C784" s="3"/>
      <c r="D784" s="3"/>
      <c r="E784" s="4"/>
      <c r="F784" s="3"/>
      <c r="G784" s="3"/>
      <c r="H784" s="1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176"/>
    </row>
    <row r="785" spans="1:20">
      <c r="A785" s="3"/>
      <c r="B785" s="3"/>
      <c r="C785" s="3"/>
      <c r="D785" s="3"/>
      <c r="E785" s="4"/>
      <c r="F785" s="3"/>
      <c r="G785" s="3"/>
      <c r="H785" s="1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176"/>
    </row>
    <row r="786" spans="1:20">
      <c r="A786" s="3"/>
      <c r="B786" s="3"/>
      <c r="C786" s="3"/>
      <c r="D786" s="3"/>
      <c r="E786" s="4"/>
      <c r="F786" s="3"/>
      <c r="G786" s="3"/>
      <c r="H786" s="1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176"/>
    </row>
    <row r="787" spans="1:20">
      <c r="A787" s="3"/>
      <c r="B787" s="3"/>
      <c r="C787" s="3"/>
      <c r="D787" s="3"/>
      <c r="E787" s="4"/>
      <c r="F787" s="3"/>
      <c r="G787" s="3"/>
      <c r="H787" s="1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176"/>
    </row>
    <row r="788" spans="1:20">
      <c r="A788" s="3"/>
      <c r="B788" s="3"/>
      <c r="C788" s="3"/>
      <c r="D788" s="3"/>
      <c r="E788" s="4"/>
      <c r="F788" s="3"/>
      <c r="G788" s="3"/>
      <c r="H788" s="1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176"/>
    </row>
    <row r="789" spans="1:20">
      <c r="A789" s="3"/>
      <c r="B789" s="3"/>
      <c r="C789" s="3"/>
      <c r="D789" s="3"/>
      <c r="E789" s="4"/>
      <c r="F789" s="3"/>
      <c r="G789" s="3"/>
      <c r="H789" s="1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176"/>
    </row>
    <row r="790" spans="1:20">
      <c r="A790" s="3"/>
      <c r="B790" s="3"/>
      <c r="C790" s="3"/>
      <c r="D790" s="3"/>
      <c r="E790" s="4"/>
      <c r="F790" s="3"/>
      <c r="G790" s="3"/>
      <c r="H790" s="1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176"/>
    </row>
    <row r="791" spans="1:20">
      <c r="A791" s="3"/>
      <c r="B791" s="3"/>
      <c r="C791" s="3"/>
      <c r="D791" s="3"/>
      <c r="E791" s="4"/>
      <c r="F791" s="3"/>
      <c r="G791" s="3"/>
      <c r="H791" s="1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176"/>
    </row>
    <row r="792" spans="1:20">
      <c r="A792" s="3"/>
      <c r="B792" s="3"/>
      <c r="C792" s="3"/>
      <c r="D792" s="3"/>
      <c r="E792" s="4"/>
      <c r="F792" s="3"/>
      <c r="G792" s="3"/>
      <c r="H792" s="1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176"/>
    </row>
    <row r="793" spans="1:20">
      <c r="A793" s="3"/>
      <c r="B793" s="3"/>
      <c r="C793" s="3"/>
      <c r="D793" s="3"/>
      <c r="E793" s="4"/>
      <c r="F793" s="3"/>
      <c r="G793" s="3"/>
      <c r="H793" s="1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176"/>
    </row>
    <row r="794" spans="1:20">
      <c r="A794" s="3"/>
      <c r="B794" s="3"/>
      <c r="C794" s="3"/>
      <c r="D794" s="3"/>
      <c r="E794" s="4"/>
      <c r="F794" s="3"/>
      <c r="G794" s="3"/>
      <c r="H794" s="1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176"/>
    </row>
    <row r="795" spans="1:20">
      <c r="A795" s="3"/>
      <c r="B795" s="3"/>
      <c r="C795" s="3"/>
      <c r="D795" s="3"/>
      <c r="E795" s="4"/>
      <c r="F795" s="3"/>
      <c r="G795" s="3"/>
      <c r="H795" s="1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176"/>
    </row>
    <row r="796" spans="1:20">
      <c r="A796" s="3"/>
      <c r="B796" s="3"/>
      <c r="C796" s="3"/>
      <c r="D796" s="3"/>
      <c r="E796" s="4"/>
      <c r="F796" s="3"/>
      <c r="G796" s="3"/>
      <c r="H796" s="1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176"/>
    </row>
    <row r="797" spans="1:20">
      <c r="A797" s="3"/>
      <c r="B797" s="3"/>
      <c r="C797" s="3"/>
      <c r="D797" s="3"/>
      <c r="E797" s="4"/>
      <c r="F797" s="3"/>
      <c r="G797" s="3"/>
      <c r="H797" s="1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176"/>
    </row>
    <row r="798" spans="1:20">
      <c r="A798" s="3"/>
      <c r="B798" s="3"/>
      <c r="C798" s="3"/>
      <c r="D798" s="3"/>
      <c r="E798" s="4"/>
      <c r="F798" s="3"/>
      <c r="G798" s="3"/>
      <c r="H798" s="1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176"/>
    </row>
    <row r="799" spans="1:20">
      <c r="A799" s="3"/>
      <c r="B799" s="3"/>
      <c r="C799" s="3"/>
      <c r="D799" s="3"/>
      <c r="E799" s="4"/>
      <c r="F799" s="3"/>
      <c r="G799" s="3"/>
      <c r="H799" s="1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176"/>
    </row>
    <row r="800" spans="1:20">
      <c r="A800" s="3"/>
      <c r="B800" s="3"/>
      <c r="C800" s="3"/>
      <c r="D800" s="3"/>
      <c r="E800" s="4"/>
      <c r="F800" s="3"/>
      <c r="G800" s="3"/>
      <c r="H800" s="1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176"/>
    </row>
    <row r="801" spans="1:20">
      <c r="A801" s="3"/>
      <c r="B801" s="3"/>
      <c r="C801" s="3"/>
      <c r="D801" s="3"/>
      <c r="E801" s="4"/>
      <c r="F801" s="3"/>
      <c r="G801" s="3"/>
      <c r="H801" s="1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176"/>
    </row>
    <row r="802" spans="1:20">
      <c r="A802" s="3"/>
      <c r="B802" s="3"/>
      <c r="C802" s="3"/>
      <c r="D802" s="3"/>
      <c r="E802" s="4"/>
      <c r="F802" s="3"/>
      <c r="G802" s="3"/>
      <c r="H802" s="1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176"/>
    </row>
    <row r="803" spans="1:20">
      <c r="A803" s="3"/>
      <c r="B803" s="3"/>
      <c r="C803" s="3"/>
      <c r="D803" s="3"/>
      <c r="E803" s="4"/>
      <c r="F803" s="3"/>
      <c r="G803" s="3"/>
      <c r="H803" s="1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176"/>
    </row>
    <row r="804" spans="1:20">
      <c r="A804" s="3"/>
      <c r="B804" s="3"/>
      <c r="C804" s="3"/>
      <c r="D804" s="3"/>
      <c r="E804" s="4"/>
      <c r="F804" s="3"/>
      <c r="G804" s="3"/>
      <c r="H804" s="1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176"/>
    </row>
    <row r="805" spans="1:20">
      <c r="A805" s="3"/>
      <c r="B805" s="3"/>
      <c r="C805" s="3"/>
      <c r="D805" s="3"/>
      <c r="E805" s="4"/>
      <c r="F805" s="3"/>
      <c r="G805" s="3"/>
      <c r="H805" s="1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176"/>
    </row>
    <row r="806" spans="1:20">
      <c r="A806" s="3"/>
      <c r="B806" s="3"/>
      <c r="C806" s="3"/>
      <c r="D806" s="3"/>
      <c r="E806" s="4"/>
      <c r="F806" s="3"/>
      <c r="G806" s="3"/>
      <c r="H806" s="1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176"/>
    </row>
    <row r="807" spans="1:20">
      <c r="A807" s="3"/>
      <c r="B807" s="3"/>
      <c r="C807" s="3"/>
      <c r="D807" s="3"/>
      <c r="E807" s="4"/>
      <c r="F807" s="3"/>
      <c r="G807" s="3"/>
      <c r="H807" s="1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176"/>
    </row>
    <row r="808" spans="1:20">
      <c r="A808" s="3"/>
      <c r="B808" s="3"/>
      <c r="C808" s="3"/>
      <c r="D808" s="3"/>
      <c r="E808" s="4"/>
      <c r="F808" s="3"/>
      <c r="G808" s="3"/>
      <c r="H808" s="1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176"/>
    </row>
    <row r="809" spans="1:20">
      <c r="A809" s="3"/>
      <c r="B809" s="3"/>
      <c r="C809" s="3"/>
      <c r="D809" s="3"/>
      <c r="E809" s="4"/>
      <c r="F809" s="3"/>
      <c r="G809" s="3"/>
      <c r="H809" s="1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176"/>
    </row>
    <row r="810" spans="1:20">
      <c r="A810" s="3"/>
      <c r="B810" s="3"/>
      <c r="C810" s="3"/>
      <c r="D810" s="3"/>
      <c r="E810" s="4"/>
      <c r="F810" s="3"/>
      <c r="G810" s="3"/>
      <c r="H810" s="1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176"/>
    </row>
    <row r="811" spans="1:20">
      <c r="A811" s="3"/>
      <c r="B811" s="3"/>
      <c r="C811" s="3"/>
      <c r="D811" s="3"/>
      <c r="E811" s="4"/>
      <c r="F811" s="3"/>
      <c r="G811" s="3"/>
      <c r="H811" s="1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176"/>
    </row>
    <row r="812" spans="1:20">
      <c r="A812" s="3"/>
      <c r="B812" s="3"/>
      <c r="C812" s="3"/>
      <c r="D812" s="3"/>
      <c r="E812" s="4"/>
      <c r="F812" s="3"/>
      <c r="G812" s="3"/>
      <c r="H812" s="1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176"/>
    </row>
    <row r="813" spans="1:20">
      <c r="A813" s="3"/>
      <c r="B813" s="3"/>
      <c r="C813" s="3"/>
      <c r="D813" s="3"/>
      <c r="E813" s="4"/>
      <c r="F813" s="3"/>
      <c r="G813" s="3"/>
      <c r="H813" s="1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176"/>
    </row>
    <row r="814" spans="1:20">
      <c r="A814" s="3"/>
      <c r="B814" s="3"/>
      <c r="C814" s="3"/>
      <c r="D814" s="3"/>
      <c r="E814" s="4"/>
      <c r="F814" s="3"/>
      <c r="G814" s="3"/>
      <c r="H814" s="1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176"/>
    </row>
    <row r="815" spans="1:20">
      <c r="A815" s="3"/>
      <c r="B815" s="3"/>
      <c r="C815" s="3"/>
      <c r="D815" s="3"/>
      <c r="E815" s="4"/>
      <c r="F815" s="3"/>
      <c r="G815" s="3"/>
      <c r="H815" s="1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176"/>
    </row>
    <row r="816" spans="1:20">
      <c r="A816" s="3"/>
      <c r="B816" s="3"/>
      <c r="C816" s="3"/>
      <c r="D816" s="3"/>
      <c r="E816" s="4"/>
      <c r="F816" s="3"/>
      <c r="G816" s="3"/>
      <c r="H816" s="1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176"/>
    </row>
    <row r="817" spans="1:20">
      <c r="A817" s="3"/>
      <c r="B817" s="3"/>
      <c r="C817" s="3"/>
      <c r="D817" s="3"/>
      <c r="E817" s="4"/>
      <c r="F817" s="3"/>
      <c r="G817" s="3"/>
      <c r="H817" s="1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176"/>
    </row>
    <row r="818" spans="1:20">
      <c r="A818" s="3"/>
      <c r="B818" s="3"/>
      <c r="C818" s="3"/>
      <c r="D818" s="3"/>
      <c r="E818" s="4"/>
      <c r="F818" s="3"/>
      <c r="G818" s="3"/>
      <c r="H818" s="1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176"/>
    </row>
    <row r="819" spans="1:20">
      <c r="A819" s="3"/>
      <c r="B819" s="3"/>
      <c r="C819" s="3"/>
      <c r="D819" s="3"/>
      <c r="E819" s="4"/>
      <c r="F819" s="3"/>
      <c r="G819" s="3"/>
      <c r="H819" s="1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176"/>
    </row>
    <row r="820" spans="1:20">
      <c r="A820" s="3"/>
      <c r="B820" s="3"/>
      <c r="C820" s="3"/>
      <c r="D820" s="3"/>
      <c r="E820" s="4"/>
      <c r="F820" s="3"/>
      <c r="G820" s="3"/>
      <c r="H820" s="1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176"/>
    </row>
    <row r="821" spans="1:20">
      <c r="A821" s="3"/>
      <c r="B821" s="3"/>
      <c r="C821" s="3"/>
      <c r="D821" s="3"/>
      <c r="E821" s="4"/>
      <c r="F821" s="3"/>
      <c r="G821" s="3"/>
      <c r="H821" s="1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176"/>
    </row>
    <row r="822" spans="1:20">
      <c r="A822" s="3"/>
      <c r="B822" s="3"/>
      <c r="C822" s="3"/>
      <c r="D822" s="3"/>
      <c r="E822" s="4"/>
      <c r="F822" s="3"/>
      <c r="G822" s="3"/>
      <c r="H822" s="1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176"/>
    </row>
    <row r="823" spans="1:20">
      <c r="A823" s="3"/>
      <c r="B823" s="3"/>
      <c r="C823" s="3"/>
      <c r="D823" s="3"/>
      <c r="E823" s="4"/>
      <c r="F823" s="3"/>
      <c r="G823" s="3"/>
      <c r="H823" s="1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176"/>
    </row>
    <row r="824" spans="1:20">
      <c r="A824" s="3"/>
      <c r="B824" s="3"/>
      <c r="C824" s="3"/>
      <c r="D824" s="3"/>
      <c r="E824" s="4"/>
      <c r="F824" s="3"/>
      <c r="G824" s="3"/>
      <c r="H824" s="1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176"/>
    </row>
    <row r="825" spans="1:20">
      <c r="A825" s="3"/>
      <c r="B825" s="3"/>
      <c r="C825" s="3"/>
      <c r="D825" s="3"/>
      <c r="E825" s="4"/>
      <c r="F825" s="3"/>
      <c r="G825" s="3"/>
      <c r="H825" s="1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176"/>
    </row>
    <row r="826" spans="1:20">
      <c r="A826" s="3"/>
      <c r="B826" s="3"/>
      <c r="C826" s="3"/>
      <c r="D826" s="3"/>
      <c r="E826" s="4"/>
      <c r="F826" s="3"/>
      <c r="G826" s="3"/>
      <c r="H826" s="1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176"/>
    </row>
    <row r="827" spans="1:20">
      <c r="A827" s="3"/>
      <c r="B827" s="3"/>
      <c r="C827" s="3"/>
      <c r="D827" s="3"/>
      <c r="E827" s="4"/>
      <c r="F827" s="3"/>
      <c r="G827" s="3"/>
      <c r="H827" s="1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176"/>
    </row>
    <row r="828" spans="1:20">
      <c r="A828" s="3"/>
      <c r="B828" s="3"/>
      <c r="C828" s="3"/>
      <c r="D828" s="3"/>
      <c r="E828" s="4"/>
      <c r="F828" s="3"/>
      <c r="G828" s="3"/>
      <c r="H828" s="1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176"/>
    </row>
    <row r="829" spans="1:20">
      <c r="A829" s="3"/>
      <c r="B829" s="3"/>
      <c r="C829" s="3"/>
      <c r="D829" s="3"/>
      <c r="E829" s="4"/>
      <c r="F829" s="3"/>
      <c r="G829" s="3"/>
      <c r="H829" s="1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176"/>
    </row>
    <row r="830" spans="1:20">
      <c r="A830" s="3"/>
      <c r="B830" s="3"/>
      <c r="C830" s="3"/>
      <c r="D830" s="3"/>
      <c r="E830" s="4"/>
      <c r="F830" s="3"/>
      <c r="G830" s="3"/>
      <c r="H830" s="1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176"/>
    </row>
    <row r="831" spans="1:20">
      <c r="A831" s="3"/>
      <c r="B831" s="3"/>
      <c r="C831" s="3"/>
      <c r="D831" s="3"/>
      <c r="E831" s="4"/>
      <c r="F831" s="3"/>
      <c r="G831" s="3"/>
      <c r="H831" s="1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176"/>
    </row>
    <row r="832" spans="1:20">
      <c r="A832" s="3"/>
      <c r="B832" s="3"/>
      <c r="C832" s="3"/>
      <c r="D832" s="3"/>
      <c r="E832" s="4"/>
      <c r="F832" s="3"/>
      <c r="G832" s="3"/>
      <c r="H832" s="1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176"/>
    </row>
    <row r="833" spans="1:20">
      <c r="A833" s="3"/>
      <c r="B833" s="3"/>
      <c r="C833" s="3"/>
      <c r="D833" s="3"/>
      <c r="E833" s="4"/>
      <c r="F833" s="3"/>
      <c r="G833" s="3"/>
      <c r="H833" s="1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176"/>
    </row>
    <row r="834" spans="1:20">
      <c r="A834" s="3"/>
      <c r="B834" s="3"/>
      <c r="C834" s="3"/>
      <c r="D834" s="3"/>
      <c r="E834" s="4"/>
      <c r="F834" s="3"/>
      <c r="G834" s="3"/>
      <c r="H834" s="1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176"/>
    </row>
    <row r="835" spans="1:20">
      <c r="A835" s="3"/>
      <c r="B835" s="3"/>
      <c r="C835" s="3"/>
      <c r="D835" s="3"/>
      <c r="E835" s="4"/>
      <c r="F835" s="3"/>
      <c r="G835" s="3"/>
      <c r="H835" s="1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176"/>
    </row>
    <row r="836" spans="1:20">
      <c r="A836" s="3"/>
      <c r="B836" s="3"/>
      <c r="C836" s="3"/>
      <c r="D836" s="3"/>
      <c r="E836" s="4"/>
      <c r="F836" s="3"/>
      <c r="G836" s="3"/>
      <c r="H836" s="1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176"/>
    </row>
    <row r="837" spans="1:20">
      <c r="A837" s="3"/>
      <c r="B837" s="3"/>
      <c r="C837" s="3"/>
      <c r="D837" s="3"/>
      <c r="E837" s="4"/>
      <c r="F837" s="3"/>
      <c r="G837" s="3"/>
      <c r="H837" s="1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176"/>
    </row>
    <row r="838" spans="1:20">
      <c r="A838" s="3"/>
      <c r="B838" s="3"/>
      <c r="C838" s="3"/>
      <c r="D838" s="3"/>
      <c r="E838" s="4"/>
      <c r="F838" s="3"/>
      <c r="G838" s="3"/>
      <c r="H838" s="1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176"/>
    </row>
    <row r="839" spans="1:20">
      <c r="A839" s="3"/>
      <c r="B839" s="3"/>
      <c r="C839" s="3"/>
      <c r="D839" s="3"/>
      <c r="E839" s="4"/>
      <c r="F839" s="3"/>
      <c r="G839" s="3"/>
      <c r="H839" s="1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176"/>
    </row>
    <row r="840" spans="1:20">
      <c r="A840" s="3"/>
      <c r="B840" s="3"/>
      <c r="C840" s="3"/>
      <c r="D840" s="3"/>
      <c r="E840" s="4"/>
      <c r="F840" s="3"/>
      <c r="G840" s="3"/>
      <c r="H840" s="1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176"/>
    </row>
    <row r="841" spans="1:20">
      <c r="A841" s="3"/>
      <c r="B841" s="3"/>
      <c r="C841" s="3"/>
      <c r="D841" s="3"/>
      <c r="E841" s="4"/>
      <c r="F841" s="3"/>
      <c r="G841" s="3"/>
      <c r="H841" s="1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176"/>
    </row>
    <row r="842" spans="1:20">
      <c r="A842" s="3"/>
      <c r="B842" s="3"/>
      <c r="C842" s="3"/>
      <c r="D842" s="3"/>
      <c r="E842" s="4"/>
      <c r="F842" s="3"/>
      <c r="G842" s="3"/>
      <c r="H842" s="1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176"/>
    </row>
    <row r="843" spans="1:20">
      <c r="A843" s="3"/>
      <c r="B843" s="3"/>
      <c r="C843" s="3"/>
      <c r="D843" s="3"/>
      <c r="E843" s="4"/>
      <c r="F843" s="3"/>
      <c r="G843" s="3"/>
      <c r="H843" s="1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176"/>
    </row>
    <row r="844" spans="1:20">
      <c r="A844" s="3"/>
      <c r="B844" s="3"/>
      <c r="C844" s="3"/>
      <c r="D844" s="3"/>
      <c r="E844" s="4"/>
      <c r="F844" s="3"/>
      <c r="G844" s="3"/>
      <c r="H844" s="1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176"/>
    </row>
    <row r="845" spans="1:20">
      <c r="A845" s="3"/>
      <c r="B845" s="3"/>
      <c r="C845" s="3"/>
      <c r="D845" s="3"/>
      <c r="E845" s="4"/>
      <c r="F845" s="3"/>
      <c r="G845" s="3"/>
      <c r="H845" s="1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176"/>
    </row>
    <row r="846" spans="1:20">
      <c r="A846" s="3"/>
      <c r="B846" s="3"/>
      <c r="C846" s="3"/>
      <c r="D846" s="3"/>
      <c r="E846" s="4"/>
      <c r="F846" s="3"/>
      <c r="G846" s="3"/>
      <c r="H846" s="1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176"/>
    </row>
    <row r="847" spans="1:20">
      <c r="A847" s="3"/>
      <c r="B847" s="3"/>
      <c r="C847" s="3"/>
      <c r="D847" s="3"/>
      <c r="E847" s="4"/>
      <c r="F847" s="3"/>
      <c r="G847" s="3"/>
      <c r="H847" s="1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176"/>
    </row>
    <row r="848" spans="1:20">
      <c r="A848" s="3"/>
      <c r="B848" s="3"/>
      <c r="C848" s="3"/>
      <c r="D848" s="3"/>
      <c r="E848" s="4"/>
      <c r="F848" s="3"/>
      <c r="G848" s="3"/>
      <c r="H848" s="1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176"/>
    </row>
    <row r="849" spans="1:20">
      <c r="A849" s="3"/>
      <c r="B849" s="3"/>
      <c r="C849" s="3"/>
      <c r="D849" s="3"/>
      <c r="E849" s="4"/>
      <c r="F849" s="3"/>
      <c r="G849" s="3"/>
      <c r="H849" s="1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176"/>
    </row>
    <row r="850" spans="1:20">
      <c r="A850" s="3"/>
      <c r="B850" s="3"/>
      <c r="C850" s="3"/>
      <c r="D850" s="3"/>
      <c r="E850" s="4"/>
      <c r="F850" s="3"/>
      <c r="G850" s="3"/>
      <c r="H850" s="1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176"/>
    </row>
    <row r="851" spans="1:20">
      <c r="A851" s="3"/>
      <c r="B851" s="3"/>
      <c r="C851" s="3"/>
      <c r="D851" s="3"/>
      <c r="E851" s="4"/>
      <c r="F851" s="3"/>
      <c r="G851" s="3"/>
      <c r="H851" s="1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176"/>
    </row>
    <row r="852" spans="1:20">
      <c r="A852" s="3"/>
      <c r="B852" s="3"/>
      <c r="C852" s="3"/>
      <c r="D852" s="3"/>
      <c r="E852" s="4"/>
      <c r="F852" s="3"/>
      <c r="G852" s="3"/>
      <c r="H852" s="1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176"/>
    </row>
    <row r="853" spans="1:20">
      <c r="A853" s="3"/>
      <c r="B853" s="3"/>
      <c r="C853" s="3"/>
      <c r="D853" s="3"/>
      <c r="E853" s="4"/>
      <c r="F853" s="3"/>
      <c r="G853" s="3"/>
      <c r="H853" s="1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176"/>
    </row>
    <row r="854" spans="1:20">
      <c r="A854" s="3"/>
      <c r="B854" s="3"/>
      <c r="C854" s="3"/>
      <c r="D854" s="3"/>
      <c r="E854" s="4"/>
      <c r="F854" s="3"/>
      <c r="G854" s="3"/>
      <c r="H854" s="1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176"/>
    </row>
    <row r="855" spans="1:20">
      <c r="A855" s="3"/>
      <c r="B855" s="3"/>
      <c r="C855" s="3"/>
      <c r="D855" s="3"/>
      <c r="E855" s="4"/>
      <c r="F855" s="3"/>
      <c r="G855" s="3"/>
      <c r="H855" s="1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176"/>
    </row>
    <row r="856" spans="1:20">
      <c r="A856" s="3"/>
      <c r="B856" s="3"/>
      <c r="C856" s="3"/>
      <c r="D856" s="3"/>
      <c r="E856" s="4"/>
      <c r="F856" s="3"/>
      <c r="G856" s="3"/>
      <c r="H856" s="1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176"/>
    </row>
    <row r="857" spans="1:20">
      <c r="A857" s="3"/>
      <c r="B857" s="3"/>
      <c r="C857" s="3"/>
      <c r="D857" s="3"/>
      <c r="E857" s="4"/>
      <c r="F857" s="3"/>
      <c r="G857" s="3"/>
      <c r="H857" s="1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176"/>
    </row>
    <row r="858" spans="1:20">
      <c r="A858" s="3"/>
      <c r="B858" s="3"/>
      <c r="C858" s="3"/>
      <c r="D858" s="3"/>
      <c r="E858" s="4"/>
      <c r="F858" s="3"/>
      <c r="G858" s="3"/>
      <c r="H858" s="1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176"/>
    </row>
    <row r="859" spans="1:20">
      <c r="A859" s="3"/>
      <c r="B859" s="3"/>
      <c r="C859" s="3"/>
      <c r="D859" s="3"/>
      <c r="E859" s="4"/>
      <c r="F859" s="3"/>
      <c r="G859" s="3"/>
      <c r="H859" s="1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176"/>
    </row>
    <row r="860" spans="1:20">
      <c r="A860" s="3"/>
      <c r="B860" s="3"/>
      <c r="C860" s="3"/>
      <c r="D860" s="3"/>
      <c r="E860" s="4"/>
      <c r="F860" s="3"/>
      <c r="G860" s="3"/>
      <c r="H860" s="1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176"/>
    </row>
    <row r="861" spans="1:20">
      <c r="A861" s="3"/>
      <c r="B861" s="3"/>
      <c r="C861" s="3"/>
      <c r="D861" s="3"/>
      <c r="E861" s="4"/>
      <c r="F861" s="3"/>
      <c r="G861" s="3"/>
      <c r="H861" s="1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176"/>
    </row>
    <row r="862" spans="1:20">
      <c r="A862" s="3"/>
      <c r="B862" s="3"/>
      <c r="C862" s="3"/>
      <c r="D862" s="3"/>
      <c r="E862" s="4"/>
      <c r="F862" s="3"/>
      <c r="G862" s="3"/>
      <c r="H862" s="1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176"/>
    </row>
    <row r="863" spans="1:20">
      <c r="A863" s="3"/>
      <c r="B863" s="3"/>
      <c r="C863" s="3"/>
      <c r="D863" s="3"/>
      <c r="E863" s="4"/>
      <c r="F863" s="3"/>
      <c r="G863" s="3"/>
      <c r="H863" s="1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176"/>
    </row>
    <row r="864" spans="1:20">
      <c r="A864" s="3"/>
      <c r="B864" s="3"/>
      <c r="C864" s="3"/>
      <c r="D864" s="3"/>
      <c r="E864" s="4"/>
      <c r="F864" s="3"/>
      <c r="G864" s="3"/>
      <c r="H864" s="1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176"/>
    </row>
    <row r="865" spans="1:20">
      <c r="A865" s="3"/>
      <c r="B865" s="3"/>
      <c r="C865" s="3"/>
      <c r="D865" s="3"/>
      <c r="E865" s="4"/>
      <c r="F865" s="3"/>
      <c r="G865" s="3"/>
      <c r="H865" s="1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176"/>
    </row>
    <row r="866" spans="1:20">
      <c r="A866" s="3"/>
      <c r="B866" s="3"/>
      <c r="C866" s="3"/>
      <c r="D866" s="3"/>
      <c r="E866" s="4"/>
      <c r="F866" s="3"/>
      <c r="G866" s="3"/>
      <c r="H866" s="1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176"/>
    </row>
    <row r="867" spans="1:20">
      <c r="A867" s="3"/>
      <c r="B867" s="3"/>
      <c r="C867" s="3"/>
      <c r="D867" s="3"/>
      <c r="E867" s="4"/>
      <c r="F867" s="3"/>
      <c r="G867" s="3"/>
      <c r="H867" s="1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176"/>
    </row>
    <row r="868" spans="1:20">
      <c r="A868" s="3"/>
      <c r="B868" s="3"/>
      <c r="C868" s="3"/>
      <c r="D868" s="3"/>
      <c r="E868" s="4"/>
      <c r="F868" s="3"/>
      <c r="G868" s="3"/>
      <c r="H868" s="1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176"/>
    </row>
    <row r="869" spans="1:20">
      <c r="A869" s="3"/>
      <c r="B869" s="3"/>
      <c r="C869" s="3"/>
      <c r="D869" s="3"/>
      <c r="E869" s="4"/>
      <c r="F869" s="3"/>
      <c r="G869" s="3"/>
      <c r="H869" s="1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176"/>
    </row>
    <row r="870" spans="1:20">
      <c r="A870" s="3"/>
      <c r="B870" s="3"/>
      <c r="C870" s="3"/>
      <c r="D870" s="3"/>
      <c r="E870" s="4"/>
      <c r="F870" s="3"/>
      <c r="G870" s="3"/>
      <c r="H870" s="1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176"/>
    </row>
    <row r="871" spans="1:20">
      <c r="A871" s="3"/>
      <c r="B871" s="3"/>
      <c r="C871" s="3"/>
      <c r="D871" s="3"/>
      <c r="E871" s="4"/>
      <c r="F871" s="3"/>
      <c r="G871" s="3"/>
      <c r="H871" s="1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176"/>
    </row>
    <row r="872" spans="1:20">
      <c r="A872" s="3"/>
      <c r="B872" s="3"/>
      <c r="C872" s="3"/>
      <c r="D872" s="3"/>
      <c r="E872" s="4"/>
      <c r="F872" s="3"/>
      <c r="G872" s="3"/>
      <c r="H872" s="1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176"/>
    </row>
    <row r="873" spans="1:20">
      <c r="A873" s="3"/>
      <c r="B873" s="3"/>
      <c r="C873" s="3"/>
      <c r="D873" s="3"/>
      <c r="E873" s="4"/>
      <c r="F873" s="3"/>
      <c r="G873" s="3"/>
      <c r="H873" s="1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176"/>
    </row>
    <row r="874" spans="1:20">
      <c r="A874" s="3"/>
      <c r="B874" s="3"/>
      <c r="C874" s="3"/>
      <c r="D874" s="3"/>
      <c r="E874" s="4"/>
      <c r="F874" s="3"/>
      <c r="G874" s="3"/>
      <c r="H874" s="1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176"/>
    </row>
    <row r="875" spans="1:20">
      <c r="A875" s="3"/>
      <c r="B875" s="3"/>
      <c r="C875" s="3"/>
      <c r="D875" s="3"/>
      <c r="E875" s="4"/>
      <c r="F875" s="3"/>
      <c r="G875" s="3"/>
      <c r="H875" s="1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176"/>
    </row>
    <row r="876" spans="1:20">
      <c r="A876" s="3"/>
      <c r="B876" s="3"/>
      <c r="C876" s="3"/>
      <c r="D876" s="3"/>
      <c r="E876" s="4"/>
      <c r="F876" s="3"/>
      <c r="G876" s="3"/>
      <c r="H876" s="1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176"/>
    </row>
    <row r="877" spans="1:20">
      <c r="A877" s="3"/>
      <c r="B877" s="3"/>
      <c r="C877" s="3"/>
      <c r="D877" s="3"/>
      <c r="E877" s="4"/>
      <c r="F877" s="3"/>
      <c r="G877" s="3"/>
      <c r="H877" s="1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176"/>
    </row>
    <row r="878" spans="1:20">
      <c r="A878" s="3"/>
      <c r="B878" s="3"/>
      <c r="C878" s="3"/>
      <c r="D878" s="3"/>
      <c r="E878" s="4"/>
      <c r="F878" s="3"/>
      <c r="G878" s="3"/>
      <c r="H878" s="1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176"/>
    </row>
    <row r="879" spans="1:20">
      <c r="A879" s="3"/>
      <c r="B879" s="3"/>
      <c r="C879" s="3"/>
      <c r="D879" s="3"/>
      <c r="E879" s="4"/>
      <c r="F879" s="3"/>
      <c r="G879" s="3"/>
      <c r="H879" s="1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176"/>
    </row>
    <row r="880" spans="1:20">
      <c r="A880" s="3"/>
      <c r="B880" s="3"/>
      <c r="C880" s="3"/>
      <c r="D880" s="3"/>
      <c r="E880" s="4"/>
      <c r="F880" s="3"/>
      <c r="G880" s="3"/>
      <c r="H880" s="1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176"/>
    </row>
    <row r="881" spans="1:20">
      <c r="A881" s="3"/>
      <c r="B881" s="3"/>
      <c r="C881" s="3"/>
      <c r="D881" s="3"/>
      <c r="E881" s="4"/>
      <c r="F881" s="3"/>
      <c r="G881" s="3"/>
      <c r="H881" s="1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176"/>
    </row>
    <row r="882" spans="1:20">
      <c r="A882" s="3"/>
      <c r="B882" s="3"/>
      <c r="C882" s="3"/>
      <c r="D882" s="3"/>
      <c r="E882" s="4"/>
      <c r="F882" s="3"/>
      <c r="G882" s="3"/>
      <c r="H882" s="1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176"/>
    </row>
    <row r="883" spans="1:20">
      <c r="A883" s="3"/>
      <c r="B883" s="3"/>
      <c r="C883" s="3"/>
      <c r="D883" s="3"/>
      <c r="E883" s="4"/>
      <c r="F883" s="3"/>
      <c r="G883" s="3"/>
      <c r="H883" s="1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176"/>
    </row>
    <row r="884" spans="1:20">
      <c r="A884" s="3"/>
      <c r="B884" s="3"/>
      <c r="C884" s="3"/>
      <c r="D884" s="3"/>
      <c r="E884" s="4"/>
      <c r="F884" s="3"/>
      <c r="G884" s="3"/>
      <c r="H884" s="1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176"/>
    </row>
    <row r="885" spans="1:20">
      <c r="A885" s="3"/>
      <c r="B885" s="3"/>
      <c r="C885" s="3"/>
      <c r="D885" s="3"/>
      <c r="E885" s="4"/>
      <c r="F885" s="3"/>
      <c r="G885" s="3"/>
      <c r="H885" s="1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176"/>
    </row>
    <row r="886" spans="1:20">
      <c r="A886" s="3"/>
      <c r="B886" s="3"/>
      <c r="C886" s="3"/>
      <c r="D886" s="3"/>
      <c r="E886" s="4"/>
      <c r="F886" s="3"/>
      <c r="G886" s="3"/>
      <c r="H886" s="1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176"/>
    </row>
    <row r="887" spans="1:20">
      <c r="A887" s="3"/>
      <c r="B887" s="3"/>
      <c r="C887" s="3"/>
      <c r="D887" s="3"/>
      <c r="E887" s="4"/>
      <c r="F887" s="3"/>
      <c r="G887" s="3"/>
      <c r="H887" s="1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176"/>
    </row>
    <row r="888" spans="1:20">
      <c r="A888" s="3"/>
      <c r="B888" s="3"/>
      <c r="C888" s="3"/>
      <c r="D888" s="3"/>
      <c r="E888" s="4"/>
      <c r="F888" s="3"/>
      <c r="G888" s="3"/>
      <c r="H888" s="1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176"/>
    </row>
    <row r="889" spans="1:20">
      <c r="A889" s="3"/>
      <c r="B889" s="3"/>
      <c r="C889" s="3"/>
      <c r="D889" s="3"/>
      <c r="E889" s="4"/>
      <c r="F889" s="3"/>
      <c r="G889" s="3"/>
      <c r="H889" s="1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176"/>
    </row>
    <row r="890" spans="1:20">
      <c r="A890" s="3"/>
      <c r="B890" s="3"/>
      <c r="C890" s="3"/>
      <c r="D890" s="3"/>
      <c r="E890" s="4"/>
      <c r="F890" s="3"/>
      <c r="G890" s="3"/>
      <c r="H890" s="1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176"/>
    </row>
    <row r="891" spans="1:20">
      <c r="A891" s="3"/>
      <c r="B891" s="3"/>
      <c r="C891" s="3"/>
      <c r="D891" s="3"/>
      <c r="E891" s="4"/>
      <c r="F891" s="3"/>
      <c r="G891" s="3"/>
      <c r="H891" s="1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176"/>
    </row>
    <row r="892" spans="1:20">
      <c r="A892" s="3"/>
      <c r="B892" s="3"/>
      <c r="C892" s="3"/>
      <c r="D892" s="3"/>
      <c r="E892" s="4"/>
      <c r="F892" s="3"/>
      <c r="G892" s="3"/>
      <c r="H892" s="1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176"/>
    </row>
    <row r="893" spans="1:20">
      <c r="A893" s="3"/>
      <c r="B893" s="3"/>
      <c r="C893" s="3"/>
      <c r="D893" s="3"/>
      <c r="E893" s="4"/>
      <c r="F893" s="3"/>
      <c r="G893" s="3"/>
      <c r="H893" s="1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176"/>
    </row>
    <row r="894" spans="1:20">
      <c r="A894" s="3"/>
      <c r="B894" s="3"/>
      <c r="C894" s="3"/>
      <c r="D894" s="3"/>
      <c r="E894" s="4"/>
      <c r="F894" s="3"/>
      <c r="G894" s="3"/>
      <c r="H894" s="1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176"/>
    </row>
    <row r="895" spans="1:20">
      <c r="A895" s="3"/>
      <c r="B895" s="3"/>
      <c r="C895" s="3"/>
      <c r="D895" s="3"/>
      <c r="E895" s="4"/>
      <c r="F895" s="3"/>
      <c r="G895" s="3"/>
      <c r="H895" s="1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176"/>
    </row>
    <row r="896" spans="1:20">
      <c r="A896" s="3"/>
      <c r="B896" s="3"/>
      <c r="C896" s="3"/>
      <c r="D896" s="3"/>
      <c r="E896" s="4"/>
      <c r="F896" s="3"/>
      <c r="G896" s="3"/>
      <c r="H896" s="1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176"/>
    </row>
    <row r="897" spans="1:20">
      <c r="A897" s="3"/>
      <c r="B897" s="3"/>
      <c r="C897" s="3"/>
      <c r="D897" s="3"/>
      <c r="E897" s="4"/>
      <c r="F897" s="3"/>
      <c r="G897" s="3"/>
      <c r="H897" s="1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176"/>
    </row>
    <row r="898" spans="1:20">
      <c r="A898" s="3"/>
      <c r="B898" s="3"/>
      <c r="C898" s="3"/>
      <c r="D898" s="3"/>
      <c r="E898" s="4"/>
      <c r="F898" s="3"/>
      <c r="G898" s="3"/>
      <c r="H898" s="1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176"/>
    </row>
    <row r="899" spans="1:20">
      <c r="A899" s="3"/>
      <c r="B899" s="3"/>
      <c r="C899" s="3"/>
      <c r="D899" s="3"/>
      <c r="E899" s="4"/>
      <c r="F899" s="3"/>
      <c r="G899" s="3"/>
      <c r="H899" s="1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176"/>
    </row>
    <row r="900" spans="1:20">
      <c r="A900" s="3"/>
      <c r="B900" s="3"/>
      <c r="C900" s="3"/>
      <c r="D900" s="3"/>
      <c r="E900" s="4"/>
      <c r="F900" s="3"/>
      <c r="G900" s="3"/>
      <c r="H900" s="1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176"/>
    </row>
    <row r="901" spans="1:20">
      <c r="A901" s="3"/>
      <c r="B901" s="3"/>
      <c r="C901" s="3"/>
      <c r="D901" s="3"/>
      <c r="E901" s="4"/>
      <c r="F901" s="3"/>
      <c r="G901" s="3"/>
      <c r="H901" s="1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176"/>
    </row>
    <row r="902" spans="1:20">
      <c r="A902" s="3"/>
      <c r="B902" s="3"/>
      <c r="C902" s="3"/>
      <c r="D902" s="3"/>
      <c r="E902" s="4"/>
      <c r="F902" s="3"/>
      <c r="G902" s="3"/>
      <c r="H902" s="1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176"/>
    </row>
    <row r="903" spans="1:20">
      <c r="A903" s="3"/>
      <c r="B903" s="3"/>
      <c r="C903" s="3"/>
      <c r="D903" s="3"/>
      <c r="E903" s="4"/>
      <c r="F903" s="3"/>
      <c r="G903" s="3"/>
      <c r="H903" s="1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176"/>
    </row>
    <row r="904" spans="1:20">
      <c r="A904" s="3"/>
      <c r="B904" s="3"/>
      <c r="C904" s="3"/>
      <c r="D904" s="3"/>
      <c r="E904" s="4"/>
      <c r="F904" s="3"/>
      <c r="G904" s="3"/>
      <c r="H904" s="1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176"/>
    </row>
    <row r="905" spans="1:20">
      <c r="A905" s="3"/>
      <c r="B905" s="3"/>
      <c r="C905" s="3"/>
      <c r="D905" s="3"/>
      <c r="E905" s="4"/>
      <c r="F905" s="3"/>
      <c r="G905" s="3"/>
      <c r="H905" s="1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176"/>
    </row>
    <row r="906" spans="1:20">
      <c r="A906" s="3"/>
      <c r="B906" s="3"/>
      <c r="C906" s="3"/>
      <c r="D906" s="3"/>
      <c r="E906" s="4"/>
      <c r="F906" s="3"/>
      <c r="G906" s="3"/>
      <c r="H906" s="1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176"/>
    </row>
    <row r="907" spans="1:20">
      <c r="A907" s="3"/>
      <c r="B907" s="3"/>
      <c r="C907" s="3"/>
      <c r="D907" s="3"/>
      <c r="E907" s="4"/>
      <c r="F907" s="3"/>
      <c r="G907" s="3"/>
      <c r="H907" s="1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176"/>
    </row>
    <row r="908" spans="1:20">
      <c r="A908" s="3"/>
      <c r="B908" s="3"/>
      <c r="C908" s="3"/>
      <c r="D908" s="3"/>
      <c r="E908" s="4"/>
      <c r="F908" s="3"/>
      <c r="G908" s="3"/>
      <c r="H908" s="1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176"/>
    </row>
    <row r="909" spans="1:20">
      <c r="A909" s="3"/>
      <c r="B909" s="3"/>
      <c r="C909" s="3"/>
      <c r="D909" s="3"/>
      <c r="E909" s="4"/>
      <c r="F909" s="3"/>
      <c r="G909" s="3"/>
      <c r="H909" s="1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176"/>
    </row>
    <row r="910" spans="1:20">
      <c r="A910" s="3"/>
      <c r="B910" s="3"/>
      <c r="C910" s="3"/>
      <c r="D910" s="3"/>
      <c r="E910" s="4"/>
      <c r="F910" s="3"/>
      <c r="G910" s="3"/>
      <c r="H910" s="1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176"/>
    </row>
    <row r="911" spans="1:20">
      <c r="A911" s="3"/>
      <c r="B911" s="3"/>
      <c r="C911" s="3"/>
      <c r="D911" s="3"/>
      <c r="E911" s="4"/>
      <c r="F911" s="3"/>
      <c r="G911" s="3"/>
      <c r="H911" s="1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176"/>
    </row>
    <row r="912" spans="1:20">
      <c r="A912" s="3"/>
      <c r="B912" s="3"/>
      <c r="C912" s="3"/>
      <c r="D912" s="3"/>
      <c r="E912" s="4"/>
      <c r="F912" s="3"/>
      <c r="G912" s="3"/>
      <c r="H912" s="1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176"/>
    </row>
    <row r="913" spans="1:20">
      <c r="A913" s="3"/>
      <c r="B913" s="3"/>
      <c r="C913" s="3"/>
      <c r="D913" s="3"/>
      <c r="E913" s="4"/>
      <c r="F913" s="3"/>
      <c r="G913" s="3"/>
      <c r="H913" s="1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176"/>
    </row>
    <row r="914" spans="1:20">
      <c r="A914" s="3"/>
      <c r="B914" s="3"/>
      <c r="C914" s="3"/>
      <c r="D914" s="3"/>
      <c r="E914" s="4"/>
      <c r="F914" s="3"/>
      <c r="G914" s="3"/>
      <c r="H914" s="1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176"/>
    </row>
    <row r="915" spans="1:20">
      <c r="A915" s="3"/>
      <c r="B915" s="3"/>
      <c r="C915" s="3"/>
      <c r="D915" s="3"/>
      <c r="E915" s="4"/>
      <c r="F915" s="3"/>
      <c r="G915" s="3"/>
      <c r="H915" s="1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176"/>
    </row>
    <row r="916" spans="1:20">
      <c r="A916" s="3"/>
      <c r="B916" s="3"/>
      <c r="C916" s="3"/>
      <c r="D916" s="3"/>
      <c r="E916" s="4"/>
      <c r="F916" s="3"/>
      <c r="G916" s="3"/>
      <c r="H916" s="1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176"/>
    </row>
    <row r="917" spans="1:20">
      <c r="A917" s="3"/>
      <c r="B917" s="3"/>
      <c r="C917" s="3"/>
      <c r="D917" s="3"/>
      <c r="E917" s="4"/>
      <c r="F917" s="3"/>
      <c r="G917" s="3"/>
      <c r="H917" s="1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176"/>
    </row>
    <row r="918" spans="1:20">
      <c r="A918" s="3"/>
      <c r="B918" s="3"/>
      <c r="C918" s="3"/>
      <c r="D918" s="3"/>
      <c r="E918" s="4"/>
      <c r="F918" s="3"/>
      <c r="G918" s="3"/>
      <c r="H918" s="1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176"/>
    </row>
    <row r="919" spans="1:20">
      <c r="A919" s="3"/>
      <c r="B919" s="3"/>
      <c r="C919" s="3"/>
      <c r="D919" s="3"/>
      <c r="E919" s="4"/>
      <c r="F919" s="3"/>
      <c r="G919" s="3"/>
      <c r="H919" s="1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176"/>
    </row>
    <row r="920" spans="1:20">
      <c r="A920" s="3"/>
      <c r="B920" s="3"/>
      <c r="C920" s="3"/>
      <c r="D920" s="3"/>
      <c r="E920" s="4"/>
      <c r="F920" s="3"/>
      <c r="G920" s="3"/>
      <c r="H920" s="1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176"/>
    </row>
    <row r="921" spans="1:20">
      <c r="A921" s="3"/>
      <c r="B921" s="3"/>
      <c r="C921" s="3"/>
      <c r="D921" s="3"/>
      <c r="E921" s="4"/>
      <c r="F921" s="3"/>
      <c r="G921" s="3"/>
      <c r="H921" s="1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176"/>
    </row>
    <row r="922" spans="1:20">
      <c r="A922" s="3"/>
      <c r="B922" s="3"/>
      <c r="C922" s="3"/>
      <c r="D922" s="3"/>
      <c r="E922" s="4"/>
      <c r="F922" s="3"/>
      <c r="G922" s="3"/>
      <c r="H922" s="1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176"/>
    </row>
    <row r="923" spans="1:20">
      <c r="A923" s="3"/>
      <c r="B923" s="3"/>
      <c r="C923" s="3"/>
      <c r="D923" s="3"/>
      <c r="E923" s="4"/>
      <c r="F923" s="3"/>
      <c r="G923" s="3"/>
      <c r="H923" s="1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176"/>
    </row>
    <row r="924" spans="1:20">
      <c r="A924" s="3"/>
      <c r="B924" s="3"/>
      <c r="C924" s="3"/>
      <c r="D924" s="3"/>
      <c r="E924" s="4"/>
      <c r="F924" s="3"/>
      <c r="G924" s="3"/>
      <c r="H924" s="1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176"/>
    </row>
    <row r="925" spans="1:20">
      <c r="A925" s="3"/>
      <c r="B925" s="3"/>
      <c r="C925" s="3"/>
      <c r="D925" s="3"/>
      <c r="E925" s="4"/>
      <c r="F925" s="3"/>
      <c r="G925" s="3"/>
      <c r="H925" s="1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176"/>
    </row>
    <row r="926" spans="1:20">
      <c r="A926" s="3"/>
      <c r="B926" s="3"/>
      <c r="C926" s="3"/>
      <c r="D926" s="3"/>
      <c r="E926" s="4"/>
      <c r="F926" s="3"/>
      <c r="G926" s="3"/>
      <c r="H926" s="1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176"/>
    </row>
    <row r="927" spans="1:20">
      <c r="A927" s="3"/>
      <c r="B927" s="3"/>
      <c r="C927" s="3"/>
      <c r="D927" s="3"/>
      <c r="E927" s="4"/>
      <c r="F927" s="3"/>
      <c r="G927" s="3"/>
      <c r="H927" s="1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176"/>
    </row>
    <row r="928" spans="1:20">
      <c r="A928" s="3"/>
      <c r="B928" s="3"/>
      <c r="C928" s="3"/>
      <c r="D928" s="3"/>
      <c r="E928" s="4"/>
      <c r="F928" s="3"/>
      <c r="G928" s="3"/>
      <c r="H928" s="1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176"/>
    </row>
    <row r="929" spans="1:20">
      <c r="A929" s="3"/>
      <c r="B929" s="3"/>
      <c r="C929" s="3"/>
      <c r="D929" s="3"/>
      <c r="E929" s="4"/>
      <c r="F929" s="3"/>
      <c r="G929" s="3"/>
      <c r="H929" s="1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176"/>
    </row>
    <row r="930" spans="1:20">
      <c r="A930" s="3"/>
      <c r="B930" s="3"/>
      <c r="C930" s="3"/>
      <c r="D930" s="3"/>
      <c r="E930" s="4"/>
      <c r="F930" s="3"/>
      <c r="G930" s="3"/>
      <c r="H930" s="1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176"/>
    </row>
    <row r="931" spans="1:20">
      <c r="A931" s="3"/>
      <c r="B931" s="3"/>
      <c r="C931" s="3"/>
      <c r="D931" s="3"/>
      <c r="E931" s="4"/>
      <c r="F931" s="3"/>
      <c r="G931" s="3"/>
      <c r="H931" s="1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176"/>
    </row>
    <row r="932" spans="1:20">
      <c r="A932" s="3"/>
      <c r="B932" s="3"/>
      <c r="C932" s="3"/>
      <c r="D932" s="3"/>
      <c r="E932" s="4"/>
      <c r="F932" s="3"/>
      <c r="G932" s="3"/>
      <c r="H932" s="1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176"/>
    </row>
    <row r="933" spans="1:20">
      <c r="A933" s="3"/>
      <c r="B933" s="3"/>
      <c r="C933" s="3"/>
      <c r="D933" s="3"/>
      <c r="E933" s="4"/>
      <c r="F933" s="3"/>
      <c r="G933" s="3"/>
      <c r="H933" s="1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176"/>
    </row>
    <row r="934" spans="1:20">
      <c r="A934" s="3"/>
      <c r="B934" s="3"/>
      <c r="C934" s="3"/>
      <c r="D934" s="3"/>
      <c r="E934" s="4"/>
      <c r="F934" s="3"/>
      <c r="G934" s="3"/>
      <c r="H934" s="1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176"/>
    </row>
    <row r="935" spans="1:20">
      <c r="A935" s="3"/>
      <c r="B935" s="3"/>
      <c r="C935" s="3"/>
      <c r="D935" s="3"/>
      <c r="E935" s="4"/>
      <c r="F935" s="3"/>
      <c r="G935" s="3"/>
      <c r="H935" s="1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176"/>
    </row>
    <row r="936" spans="1:20">
      <c r="A936" s="3"/>
      <c r="B936" s="3"/>
      <c r="C936" s="3"/>
      <c r="D936" s="3"/>
      <c r="E936" s="4"/>
      <c r="F936" s="3"/>
      <c r="G936" s="3"/>
      <c r="H936" s="1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176"/>
    </row>
    <row r="937" spans="1:20">
      <c r="A937" s="3"/>
      <c r="B937" s="3"/>
      <c r="C937" s="3"/>
      <c r="D937" s="3"/>
      <c r="E937" s="4"/>
      <c r="F937" s="3"/>
      <c r="G937" s="3"/>
      <c r="H937" s="1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176"/>
    </row>
    <row r="938" spans="1:20">
      <c r="A938" s="3"/>
      <c r="B938" s="3"/>
      <c r="C938" s="3"/>
      <c r="D938" s="3"/>
      <c r="E938" s="4"/>
      <c r="F938" s="3"/>
      <c r="G938" s="3"/>
      <c r="H938" s="1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176"/>
    </row>
    <row r="939" spans="1:20">
      <c r="A939" s="3"/>
      <c r="B939" s="3"/>
      <c r="C939" s="3"/>
      <c r="D939" s="3"/>
      <c r="E939" s="4"/>
      <c r="F939" s="3"/>
      <c r="G939" s="3"/>
      <c r="H939" s="1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176"/>
    </row>
    <row r="940" spans="1:20">
      <c r="A940" s="3"/>
      <c r="B940" s="3"/>
      <c r="C940" s="3"/>
      <c r="D940" s="3"/>
      <c r="E940" s="4"/>
      <c r="F940" s="3"/>
      <c r="G940" s="3"/>
      <c r="H940" s="1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176"/>
    </row>
    <row r="941" spans="1:20">
      <c r="A941" s="3"/>
      <c r="B941" s="3"/>
      <c r="C941" s="3"/>
      <c r="D941" s="3"/>
      <c r="E941" s="4"/>
      <c r="F941" s="3"/>
      <c r="G941" s="3"/>
      <c r="H941" s="1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176"/>
    </row>
    <row r="942" spans="1:20">
      <c r="A942" s="3"/>
      <c r="B942" s="3"/>
      <c r="C942" s="3"/>
      <c r="D942" s="3"/>
      <c r="E942" s="4"/>
      <c r="F942" s="3"/>
      <c r="G942" s="3"/>
      <c r="H942" s="1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176"/>
    </row>
    <row r="943" spans="1:20">
      <c r="A943" s="3"/>
      <c r="B943" s="3"/>
      <c r="C943" s="3"/>
      <c r="D943" s="3"/>
      <c r="E943" s="4"/>
      <c r="F943" s="3"/>
      <c r="G943" s="3"/>
      <c r="H943" s="1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176"/>
    </row>
    <row r="944" spans="1:20">
      <c r="A944" s="3"/>
      <c r="B944" s="3"/>
      <c r="C944" s="3"/>
      <c r="D944" s="3"/>
      <c r="E944" s="4"/>
      <c r="F944" s="3"/>
      <c r="G944" s="3"/>
      <c r="H944" s="1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176"/>
    </row>
    <row r="945" spans="1:20">
      <c r="A945" s="3"/>
      <c r="B945" s="3"/>
      <c r="C945" s="3"/>
      <c r="D945" s="3"/>
      <c r="E945" s="4"/>
      <c r="F945" s="3"/>
      <c r="G945" s="3"/>
      <c r="H945" s="1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176"/>
    </row>
    <row r="946" spans="1:20">
      <c r="A946" s="3"/>
      <c r="B946" s="3"/>
      <c r="C946" s="3"/>
      <c r="D946" s="3"/>
      <c r="E946" s="4"/>
      <c r="F946" s="3"/>
      <c r="G946" s="3"/>
      <c r="H946" s="1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176"/>
    </row>
    <row r="947" spans="1:20">
      <c r="A947" s="3"/>
      <c r="B947" s="3"/>
      <c r="C947" s="3"/>
      <c r="D947" s="3"/>
      <c r="E947" s="4"/>
      <c r="F947" s="3"/>
      <c r="G947" s="3"/>
      <c r="H947" s="1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176"/>
    </row>
    <row r="948" spans="1:20">
      <c r="A948" s="3"/>
      <c r="B948" s="3"/>
      <c r="C948" s="3"/>
      <c r="D948" s="3"/>
      <c r="E948" s="4"/>
      <c r="F948" s="3"/>
      <c r="G948" s="3"/>
      <c r="H948" s="1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176"/>
    </row>
    <row r="949" spans="1:20">
      <c r="A949" s="3"/>
      <c r="B949" s="3"/>
      <c r="C949" s="3"/>
      <c r="D949" s="3"/>
      <c r="E949" s="4"/>
      <c r="F949" s="3"/>
      <c r="G949" s="3"/>
      <c r="H949" s="1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176"/>
    </row>
    <row r="950" spans="1:20">
      <c r="A950" s="3"/>
      <c r="B950" s="3"/>
      <c r="C950" s="3"/>
      <c r="D950" s="3"/>
      <c r="E950" s="4"/>
      <c r="F950" s="3"/>
      <c r="G950" s="3"/>
      <c r="H950" s="1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176"/>
    </row>
    <row r="951" spans="1:20">
      <c r="A951" s="3"/>
      <c r="B951" s="3"/>
      <c r="C951" s="3"/>
      <c r="D951" s="3"/>
      <c r="E951" s="4"/>
      <c r="F951" s="3"/>
      <c r="G951" s="3"/>
      <c r="H951" s="10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176"/>
    </row>
    <row r="952" spans="1:20">
      <c r="A952" s="3"/>
      <c r="B952" s="3"/>
      <c r="C952" s="3"/>
      <c r="D952" s="3"/>
      <c r="E952" s="4"/>
      <c r="F952" s="3"/>
      <c r="G952" s="3"/>
      <c r="H952" s="10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176"/>
    </row>
    <row r="953" spans="1:20">
      <c r="A953" s="3"/>
      <c r="B953" s="3"/>
      <c r="C953" s="3"/>
      <c r="D953" s="3"/>
      <c r="E953" s="4"/>
      <c r="F953" s="3"/>
      <c r="G953" s="3"/>
      <c r="H953" s="10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176"/>
    </row>
    <row r="954" spans="1:20">
      <c r="A954" s="3"/>
      <c r="B954" s="3"/>
      <c r="C954" s="3"/>
      <c r="D954" s="3"/>
      <c r="E954" s="4"/>
      <c r="F954" s="3"/>
      <c r="G954" s="3"/>
      <c r="H954" s="10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176"/>
    </row>
    <row r="955" spans="1:20">
      <c r="A955" s="3"/>
      <c r="B955" s="3"/>
      <c r="C955" s="3"/>
      <c r="D955" s="3"/>
      <c r="E955" s="4"/>
      <c r="F955" s="3"/>
      <c r="G955" s="3"/>
      <c r="H955" s="10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176"/>
    </row>
    <row r="956" spans="1:20">
      <c r="A956" s="3"/>
      <c r="B956" s="3"/>
      <c r="C956" s="3"/>
      <c r="D956" s="3"/>
      <c r="E956" s="4"/>
      <c r="F956" s="3"/>
      <c r="G956" s="3"/>
      <c r="H956" s="10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176"/>
    </row>
    <row r="957" spans="1:20">
      <c r="A957" s="3"/>
      <c r="B957" s="3"/>
      <c r="C957" s="3"/>
      <c r="D957" s="3"/>
      <c r="E957" s="4"/>
      <c r="F957" s="3"/>
      <c r="G957" s="3"/>
      <c r="H957" s="10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176"/>
    </row>
    <row r="958" spans="1:20">
      <c r="A958" s="3"/>
      <c r="B958" s="3"/>
      <c r="C958" s="3"/>
      <c r="D958" s="3"/>
      <c r="E958" s="4"/>
      <c r="F958" s="3"/>
      <c r="G958" s="3"/>
      <c r="H958" s="10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176"/>
    </row>
    <row r="959" spans="1:20">
      <c r="A959" s="3"/>
      <c r="B959" s="3"/>
      <c r="C959" s="3"/>
      <c r="D959" s="3"/>
      <c r="E959" s="4"/>
      <c r="F959" s="3"/>
      <c r="G959" s="3"/>
      <c r="H959" s="10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176"/>
    </row>
    <row r="960" spans="1:20">
      <c r="A960" s="3"/>
      <c r="B960" s="3"/>
      <c r="C960" s="3"/>
      <c r="D960" s="3"/>
      <c r="E960" s="4"/>
      <c r="F960" s="3"/>
      <c r="G960" s="3"/>
      <c r="H960" s="10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176"/>
    </row>
    <row r="961" spans="1:20">
      <c r="A961" s="3"/>
      <c r="B961" s="3"/>
      <c r="C961" s="3"/>
      <c r="D961" s="3"/>
      <c r="E961" s="4"/>
      <c r="F961" s="3"/>
      <c r="G961" s="3"/>
      <c r="H961" s="10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176"/>
    </row>
    <row r="962" spans="1:20">
      <c r="A962" s="3"/>
      <c r="B962" s="3"/>
      <c r="C962" s="3"/>
      <c r="D962" s="3"/>
      <c r="E962" s="4"/>
      <c r="F962" s="3"/>
      <c r="G962" s="3"/>
      <c r="H962" s="10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176"/>
    </row>
    <row r="963" spans="1:20">
      <c r="A963" s="3"/>
      <c r="B963" s="3"/>
      <c r="C963" s="3"/>
      <c r="D963" s="3"/>
      <c r="E963" s="4"/>
      <c r="F963" s="3"/>
      <c r="G963" s="3"/>
      <c r="H963" s="10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176"/>
    </row>
    <row r="964" spans="1:20">
      <c r="A964" s="3"/>
      <c r="B964" s="3"/>
      <c r="C964" s="3"/>
      <c r="D964" s="3"/>
      <c r="E964" s="4"/>
      <c r="F964" s="3"/>
      <c r="G964" s="3"/>
      <c r="H964" s="10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176"/>
    </row>
    <row r="965" spans="1:20">
      <c r="A965" s="3"/>
      <c r="B965" s="3"/>
      <c r="C965" s="3"/>
      <c r="D965" s="3"/>
      <c r="E965" s="4"/>
      <c r="F965" s="3"/>
      <c r="G965" s="3"/>
      <c r="H965" s="10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176"/>
    </row>
    <row r="966" spans="1:20">
      <c r="A966" s="3"/>
      <c r="B966" s="3"/>
      <c r="C966" s="3"/>
      <c r="D966" s="3"/>
      <c r="E966" s="4"/>
      <c r="F966" s="3"/>
      <c r="G966" s="3"/>
      <c r="H966" s="10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176"/>
    </row>
    <row r="967" spans="1:20">
      <c r="A967" s="3"/>
      <c r="B967" s="3"/>
      <c r="C967" s="3"/>
      <c r="D967" s="3"/>
      <c r="E967" s="4"/>
      <c r="F967" s="3"/>
      <c r="G967" s="3"/>
      <c r="H967" s="10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176"/>
    </row>
    <row r="968" spans="1:20">
      <c r="A968" s="3"/>
      <c r="B968" s="3"/>
      <c r="C968" s="3"/>
      <c r="D968" s="3"/>
      <c r="E968" s="4"/>
      <c r="F968" s="3"/>
      <c r="G968" s="3"/>
      <c r="H968" s="10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176"/>
    </row>
    <row r="969" spans="1:20">
      <c r="A969" s="3"/>
      <c r="B969" s="3"/>
      <c r="C969" s="3"/>
      <c r="D969" s="3"/>
      <c r="E969" s="4"/>
      <c r="F969" s="3"/>
      <c r="G969" s="3"/>
      <c r="H969" s="10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176"/>
    </row>
    <row r="970" spans="1:20">
      <c r="A970" s="3"/>
      <c r="B970" s="3"/>
      <c r="C970" s="3"/>
      <c r="D970" s="3"/>
      <c r="E970" s="4"/>
      <c r="F970" s="3"/>
      <c r="G970" s="3"/>
      <c r="H970" s="10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176"/>
    </row>
    <row r="971" spans="1:20">
      <c r="A971" s="3"/>
      <c r="B971" s="3"/>
      <c r="C971" s="3"/>
      <c r="D971" s="3"/>
      <c r="E971" s="4"/>
      <c r="F971" s="3"/>
      <c r="G971" s="3"/>
      <c r="H971" s="10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176"/>
    </row>
    <row r="972" spans="1:20">
      <c r="A972" s="3"/>
      <c r="B972" s="3"/>
      <c r="C972" s="3"/>
      <c r="D972" s="3"/>
      <c r="E972" s="4"/>
      <c r="F972" s="3"/>
      <c r="G972" s="3"/>
      <c r="H972" s="10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176"/>
    </row>
    <row r="973" spans="1:20">
      <c r="A973" s="3"/>
      <c r="B973" s="3"/>
      <c r="C973" s="3"/>
      <c r="D973" s="3"/>
      <c r="E973" s="4"/>
      <c r="F973" s="3"/>
      <c r="G973" s="3"/>
      <c r="H973" s="10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176"/>
    </row>
    <row r="974" spans="1:20">
      <c r="A974" s="3"/>
      <c r="B974" s="3"/>
      <c r="C974" s="3"/>
      <c r="D974" s="3"/>
      <c r="E974" s="4"/>
      <c r="F974" s="3"/>
      <c r="G974" s="3"/>
      <c r="H974" s="10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176"/>
    </row>
    <row r="975" spans="1:20">
      <c r="A975" s="3"/>
      <c r="B975" s="3"/>
      <c r="C975" s="3"/>
      <c r="D975" s="3"/>
      <c r="E975" s="4"/>
      <c r="F975" s="3"/>
      <c r="G975" s="3"/>
      <c r="H975" s="10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176"/>
    </row>
    <row r="976" spans="1:20">
      <c r="A976" s="3"/>
      <c r="B976" s="3"/>
      <c r="C976" s="3"/>
      <c r="D976" s="3"/>
      <c r="E976" s="4"/>
      <c r="F976" s="3"/>
      <c r="G976" s="3"/>
      <c r="H976" s="10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176"/>
    </row>
    <row r="977" spans="1:20">
      <c r="A977" s="3"/>
      <c r="B977" s="3"/>
      <c r="C977" s="3"/>
      <c r="D977" s="3"/>
      <c r="E977" s="4"/>
      <c r="F977" s="3"/>
      <c r="G977" s="3"/>
      <c r="H977" s="10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176"/>
    </row>
    <row r="978" spans="1:20">
      <c r="A978" s="3"/>
      <c r="B978" s="3"/>
      <c r="C978" s="3"/>
      <c r="D978" s="3"/>
      <c r="E978" s="4"/>
      <c r="F978" s="3"/>
      <c r="G978" s="3"/>
      <c r="H978" s="10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176"/>
    </row>
    <row r="979" spans="1:20">
      <c r="A979" s="3"/>
      <c r="B979" s="3"/>
      <c r="C979" s="3"/>
      <c r="D979" s="3"/>
      <c r="E979" s="4"/>
      <c r="F979" s="3"/>
      <c r="G979" s="3"/>
      <c r="H979" s="10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176"/>
    </row>
    <row r="980" spans="1:20">
      <c r="A980" s="3"/>
      <c r="B980" s="3"/>
      <c r="C980" s="3"/>
      <c r="D980" s="3"/>
      <c r="E980" s="4"/>
      <c r="F980" s="3"/>
      <c r="G980" s="3"/>
      <c r="H980" s="10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176"/>
    </row>
    <row r="981" spans="1:20">
      <c r="A981" s="3"/>
      <c r="B981" s="3"/>
      <c r="C981" s="3"/>
      <c r="D981" s="3"/>
      <c r="E981" s="4"/>
      <c r="F981" s="3"/>
      <c r="G981" s="3"/>
      <c r="H981" s="10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176"/>
    </row>
    <row r="982" spans="1:20">
      <c r="A982" s="3"/>
      <c r="B982" s="3"/>
      <c r="C982" s="3"/>
      <c r="D982" s="3"/>
      <c r="E982" s="4"/>
      <c r="F982" s="3"/>
      <c r="G982" s="3"/>
      <c r="H982" s="10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176"/>
    </row>
    <row r="983" spans="1:20">
      <c r="A983" s="3"/>
      <c r="B983" s="3"/>
      <c r="C983" s="3"/>
      <c r="D983" s="3"/>
      <c r="E983" s="4"/>
      <c r="F983" s="3"/>
      <c r="G983" s="3"/>
      <c r="H983" s="10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176"/>
    </row>
    <row r="984" spans="1:20">
      <c r="A984" s="3"/>
      <c r="B984" s="3"/>
      <c r="C984" s="3"/>
      <c r="D984" s="3"/>
      <c r="E984" s="4"/>
      <c r="F984" s="3"/>
      <c r="G984" s="3"/>
      <c r="H984" s="10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176"/>
    </row>
    <row r="985" spans="1:20">
      <c r="A985" s="3"/>
      <c r="B985" s="3"/>
      <c r="C985" s="3"/>
      <c r="D985" s="3"/>
      <c r="E985" s="4"/>
      <c r="F985" s="3"/>
      <c r="G985" s="3"/>
      <c r="H985" s="10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176"/>
    </row>
    <row r="986" spans="1:20">
      <c r="A986" s="3"/>
      <c r="B986" s="3"/>
      <c r="C986" s="3"/>
      <c r="D986" s="3"/>
      <c r="E986" s="4"/>
      <c r="F986" s="3"/>
      <c r="G986" s="3"/>
      <c r="H986" s="10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176"/>
    </row>
    <row r="987" spans="1:20">
      <c r="A987" s="3"/>
      <c r="B987" s="3"/>
      <c r="C987" s="3"/>
      <c r="D987" s="3"/>
      <c r="E987" s="4"/>
      <c r="F987" s="3"/>
      <c r="G987" s="3"/>
      <c r="H987" s="10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176"/>
    </row>
    <row r="988" spans="1:20">
      <c r="A988" s="3"/>
      <c r="B988" s="3"/>
      <c r="C988" s="3"/>
      <c r="D988" s="3"/>
      <c r="E988" s="4"/>
      <c r="F988" s="3"/>
      <c r="G988" s="3"/>
      <c r="H988" s="10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176"/>
    </row>
    <row r="989" spans="1:20">
      <c r="A989" s="3"/>
      <c r="B989" s="3"/>
      <c r="C989" s="3"/>
      <c r="D989" s="3"/>
      <c r="E989" s="4"/>
      <c r="F989" s="3"/>
      <c r="G989" s="3"/>
      <c r="H989" s="10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176"/>
    </row>
    <row r="990" spans="1:20">
      <c r="A990" s="3"/>
      <c r="B990" s="3"/>
      <c r="C990" s="3"/>
      <c r="D990" s="3"/>
      <c r="E990" s="4"/>
      <c r="F990" s="3"/>
      <c r="G990" s="3"/>
      <c r="H990" s="10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176"/>
    </row>
    <row r="991" spans="1:20">
      <c r="A991" s="3"/>
      <c r="B991" s="3"/>
      <c r="C991" s="3"/>
      <c r="D991" s="3"/>
      <c r="E991" s="4"/>
      <c r="F991" s="3"/>
      <c r="G991" s="3"/>
      <c r="H991" s="10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176"/>
    </row>
    <row r="992" spans="1:20">
      <c r="A992" s="3"/>
      <c r="B992" s="3"/>
      <c r="C992" s="3"/>
      <c r="D992" s="3"/>
      <c r="E992" s="4"/>
      <c r="F992" s="3"/>
      <c r="G992" s="3"/>
      <c r="H992" s="10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176"/>
    </row>
    <row r="993" spans="1:20">
      <c r="A993" s="3"/>
      <c r="B993" s="3"/>
      <c r="C993" s="3"/>
      <c r="D993" s="3"/>
      <c r="E993" s="4"/>
      <c r="F993" s="3"/>
      <c r="G993" s="3"/>
      <c r="H993" s="10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176"/>
    </row>
    <row r="994" spans="1:20">
      <c r="A994" s="3"/>
      <c r="B994" s="3"/>
      <c r="C994" s="3"/>
      <c r="D994" s="3"/>
      <c r="E994" s="4"/>
      <c r="F994" s="3"/>
      <c r="G994" s="3"/>
      <c r="H994" s="10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176"/>
    </row>
    <row r="995" spans="1:20">
      <c r="A995" s="3"/>
      <c r="B995" s="3"/>
      <c r="C995" s="3"/>
      <c r="D995" s="3"/>
      <c r="E995" s="4"/>
      <c r="F995" s="3"/>
      <c r="G995" s="3"/>
      <c r="H995" s="10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176"/>
    </row>
    <row r="996" spans="1:20">
      <c r="A996" s="3"/>
      <c r="B996" s="3"/>
      <c r="C996" s="3"/>
      <c r="D996" s="3"/>
      <c r="E996" s="4"/>
      <c r="F996" s="3"/>
      <c r="G996" s="3"/>
      <c r="H996" s="10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176"/>
    </row>
  </sheetData>
  <autoFilter ref="A3:T260"/>
  <mergeCells count="1">
    <mergeCell ref="I2:T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96"/>
  <sheetViews>
    <sheetView showGridLines="0" zoomScale="87" zoomScaleNormal="87" workbookViewId="0">
      <pane ySplit="1" topLeftCell="A2" activePane="bottomLeft" state="frozen"/>
      <selection pane="bottomLeft" activeCell="I8" sqref="I8"/>
    </sheetView>
  </sheetViews>
  <sheetFormatPr baseColWidth="10" defaultColWidth="15.140625" defaultRowHeight="15" customHeight="1"/>
  <cols>
    <col min="1" max="1" width="5.140625" customWidth="1"/>
    <col min="2" max="2" width="5.7109375" customWidth="1"/>
    <col min="3" max="3" width="5.28515625" customWidth="1"/>
    <col min="4" max="4" width="18.42578125" customWidth="1"/>
    <col min="5" max="5" width="20.85546875" customWidth="1"/>
    <col min="6" max="6" width="7.140625" customWidth="1"/>
    <col min="7" max="7" width="11.85546875" bestFit="1" customWidth="1"/>
    <col min="8" max="8" width="5.5703125" customWidth="1"/>
    <col min="9" max="9" width="18" customWidth="1"/>
    <col min="10" max="10" width="20" customWidth="1"/>
    <col min="11" max="11" width="33.7109375" customWidth="1"/>
    <col min="12" max="12" width="34" customWidth="1"/>
    <col min="13" max="18" width="8" customWidth="1"/>
  </cols>
  <sheetData>
    <row r="1" spans="1:18" ht="10.5" customHeight="1">
      <c r="A1" s="342"/>
      <c r="B1" s="342"/>
      <c r="C1" s="343"/>
      <c r="D1" s="344"/>
      <c r="E1" s="345"/>
      <c r="F1" s="346"/>
      <c r="G1" s="344"/>
      <c r="H1" s="347"/>
      <c r="I1" s="348" t="s">
        <v>262</v>
      </c>
      <c r="J1" s="349" t="s">
        <v>263</v>
      </c>
      <c r="K1" s="350" t="s">
        <v>264</v>
      </c>
      <c r="L1" s="350" t="s">
        <v>1</v>
      </c>
    </row>
    <row r="2" spans="1:18" ht="30" customHeight="1">
      <c r="A2" s="344"/>
      <c r="B2" s="344"/>
      <c r="C2" s="344"/>
      <c r="D2" s="344"/>
      <c r="E2" s="345"/>
      <c r="F2" s="346"/>
      <c r="G2" s="344"/>
      <c r="H2" s="11"/>
      <c r="I2" s="669"/>
      <c r="J2" s="670"/>
      <c r="K2" s="670"/>
      <c r="L2" s="670"/>
    </row>
    <row r="3" spans="1:18" ht="24.75" customHeight="1">
      <c r="A3" s="12" t="s">
        <v>3</v>
      </c>
      <c r="B3" s="12" t="s">
        <v>4</v>
      </c>
      <c r="C3" s="12" t="s">
        <v>5</v>
      </c>
      <c r="D3" s="12" t="s">
        <v>6</v>
      </c>
      <c r="E3" s="13" t="s">
        <v>7</v>
      </c>
      <c r="F3" s="12" t="s">
        <v>8</v>
      </c>
      <c r="G3" s="12" t="s">
        <v>9</v>
      </c>
      <c r="H3" s="12" t="s">
        <v>10</v>
      </c>
      <c r="I3" s="351" t="s">
        <v>262</v>
      </c>
      <c r="J3" s="349" t="s">
        <v>263</v>
      </c>
      <c r="K3" s="349" t="s">
        <v>264</v>
      </c>
      <c r="L3" s="12" t="s">
        <v>1</v>
      </c>
      <c r="M3" s="15"/>
      <c r="N3" s="15"/>
      <c r="O3" s="15"/>
      <c r="P3" s="15"/>
      <c r="Q3" s="15"/>
      <c r="R3" s="15"/>
    </row>
    <row r="4" spans="1:18" ht="15.75" customHeight="1">
      <c r="A4" s="352">
        <v>2</v>
      </c>
      <c r="B4" s="352">
        <v>1</v>
      </c>
      <c r="C4" s="352">
        <v>1</v>
      </c>
      <c r="D4" s="352" t="s">
        <v>22</v>
      </c>
      <c r="E4" s="353" t="s">
        <v>23</v>
      </c>
      <c r="F4" s="354" t="s">
        <v>25</v>
      </c>
      <c r="G4" s="355">
        <v>30876</v>
      </c>
      <c r="H4" s="356">
        <v>510</v>
      </c>
      <c r="I4" s="357"/>
      <c r="J4" s="358"/>
      <c r="K4" s="358"/>
      <c r="L4" s="358" t="s">
        <v>26</v>
      </c>
    </row>
    <row r="5" spans="1:18" ht="15.75" customHeight="1">
      <c r="A5" s="352">
        <v>2</v>
      </c>
      <c r="B5" s="352">
        <v>1</v>
      </c>
      <c r="C5" s="352">
        <v>2</v>
      </c>
      <c r="D5" s="352" t="s">
        <v>27</v>
      </c>
      <c r="E5" s="353" t="s">
        <v>28</v>
      </c>
      <c r="F5" s="354" t="s">
        <v>25</v>
      </c>
      <c r="G5" s="355">
        <v>30877</v>
      </c>
      <c r="H5" s="356">
        <v>250</v>
      </c>
      <c r="I5" s="357"/>
      <c r="J5" s="358"/>
      <c r="K5" s="358"/>
      <c r="L5" s="358" t="s">
        <v>26</v>
      </c>
    </row>
    <row r="6" spans="1:18" ht="15.75" customHeight="1">
      <c r="A6" s="352">
        <v>2</v>
      </c>
      <c r="B6" s="352">
        <v>1</v>
      </c>
      <c r="C6" s="352">
        <v>2</v>
      </c>
      <c r="D6" s="352" t="s">
        <v>22</v>
      </c>
      <c r="E6" s="353" t="s">
        <v>23</v>
      </c>
      <c r="F6" s="354" t="s">
        <v>25</v>
      </c>
      <c r="G6" s="355">
        <v>30876</v>
      </c>
      <c r="H6" s="356">
        <v>290</v>
      </c>
      <c r="I6" s="357"/>
      <c r="J6" s="358"/>
      <c r="K6" s="358"/>
      <c r="L6" s="358" t="s">
        <v>26</v>
      </c>
    </row>
    <row r="7" spans="1:18" ht="15.75" customHeight="1">
      <c r="A7" s="359">
        <v>2</v>
      </c>
      <c r="B7" s="359">
        <v>1</v>
      </c>
      <c r="C7" s="359">
        <v>3</v>
      </c>
      <c r="D7" s="359" t="s">
        <v>29</v>
      </c>
      <c r="E7" s="360" t="s">
        <v>30</v>
      </c>
      <c r="F7" s="361" t="s">
        <v>31</v>
      </c>
      <c r="G7" s="362">
        <v>50759</v>
      </c>
      <c r="H7" s="363">
        <v>232</v>
      </c>
      <c r="I7" s="364" t="s">
        <v>265</v>
      </c>
      <c r="J7" s="365">
        <v>2</v>
      </c>
      <c r="K7" s="365" t="s">
        <v>267</v>
      </c>
      <c r="L7" s="366"/>
    </row>
    <row r="8" spans="1:18" ht="15.75" customHeight="1">
      <c r="A8" s="359">
        <v>2</v>
      </c>
      <c r="B8" s="359">
        <v>1</v>
      </c>
      <c r="C8" s="359">
        <v>5</v>
      </c>
      <c r="D8" s="359" t="s">
        <v>32</v>
      </c>
      <c r="E8" s="360" t="s">
        <v>33</v>
      </c>
      <c r="F8" s="361" t="s">
        <v>34</v>
      </c>
      <c r="G8" s="362">
        <v>50616</v>
      </c>
      <c r="H8" s="363">
        <v>468</v>
      </c>
      <c r="I8" s="364" t="s">
        <v>265</v>
      </c>
      <c r="J8" s="365">
        <v>2</v>
      </c>
      <c r="K8" s="365" t="s">
        <v>269</v>
      </c>
      <c r="L8" s="366"/>
    </row>
    <row r="9" spans="1:18" ht="15.75" customHeight="1">
      <c r="A9" s="359">
        <v>2</v>
      </c>
      <c r="B9" s="359">
        <v>1</v>
      </c>
      <c r="C9" s="359">
        <v>8</v>
      </c>
      <c r="D9" s="359" t="s">
        <v>35</v>
      </c>
      <c r="E9" s="360" t="s">
        <v>36</v>
      </c>
      <c r="F9" s="361" t="s">
        <v>31</v>
      </c>
      <c r="G9" s="362">
        <v>50794</v>
      </c>
      <c r="H9" s="363">
        <v>392</v>
      </c>
      <c r="I9" s="364" t="s">
        <v>265</v>
      </c>
      <c r="J9" s="365">
        <v>2</v>
      </c>
      <c r="K9" s="365" t="s">
        <v>270</v>
      </c>
      <c r="L9" s="366"/>
    </row>
    <row r="10" spans="1:18" ht="15.75" customHeight="1">
      <c r="A10" s="359">
        <v>2</v>
      </c>
      <c r="B10" s="359">
        <v>1</v>
      </c>
      <c r="C10" s="359">
        <v>9</v>
      </c>
      <c r="D10" s="359" t="s">
        <v>37</v>
      </c>
      <c r="E10" s="360" t="s">
        <v>38</v>
      </c>
      <c r="F10" s="361" t="s">
        <v>34</v>
      </c>
      <c r="G10" s="362">
        <v>50663</v>
      </c>
      <c r="H10" s="363">
        <v>127</v>
      </c>
      <c r="I10" s="364" t="s">
        <v>265</v>
      </c>
      <c r="J10" s="365">
        <v>2</v>
      </c>
      <c r="K10" s="365" t="s">
        <v>271</v>
      </c>
      <c r="L10" s="366"/>
    </row>
    <row r="11" spans="1:18" ht="15.75" customHeight="1">
      <c r="A11" s="359">
        <v>2</v>
      </c>
      <c r="B11" s="359">
        <v>1</v>
      </c>
      <c r="C11" s="359">
        <v>9</v>
      </c>
      <c r="D11" s="359" t="s">
        <v>39</v>
      </c>
      <c r="E11" s="360" t="s">
        <v>40</v>
      </c>
      <c r="F11" s="361" t="s">
        <v>25</v>
      </c>
      <c r="G11" s="362">
        <v>50530</v>
      </c>
      <c r="H11" s="363">
        <v>48</v>
      </c>
      <c r="I11" s="364" t="s">
        <v>265</v>
      </c>
      <c r="J11" s="365">
        <v>2</v>
      </c>
      <c r="K11" s="365" t="s">
        <v>269</v>
      </c>
      <c r="L11" s="366"/>
    </row>
    <row r="12" spans="1:18" ht="15.75" customHeight="1">
      <c r="A12" s="84">
        <v>2</v>
      </c>
      <c r="B12" s="84">
        <v>1</v>
      </c>
      <c r="C12" s="84">
        <v>9</v>
      </c>
      <c r="D12" s="84" t="s">
        <v>41</v>
      </c>
      <c r="E12" s="367" t="s">
        <v>42</v>
      </c>
      <c r="F12" s="368" t="s">
        <v>25</v>
      </c>
      <c r="G12" s="369">
        <v>50721</v>
      </c>
      <c r="H12" s="370">
        <v>23</v>
      </c>
      <c r="I12" s="371"/>
      <c r="J12" s="372"/>
      <c r="K12" s="372"/>
      <c r="L12" s="372" t="s">
        <v>43</v>
      </c>
    </row>
    <row r="13" spans="1:18" ht="15.75" customHeight="1">
      <c r="A13" s="359">
        <v>2</v>
      </c>
      <c r="B13" s="359">
        <v>1</v>
      </c>
      <c r="C13" s="359">
        <v>11</v>
      </c>
      <c r="D13" s="359" t="s">
        <v>44</v>
      </c>
      <c r="E13" s="360" t="s">
        <v>45</v>
      </c>
      <c r="F13" s="361" t="s">
        <v>31</v>
      </c>
      <c r="G13" s="362">
        <v>50795</v>
      </c>
      <c r="H13" s="363">
        <v>754</v>
      </c>
      <c r="I13" s="364" t="s">
        <v>272</v>
      </c>
      <c r="J13" s="365">
        <v>3</v>
      </c>
      <c r="K13" s="365" t="s">
        <v>273</v>
      </c>
      <c r="L13" s="366"/>
    </row>
    <row r="14" spans="1:18" ht="15.75" customHeight="1">
      <c r="A14" s="359">
        <v>2</v>
      </c>
      <c r="B14" s="359">
        <v>1</v>
      </c>
      <c r="C14" s="359">
        <v>12</v>
      </c>
      <c r="D14" s="359" t="s">
        <v>46</v>
      </c>
      <c r="E14" s="360" t="s">
        <v>47</v>
      </c>
      <c r="F14" s="361" t="s">
        <v>25</v>
      </c>
      <c r="G14" s="362">
        <v>50262</v>
      </c>
      <c r="H14" s="363">
        <v>472</v>
      </c>
      <c r="I14" s="364" t="s">
        <v>265</v>
      </c>
      <c r="J14" s="365">
        <v>2</v>
      </c>
      <c r="K14" s="365" t="s">
        <v>269</v>
      </c>
      <c r="L14" s="366"/>
    </row>
    <row r="15" spans="1:18" ht="15.75" customHeight="1">
      <c r="A15" s="359">
        <v>2</v>
      </c>
      <c r="B15" s="359">
        <v>1</v>
      </c>
      <c r="C15" s="359">
        <v>13</v>
      </c>
      <c r="D15" s="359" t="s">
        <v>32</v>
      </c>
      <c r="E15" s="360" t="s">
        <v>33</v>
      </c>
      <c r="F15" s="361" t="s">
        <v>48</v>
      </c>
      <c r="G15" s="362">
        <v>50267</v>
      </c>
      <c r="H15" s="363">
        <v>442</v>
      </c>
      <c r="I15" s="364" t="s">
        <v>272</v>
      </c>
      <c r="J15" s="365">
        <v>3</v>
      </c>
      <c r="K15" s="365" t="s">
        <v>273</v>
      </c>
      <c r="L15" s="366"/>
    </row>
    <row r="16" spans="1:18" ht="15.75" customHeight="1">
      <c r="A16" s="359">
        <v>2</v>
      </c>
      <c r="B16" s="359">
        <v>1</v>
      </c>
      <c r="C16" s="359">
        <v>13</v>
      </c>
      <c r="D16" s="359" t="s">
        <v>32</v>
      </c>
      <c r="E16" s="360" t="s">
        <v>33</v>
      </c>
      <c r="F16" s="361" t="s">
        <v>34</v>
      </c>
      <c r="G16" s="362">
        <v>50462</v>
      </c>
      <c r="H16" s="363">
        <v>206</v>
      </c>
      <c r="I16" s="364" t="s">
        <v>272</v>
      </c>
      <c r="J16" s="365">
        <v>3</v>
      </c>
      <c r="K16" s="365" t="s">
        <v>273</v>
      </c>
      <c r="L16" s="366"/>
    </row>
    <row r="17" spans="1:12" ht="15.75" customHeight="1">
      <c r="A17" s="359">
        <v>2</v>
      </c>
      <c r="B17" s="359">
        <v>1</v>
      </c>
      <c r="C17" s="359">
        <v>13</v>
      </c>
      <c r="D17" s="359" t="s">
        <v>32</v>
      </c>
      <c r="E17" s="360" t="s">
        <v>33</v>
      </c>
      <c r="F17" s="361" t="s">
        <v>34</v>
      </c>
      <c r="G17" s="362">
        <v>50616</v>
      </c>
      <c r="H17" s="363">
        <v>21</v>
      </c>
      <c r="I17" s="364" t="s">
        <v>272</v>
      </c>
      <c r="J17" s="365">
        <v>3</v>
      </c>
      <c r="K17" s="365" t="s">
        <v>273</v>
      </c>
      <c r="L17" s="366"/>
    </row>
    <row r="18" spans="1:12" ht="15.75" customHeight="1">
      <c r="A18" s="359">
        <v>2</v>
      </c>
      <c r="B18" s="359">
        <v>1</v>
      </c>
      <c r="C18" s="359">
        <v>13</v>
      </c>
      <c r="D18" s="359" t="s">
        <v>32</v>
      </c>
      <c r="E18" s="360" t="s">
        <v>33</v>
      </c>
      <c r="F18" s="361" t="s">
        <v>31</v>
      </c>
      <c r="G18" s="362">
        <v>50184</v>
      </c>
      <c r="H18" s="363">
        <v>39</v>
      </c>
      <c r="I18" s="364" t="s">
        <v>272</v>
      </c>
      <c r="J18" s="365">
        <v>3</v>
      </c>
      <c r="K18" s="365" t="s">
        <v>273</v>
      </c>
      <c r="L18" s="366"/>
    </row>
    <row r="19" spans="1:12" ht="15.75" customHeight="1">
      <c r="A19" s="359">
        <v>2</v>
      </c>
      <c r="B19" s="359">
        <v>1</v>
      </c>
      <c r="C19" s="359">
        <v>13</v>
      </c>
      <c r="D19" s="359" t="s">
        <v>32</v>
      </c>
      <c r="E19" s="360" t="s">
        <v>33</v>
      </c>
      <c r="F19" s="361" t="s">
        <v>34</v>
      </c>
      <c r="G19" s="362">
        <v>50104</v>
      </c>
      <c r="H19" s="363">
        <v>22</v>
      </c>
      <c r="I19" s="364" t="s">
        <v>272</v>
      </c>
      <c r="J19" s="365">
        <v>3</v>
      </c>
      <c r="K19" s="365" t="s">
        <v>273</v>
      </c>
      <c r="L19" s="366"/>
    </row>
    <row r="20" spans="1:12" ht="15.75" customHeight="1">
      <c r="A20" s="359">
        <v>2</v>
      </c>
      <c r="B20" s="359">
        <v>1</v>
      </c>
      <c r="C20" s="359">
        <v>14</v>
      </c>
      <c r="D20" s="359" t="s">
        <v>49</v>
      </c>
      <c r="E20" s="360" t="s">
        <v>50</v>
      </c>
      <c r="F20" s="361" t="s">
        <v>25</v>
      </c>
      <c r="G20" s="362">
        <v>50874</v>
      </c>
      <c r="H20" s="363">
        <v>282</v>
      </c>
      <c r="I20" s="364" t="s">
        <v>265</v>
      </c>
      <c r="J20" s="365">
        <v>2</v>
      </c>
      <c r="K20" s="365" t="s">
        <v>275</v>
      </c>
      <c r="L20" s="366"/>
    </row>
    <row r="21" spans="1:12" ht="15.75" customHeight="1">
      <c r="A21" s="359">
        <v>2</v>
      </c>
      <c r="B21" s="359">
        <v>1</v>
      </c>
      <c r="C21" s="359">
        <v>14</v>
      </c>
      <c r="D21" s="359" t="s">
        <v>51</v>
      </c>
      <c r="E21" s="360" t="s">
        <v>52</v>
      </c>
      <c r="F21" s="361" t="s">
        <v>25</v>
      </c>
      <c r="G21" s="362">
        <v>50875</v>
      </c>
      <c r="H21" s="363">
        <v>348</v>
      </c>
      <c r="I21" s="364" t="s">
        <v>272</v>
      </c>
      <c r="J21" s="365">
        <v>3</v>
      </c>
      <c r="K21" s="365" t="s">
        <v>273</v>
      </c>
      <c r="L21" s="366"/>
    </row>
    <row r="22" spans="1:12" ht="15.75" customHeight="1">
      <c r="A22" s="324">
        <v>2</v>
      </c>
      <c r="B22" s="324">
        <v>1</v>
      </c>
      <c r="C22" s="324">
        <v>14</v>
      </c>
      <c r="D22" s="324" t="s">
        <v>53</v>
      </c>
      <c r="E22" s="373" t="s">
        <v>54</v>
      </c>
      <c r="F22" s="374" t="s">
        <v>25</v>
      </c>
      <c r="G22" s="375">
        <v>50877</v>
      </c>
      <c r="H22" s="376">
        <v>101</v>
      </c>
      <c r="I22" s="377"/>
      <c r="J22" s="378"/>
      <c r="K22" s="378"/>
      <c r="L22" s="378" t="s">
        <v>55</v>
      </c>
    </row>
    <row r="23" spans="1:12" ht="15.75" customHeight="1">
      <c r="A23" s="359">
        <v>2</v>
      </c>
      <c r="B23" s="359">
        <v>1</v>
      </c>
      <c r="C23" s="359">
        <v>15</v>
      </c>
      <c r="D23" s="359" t="s">
        <v>56</v>
      </c>
      <c r="E23" s="360" t="s">
        <v>57</v>
      </c>
      <c r="F23" s="361" t="s">
        <v>34</v>
      </c>
      <c r="G23" s="362">
        <v>50594</v>
      </c>
      <c r="H23" s="363">
        <v>154</v>
      </c>
      <c r="I23" s="364" t="s">
        <v>266</v>
      </c>
      <c r="J23" s="365">
        <v>1</v>
      </c>
      <c r="K23" s="365" t="s">
        <v>278</v>
      </c>
      <c r="L23" s="366"/>
    </row>
    <row r="24" spans="1:12" ht="15.75" customHeight="1">
      <c r="A24" s="359">
        <v>2</v>
      </c>
      <c r="B24" s="359">
        <v>1</v>
      </c>
      <c r="C24" s="359">
        <v>16</v>
      </c>
      <c r="D24" s="359" t="s">
        <v>58</v>
      </c>
      <c r="E24" s="360" t="s">
        <v>59</v>
      </c>
      <c r="F24" s="361" t="s">
        <v>31</v>
      </c>
      <c r="G24" s="362">
        <v>50797</v>
      </c>
      <c r="H24" s="363">
        <v>311</v>
      </c>
      <c r="I24" s="364" t="s">
        <v>265</v>
      </c>
      <c r="J24" s="365">
        <v>2</v>
      </c>
      <c r="K24" s="365" t="s">
        <v>269</v>
      </c>
      <c r="L24" s="366"/>
    </row>
    <row r="25" spans="1:12" ht="15.75" customHeight="1">
      <c r="A25" s="359">
        <v>2</v>
      </c>
      <c r="B25" s="359">
        <v>1</v>
      </c>
      <c r="C25" s="359">
        <v>17</v>
      </c>
      <c r="D25" s="359" t="s">
        <v>60</v>
      </c>
      <c r="E25" s="360" t="s">
        <v>61</v>
      </c>
      <c r="F25" s="361" t="s">
        <v>34</v>
      </c>
      <c r="G25" s="362">
        <v>50467</v>
      </c>
      <c r="H25" s="363">
        <v>426</v>
      </c>
      <c r="I25" s="364" t="s">
        <v>265</v>
      </c>
      <c r="J25" s="365">
        <v>2</v>
      </c>
      <c r="K25" s="365" t="s">
        <v>269</v>
      </c>
      <c r="L25" s="366"/>
    </row>
    <row r="26" spans="1:12" ht="15.75" customHeight="1">
      <c r="A26" s="359">
        <v>2</v>
      </c>
      <c r="B26" s="359">
        <v>1</v>
      </c>
      <c r="C26" s="359">
        <v>18</v>
      </c>
      <c r="D26" s="359" t="s">
        <v>46</v>
      </c>
      <c r="E26" s="360" t="s">
        <v>47</v>
      </c>
      <c r="F26" s="361" t="s">
        <v>25</v>
      </c>
      <c r="G26" s="362">
        <v>50262</v>
      </c>
      <c r="H26" s="363">
        <v>81</v>
      </c>
      <c r="I26" s="364" t="s">
        <v>265</v>
      </c>
      <c r="J26" s="365">
        <v>2</v>
      </c>
      <c r="K26" s="365" t="s">
        <v>269</v>
      </c>
      <c r="L26" s="366"/>
    </row>
    <row r="27" spans="1:12" ht="15.75" customHeight="1">
      <c r="A27" s="359">
        <v>2</v>
      </c>
      <c r="B27" s="359">
        <v>1</v>
      </c>
      <c r="C27" s="359">
        <v>18</v>
      </c>
      <c r="D27" s="359" t="s">
        <v>46</v>
      </c>
      <c r="E27" s="360" t="s">
        <v>47</v>
      </c>
      <c r="F27" s="361" t="s">
        <v>34</v>
      </c>
      <c r="G27" s="362">
        <v>50542</v>
      </c>
      <c r="H27" s="363">
        <v>109</v>
      </c>
      <c r="I27" s="364" t="s">
        <v>265</v>
      </c>
      <c r="J27" s="365">
        <v>2</v>
      </c>
      <c r="K27" s="365" t="s">
        <v>269</v>
      </c>
      <c r="L27" s="366"/>
    </row>
    <row r="28" spans="1:12" ht="15.75" customHeight="1">
      <c r="A28" s="359">
        <v>2</v>
      </c>
      <c r="B28" s="359">
        <v>2</v>
      </c>
      <c r="C28" s="359">
        <v>2</v>
      </c>
      <c r="D28" s="359" t="s">
        <v>62</v>
      </c>
      <c r="E28" s="360" t="s">
        <v>63</v>
      </c>
      <c r="F28" s="361" t="s">
        <v>34</v>
      </c>
      <c r="G28" s="362">
        <v>50752</v>
      </c>
      <c r="H28" s="363">
        <v>89</v>
      </c>
      <c r="I28" s="364" t="s">
        <v>265</v>
      </c>
      <c r="J28" s="365">
        <v>2</v>
      </c>
      <c r="K28" s="365" t="s">
        <v>279</v>
      </c>
      <c r="L28" s="366"/>
    </row>
    <row r="29" spans="1:12" ht="15.75" customHeight="1">
      <c r="A29" s="84">
        <v>2</v>
      </c>
      <c r="B29" s="84">
        <v>2</v>
      </c>
      <c r="C29" s="84">
        <v>2</v>
      </c>
      <c r="D29" s="84" t="s">
        <v>64</v>
      </c>
      <c r="E29" s="367" t="s">
        <v>65</v>
      </c>
      <c r="F29" s="368" t="s">
        <v>31</v>
      </c>
      <c r="G29" s="369">
        <v>30869</v>
      </c>
      <c r="H29" s="370">
        <v>319</v>
      </c>
      <c r="I29" s="371"/>
      <c r="J29" s="372"/>
      <c r="K29" s="372"/>
      <c r="L29" s="372" t="s">
        <v>43</v>
      </c>
    </row>
    <row r="30" spans="1:12" ht="15.75" customHeight="1">
      <c r="A30" s="359">
        <v>2</v>
      </c>
      <c r="B30" s="359">
        <v>2</v>
      </c>
      <c r="C30" s="359">
        <v>2</v>
      </c>
      <c r="D30" s="359" t="s">
        <v>62</v>
      </c>
      <c r="E30" s="360" t="s">
        <v>63</v>
      </c>
      <c r="F30" s="361" t="s">
        <v>34</v>
      </c>
      <c r="G30" s="362">
        <v>50719</v>
      </c>
      <c r="H30" s="363">
        <v>25</v>
      </c>
      <c r="I30" s="364" t="s">
        <v>265</v>
      </c>
      <c r="J30" s="365">
        <v>2</v>
      </c>
      <c r="K30" s="365" t="s">
        <v>279</v>
      </c>
      <c r="L30" s="366"/>
    </row>
    <row r="31" spans="1:12" ht="15.75" customHeight="1">
      <c r="A31" s="359">
        <v>2</v>
      </c>
      <c r="B31" s="359">
        <v>2</v>
      </c>
      <c r="C31" s="359">
        <v>2</v>
      </c>
      <c r="D31" s="359" t="s">
        <v>62</v>
      </c>
      <c r="E31" s="360" t="s">
        <v>63</v>
      </c>
      <c r="F31" s="361" t="s">
        <v>25</v>
      </c>
      <c r="G31" s="362">
        <v>50188</v>
      </c>
      <c r="H31" s="363">
        <v>24</v>
      </c>
      <c r="I31" s="364" t="s">
        <v>265</v>
      </c>
      <c r="J31" s="365">
        <v>2</v>
      </c>
      <c r="K31" s="365" t="s">
        <v>279</v>
      </c>
      <c r="L31" s="366"/>
    </row>
    <row r="32" spans="1:12" ht="15.75" customHeight="1">
      <c r="A32" s="359">
        <v>2</v>
      </c>
      <c r="B32" s="359">
        <v>2</v>
      </c>
      <c r="C32" s="359">
        <v>3</v>
      </c>
      <c r="D32" s="359" t="s">
        <v>66</v>
      </c>
      <c r="E32" s="360" t="s">
        <v>67</v>
      </c>
      <c r="F32" s="361" t="s">
        <v>68</v>
      </c>
      <c r="G32" s="362">
        <v>50632</v>
      </c>
      <c r="H32" s="363">
        <v>220</v>
      </c>
      <c r="I32" s="364" t="s">
        <v>272</v>
      </c>
      <c r="J32" s="365">
        <v>3</v>
      </c>
      <c r="K32" s="365" t="s">
        <v>273</v>
      </c>
      <c r="L32" s="366"/>
    </row>
    <row r="33" spans="1:12" ht="15.75" customHeight="1">
      <c r="A33" s="359">
        <v>2</v>
      </c>
      <c r="B33" s="359">
        <v>2</v>
      </c>
      <c r="C33" s="359">
        <v>3</v>
      </c>
      <c r="D33" s="359" t="s">
        <v>66</v>
      </c>
      <c r="E33" s="360" t="s">
        <v>67</v>
      </c>
      <c r="F33" s="361" t="s">
        <v>34</v>
      </c>
      <c r="G33" s="362">
        <v>50558</v>
      </c>
      <c r="H33" s="363">
        <v>227</v>
      </c>
      <c r="I33" s="364" t="s">
        <v>265</v>
      </c>
      <c r="J33" s="365">
        <v>2</v>
      </c>
      <c r="K33" s="365" t="s">
        <v>280</v>
      </c>
      <c r="L33" s="366"/>
    </row>
    <row r="34" spans="1:12" ht="15.75" customHeight="1">
      <c r="A34" s="359">
        <v>2</v>
      </c>
      <c r="B34" s="359">
        <v>2</v>
      </c>
      <c r="C34" s="359">
        <v>4</v>
      </c>
      <c r="D34" s="359" t="s">
        <v>69</v>
      </c>
      <c r="E34" s="360" t="s">
        <v>70</v>
      </c>
      <c r="F34" s="361" t="s">
        <v>25</v>
      </c>
      <c r="G34" s="362">
        <v>50754</v>
      </c>
      <c r="H34" s="363">
        <v>205</v>
      </c>
      <c r="I34" s="364" t="s">
        <v>265</v>
      </c>
      <c r="J34" s="365">
        <v>2</v>
      </c>
      <c r="K34" s="365" t="s">
        <v>281</v>
      </c>
      <c r="L34" s="366"/>
    </row>
    <row r="35" spans="1:12" ht="15.75" customHeight="1">
      <c r="A35" s="359">
        <v>2</v>
      </c>
      <c r="B35" s="359">
        <v>2</v>
      </c>
      <c r="C35" s="359">
        <v>4</v>
      </c>
      <c r="D35" s="359" t="s">
        <v>69</v>
      </c>
      <c r="E35" s="360" t="s">
        <v>70</v>
      </c>
      <c r="F35" s="361" t="s">
        <v>68</v>
      </c>
      <c r="G35" s="362">
        <v>50820</v>
      </c>
      <c r="H35" s="363">
        <v>9</v>
      </c>
      <c r="I35" s="364" t="s">
        <v>265</v>
      </c>
      <c r="J35" s="365">
        <v>2</v>
      </c>
      <c r="K35" s="365" t="s">
        <v>281</v>
      </c>
      <c r="L35" s="366"/>
    </row>
    <row r="36" spans="1:12" ht="15.75" customHeight="1">
      <c r="A36" s="359">
        <v>2</v>
      </c>
      <c r="B36" s="359">
        <v>2</v>
      </c>
      <c r="C36" s="359">
        <v>5</v>
      </c>
      <c r="D36" s="359" t="s">
        <v>60</v>
      </c>
      <c r="E36" s="360" t="s">
        <v>71</v>
      </c>
      <c r="F36" s="361" t="s">
        <v>31</v>
      </c>
      <c r="G36" s="362">
        <v>50764</v>
      </c>
      <c r="H36" s="363">
        <v>175</v>
      </c>
      <c r="I36" s="364" t="s">
        <v>266</v>
      </c>
      <c r="J36" s="365">
        <v>1</v>
      </c>
      <c r="K36" s="365" t="s">
        <v>283</v>
      </c>
      <c r="L36" s="366"/>
    </row>
    <row r="37" spans="1:12" ht="15.75" customHeight="1">
      <c r="A37" s="359">
        <v>2</v>
      </c>
      <c r="B37" s="359">
        <v>2</v>
      </c>
      <c r="C37" s="359">
        <v>8</v>
      </c>
      <c r="D37" s="359" t="s">
        <v>72</v>
      </c>
      <c r="E37" s="360" t="s">
        <v>73</v>
      </c>
      <c r="F37" s="361" t="s">
        <v>34</v>
      </c>
      <c r="G37" s="362">
        <v>50426</v>
      </c>
      <c r="H37" s="363">
        <v>320</v>
      </c>
      <c r="I37" s="364" t="s">
        <v>272</v>
      </c>
      <c r="J37" s="365">
        <v>3</v>
      </c>
      <c r="K37" s="365" t="s">
        <v>273</v>
      </c>
      <c r="L37" s="366"/>
    </row>
    <row r="38" spans="1:12" ht="15.75" customHeight="1">
      <c r="A38" s="359">
        <v>2</v>
      </c>
      <c r="B38" s="359">
        <v>2</v>
      </c>
      <c r="C38" s="359">
        <v>8</v>
      </c>
      <c r="D38" s="359" t="s">
        <v>72</v>
      </c>
      <c r="E38" s="360" t="s">
        <v>73</v>
      </c>
      <c r="F38" s="361" t="s">
        <v>34</v>
      </c>
      <c r="G38" s="362">
        <v>50760</v>
      </c>
      <c r="H38" s="363">
        <v>140</v>
      </c>
      <c r="I38" s="364" t="s">
        <v>272</v>
      </c>
      <c r="J38" s="365">
        <v>3</v>
      </c>
      <c r="K38" s="365" t="s">
        <v>273</v>
      </c>
      <c r="L38" s="366"/>
    </row>
    <row r="39" spans="1:12" ht="15.75" customHeight="1">
      <c r="A39" s="359">
        <v>2</v>
      </c>
      <c r="B39" s="359">
        <v>2</v>
      </c>
      <c r="C39" s="359">
        <v>9</v>
      </c>
      <c r="D39" s="359" t="s">
        <v>60</v>
      </c>
      <c r="E39" s="360" t="s">
        <v>71</v>
      </c>
      <c r="F39" s="361" t="s">
        <v>31</v>
      </c>
      <c r="G39" s="362">
        <v>50764</v>
      </c>
      <c r="H39" s="363">
        <v>48</v>
      </c>
      <c r="I39" s="364" t="s">
        <v>266</v>
      </c>
      <c r="J39" s="365">
        <v>1</v>
      </c>
      <c r="K39" s="365" t="s">
        <v>279</v>
      </c>
      <c r="L39" s="366"/>
    </row>
    <row r="40" spans="1:12" ht="15.75" customHeight="1">
      <c r="A40" s="359">
        <v>2</v>
      </c>
      <c r="B40" s="359">
        <v>2</v>
      </c>
      <c r="C40" s="359">
        <v>11</v>
      </c>
      <c r="D40" s="359" t="s">
        <v>74</v>
      </c>
      <c r="E40" s="360" t="s">
        <v>75</v>
      </c>
      <c r="F40" s="361" t="s">
        <v>25</v>
      </c>
      <c r="G40" s="362">
        <v>50736</v>
      </c>
      <c r="H40" s="363">
        <v>354</v>
      </c>
      <c r="I40" s="364" t="s">
        <v>272</v>
      </c>
      <c r="J40" s="365">
        <v>3</v>
      </c>
      <c r="K40" s="365" t="s">
        <v>273</v>
      </c>
      <c r="L40" s="366"/>
    </row>
    <row r="41" spans="1:12" ht="15.75" customHeight="1">
      <c r="A41" s="359">
        <v>2</v>
      </c>
      <c r="B41" s="359">
        <v>2</v>
      </c>
      <c r="C41" s="359">
        <v>11</v>
      </c>
      <c r="D41" s="359" t="s">
        <v>74</v>
      </c>
      <c r="E41" s="360" t="s">
        <v>75</v>
      </c>
      <c r="F41" s="361" t="s">
        <v>34</v>
      </c>
      <c r="G41" s="362">
        <v>50505</v>
      </c>
      <c r="H41" s="363">
        <v>15</v>
      </c>
      <c r="I41" s="364" t="s">
        <v>272</v>
      </c>
      <c r="J41" s="365">
        <v>3</v>
      </c>
      <c r="K41" s="365" t="s">
        <v>273</v>
      </c>
      <c r="L41" s="366"/>
    </row>
    <row r="42" spans="1:12" ht="15.75" customHeight="1">
      <c r="A42" s="359">
        <v>2</v>
      </c>
      <c r="B42" s="359">
        <v>2</v>
      </c>
      <c r="C42" s="359">
        <v>13</v>
      </c>
      <c r="D42" s="359" t="s">
        <v>60</v>
      </c>
      <c r="E42" s="360" t="s">
        <v>61</v>
      </c>
      <c r="F42" s="361" t="s">
        <v>25</v>
      </c>
      <c r="G42" s="362">
        <v>50749</v>
      </c>
      <c r="H42" s="363">
        <v>200</v>
      </c>
      <c r="I42" s="364" t="s">
        <v>265</v>
      </c>
      <c r="J42" s="365">
        <v>2</v>
      </c>
      <c r="K42" s="365" t="s">
        <v>279</v>
      </c>
      <c r="L42" s="381"/>
    </row>
    <row r="43" spans="1:12" ht="15.75" customHeight="1">
      <c r="A43" s="359">
        <v>2</v>
      </c>
      <c r="B43" s="359">
        <v>2</v>
      </c>
      <c r="C43" s="359">
        <v>13</v>
      </c>
      <c r="D43" s="359" t="s">
        <v>76</v>
      </c>
      <c r="E43" s="360" t="s">
        <v>77</v>
      </c>
      <c r="F43" s="361" t="s">
        <v>25</v>
      </c>
      <c r="G43" s="362">
        <v>50748</v>
      </c>
      <c r="H43" s="363">
        <v>296</v>
      </c>
      <c r="I43" s="364" t="s">
        <v>265</v>
      </c>
      <c r="J43" s="365">
        <v>2</v>
      </c>
      <c r="K43" s="365" t="s">
        <v>285</v>
      </c>
      <c r="L43" s="381"/>
    </row>
    <row r="44" spans="1:12" ht="15.75" customHeight="1">
      <c r="A44" s="359">
        <v>2</v>
      </c>
      <c r="B44" s="359">
        <v>2</v>
      </c>
      <c r="C44" s="359">
        <v>18</v>
      </c>
      <c r="D44" s="359" t="s">
        <v>72</v>
      </c>
      <c r="E44" s="360" t="s">
        <v>73</v>
      </c>
      <c r="F44" s="361" t="s">
        <v>25</v>
      </c>
      <c r="G44" s="362">
        <v>50706</v>
      </c>
      <c r="H44" s="363">
        <v>71</v>
      </c>
      <c r="I44" s="364" t="s">
        <v>265</v>
      </c>
      <c r="J44" s="365">
        <v>2</v>
      </c>
      <c r="K44" s="365" t="s">
        <v>286</v>
      </c>
      <c r="L44" s="381"/>
    </row>
    <row r="45" spans="1:12" ht="15.75" customHeight="1">
      <c r="A45" s="359">
        <v>2</v>
      </c>
      <c r="B45" s="359">
        <v>3</v>
      </c>
      <c r="C45" s="359">
        <v>1</v>
      </c>
      <c r="D45" s="359" t="s">
        <v>78</v>
      </c>
      <c r="E45" s="360" t="s">
        <v>79</v>
      </c>
      <c r="F45" s="361" t="s">
        <v>31</v>
      </c>
      <c r="G45" s="362">
        <v>50801</v>
      </c>
      <c r="H45" s="363">
        <v>371</v>
      </c>
      <c r="I45" s="364" t="s">
        <v>266</v>
      </c>
      <c r="J45" s="365">
        <v>1</v>
      </c>
      <c r="K45" s="365" t="s">
        <v>287</v>
      </c>
      <c r="L45" s="381"/>
    </row>
    <row r="46" spans="1:12" ht="15.75" customHeight="1">
      <c r="A46" s="359">
        <v>2</v>
      </c>
      <c r="B46" s="359">
        <v>3</v>
      </c>
      <c r="C46" s="359">
        <v>1</v>
      </c>
      <c r="D46" s="359" t="s">
        <v>78</v>
      </c>
      <c r="E46" s="360" t="s">
        <v>79</v>
      </c>
      <c r="F46" s="361" t="s">
        <v>68</v>
      </c>
      <c r="G46" s="362">
        <v>50814</v>
      </c>
      <c r="H46" s="363">
        <v>218</v>
      </c>
      <c r="I46" s="364" t="s">
        <v>266</v>
      </c>
      <c r="J46" s="365">
        <v>1</v>
      </c>
      <c r="K46" s="365" t="s">
        <v>287</v>
      </c>
      <c r="L46" s="366"/>
    </row>
    <row r="47" spans="1:12" ht="15.75" customHeight="1">
      <c r="A47" s="359">
        <v>2</v>
      </c>
      <c r="B47" s="359">
        <v>3</v>
      </c>
      <c r="C47" s="359">
        <v>1</v>
      </c>
      <c r="D47" s="359" t="s">
        <v>78</v>
      </c>
      <c r="E47" s="360" t="s">
        <v>79</v>
      </c>
      <c r="F47" s="361" t="s">
        <v>25</v>
      </c>
      <c r="G47" s="362">
        <v>50741</v>
      </c>
      <c r="H47" s="363">
        <v>55</v>
      </c>
      <c r="I47" s="364" t="s">
        <v>266</v>
      </c>
      <c r="J47" s="365">
        <v>1</v>
      </c>
      <c r="K47" s="365" t="s">
        <v>287</v>
      </c>
      <c r="L47" s="366"/>
    </row>
    <row r="48" spans="1:12" ht="15.75" customHeight="1">
      <c r="A48" s="359">
        <v>2</v>
      </c>
      <c r="B48" s="359">
        <v>3</v>
      </c>
      <c r="C48" s="359">
        <v>1</v>
      </c>
      <c r="D48" s="359" t="s">
        <v>78</v>
      </c>
      <c r="E48" s="360" t="s">
        <v>79</v>
      </c>
      <c r="F48" s="361" t="s">
        <v>31</v>
      </c>
      <c r="G48" s="362">
        <v>50791</v>
      </c>
      <c r="H48" s="363">
        <v>49</v>
      </c>
      <c r="I48" s="364" t="s">
        <v>266</v>
      </c>
      <c r="J48" s="365">
        <v>1</v>
      </c>
      <c r="K48" s="365" t="s">
        <v>287</v>
      </c>
      <c r="L48" s="366"/>
    </row>
    <row r="49" spans="1:13" ht="15.75" customHeight="1">
      <c r="A49" s="359">
        <v>2</v>
      </c>
      <c r="B49" s="359">
        <v>3</v>
      </c>
      <c r="C49" s="359">
        <v>1</v>
      </c>
      <c r="D49" s="359" t="s">
        <v>78</v>
      </c>
      <c r="E49" s="360" t="s">
        <v>79</v>
      </c>
      <c r="F49" s="361" t="s">
        <v>34</v>
      </c>
      <c r="G49" s="362">
        <v>50850</v>
      </c>
      <c r="H49" s="363">
        <v>46</v>
      </c>
      <c r="I49" s="364" t="s">
        <v>266</v>
      </c>
      <c r="J49" s="365">
        <v>1</v>
      </c>
      <c r="K49" s="365" t="s">
        <v>287</v>
      </c>
      <c r="L49" s="366"/>
    </row>
    <row r="50" spans="1:13" ht="15.75" customHeight="1">
      <c r="A50" s="359">
        <v>2</v>
      </c>
      <c r="B50" s="359">
        <v>3</v>
      </c>
      <c r="C50" s="359">
        <v>2</v>
      </c>
      <c r="D50" s="359" t="s">
        <v>81</v>
      </c>
      <c r="E50" s="360" t="s">
        <v>82</v>
      </c>
      <c r="F50" s="361" t="s">
        <v>25</v>
      </c>
      <c r="G50" s="362">
        <v>50723</v>
      </c>
      <c r="H50" s="363">
        <v>44</v>
      </c>
      <c r="I50" s="364" t="s">
        <v>265</v>
      </c>
      <c r="J50" s="365">
        <v>2</v>
      </c>
      <c r="K50" s="365" t="s">
        <v>289</v>
      </c>
      <c r="L50" s="366"/>
    </row>
    <row r="51" spans="1:13" ht="15.75" customHeight="1">
      <c r="A51" s="359">
        <v>2</v>
      </c>
      <c r="B51" s="359">
        <v>3</v>
      </c>
      <c r="C51" s="359">
        <v>2</v>
      </c>
      <c r="D51" s="359" t="s">
        <v>81</v>
      </c>
      <c r="E51" s="360" t="s">
        <v>82</v>
      </c>
      <c r="F51" s="361" t="s">
        <v>34</v>
      </c>
      <c r="G51" s="362">
        <v>50518</v>
      </c>
      <c r="H51" s="363">
        <v>61</v>
      </c>
      <c r="I51" s="364" t="s">
        <v>265</v>
      </c>
      <c r="J51" s="365">
        <v>2</v>
      </c>
      <c r="K51" s="365" t="s">
        <v>289</v>
      </c>
      <c r="L51" s="366"/>
    </row>
    <row r="52" spans="1:13" ht="15.75" customHeight="1">
      <c r="A52" s="382">
        <v>2</v>
      </c>
      <c r="B52" s="359">
        <v>3</v>
      </c>
      <c r="C52" s="359">
        <v>2</v>
      </c>
      <c r="D52" s="359" t="s">
        <v>85</v>
      </c>
      <c r="E52" s="360" t="s">
        <v>86</v>
      </c>
      <c r="F52" s="361" t="s">
        <v>68</v>
      </c>
      <c r="G52" s="362">
        <v>50832</v>
      </c>
      <c r="H52" s="363">
        <v>251</v>
      </c>
      <c r="I52" s="364" t="s">
        <v>272</v>
      </c>
      <c r="J52" s="365">
        <v>3</v>
      </c>
      <c r="K52" s="365" t="s">
        <v>273</v>
      </c>
      <c r="L52" s="366"/>
    </row>
    <row r="53" spans="1:13" ht="15.75" customHeight="1">
      <c r="A53" s="359">
        <v>2</v>
      </c>
      <c r="B53" s="359">
        <v>3</v>
      </c>
      <c r="C53" s="359">
        <v>2</v>
      </c>
      <c r="D53" s="359" t="s">
        <v>81</v>
      </c>
      <c r="E53" s="360" t="s">
        <v>82</v>
      </c>
      <c r="F53" s="361" t="s">
        <v>34</v>
      </c>
      <c r="G53" s="362">
        <v>50628</v>
      </c>
      <c r="H53" s="363">
        <v>28</v>
      </c>
      <c r="I53" s="364" t="s">
        <v>265</v>
      </c>
      <c r="J53" s="365">
        <v>2</v>
      </c>
      <c r="K53" s="365" t="s">
        <v>289</v>
      </c>
      <c r="L53" s="366"/>
    </row>
    <row r="54" spans="1:13" ht="15.75" customHeight="1">
      <c r="A54" s="359">
        <v>2</v>
      </c>
      <c r="B54" s="359">
        <v>3</v>
      </c>
      <c r="C54" s="359">
        <v>2</v>
      </c>
      <c r="D54" s="359" t="s">
        <v>81</v>
      </c>
      <c r="E54" s="360" t="s">
        <v>82</v>
      </c>
      <c r="F54" s="361" t="s">
        <v>34</v>
      </c>
      <c r="G54" s="362">
        <v>50520</v>
      </c>
      <c r="H54" s="363">
        <v>142</v>
      </c>
      <c r="I54" s="364" t="s">
        <v>265</v>
      </c>
      <c r="J54" s="365">
        <v>2</v>
      </c>
      <c r="K54" s="365" t="s">
        <v>289</v>
      </c>
      <c r="L54" s="366"/>
    </row>
    <row r="55" spans="1:13" ht="15.75" customHeight="1">
      <c r="A55" s="324">
        <v>2</v>
      </c>
      <c r="B55" s="324">
        <v>3</v>
      </c>
      <c r="C55" s="324">
        <v>2</v>
      </c>
      <c r="D55" s="324" t="s">
        <v>81</v>
      </c>
      <c r="E55" s="373" t="s">
        <v>82</v>
      </c>
      <c r="F55" s="374" t="s">
        <v>34</v>
      </c>
      <c r="G55" s="375">
        <v>50483</v>
      </c>
      <c r="H55" s="376">
        <v>3</v>
      </c>
      <c r="I55" s="374"/>
      <c r="J55" s="378"/>
      <c r="K55" s="378"/>
      <c r="L55" s="378" t="s">
        <v>55</v>
      </c>
    </row>
    <row r="56" spans="1:13" ht="15.75" customHeight="1">
      <c r="A56" s="383">
        <v>2</v>
      </c>
      <c r="B56" s="383">
        <v>3</v>
      </c>
      <c r="C56" s="383">
        <v>3</v>
      </c>
      <c r="D56" s="383" t="s">
        <v>72</v>
      </c>
      <c r="E56" s="384" t="s">
        <v>73</v>
      </c>
      <c r="F56" s="385" t="s">
        <v>68</v>
      </c>
      <c r="G56" s="386">
        <v>50618</v>
      </c>
      <c r="H56" s="387">
        <v>96</v>
      </c>
      <c r="I56" s="385" t="s">
        <v>266</v>
      </c>
      <c r="J56" s="388">
        <v>1</v>
      </c>
      <c r="K56" s="388" t="s">
        <v>267</v>
      </c>
      <c r="L56" s="388" t="s">
        <v>87</v>
      </c>
    </row>
    <row r="57" spans="1:13" ht="15.75" customHeight="1">
      <c r="A57" s="359">
        <v>2</v>
      </c>
      <c r="B57" s="359">
        <v>3</v>
      </c>
      <c r="C57" s="359">
        <v>4</v>
      </c>
      <c r="D57" s="359" t="s">
        <v>72</v>
      </c>
      <c r="E57" s="360" t="s">
        <v>73</v>
      </c>
      <c r="F57" s="361" t="s">
        <v>31</v>
      </c>
      <c r="G57" s="362">
        <v>50803</v>
      </c>
      <c r="H57" s="363">
        <v>486</v>
      </c>
      <c r="I57" s="364" t="s">
        <v>266</v>
      </c>
      <c r="J57" s="365">
        <v>1</v>
      </c>
      <c r="K57" s="365" t="s">
        <v>267</v>
      </c>
      <c r="L57" s="366"/>
    </row>
    <row r="58" spans="1:13" ht="15.75" customHeight="1">
      <c r="A58" s="383">
        <v>2</v>
      </c>
      <c r="B58" s="383">
        <v>3</v>
      </c>
      <c r="C58" s="383">
        <v>4</v>
      </c>
      <c r="D58" s="383" t="s">
        <v>72</v>
      </c>
      <c r="E58" s="384" t="s">
        <v>73</v>
      </c>
      <c r="F58" s="385" t="s">
        <v>68</v>
      </c>
      <c r="G58" s="386">
        <v>50618</v>
      </c>
      <c r="H58" s="387">
        <v>49</v>
      </c>
      <c r="I58" s="389"/>
      <c r="J58" s="388"/>
      <c r="K58" s="388"/>
      <c r="L58" s="388" t="s">
        <v>87</v>
      </c>
      <c r="M58" s="91"/>
    </row>
    <row r="59" spans="1:13" ht="15.75" customHeight="1">
      <c r="A59" s="359">
        <v>2</v>
      </c>
      <c r="B59" s="359">
        <v>3</v>
      </c>
      <c r="C59" s="359">
        <v>5</v>
      </c>
      <c r="D59" s="359" t="s">
        <v>89</v>
      </c>
      <c r="E59" s="360" t="s">
        <v>90</v>
      </c>
      <c r="F59" s="361" t="s">
        <v>34</v>
      </c>
      <c r="G59" s="362">
        <v>50854</v>
      </c>
      <c r="H59" s="363">
        <v>179</v>
      </c>
      <c r="I59" s="364" t="s">
        <v>265</v>
      </c>
      <c r="J59" s="365">
        <v>2</v>
      </c>
      <c r="K59" s="365" t="s">
        <v>270</v>
      </c>
      <c r="L59" s="366"/>
    </row>
    <row r="60" spans="1:13" ht="15.75" customHeight="1">
      <c r="A60" s="359">
        <v>2</v>
      </c>
      <c r="B60" s="359">
        <v>3</v>
      </c>
      <c r="C60" s="359">
        <v>5</v>
      </c>
      <c r="D60" s="359" t="s">
        <v>89</v>
      </c>
      <c r="E60" s="360" t="s">
        <v>90</v>
      </c>
      <c r="F60" s="361" t="s">
        <v>25</v>
      </c>
      <c r="G60" s="362">
        <v>50846</v>
      </c>
      <c r="H60" s="363">
        <v>114</v>
      </c>
      <c r="I60" s="364" t="s">
        <v>265</v>
      </c>
      <c r="J60" s="365">
        <v>2</v>
      </c>
      <c r="K60" s="365" t="s">
        <v>270</v>
      </c>
      <c r="L60" s="366"/>
    </row>
    <row r="61" spans="1:13" ht="15.75" customHeight="1">
      <c r="A61" s="359">
        <v>2</v>
      </c>
      <c r="B61" s="359">
        <v>3</v>
      </c>
      <c r="C61" s="359">
        <v>6</v>
      </c>
      <c r="D61" s="359" t="s">
        <v>58</v>
      </c>
      <c r="E61" s="360" t="s">
        <v>59</v>
      </c>
      <c r="F61" s="361" t="s">
        <v>68</v>
      </c>
      <c r="G61" s="362">
        <v>50816</v>
      </c>
      <c r="H61" s="363">
        <v>983</v>
      </c>
      <c r="I61" s="364" t="s">
        <v>266</v>
      </c>
      <c r="J61" s="364">
        <v>1</v>
      </c>
      <c r="K61" s="365" t="s">
        <v>270</v>
      </c>
      <c r="L61" s="390"/>
    </row>
    <row r="62" spans="1:13" ht="15.75" customHeight="1">
      <c r="A62" s="359">
        <v>2</v>
      </c>
      <c r="B62" s="359">
        <v>3</v>
      </c>
      <c r="C62" s="359">
        <v>6</v>
      </c>
      <c r="D62" s="359" t="s">
        <v>58</v>
      </c>
      <c r="E62" s="360" t="s">
        <v>59</v>
      </c>
      <c r="F62" s="361" t="s">
        <v>34</v>
      </c>
      <c r="G62" s="362">
        <v>50773</v>
      </c>
      <c r="H62" s="363">
        <v>13</v>
      </c>
      <c r="I62" s="364" t="s">
        <v>266</v>
      </c>
      <c r="J62" s="364">
        <v>1</v>
      </c>
      <c r="K62" s="365" t="s">
        <v>270</v>
      </c>
      <c r="L62" s="366"/>
    </row>
    <row r="63" spans="1:13" ht="15.75" customHeight="1">
      <c r="A63" s="359">
        <v>2</v>
      </c>
      <c r="B63" s="359">
        <v>3</v>
      </c>
      <c r="C63" s="359">
        <v>6</v>
      </c>
      <c r="D63" s="359" t="s">
        <v>91</v>
      </c>
      <c r="E63" s="360" t="s">
        <v>92</v>
      </c>
      <c r="F63" s="361" t="s">
        <v>31</v>
      </c>
      <c r="G63" s="362">
        <v>50784</v>
      </c>
      <c r="H63" s="363">
        <v>32</v>
      </c>
      <c r="I63" s="364" t="s">
        <v>272</v>
      </c>
      <c r="J63" s="365">
        <v>3</v>
      </c>
      <c r="K63" s="365" t="s">
        <v>273</v>
      </c>
      <c r="L63" s="366"/>
    </row>
    <row r="64" spans="1:13" ht="15.75" customHeight="1">
      <c r="A64" s="359">
        <v>2</v>
      </c>
      <c r="B64" s="359">
        <v>3</v>
      </c>
      <c r="C64" s="359">
        <v>7</v>
      </c>
      <c r="D64" s="359" t="s">
        <v>93</v>
      </c>
      <c r="E64" s="360" t="s">
        <v>94</v>
      </c>
      <c r="F64" s="361" t="s">
        <v>34</v>
      </c>
      <c r="G64" s="362">
        <v>50604</v>
      </c>
      <c r="H64" s="363">
        <v>350</v>
      </c>
      <c r="I64" s="364" t="s">
        <v>272</v>
      </c>
      <c r="J64" s="365">
        <v>3</v>
      </c>
      <c r="K64" s="365" t="s">
        <v>290</v>
      </c>
      <c r="L64" s="366"/>
    </row>
    <row r="65" spans="1:12" ht="15.75" customHeight="1">
      <c r="A65" s="324">
        <v>2</v>
      </c>
      <c r="B65" s="324">
        <v>3</v>
      </c>
      <c r="C65" s="324">
        <v>7</v>
      </c>
      <c r="D65" s="324" t="s">
        <v>72</v>
      </c>
      <c r="E65" s="373" t="s">
        <v>73</v>
      </c>
      <c r="F65" s="374" t="s">
        <v>31</v>
      </c>
      <c r="G65" s="375">
        <v>50803</v>
      </c>
      <c r="H65" s="376">
        <v>132</v>
      </c>
      <c r="I65" s="377"/>
      <c r="J65" s="378"/>
      <c r="K65" s="378"/>
      <c r="L65" s="378" t="s">
        <v>55</v>
      </c>
    </row>
    <row r="66" spans="1:12" ht="15.75" customHeight="1">
      <c r="A66" s="359">
        <v>2</v>
      </c>
      <c r="B66" s="359">
        <v>3</v>
      </c>
      <c r="C66" s="359">
        <v>8</v>
      </c>
      <c r="D66" s="359" t="s">
        <v>95</v>
      </c>
      <c r="E66" s="360" t="s">
        <v>96</v>
      </c>
      <c r="F66" s="361" t="s">
        <v>34</v>
      </c>
      <c r="G66" s="362">
        <v>50886</v>
      </c>
      <c r="H66" s="363">
        <v>289</v>
      </c>
      <c r="I66" s="364" t="s">
        <v>272</v>
      </c>
      <c r="J66" s="365">
        <v>3</v>
      </c>
      <c r="K66" s="365" t="s">
        <v>273</v>
      </c>
      <c r="L66" s="366"/>
    </row>
    <row r="67" spans="1:12" ht="15.75" customHeight="1">
      <c r="A67" s="359">
        <v>2</v>
      </c>
      <c r="B67" s="359">
        <v>3</v>
      </c>
      <c r="C67" s="359">
        <v>8</v>
      </c>
      <c r="D67" s="359" t="s">
        <v>74</v>
      </c>
      <c r="E67" s="360" t="s">
        <v>75</v>
      </c>
      <c r="F67" s="361" t="s">
        <v>34</v>
      </c>
      <c r="G67" s="362">
        <v>50887</v>
      </c>
      <c r="H67" s="363">
        <v>179</v>
      </c>
      <c r="I67" s="364" t="s">
        <v>272</v>
      </c>
      <c r="J67" s="365">
        <v>3</v>
      </c>
      <c r="K67" s="365" t="s">
        <v>273</v>
      </c>
      <c r="L67" s="366"/>
    </row>
    <row r="68" spans="1:12" ht="15.75" customHeight="1">
      <c r="A68" s="359">
        <v>2</v>
      </c>
      <c r="B68" s="359">
        <v>3</v>
      </c>
      <c r="C68" s="359">
        <v>9</v>
      </c>
      <c r="D68" s="359" t="s">
        <v>97</v>
      </c>
      <c r="E68" s="360" t="s">
        <v>98</v>
      </c>
      <c r="F68" s="361" t="s">
        <v>68</v>
      </c>
      <c r="G68" s="362">
        <v>50845</v>
      </c>
      <c r="H68" s="363">
        <v>459</v>
      </c>
      <c r="I68" s="364" t="s">
        <v>265</v>
      </c>
      <c r="J68" s="365">
        <v>2</v>
      </c>
      <c r="K68" s="365" t="s">
        <v>291</v>
      </c>
      <c r="L68" s="366"/>
    </row>
    <row r="69" spans="1:12" ht="15.75" customHeight="1">
      <c r="A69" s="84">
        <v>2</v>
      </c>
      <c r="B69" s="84">
        <v>3</v>
      </c>
      <c r="C69" s="84">
        <v>9</v>
      </c>
      <c r="D69" s="84" t="s">
        <v>97</v>
      </c>
      <c r="E69" s="367" t="s">
        <v>98</v>
      </c>
      <c r="F69" s="368" t="s">
        <v>34</v>
      </c>
      <c r="G69" s="369">
        <v>50590</v>
      </c>
      <c r="H69" s="370">
        <v>3</v>
      </c>
      <c r="I69" s="371"/>
      <c r="J69" s="372"/>
      <c r="K69" s="372"/>
      <c r="L69" s="372" t="s">
        <v>43</v>
      </c>
    </row>
    <row r="70" spans="1:12" ht="15.75" customHeight="1">
      <c r="A70" s="359">
        <v>2</v>
      </c>
      <c r="B70" s="359">
        <v>3</v>
      </c>
      <c r="C70" s="359">
        <v>9</v>
      </c>
      <c r="D70" s="359" t="s">
        <v>99</v>
      </c>
      <c r="E70" s="391"/>
      <c r="F70" s="361" t="s">
        <v>25</v>
      </c>
      <c r="G70" s="362">
        <v>50848</v>
      </c>
      <c r="H70" s="363">
        <v>217</v>
      </c>
      <c r="I70" s="364" t="s">
        <v>265</v>
      </c>
      <c r="J70" s="365">
        <v>2</v>
      </c>
      <c r="K70" s="365" t="s">
        <v>270</v>
      </c>
      <c r="L70" s="366"/>
    </row>
    <row r="71" spans="1:12" ht="15.75" customHeight="1">
      <c r="A71" s="324">
        <v>2</v>
      </c>
      <c r="B71" s="324">
        <v>3</v>
      </c>
      <c r="C71" s="324">
        <v>9</v>
      </c>
      <c r="D71" s="324" t="s">
        <v>100</v>
      </c>
      <c r="E71" s="373" t="s">
        <v>101</v>
      </c>
      <c r="F71" s="374" t="s">
        <v>68</v>
      </c>
      <c r="G71" s="375">
        <v>50645</v>
      </c>
      <c r="H71" s="376">
        <v>102</v>
      </c>
      <c r="I71" s="377"/>
      <c r="J71" s="378"/>
      <c r="K71" s="378"/>
      <c r="L71" s="378" t="s">
        <v>55</v>
      </c>
    </row>
    <row r="72" spans="1:12" ht="15.75" customHeight="1">
      <c r="A72" s="359">
        <v>2</v>
      </c>
      <c r="B72" s="359">
        <v>3</v>
      </c>
      <c r="C72" s="359">
        <v>9</v>
      </c>
      <c r="D72" s="359" t="s">
        <v>100</v>
      </c>
      <c r="E72" s="360" t="s">
        <v>101</v>
      </c>
      <c r="F72" s="361" t="s">
        <v>25</v>
      </c>
      <c r="G72" s="362">
        <v>50746</v>
      </c>
      <c r="H72" s="363">
        <v>53</v>
      </c>
      <c r="I72" s="364" t="s">
        <v>265</v>
      </c>
      <c r="J72" s="365">
        <v>2</v>
      </c>
      <c r="K72" s="365" t="s">
        <v>270</v>
      </c>
      <c r="L72" s="366"/>
    </row>
    <row r="73" spans="1:12" ht="15.75" customHeight="1">
      <c r="A73" s="359">
        <v>2</v>
      </c>
      <c r="B73" s="359">
        <v>3</v>
      </c>
      <c r="C73" s="359">
        <v>9</v>
      </c>
      <c r="D73" s="359" t="s">
        <v>100</v>
      </c>
      <c r="E73" s="360" t="s">
        <v>101</v>
      </c>
      <c r="F73" s="361" t="s">
        <v>31</v>
      </c>
      <c r="G73" s="362">
        <v>50804</v>
      </c>
      <c r="H73" s="363">
        <v>29</v>
      </c>
      <c r="I73" s="364" t="s">
        <v>265</v>
      </c>
      <c r="J73" s="365">
        <v>2</v>
      </c>
      <c r="K73" s="365" t="s">
        <v>270</v>
      </c>
      <c r="L73" s="366"/>
    </row>
    <row r="74" spans="1:12" ht="15.75" customHeight="1">
      <c r="A74" s="359">
        <v>2</v>
      </c>
      <c r="B74" s="359">
        <v>3</v>
      </c>
      <c r="C74" s="359">
        <v>11</v>
      </c>
      <c r="D74" s="359" t="s">
        <v>102</v>
      </c>
      <c r="E74" s="360" t="s">
        <v>103</v>
      </c>
      <c r="F74" s="361" t="s">
        <v>31</v>
      </c>
      <c r="G74" s="362">
        <v>50821</v>
      </c>
      <c r="H74" s="363">
        <v>369</v>
      </c>
      <c r="I74" s="364" t="s">
        <v>272</v>
      </c>
      <c r="J74" s="365">
        <v>3</v>
      </c>
      <c r="K74" s="365" t="s">
        <v>273</v>
      </c>
      <c r="L74" s="366"/>
    </row>
    <row r="75" spans="1:12" ht="15.75" customHeight="1">
      <c r="A75" s="324">
        <v>2</v>
      </c>
      <c r="B75" s="324">
        <v>3</v>
      </c>
      <c r="C75" s="324">
        <v>11</v>
      </c>
      <c r="D75" s="324" t="s">
        <v>102</v>
      </c>
      <c r="E75" s="373" t="s">
        <v>103</v>
      </c>
      <c r="F75" s="374" t="s">
        <v>34</v>
      </c>
      <c r="G75" s="375">
        <v>50415</v>
      </c>
      <c r="H75" s="376">
        <v>4</v>
      </c>
      <c r="I75" s="377"/>
      <c r="J75" s="378"/>
      <c r="K75" s="378"/>
      <c r="L75" s="378" t="s">
        <v>55</v>
      </c>
    </row>
    <row r="76" spans="1:12" ht="15.75" customHeight="1">
      <c r="A76" s="359">
        <v>2</v>
      </c>
      <c r="B76" s="359">
        <v>3</v>
      </c>
      <c r="C76" s="359">
        <v>11</v>
      </c>
      <c r="D76" s="359" t="s">
        <v>102</v>
      </c>
      <c r="E76" s="360" t="s">
        <v>104</v>
      </c>
      <c r="F76" s="361" t="s">
        <v>68</v>
      </c>
      <c r="G76" s="362">
        <v>50658</v>
      </c>
      <c r="H76" s="363">
        <v>136</v>
      </c>
      <c r="I76" s="364" t="s">
        <v>272</v>
      </c>
      <c r="J76" s="365">
        <v>3</v>
      </c>
      <c r="K76" s="365" t="s">
        <v>273</v>
      </c>
      <c r="L76" s="366"/>
    </row>
    <row r="77" spans="1:12" ht="15.75" customHeight="1">
      <c r="A77" s="359">
        <v>2</v>
      </c>
      <c r="B77" s="359">
        <v>3</v>
      </c>
      <c r="C77" s="359">
        <v>12</v>
      </c>
      <c r="D77" s="359" t="s">
        <v>102</v>
      </c>
      <c r="E77" s="360" t="s">
        <v>103</v>
      </c>
      <c r="F77" s="361" t="s">
        <v>68</v>
      </c>
      <c r="G77" s="362">
        <v>50817</v>
      </c>
      <c r="H77" s="363">
        <v>1429</v>
      </c>
      <c r="I77" s="364" t="s">
        <v>272</v>
      </c>
      <c r="J77" s="365">
        <v>3</v>
      </c>
      <c r="K77" s="365" t="s">
        <v>273</v>
      </c>
      <c r="L77" s="366"/>
    </row>
    <row r="78" spans="1:12" ht="15.75" customHeight="1">
      <c r="A78" s="359">
        <v>2</v>
      </c>
      <c r="B78" s="359">
        <v>3</v>
      </c>
      <c r="C78" s="359">
        <v>13</v>
      </c>
      <c r="D78" s="359" t="s">
        <v>105</v>
      </c>
      <c r="E78" s="360" t="s">
        <v>106</v>
      </c>
      <c r="F78" s="361" t="s">
        <v>25</v>
      </c>
      <c r="G78" s="362">
        <v>50859</v>
      </c>
      <c r="H78" s="363">
        <v>349</v>
      </c>
      <c r="I78" s="364" t="s">
        <v>272</v>
      </c>
      <c r="J78" s="365">
        <v>3</v>
      </c>
      <c r="K78" s="365" t="s">
        <v>273</v>
      </c>
      <c r="L78" s="366"/>
    </row>
    <row r="79" spans="1:12" ht="15.75" customHeight="1">
      <c r="A79" s="359">
        <v>2</v>
      </c>
      <c r="B79" s="359">
        <v>3</v>
      </c>
      <c r="C79" s="359">
        <v>13</v>
      </c>
      <c r="D79" s="359" t="s">
        <v>105</v>
      </c>
      <c r="E79" s="360" t="s">
        <v>106</v>
      </c>
      <c r="F79" s="361" t="s">
        <v>25</v>
      </c>
      <c r="G79" s="362">
        <v>50735</v>
      </c>
      <c r="H79" s="363">
        <v>22</v>
      </c>
      <c r="I79" s="364" t="s">
        <v>272</v>
      </c>
      <c r="J79" s="365">
        <v>3</v>
      </c>
      <c r="K79" s="365" t="s">
        <v>273</v>
      </c>
      <c r="L79" s="366"/>
    </row>
    <row r="80" spans="1:12" ht="15.75" customHeight="1">
      <c r="A80" s="359">
        <v>2</v>
      </c>
      <c r="B80" s="359">
        <v>3</v>
      </c>
      <c r="C80" s="359">
        <v>13</v>
      </c>
      <c r="D80" s="359" t="s">
        <v>105</v>
      </c>
      <c r="E80" s="360" t="s">
        <v>106</v>
      </c>
      <c r="F80" s="361" t="s">
        <v>25</v>
      </c>
      <c r="G80" s="362">
        <v>50756</v>
      </c>
      <c r="H80" s="363">
        <v>37</v>
      </c>
      <c r="I80" s="364" t="s">
        <v>272</v>
      </c>
      <c r="J80" s="365">
        <v>3</v>
      </c>
      <c r="K80" s="365" t="s">
        <v>273</v>
      </c>
      <c r="L80" s="366"/>
    </row>
    <row r="81" spans="1:18" ht="15.75" customHeight="1">
      <c r="A81" s="359">
        <v>2</v>
      </c>
      <c r="B81" s="359">
        <v>3</v>
      </c>
      <c r="C81" s="359">
        <v>13</v>
      </c>
      <c r="D81" s="359" t="s">
        <v>105</v>
      </c>
      <c r="E81" s="360" t="s">
        <v>106</v>
      </c>
      <c r="F81" s="361" t="s">
        <v>68</v>
      </c>
      <c r="G81" s="362">
        <v>50836</v>
      </c>
      <c r="H81" s="363">
        <v>172</v>
      </c>
      <c r="I81" s="364" t="s">
        <v>272</v>
      </c>
      <c r="J81" s="365">
        <v>3</v>
      </c>
      <c r="K81" s="365" t="s">
        <v>273</v>
      </c>
      <c r="L81" s="366"/>
    </row>
    <row r="82" spans="1:18" ht="15.75" customHeight="1">
      <c r="A82" s="359">
        <v>2</v>
      </c>
      <c r="B82" s="359">
        <v>3</v>
      </c>
      <c r="C82" s="359">
        <v>14</v>
      </c>
      <c r="D82" s="359" t="s">
        <v>107</v>
      </c>
      <c r="E82" s="360" t="s">
        <v>108</v>
      </c>
      <c r="F82" s="361" t="s">
        <v>25</v>
      </c>
      <c r="G82" s="362">
        <v>50847</v>
      </c>
      <c r="H82" s="363">
        <v>371</v>
      </c>
      <c r="I82" s="364" t="s">
        <v>272</v>
      </c>
      <c r="J82" s="365">
        <v>3</v>
      </c>
      <c r="K82" s="365" t="s">
        <v>273</v>
      </c>
      <c r="L82" s="366"/>
    </row>
    <row r="83" spans="1:18" ht="15.75" customHeight="1">
      <c r="A83" s="359">
        <v>2</v>
      </c>
      <c r="B83" s="359">
        <v>3</v>
      </c>
      <c r="C83" s="359">
        <v>14</v>
      </c>
      <c r="D83" s="359" t="s">
        <v>107</v>
      </c>
      <c r="E83" s="360" t="s">
        <v>108</v>
      </c>
      <c r="F83" s="361" t="s">
        <v>109</v>
      </c>
      <c r="G83" s="362">
        <v>50743</v>
      </c>
      <c r="H83" s="363">
        <v>88</v>
      </c>
      <c r="I83" s="364" t="s">
        <v>272</v>
      </c>
      <c r="J83" s="365">
        <v>3</v>
      </c>
      <c r="K83" s="365" t="s">
        <v>273</v>
      </c>
      <c r="L83" s="366"/>
    </row>
    <row r="84" spans="1:18" ht="15.75" customHeight="1">
      <c r="A84" s="359">
        <v>2</v>
      </c>
      <c r="B84" s="359">
        <v>3</v>
      </c>
      <c r="C84" s="359">
        <v>17</v>
      </c>
      <c r="D84" s="359" t="s">
        <v>60</v>
      </c>
      <c r="E84" s="360" t="s">
        <v>71</v>
      </c>
      <c r="F84" s="361" t="s">
        <v>25</v>
      </c>
      <c r="G84" s="362">
        <v>50747</v>
      </c>
      <c r="H84" s="363">
        <v>1</v>
      </c>
      <c r="I84" s="364" t="s">
        <v>265</v>
      </c>
      <c r="J84" s="365">
        <v>2</v>
      </c>
      <c r="K84" s="365" t="s">
        <v>270</v>
      </c>
      <c r="L84" s="366"/>
    </row>
    <row r="85" spans="1:18" ht="15.75" customHeight="1">
      <c r="A85" s="101">
        <v>2</v>
      </c>
      <c r="B85" s="101">
        <v>3</v>
      </c>
      <c r="C85" s="101">
        <v>17</v>
      </c>
      <c r="D85" s="101" t="s">
        <v>60</v>
      </c>
      <c r="E85" s="104" t="s">
        <v>61</v>
      </c>
      <c r="F85" s="392" t="s">
        <v>25</v>
      </c>
      <c r="G85" s="107">
        <v>50733</v>
      </c>
      <c r="H85" s="110">
        <v>114</v>
      </c>
      <c r="I85" s="392" t="s">
        <v>265</v>
      </c>
      <c r="J85" s="393">
        <v>2</v>
      </c>
      <c r="K85" s="393" t="s">
        <v>269</v>
      </c>
      <c r="L85" s="393" t="s">
        <v>111</v>
      </c>
      <c r="M85" s="90"/>
      <c r="N85" s="90"/>
      <c r="O85" s="90"/>
      <c r="P85" s="90"/>
      <c r="Q85" s="90"/>
      <c r="R85" s="90"/>
    </row>
    <row r="86" spans="1:18" ht="15.75" customHeight="1">
      <c r="A86" s="359">
        <v>2</v>
      </c>
      <c r="B86" s="359">
        <v>3</v>
      </c>
      <c r="C86" s="359">
        <v>17</v>
      </c>
      <c r="D86" s="359" t="s">
        <v>60</v>
      </c>
      <c r="E86" s="360" t="s">
        <v>61</v>
      </c>
      <c r="F86" s="361" t="s">
        <v>68</v>
      </c>
      <c r="G86" s="362">
        <v>50636</v>
      </c>
      <c r="H86" s="363">
        <v>36</v>
      </c>
      <c r="I86" s="364" t="s">
        <v>265</v>
      </c>
      <c r="J86" s="365">
        <v>2</v>
      </c>
      <c r="K86" s="365" t="s">
        <v>292</v>
      </c>
      <c r="L86" s="366"/>
    </row>
    <row r="87" spans="1:18" ht="15.75" customHeight="1">
      <c r="A87" s="84">
        <v>2</v>
      </c>
      <c r="B87" s="84">
        <v>3</v>
      </c>
      <c r="C87" s="84">
        <v>17</v>
      </c>
      <c r="D87" s="84" t="s">
        <v>60</v>
      </c>
      <c r="E87" s="367" t="s">
        <v>61</v>
      </c>
      <c r="F87" s="368" t="s">
        <v>68</v>
      </c>
      <c r="G87" s="369">
        <v>50668</v>
      </c>
      <c r="H87" s="370">
        <v>34</v>
      </c>
      <c r="I87" s="371"/>
      <c r="J87" s="372"/>
      <c r="K87" s="372"/>
      <c r="L87" s="372" t="s">
        <v>43</v>
      </c>
    </row>
    <row r="88" spans="1:18" ht="15.75" customHeight="1">
      <c r="A88" s="359">
        <v>2</v>
      </c>
      <c r="B88" s="359">
        <v>3</v>
      </c>
      <c r="C88" s="359">
        <v>17</v>
      </c>
      <c r="D88" s="359" t="s">
        <v>60</v>
      </c>
      <c r="E88" s="360" t="s">
        <v>61</v>
      </c>
      <c r="F88" s="361" t="s">
        <v>68</v>
      </c>
      <c r="G88" s="362">
        <v>50626</v>
      </c>
      <c r="H88" s="363">
        <v>8</v>
      </c>
      <c r="I88" s="364" t="s">
        <v>265</v>
      </c>
      <c r="J88" s="365">
        <v>2</v>
      </c>
      <c r="K88" s="365" t="s">
        <v>270</v>
      </c>
      <c r="L88" s="366"/>
    </row>
    <row r="89" spans="1:18" ht="15.75" customHeight="1">
      <c r="A89" s="359">
        <v>2</v>
      </c>
      <c r="B89" s="359">
        <v>3</v>
      </c>
      <c r="C89" s="359">
        <v>17</v>
      </c>
      <c r="D89" s="359" t="s">
        <v>60</v>
      </c>
      <c r="E89" s="360" t="s">
        <v>61</v>
      </c>
      <c r="F89" s="361" t="s">
        <v>34</v>
      </c>
      <c r="G89" s="362">
        <v>50595</v>
      </c>
      <c r="H89" s="363">
        <v>45</v>
      </c>
      <c r="I89" s="364" t="s">
        <v>265</v>
      </c>
      <c r="J89" s="365">
        <v>2</v>
      </c>
      <c r="K89" s="365" t="s">
        <v>270</v>
      </c>
      <c r="L89" s="366"/>
    </row>
    <row r="90" spans="1:18" ht="15.75" customHeight="1">
      <c r="A90" s="359">
        <v>2</v>
      </c>
      <c r="B90" s="359">
        <v>3</v>
      </c>
      <c r="C90" s="359">
        <v>17</v>
      </c>
      <c r="D90" s="359" t="s">
        <v>60</v>
      </c>
      <c r="E90" s="360" t="s">
        <v>61</v>
      </c>
      <c r="F90" s="361" t="s">
        <v>68</v>
      </c>
      <c r="G90" s="362">
        <v>50818</v>
      </c>
      <c r="H90" s="363">
        <v>67</v>
      </c>
      <c r="I90" s="364" t="s">
        <v>265</v>
      </c>
      <c r="J90" s="365">
        <v>2</v>
      </c>
      <c r="K90" s="365" t="s">
        <v>270</v>
      </c>
      <c r="L90" s="366"/>
    </row>
    <row r="91" spans="1:18" ht="15.75" customHeight="1">
      <c r="A91" s="359">
        <v>2</v>
      </c>
      <c r="B91" s="359">
        <v>3</v>
      </c>
      <c r="C91" s="359">
        <v>17</v>
      </c>
      <c r="D91" s="359" t="s">
        <v>60</v>
      </c>
      <c r="E91" s="360" t="s">
        <v>61</v>
      </c>
      <c r="F91" s="361" t="s">
        <v>31</v>
      </c>
      <c r="G91" s="362">
        <v>50810</v>
      </c>
      <c r="H91" s="363">
        <v>127</v>
      </c>
      <c r="I91" s="364" t="s">
        <v>265</v>
      </c>
      <c r="J91" s="365">
        <v>2</v>
      </c>
      <c r="K91" s="365" t="s">
        <v>270</v>
      </c>
      <c r="L91" s="366"/>
    </row>
    <row r="92" spans="1:18" ht="15.75" customHeight="1">
      <c r="A92" s="359">
        <v>2</v>
      </c>
      <c r="B92" s="359">
        <v>3</v>
      </c>
      <c r="C92" s="359">
        <v>17</v>
      </c>
      <c r="D92" s="359" t="s">
        <v>60</v>
      </c>
      <c r="E92" s="360" t="s">
        <v>61</v>
      </c>
      <c r="F92" s="361" t="s">
        <v>25</v>
      </c>
      <c r="G92" s="362">
        <v>50749</v>
      </c>
      <c r="H92" s="363">
        <v>29</v>
      </c>
      <c r="I92" s="364" t="s">
        <v>265</v>
      </c>
      <c r="J92" s="365">
        <v>2</v>
      </c>
      <c r="K92" s="365" t="s">
        <v>270</v>
      </c>
      <c r="L92" s="366"/>
    </row>
    <row r="93" spans="1:18" ht="15.75" customHeight="1">
      <c r="A93" s="359">
        <v>2</v>
      </c>
      <c r="B93" s="359">
        <v>3</v>
      </c>
      <c r="C93" s="359">
        <v>18</v>
      </c>
      <c r="D93" s="359" t="s">
        <v>112</v>
      </c>
      <c r="E93" s="360" t="s">
        <v>113</v>
      </c>
      <c r="F93" s="361" t="s">
        <v>25</v>
      </c>
      <c r="G93" s="362">
        <v>50758</v>
      </c>
      <c r="H93" s="363">
        <v>246</v>
      </c>
      <c r="I93" s="364" t="s">
        <v>265</v>
      </c>
      <c r="J93" s="365">
        <v>2</v>
      </c>
      <c r="K93" s="365" t="s">
        <v>270</v>
      </c>
      <c r="L93" s="366"/>
    </row>
    <row r="94" spans="1:18" ht="15.75" customHeight="1">
      <c r="A94" s="359">
        <v>2</v>
      </c>
      <c r="B94" s="359">
        <v>3</v>
      </c>
      <c r="C94" s="359">
        <v>18</v>
      </c>
      <c r="D94" s="359" t="s">
        <v>114</v>
      </c>
      <c r="E94" s="360" t="s">
        <v>115</v>
      </c>
      <c r="F94" s="361" t="s">
        <v>25</v>
      </c>
      <c r="G94" s="362">
        <v>50858</v>
      </c>
      <c r="H94" s="363">
        <v>98</v>
      </c>
      <c r="I94" s="364" t="s">
        <v>265</v>
      </c>
      <c r="J94" s="365">
        <v>2</v>
      </c>
      <c r="K94" s="365" t="s">
        <v>294</v>
      </c>
      <c r="L94" s="366"/>
    </row>
    <row r="95" spans="1:18" ht="15.75" customHeight="1">
      <c r="A95" s="359">
        <v>2</v>
      </c>
      <c r="B95" s="359">
        <v>3</v>
      </c>
      <c r="C95" s="359">
        <v>18</v>
      </c>
      <c r="D95" s="359" t="s">
        <v>112</v>
      </c>
      <c r="E95" s="360" t="s">
        <v>113</v>
      </c>
      <c r="F95" s="361" t="s">
        <v>25</v>
      </c>
      <c r="G95" s="362">
        <v>50812</v>
      </c>
      <c r="H95" s="363">
        <v>29</v>
      </c>
      <c r="I95" s="364" t="s">
        <v>265</v>
      </c>
      <c r="J95" s="365">
        <v>2</v>
      </c>
      <c r="K95" s="365" t="s">
        <v>270</v>
      </c>
      <c r="L95" s="366"/>
    </row>
    <row r="96" spans="1:18" ht="15.75" customHeight="1">
      <c r="A96" s="84">
        <v>2</v>
      </c>
      <c r="B96" s="84">
        <v>3</v>
      </c>
      <c r="C96" s="84">
        <v>18</v>
      </c>
      <c r="D96" s="84" t="s">
        <v>112</v>
      </c>
      <c r="E96" s="367" t="s">
        <v>113</v>
      </c>
      <c r="F96" s="368" t="s">
        <v>116</v>
      </c>
      <c r="G96" s="369">
        <v>50065</v>
      </c>
      <c r="H96" s="370">
        <v>10</v>
      </c>
      <c r="I96" s="371"/>
      <c r="J96" s="372"/>
      <c r="K96" s="372"/>
      <c r="L96" s="372" t="s">
        <v>43</v>
      </c>
    </row>
    <row r="97" spans="1:18" ht="15.75" customHeight="1">
      <c r="A97" s="359">
        <v>2</v>
      </c>
      <c r="B97" s="359">
        <v>3</v>
      </c>
      <c r="C97" s="359">
        <v>18</v>
      </c>
      <c r="D97" s="359" t="s">
        <v>114</v>
      </c>
      <c r="E97" s="360" t="s">
        <v>115</v>
      </c>
      <c r="F97" s="361" t="s">
        <v>117</v>
      </c>
      <c r="G97" s="362">
        <v>50535</v>
      </c>
      <c r="H97" s="363">
        <v>24</v>
      </c>
      <c r="I97" s="364" t="s">
        <v>265</v>
      </c>
      <c r="J97" s="365">
        <v>2</v>
      </c>
      <c r="K97" s="365" t="s">
        <v>269</v>
      </c>
      <c r="L97" s="366"/>
    </row>
    <row r="98" spans="1:18" ht="15.75" customHeight="1">
      <c r="A98" s="359">
        <v>2</v>
      </c>
      <c r="B98" s="359">
        <v>3</v>
      </c>
      <c r="C98" s="359">
        <v>19</v>
      </c>
      <c r="D98" s="359" t="s">
        <v>32</v>
      </c>
      <c r="E98" s="360" t="s">
        <v>33</v>
      </c>
      <c r="F98" s="361" t="s">
        <v>34</v>
      </c>
      <c r="G98" s="362">
        <v>50563</v>
      </c>
      <c r="H98" s="363">
        <v>338</v>
      </c>
      <c r="I98" s="364" t="s">
        <v>265</v>
      </c>
      <c r="J98" s="365">
        <v>2</v>
      </c>
      <c r="K98" s="365" t="s">
        <v>270</v>
      </c>
      <c r="L98" s="366"/>
    </row>
    <row r="99" spans="1:18" ht="15.75" customHeight="1">
      <c r="A99" s="116">
        <v>2</v>
      </c>
      <c r="B99" s="116">
        <v>3</v>
      </c>
      <c r="C99" s="116">
        <v>19</v>
      </c>
      <c r="D99" s="116" t="s">
        <v>112</v>
      </c>
      <c r="E99" s="117" t="s">
        <v>113</v>
      </c>
      <c r="F99" s="394" t="s">
        <v>34</v>
      </c>
      <c r="G99" s="118">
        <v>50688</v>
      </c>
      <c r="H99" s="119">
        <v>113</v>
      </c>
      <c r="I99" s="394" t="s">
        <v>272</v>
      </c>
      <c r="J99" s="395">
        <v>3</v>
      </c>
      <c r="K99" s="395" t="s">
        <v>273</v>
      </c>
      <c r="L99" s="395" t="s">
        <v>118</v>
      </c>
      <c r="M99" s="90"/>
      <c r="N99" s="90"/>
      <c r="O99" s="90"/>
      <c r="P99" s="90"/>
      <c r="Q99" s="90"/>
      <c r="R99" s="90"/>
    </row>
    <row r="100" spans="1:18" ht="15.75" customHeight="1">
      <c r="A100" s="382">
        <v>2</v>
      </c>
      <c r="B100" s="359">
        <v>3</v>
      </c>
      <c r="C100" s="359">
        <v>19</v>
      </c>
      <c r="D100" s="359" t="s">
        <v>112</v>
      </c>
      <c r="E100" s="360" t="s">
        <v>113</v>
      </c>
      <c r="F100" s="361" t="s">
        <v>68</v>
      </c>
      <c r="G100" s="362">
        <v>50146</v>
      </c>
      <c r="H100" s="363">
        <v>9</v>
      </c>
      <c r="I100" s="364" t="s">
        <v>272</v>
      </c>
      <c r="J100" s="365">
        <v>3</v>
      </c>
      <c r="K100" s="365" t="s">
        <v>273</v>
      </c>
      <c r="L100" s="366"/>
    </row>
    <row r="101" spans="1:18" ht="15.75" customHeight="1">
      <c r="A101" s="116">
        <v>2</v>
      </c>
      <c r="B101" s="116">
        <v>3</v>
      </c>
      <c r="C101" s="116">
        <v>19</v>
      </c>
      <c r="D101" s="116" t="s">
        <v>112</v>
      </c>
      <c r="E101" s="117" t="s">
        <v>113</v>
      </c>
      <c r="F101" s="394" t="s">
        <v>25</v>
      </c>
      <c r="G101" s="118">
        <v>50758</v>
      </c>
      <c r="H101" s="119">
        <v>133</v>
      </c>
      <c r="I101" s="396"/>
      <c r="J101" s="395"/>
      <c r="K101" s="395"/>
      <c r="L101" s="395" t="s">
        <v>119</v>
      </c>
      <c r="M101" s="90"/>
      <c r="N101" s="90"/>
      <c r="O101" s="90"/>
      <c r="P101" s="90"/>
      <c r="Q101" s="90"/>
      <c r="R101" s="90"/>
    </row>
    <row r="102" spans="1:18" ht="15.75" customHeight="1">
      <c r="A102" s="359">
        <v>2</v>
      </c>
      <c r="B102" s="359">
        <v>3</v>
      </c>
      <c r="C102" s="359">
        <v>21</v>
      </c>
      <c r="D102" s="359" t="s">
        <v>120</v>
      </c>
      <c r="E102" s="360" t="s">
        <v>121</v>
      </c>
      <c r="F102" s="361" t="s">
        <v>25</v>
      </c>
      <c r="G102" s="362">
        <v>50745</v>
      </c>
      <c r="H102" s="363">
        <v>131</v>
      </c>
      <c r="I102" s="364" t="s">
        <v>272</v>
      </c>
      <c r="J102" s="365">
        <v>3</v>
      </c>
      <c r="K102" s="365" t="s">
        <v>273</v>
      </c>
      <c r="L102" s="366"/>
    </row>
    <row r="103" spans="1:18" ht="15.75" customHeight="1">
      <c r="A103" s="359">
        <v>2</v>
      </c>
      <c r="B103" s="359">
        <v>3</v>
      </c>
      <c r="C103" s="359">
        <v>21</v>
      </c>
      <c r="D103" s="359" t="s">
        <v>120</v>
      </c>
      <c r="E103" s="360" t="s">
        <v>121</v>
      </c>
      <c r="F103" s="361" t="s">
        <v>31</v>
      </c>
      <c r="G103" s="362">
        <v>50718</v>
      </c>
      <c r="H103" s="363">
        <v>168</v>
      </c>
      <c r="I103" s="364" t="s">
        <v>272</v>
      </c>
      <c r="J103" s="365">
        <v>3</v>
      </c>
      <c r="K103" s="365" t="s">
        <v>273</v>
      </c>
      <c r="L103" s="366"/>
    </row>
    <row r="104" spans="1:18" ht="15.75" customHeight="1">
      <c r="A104" s="359">
        <v>2</v>
      </c>
      <c r="B104" s="359">
        <v>3</v>
      </c>
      <c r="C104" s="359">
        <v>21</v>
      </c>
      <c r="D104" s="359" t="s">
        <v>120</v>
      </c>
      <c r="E104" s="360" t="s">
        <v>121</v>
      </c>
      <c r="F104" s="361" t="s">
        <v>25</v>
      </c>
      <c r="G104" s="362">
        <v>50681</v>
      </c>
      <c r="H104" s="363">
        <v>9</v>
      </c>
      <c r="I104" s="364" t="s">
        <v>272</v>
      </c>
      <c r="J104" s="365">
        <v>3</v>
      </c>
      <c r="K104" s="365" t="s">
        <v>273</v>
      </c>
      <c r="L104" s="366"/>
    </row>
    <row r="105" spans="1:18" ht="15.75" customHeight="1">
      <c r="A105" s="359">
        <v>2</v>
      </c>
      <c r="B105" s="359">
        <v>3</v>
      </c>
      <c r="C105" s="359">
        <v>22</v>
      </c>
      <c r="D105" s="359" t="s">
        <v>122</v>
      </c>
      <c r="E105" s="360" t="s">
        <v>123</v>
      </c>
      <c r="F105" s="361" t="s">
        <v>34</v>
      </c>
      <c r="G105" s="362">
        <v>50732</v>
      </c>
      <c r="H105" s="363">
        <v>274</v>
      </c>
      <c r="I105" s="364" t="s">
        <v>272</v>
      </c>
      <c r="J105" s="365">
        <v>3</v>
      </c>
      <c r="K105" s="365" t="s">
        <v>273</v>
      </c>
      <c r="L105" s="366"/>
    </row>
    <row r="106" spans="1:18" ht="15.75" customHeight="1">
      <c r="A106" s="359">
        <v>2</v>
      </c>
      <c r="B106" s="359">
        <v>3</v>
      </c>
      <c r="C106" s="359">
        <v>22</v>
      </c>
      <c r="D106" s="359" t="s">
        <v>122</v>
      </c>
      <c r="E106" s="360" t="s">
        <v>123</v>
      </c>
      <c r="F106" s="361" t="s">
        <v>34</v>
      </c>
      <c r="G106" s="362">
        <v>50545</v>
      </c>
      <c r="H106" s="363">
        <v>13</v>
      </c>
      <c r="I106" s="364" t="s">
        <v>265</v>
      </c>
      <c r="J106" s="365">
        <v>2</v>
      </c>
      <c r="K106" s="365" t="s">
        <v>269</v>
      </c>
      <c r="L106" s="366"/>
    </row>
    <row r="107" spans="1:18" ht="15.75" customHeight="1">
      <c r="A107" s="359">
        <v>2</v>
      </c>
      <c r="B107" s="359">
        <v>3</v>
      </c>
      <c r="C107" s="359">
        <v>22</v>
      </c>
      <c r="D107" s="359" t="s">
        <v>122</v>
      </c>
      <c r="E107" s="360" t="s">
        <v>123</v>
      </c>
      <c r="F107" s="361" t="s">
        <v>25</v>
      </c>
      <c r="G107" s="362">
        <v>50833</v>
      </c>
      <c r="H107" s="363">
        <v>204</v>
      </c>
      <c r="I107" s="364" t="s">
        <v>265</v>
      </c>
      <c r="J107" s="365">
        <v>2</v>
      </c>
      <c r="K107" s="365" t="s">
        <v>270</v>
      </c>
      <c r="L107" s="366"/>
    </row>
    <row r="108" spans="1:18" ht="15.75" customHeight="1">
      <c r="A108" s="359">
        <v>2</v>
      </c>
      <c r="B108" s="359">
        <v>3</v>
      </c>
      <c r="C108" s="359">
        <v>22</v>
      </c>
      <c r="D108" s="359" t="s">
        <v>122</v>
      </c>
      <c r="E108" s="360" t="s">
        <v>123</v>
      </c>
      <c r="F108" s="361" t="s">
        <v>25</v>
      </c>
      <c r="G108" s="362">
        <v>50725</v>
      </c>
      <c r="H108" s="363">
        <v>62</v>
      </c>
      <c r="I108" s="364" t="s">
        <v>265</v>
      </c>
      <c r="J108" s="365">
        <v>2</v>
      </c>
      <c r="K108" s="365" t="s">
        <v>270</v>
      </c>
      <c r="L108" s="366"/>
    </row>
    <row r="109" spans="1:18" ht="15.75" customHeight="1">
      <c r="A109" s="359">
        <v>2</v>
      </c>
      <c r="B109" s="359">
        <v>4</v>
      </c>
      <c r="C109" s="359">
        <v>2</v>
      </c>
      <c r="D109" s="359" t="s">
        <v>124</v>
      </c>
      <c r="E109" s="360" t="s">
        <v>125</v>
      </c>
      <c r="F109" s="361" t="s">
        <v>31</v>
      </c>
      <c r="G109" s="362">
        <v>50761</v>
      </c>
      <c r="H109" s="363">
        <v>250</v>
      </c>
      <c r="I109" s="364" t="s">
        <v>265</v>
      </c>
      <c r="J109" s="365">
        <v>2</v>
      </c>
      <c r="K109" s="365" t="s">
        <v>300</v>
      </c>
      <c r="L109" s="366"/>
    </row>
    <row r="110" spans="1:18" ht="15.75" customHeight="1">
      <c r="A110" s="359">
        <v>2</v>
      </c>
      <c r="B110" s="359">
        <v>4</v>
      </c>
      <c r="C110" s="359">
        <v>2</v>
      </c>
      <c r="D110" s="359" t="s">
        <v>124</v>
      </c>
      <c r="E110" s="360" t="s">
        <v>125</v>
      </c>
      <c r="F110" s="361" t="s">
        <v>25</v>
      </c>
      <c r="G110" s="362">
        <v>50113</v>
      </c>
      <c r="H110" s="363">
        <v>172</v>
      </c>
      <c r="I110" s="364" t="s">
        <v>265</v>
      </c>
      <c r="J110" s="365">
        <v>2</v>
      </c>
      <c r="K110" s="365" t="s">
        <v>300</v>
      </c>
      <c r="L110" s="366"/>
    </row>
    <row r="111" spans="1:18" ht="15.75" customHeight="1">
      <c r="A111" s="84">
        <v>2</v>
      </c>
      <c r="B111" s="84">
        <v>4</v>
      </c>
      <c r="C111" s="84">
        <v>2</v>
      </c>
      <c r="D111" s="84" t="s">
        <v>124</v>
      </c>
      <c r="E111" s="367" t="s">
        <v>125</v>
      </c>
      <c r="F111" s="368" t="s">
        <v>25</v>
      </c>
      <c r="G111" s="369">
        <v>50659</v>
      </c>
      <c r="H111" s="370">
        <v>63</v>
      </c>
      <c r="I111" s="371"/>
      <c r="J111" s="372"/>
      <c r="K111" s="372"/>
      <c r="L111" s="372" t="s">
        <v>43</v>
      </c>
    </row>
    <row r="112" spans="1:18" ht="15.75" customHeight="1">
      <c r="A112" s="128">
        <v>2</v>
      </c>
      <c r="B112" s="128">
        <v>4</v>
      </c>
      <c r="C112" s="128">
        <v>2</v>
      </c>
      <c r="D112" s="128" t="s">
        <v>126</v>
      </c>
      <c r="E112" s="130" t="s">
        <v>127</v>
      </c>
      <c r="F112" s="163" t="s">
        <v>25</v>
      </c>
      <c r="G112" s="131">
        <v>50767</v>
      </c>
      <c r="H112" s="132">
        <v>145</v>
      </c>
      <c r="I112" s="163" t="s">
        <v>265</v>
      </c>
      <c r="J112" s="397">
        <v>2</v>
      </c>
      <c r="K112" s="397" t="s">
        <v>301</v>
      </c>
      <c r="L112" s="397" t="s">
        <v>128</v>
      </c>
      <c r="M112" s="137"/>
      <c r="N112" s="137"/>
      <c r="O112" s="137"/>
      <c r="P112" s="137"/>
      <c r="Q112" s="137"/>
      <c r="R112" s="137"/>
    </row>
    <row r="113" spans="1:18" ht="15.75" customHeight="1">
      <c r="A113" s="359">
        <v>2</v>
      </c>
      <c r="B113" s="359">
        <v>4</v>
      </c>
      <c r="C113" s="359">
        <v>3</v>
      </c>
      <c r="D113" s="359" t="s">
        <v>60</v>
      </c>
      <c r="E113" s="360" t="s">
        <v>61</v>
      </c>
      <c r="F113" s="361" t="s">
        <v>31</v>
      </c>
      <c r="G113" s="362">
        <v>50810</v>
      </c>
      <c r="H113" s="363">
        <v>482</v>
      </c>
      <c r="I113" s="364" t="s">
        <v>265</v>
      </c>
      <c r="J113" s="365">
        <v>2</v>
      </c>
      <c r="K113" s="365" t="s">
        <v>302</v>
      </c>
      <c r="L113" s="366"/>
    </row>
    <row r="114" spans="1:18" ht="15.75" customHeight="1">
      <c r="A114" s="359">
        <v>2</v>
      </c>
      <c r="B114" s="359">
        <v>4</v>
      </c>
      <c r="C114" s="359">
        <v>4</v>
      </c>
      <c r="D114" s="359" t="s">
        <v>129</v>
      </c>
      <c r="E114" s="360" t="s">
        <v>130</v>
      </c>
      <c r="F114" s="361" t="s">
        <v>31</v>
      </c>
      <c r="G114" s="362">
        <v>50827</v>
      </c>
      <c r="H114" s="363">
        <v>654</v>
      </c>
      <c r="I114" s="364" t="s">
        <v>265</v>
      </c>
      <c r="J114" s="365">
        <v>2</v>
      </c>
      <c r="K114" s="365" t="s">
        <v>303</v>
      </c>
      <c r="L114" s="366"/>
    </row>
    <row r="115" spans="1:18" ht="15.75" customHeight="1">
      <c r="A115" s="128">
        <v>2</v>
      </c>
      <c r="B115" s="128">
        <v>4</v>
      </c>
      <c r="C115" s="128">
        <v>4</v>
      </c>
      <c r="D115" s="128" t="s">
        <v>60</v>
      </c>
      <c r="E115" s="130" t="s">
        <v>61</v>
      </c>
      <c r="F115" s="163" t="s">
        <v>31</v>
      </c>
      <c r="G115" s="131">
        <v>50860</v>
      </c>
      <c r="H115" s="132">
        <v>214</v>
      </c>
      <c r="I115" s="163" t="s">
        <v>265</v>
      </c>
      <c r="J115" s="397">
        <v>2</v>
      </c>
      <c r="K115" s="397" t="s">
        <v>270</v>
      </c>
      <c r="L115" s="397" t="s">
        <v>131</v>
      </c>
      <c r="M115" s="137"/>
      <c r="N115" s="137"/>
      <c r="O115" s="137"/>
      <c r="P115" s="137"/>
      <c r="Q115" s="137"/>
      <c r="R115" s="137"/>
    </row>
    <row r="116" spans="1:18" ht="15.75" customHeight="1">
      <c r="A116" s="359">
        <v>2</v>
      </c>
      <c r="B116" s="359">
        <v>4</v>
      </c>
      <c r="C116" s="359">
        <v>5</v>
      </c>
      <c r="D116" s="359" t="s">
        <v>56</v>
      </c>
      <c r="E116" s="360" t="s">
        <v>57</v>
      </c>
      <c r="F116" s="361" t="s">
        <v>31</v>
      </c>
      <c r="G116" s="362">
        <v>50712</v>
      </c>
      <c r="H116" s="363">
        <v>621</v>
      </c>
      <c r="I116" s="364" t="s">
        <v>272</v>
      </c>
      <c r="J116" s="365">
        <v>3</v>
      </c>
      <c r="K116" s="365" t="s">
        <v>273</v>
      </c>
      <c r="L116" s="366"/>
    </row>
    <row r="117" spans="1:18" ht="15.75" customHeight="1">
      <c r="A117" s="359">
        <v>2</v>
      </c>
      <c r="B117" s="359">
        <v>4</v>
      </c>
      <c r="C117" s="359">
        <v>6</v>
      </c>
      <c r="D117" s="359" t="s">
        <v>132</v>
      </c>
      <c r="E117" s="360" t="s">
        <v>133</v>
      </c>
      <c r="F117" s="361" t="s">
        <v>109</v>
      </c>
      <c r="G117" s="362">
        <v>50716</v>
      </c>
      <c r="H117" s="363">
        <v>82</v>
      </c>
      <c r="I117" s="364" t="s">
        <v>265</v>
      </c>
      <c r="J117" s="365">
        <v>2</v>
      </c>
      <c r="K117" s="365" t="s">
        <v>269</v>
      </c>
      <c r="L117" s="366"/>
    </row>
    <row r="118" spans="1:18" ht="15.75" customHeight="1">
      <c r="A118" s="359">
        <v>2</v>
      </c>
      <c r="B118" s="359">
        <v>4</v>
      </c>
      <c r="C118" s="359">
        <v>6</v>
      </c>
      <c r="D118" s="359" t="s">
        <v>132</v>
      </c>
      <c r="E118" s="360" t="s">
        <v>133</v>
      </c>
      <c r="F118" s="361" t="s">
        <v>109</v>
      </c>
      <c r="G118" s="362">
        <v>50789</v>
      </c>
      <c r="H118" s="363">
        <v>327</v>
      </c>
      <c r="I118" s="364" t="s">
        <v>265</v>
      </c>
      <c r="J118" s="365">
        <v>2</v>
      </c>
      <c r="K118" s="365" t="s">
        <v>304</v>
      </c>
      <c r="L118" s="366"/>
    </row>
    <row r="119" spans="1:18" ht="15.75" customHeight="1">
      <c r="A119" s="359">
        <v>2</v>
      </c>
      <c r="B119" s="359">
        <v>4</v>
      </c>
      <c r="C119" s="359">
        <v>6</v>
      </c>
      <c r="D119" s="359" t="s">
        <v>132</v>
      </c>
      <c r="E119" s="360" t="s">
        <v>133</v>
      </c>
      <c r="F119" s="361" t="s">
        <v>34</v>
      </c>
      <c r="G119" s="362">
        <v>50710</v>
      </c>
      <c r="H119" s="363">
        <v>15</v>
      </c>
      <c r="I119" s="364" t="s">
        <v>265</v>
      </c>
      <c r="J119" s="365">
        <v>2</v>
      </c>
      <c r="K119" s="365" t="s">
        <v>304</v>
      </c>
      <c r="L119" s="366"/>
    </row>
    <row r="120" spans="1:18" ht="15.75" customHeight="1">
      <c r="A120" s="359">
        <v>2</v>
      </c>
      <c r="B120" s="359">
        <v>4</v>
      </c>
      <c r="C120" s="359">
        <v>7</v>
      </c>
      <c r="D120" s="359" t="s">
        <v>134</v>
      </c>
      <c r="E120" s="360" t="s">
        <v>135</v>
      </c>
      <c r="F120" s="361" t="s">
        <v>25</v>
      </c>
      <c r="G120" s="362">
        <v>50268</v>
      </c>
      <c r="H120" s="363">
        <v>411</v>
      </c>
      <c r="I120" s="364" t="s">
        <v>272</v>
      </c>
      <c r="J120" s="365">
        <v>3</v>
      </c>
      <c r="K120" s="365" t="s">
        <v>273</v>
      </c>
      <c r="L120" s="366"/>
    </row>
    <row r="121" spans="1:18" ht="15.75" customHeight="1">
      <c r="A121" s="324">
        <v>2</v>
      </c>
      <c r="B121" s="324">
        <v>4</v>
      </c>
      <c r="C121" s="324">
        <v>7</v>
      </c>
      <c r="D121" s="324" t="s">
        <v>134</v>
      </c>
      <c r="E121" s="373" t="s">
        <v>135</v>
      </c>
      <c r="F121" s="374" t="s">
        <v>68</v>
      </c>
      <c r="G121" s="375">
        <v>50169</v>
      </c>
      <c r="H121" s="376">
        <v>10</v>
      </c>
      <c r="I121" s="398"/>
      <c r="J121" s="399"/>
      <c r="K121" s="399"/>
      <c r="L121" s="378" t="s">
        <v>55</v>
      </c>
    </row>
    <row r="122" spans="1:18" ht="15.75" customHeight="1">
      <c r="A122" s="359">
        <v>2</v>
      </c>
      <c r="B122" s="359">
        <v>4</v>
      </c>
      <c r="C122" s="359">
        <v>9</v>
      </c>
      <c r="D122" s="359" t="s">
        <v>136</v>
      </c>
      <c r="E122" s="360" t="s">
        <v>137</v>
      </c>
      <c r="F122" s="361" t="s">
        <v>68</v>
      </c>
      <c r="G122" s="362">
        <v>50830</v>
      </c>
      <c r="H122" s="363">
        <v>329</v>
      </c>
      <c r="I122" s="364" t="s">
        <v>265</v>
      </c>
      <c r="J122" s="365">
        <v>2</v>
      </c>
      <c r="K122" s="365" t="s">
        <v>306</v>
      </c>
      <c r="L122" s="366"/>
    </row>
    <row r="123" spans="1:18" ht="15.75" customHeight="1">
      <c r="A123" s="359">
        <v>2</v>
      </c>
      <c r="B123" s="359">
        <v>4</v>
      </c>
      <c r="C123" s="359">
        <v>9</v>
      </c>
      <c r="D123" s="359" t="s">
        <v>136</v>
      </c>
      <c r="E123" s="360" t="s">
        <v>137</v>
      </c>
      <c r="F123" s="361" t="s">
        <v>25</v>
      </c>
      <c r="G123" s="362">
        <v>50757</v>
      </c>
      <c r="H123" s="363">
        <v>10</v>
      </c>
      <c r="I123" s="364" t="s">
        <v>265</v>
      </c>
      <c r="J123" s="365">
        <v>2</v>
      </c>
      <c r="K123" s="365" t="s">
        <v>306</v>
      </c>
      <c r="L123" s="366"/>
    </row>
    <row r="124" spans="1:18" ht="15.75" customHeight="1">
      <c r="A124" s="359">
        <v>2</v>
      </c>
      <c r="B124" s="359">
        <v>4</v>
      </c>
      <c r="C124" s="359">
        <v>10</v>
      </c>
      <c r="D124" s="359" t="s">
        <v>138</v>
      </c>
      <c r="E124" s="360" t="s">
        <v>139</v>
      </c>
      <c r="F124" s="361" t="s">
        <v>68</v>
      </c>
      <c r="G124" s="362">
        <v>50828</v>
      </c>
      <c r="H124" s="363">
        <v>954</v>
      </c>
      <c r="I124" s="364" t="s">
        <v>272</v>
      </c>
      <c r="J124" s="365">
        <v>3</v>
      </c>
      <c r="K124" s="365" t="s">
        <v>273</v>
      </c>
      <c r="L124" s="366"/>
    </row>
    <row r="125" spans="1:18" ht="15.75" customHeight="1">
      <c r="A125" s="359">
        <v>2</v>
      </c>
      <c r="B125" s="359">
        <v>4</v>
      </c>
      <c r="C125" s="359">
        <v>10</v>
      </c>
      <c r="D125" s="359" t="s">
        <v>140</v>
      </c>
      <c r="E125" s="360" t="s">
        <v>141</v>
      </c>
      <c r="F125" s="361" t="s">
        <v>25</v>
      </c>
      <c r="G125" s="362">
        <v>50763</v>
      </c>
      <c r="H125" s="363">
        <v>19</v>
      </c>
      <c r="I125" s="364" t="s">
        <v>272</v>
      </c>
      <c r="J125" s="365">
        <v>3</v>
      </c>
      <c r="K125" s="365" t="s">
        <v>273</v>
      </c>
      <c r="L125" s="366"/>
    </row>
    <row r="126" spans="1:18" ht="15.75" customHeight="1">
      <c r="A126" s="359">
        <v>2</v>
      </c>
      <c r="B126" s="359">
        <v>4</v>
      </c>
      <c r="C126" s="359">
        <v>10</v>
      </c>
      <c r="D126" s="359" t="s">
        <v>138</v>
      </c>
      <c r="E126" s="360" t="s">
        <v>139</v>
      </c>
      <c r="F126" s="361" t="s">
        <v>68</v>
      </c>
      <c r="G126" s="362">
        <v>50295</v>
      </c>
      <c r="H126" s="363">
        <v>11</v>
      </c>
      <c r="I126" s="364" t="s">
        <v>272</v>
      </c>
      <c r="J126" s="365">
        <v>3</v>
      </c>
      <c r="K126" s="365" t="s">
        <v>273</v>
      </c>
      <c r="L126" s="366"/>
    </row>
    <row r="127" spans="1:18" ht="15.75" customHeight="1">
      <c r="A127" s="359">
        <v>2</v>
      </c>
      <c r="B127" s="359">
        <v>4</v>
      </c>
      <c r="C127" s="359">
        <v>10</v>
      </c>
      <c r="D127" s="359" t="s">
        <v>140</v>
      </c>
      <c r="E127" s="360" t="s">
        <v>141</v>
      </c>
      <c r="F127" s="361" t="s">
        <v>68</v>
      </c>
      <c r="G127" s="362">
        <v>50638</v>
      </c>
      <c r="H127" s="363">
        <v>52</v>
      </c>
      <c r="I127" s="364" t="s">
        <v>272</v>
      </c>
      <c r="J127" s="365">
        <v>3</v>
      </c>
      <c r="K127" s="365" t="s">
        <v>273</v>
      </c>
      <c r="L127" s="366"/>
    </row>
    <row r="128" spans="1:18" ht="15.75" customHeight="1">
      <c r="A128" s="359">
        <v>2</v>
      </c>
      <c r="B128" s="359">
        <v>4</v>
      </c>
      <c r="C128" s="359">
        <v>10</v>
      </c>
      <c r="D128" s="359" t="s">
        <v>138</v>
      </c>
      <c r="E128" s="360" t="s">
        <v>139</v>
      </c>
      <c r="F128" s="361" t="s">
        <v>25</v>
      </c>
      <c r="G128" s="362">
        <v>50750</v>
      </c>
      <c r="H128" s="363">
        <v>82</v>
      </c>
      <c r="I128" s="364" t="s">
        <v>272</v>
      </c>
      <c r="J128" s="365">
        <v>3</v>
      </c>
      <c r="K128" s="365" t="s">
        <v>273</v>
      </c>
      <c r="L128" s="366"/>
    </row>
    <row r="129" spans="1:12" ht="15.75" customHeight="1">
      <c r="A129" s="84">
        <v>2</v>
      </c>
      <c r="B129" s="84">
        <v>4</v>
      </c>
      <c r="C129" s="84">
        <v>11</v>
      </c>
      <c r="D129" s="84" t="s">
        <v>142</v>
      </c>
      <c r="E129" s="367" t="s">
        <v>143</v>
      </c>
      <c r="F129" s="368" t="s">
        <v>144</v>
      </c>
      <c r="G129" s="369">
        <v>50769</v>
      </c>
      <c r="H129" s="370">
        <v>2</v>
      </c>
      <c r="I129" s="371"/>
      <c r="J129" s="372"/>
      <c r="K129" s="372"/>
      <c r="L129" s="372" t="s">
        <v>43</v>
      </c>
    </row>
    <row r="130" spans="1:12" ht="15.75" customHeight="1">
      <c r="A130" s="359">
        <v>2</v>
      </c>
      <c r="B130" s="359">
        <v>4</v>
      </c>
      <c r="C130" s="359">
        <v>13</v>
      </c>
      <c r="D130" s="359" t="s">
        <v>32</v>
      </c>
      <c r="E130" s="360" t="s">
        <v>33</v>
      </c>
      <c r="F130" s="361" t="s">
        <v>68</v>
      </c>
      <c r="G130" s="362">
        <v>50819</v>
      </c>
      <c r="H130" s="363">
        <v>1285</v>
      </c>
      <c r="I130" s="364" t="s">
        <v>265</v>
      </c>
      <c r="J130" s="365">
        <v>2</v>
      </c>
      <c r="K130" s="365" t="s">
        <v>271</v>
      </c>
      <c r="L130" s="366"/>
    </row>
    <row r="131" spans="1:12" ht="15.75" customHeight="1">
      <c r="A131" s="359">
        <v>2</v>
      </c>
      <c r="B131" s="359">
        <v>4</v>
      </c>
      <c r="C131" s="359">
        <v>14</v>
      </c>
      <c r="D131" s="359" t="s">
        <v>145</v>
      </c>
      <c r="E131" s="360" t="s">
        <v>146</v>
      </c>
      <c r="F131" s="361" t="s">
        <v>31</v>
      </c>
      <c r="G131" s="362">
        <v>50809</v>
      </c>
      <c r="H131" s="363">
        <v>664</v>
      </c>
      <c r="I131" s="364" t="s">
        <v>265</v>
      </c>
      <c r="J131" s="365">
        <v>2</v>
      </c>
      <c r="K131" s="365" t="s">
        <v>269</v>
      </c>
      <c r="L131" s="366"/>
    </row>
    <row r="132" spans="1:12" ht="15.75" customHeight="1">
      <c r="A132" s="84">
        <v>2</v>
      </c>
      <c r="B132" s="84">
        <v>4</v>
      </c>
      <c r="C132" s="84">
        <v>15</v>
      </c>
      <c r="D132" s="84" t="s">
        <v>147</v>
      </c>
      <c r="E132" s="367" t="s">
        <v>148</v>
      </c>
      <c r="F132" s="368" t="s">
        <v>25</v>
      </c>
      <c r="G132" s="369">
        <v>50376</v>
      </c>
      <c r="H132" s="370">
        <v>6</v>
      </c>
      <c r="I132" s="371"/>
      <c r="J132" s="372"/>
      <c r="K132" s="372"/>
      <c r="L132" s="372" t="s">
        <v>43</v>
      </c>
    </row>
    <row r="133" spans="1:12" ht="15.75" customHeight="1">
      <c r="A133" s="359">
        <v>2</v>
      </c>
      <c r="B133" s="359">
        <v>4</v>
      </c>
      <c r="C133" s="359">
        <v>15</v>
      </c>
      <c r="D133" s="359" t="s">
        <v>149</v>
      </c>
      <c r="E133" s="360" t="s">
        <v>150</v>
      </c>
      <c r="F133" s="361" t="s">
        <v>31</v>
      </c>
      <c r="G133" s="362">
        <v>50815</v>
      </c>
      <c r="H133" s="363">
        <v>81</v>
      </c>
      <c r="I133" s="364" t="s">
        <v>272</v>
      </c>
      <c r="J133" s="365">
        <v>3</v>
      </c>
      <c r="K133" s="365" t="s">
        <v>309</v>
      </c>
      <c r="L133" s="366"/>
    </row>
    <row r="134" spans="1:12" ht="15.75" customHeight="1">
      <c r="A134" s="359">
        <v>2</v>
      </c>
      <c r="B134" s="359">
        <v>4</v>
      </c>
      <c r="C134" s="359">
        <v>15</v>
      </c>
      <c r="D134" s="359" t="s">
        <v>145</v>
      </c>
      <c r="E134" s="360" t="s">
        <v>146</v>
      </c>
      <c r="F134" s="361" t="s">
        <v>31</v>
      </c>
      <c r="G134" s="362">
        <v>50711</v>
      </c>
      <c r="H134" s="363">
        <v>100</v>
      </c>
      <c r="I134" s="364" t="s">
        <v>265</v>
      </c>
      <c r="J134" s="365">
        <v>2</v>
      </c>
      <c r="K134" s="365" t="s">
        <v>269</v>
      </c>
      <c r="L134" s="366"/>
    </row>
    <row r="135" spans="1:12" ht="15.75" customHeight="1">
      <c r="A135" s="359">
        <v>2</v>
      </c>
      <c r="B135" s="359">
        <v>4</v>
      </c>
      <c r="C135" s="359">
        <v>15</v>
      </c>
      <c r="D135" s="359" t="s">
        <v>145</v>
      </c>
      <c r="E135" s="360" t="s">
        <v>146</v>
      </c>
      <c r="F135" s="361" t="s">
        <v>68</v>
      </c>
      <c r="G135" s="362">
        <v>50701</v>
      </c>
      <c r="H135" s="363">
        <v>70</v>
      </c>
      <c r="I135" s="364" t="s">
        <v>265</v>
      </c>
      <c r="J135" s="365">
        <v>2</v>
      </c>
      <c r="K135" s="365" t="s">
        <v>310</v>
      </c>
      <c r="L135" s="366"/>
    </row>
    <row r="136" spans="1:12" ht="15.75" customHeight="1">
      <c r="A136" s="359">
        <v>2</v>
      </c>
      <c r="B136" s="359">
        <v>4</v>
      </c>
      <c r="C136" s="359">
        <v>15</v>
      </c>
      <c r="D136" s="359" t="s">
        <v>151</v>
      </c>
      <c r="E136" s="360" t="s">
        <v>152</v>
      </c>
      <c r="F136" s="361" t="s">
        <v>144</v>
      </c>
      <c r="G136" s="362">
        <v>50776</v>
      </c>
      <c r="H136" s="363">
        <v>28</v>
      </c>
      <c r="I136" s="364" t="s">
        <v>272</v>
      </c>
      <c r="J136" s="365">
        <v>3</v>
      </c>
      <c r="K136" s="365" t="s">
        <v>273</v>
      </c>
      <c r="L136" s="366"/>
    </row>
    <row r="137" spans="1:12" ht="15.75" customHeight="1">
      <c r="A137" s="84">
        <v>2</v>
      </c>
      <c r="B137" s="84">
        <v>4</v>
      </c>
      <c r="C137" s="84">
        <v>15</v>
      </c>
      <c r="D137" s="84" t="s">
        <v>151</v>
      </c>
      <c r="E137" s="367" t="s">
        <v>152</v>
      </c>
      <c r="F137" s="368" t="s">
        <v>31</v>
      </c>
      <c r="G137" s="369">
        <v>50811</v>
      </c>
      <c r="H137" s="370">
        <v>4</v>
      </c>
      <c r="I137" s="400"/>
      <c r="J137" s="401"/>
      <c r="K137" s="401"/>
      <c r="L137" s="372" t="s">
        <v>43</v>
      </c>
    </row>
    <row r="138" spans="1:12" ht="15.75" customHeight="1">
      <c r="A138" s="359">
        <v>2</v>
      </c>
      <c r="B138" s="359">
        <v>4</v>
      </c>
      <c r="C138" s="359">
        <v>15</v>
      </c>
      <c r="D138" s="359" t="s">
        <v>153</v>
      </c>
      <c r="E138" s="360" t="s">
        <v>154</v>
      </c>
      <c r="F138" s="361" t="s">
        <v>155</v>
      </c>
      <c r="G138" s="362">
        <v>50851</v>
      </c>
      <c r="H138" s="363">
        <v>15</v>
      </c>
      <c r="I138" s="364" t="s">
        <v>265</v>
      </c>
      <c r="J138" s="365">
        <v>2</v>
      </c>
      <c r="K138" s="365" t="s">
        <v>311</v>
      </c>
      <c r="L138" s="366"/>
    </row>
    <row r="139" spans="1:12" ht="15.75" customHeight="1">
      <c r="A139" s="359">
        <v>2</v>
      </c>
      <c r="B139" s="359">
        <v>4</v>
      </c>
      <c r="C139" s="359">
        <v>15</v>
      </c>
      <c r="D139" s="359" t="s">
        <v>156</v>
      </c>
      <c r="E139" s="360" t="s">
        <v>157</v>
      </c>
      <c r="F139" s="361" t="s">
        <v>31</v>
      </c>
      <c r="G139" s="362">
        <v>50805</v>
      </c>
      <c r="H139" s="363">
        <v>15</v>
      </c>
      <c r="I139" s="364" t="s">
        <v>265</v>
      </c>
      <c r="J139" s="365">
        <v>2</v>
      </c>
      <c r="K139" s="365" t="s">
        <v>312</v>
      </c>
      <c r="L139" s="366"/>
    </row>
    <row r="140" spans="1:12" ht="15.75" customHeight="1">
      <c r="A140" s="359">
        <v>2</v>
      </c>
      <c r="B140" s="359">
        <v>4</v>
      </c>
      <c r="C140" s="359">
        <v>15</v>
      </c>
      <c r="D140" s="359" t="s">
        <v>158</v>
      </c>
      <c r="E140" s="360" t="s">
        <v>159</v>
      </c>
      <c r="F140" s="361" t="s">
        <v>31</v>
      </c>
      <c r="G140" s="362">
        <v>50849</v>
      </c>
      <c r="H140" s="363">
        <v>27</v>
      </c>
      <c r="I140" s="364" t="s">
        <v>265</v>
      </c>
      <c r="J140" s="365">
        <v>2</v>
      </c>
      <c r="K140" s="365" t="s">
        <v>308</v>
      </c>
      <c r="L140" s="366"/>
    </row>
    <row r="141" spans="1:12" ht="15.75" customHeight="1">
      <c r="A141" s="359">
        <v>2</v>
      </c>
      <c r="B141" s="359">
        <v>4</v>
      </c>
      <c r="C141" s="359">
        <v>15</v>
      </c>
      <c r="D141" s="359" t="s">
        <v>160</v>
      </c>
      <c r="E141" s="360" t="s">
        <v>161</v>
      </c>
      <c r="F141" s="361" t="s">
        <v>34</v>
      </c>
      <c r="G141" s="362">
        <v>50707</v>
      </c>
      <c r="H141" s="363">
        <v>30</v>
      </c>
      <c r="I141" s="364" t="s">
        <v>265</v>
      </c>
      <c r="J141" s="365">
        <v>2</v>
      </c>
      <c r="K141" s="365" t="s">
        <v>270</v>
      </c>
      <c r="L141" s="366"/>
    </row>
    <row r="142" spans="1:12" ht="15.75" customHeight="1">
      <c r="A142" s="359">
        <v>2</v>
      </c>
      <c r="B142" s="359">
        <v>4</v>
      </c>
      <c r="C142" s="359">
        <v>15</v>
      </c>
      <c r="D142" s="359" t="s">
        <v>162</v>
      </c>
      <c r="E142" s="360" t="s">
        <v>163</v>
      </c>
      <c r="F142" s="361" t="s">
        <v>34</v>
      </c>
      <c r="G142" s="362">
        <v>50840</v>
      </c>
      <c r="H142" s="363">
        <v>1</v>
      </c>
      <c r="I142" s="364" t="s">
        <v>265</v>
      </c>
      <c r="J142" s="365">
        <v>2</v>
      </c>
      <c r="K142" s="365" t="s">
        <v>269</v>
      </c>
      <c r="L142" s="366"/>
    </row>
    <row r="143" spans="1:12" ht="15.75" customHeight="1">
      <c r="A143" s="324">
        <v>2</v>
      </c>
      <c r="B143" s="324">
        <v>4</v>
      </c>
      <c r="C143" s="324">
        <v>15</v>
      </c>
      <c r="D143" s="324" t="s">
        <v>164</v>
      </c>
      <c r="E143" s="373" t="s">
        <v>165</v>
      </c>
      <c r="F143" s="374" t="s">
        <v>166</v>
      </c>
      <c r="G143" s="375">
        <v>50775</v>
      </c>
      <c r="H143" s="376">
        <v>1</v>
      </c>
      <c r="I143" s="377"/>
      <c r="J143" s="378"/>
      <c r="K143" s="378"/>
      <c r="L143" s="378" t="s">
        <v>55</v>
      </c>
    </row>
    <row r="144" spans="1:12" ht="15.75" customHeight="1">
      <c r="A144" s="84">
        <v>2</v>
      </c>
      <c r="B144" s="84">
        <v>4</v>
      </c>
      <c r="C144" s="84">
        <v>15</v>
      </c>
      <c r="D144" s="84" t="s">
        <v>149</v>
      </c>
      <c r="E144" s="367" t="s">
        <v>150</v>
      </c>
      <c r="F144" s="368" t="s">
        <v>68</v>
      </c>
      <c r="G144" s="369">
        <v>50669</v>
      </c>
      <c r="H144" s="370">
        <v>4</v>
      </c>
      <c r="I144" s="371"/>
      <c r="J144" s="372"/>
      <c r="K144" s="372"/>
      <c r="L144" s="372" t="s">
        <v>43</v>
      </c>
    </row>
    <row r="145" spans="1:12" ht="15.75" customHeight="1">
      <c r="A145" s="84">
        <v>2</v>
      </c>
      <c r="B145" s="84">
        <v>4</v>
      </c>
      <c r="C145" s="84">
        <v>15</v>
      </c>
      <c r="D145" s="84" t="s">
        <v>149</v>
      </c>
      <c r="E145" s="367" t="s">
        <v>150</v>
      </c>
      <c r="F145" s="368" t="s">
        <v>34</v>
      </c>
      <c r="G145" s="369">
        <v>50433</v>
      </c>
      <c r="H145" s="370">
        <v>3</v>
      </c>
      <c r="I145" s="371"/>
      <c r="J145" s="372"/>
      <c r="K145" s="372"/>
      <c r="L145" s="372" t="s">
        <v>43</v>
      </c>
    </row>
    <row r="146" spans="1:12" ht="15.75" customHeight="1">
      <c r="A146" s="359">
        <v>2</v>
      </c>
      <c r="B146" s="359">
        <v>4</v>
      </c>
      <c r="C146" s="359">
        <v>16</v>
      </c>
      <c r="D146" s="359" t="s">
        <v>167</v>
      </c>
      <c r="E146" s="360" t="s">
        <v>168</v>
      </c>
      <c r="F146" s="361" t="s">
        <v>31</v>
      </c>
      <c r="G146" s="362">
        <v>50865</v>
      </c>
      <c r="H146" s="363">
        <v>628</v>
      </c>
      <c r="I146" s="364" t="s">
        <v>272</v>
      </c>
      <c r="J146" s="365">
        <v>3</v>
      </c>
      <c r="K146" s="365" t="s">
        <v>273</v>
      </c>
      <c r="L146" s="366"/>
    </row>
    <row r="147" spans="1:12" ht="15.75" customHeight="1">
      <c r="A147" s="359">
        <v>2</v>
      </c>
      <c r="B147" s="359">
        <v>4</v>
      </c>
      <c r="C147" s="359">
        <v>16</v>
      </c>
      <c r="D147" s="359" t="s">
        <v>145</v>
      </c>
      <c r="E147" s="360" t="s">
        <v>146</v>
      </c>
      <c r="F147" s="361" t="s">
        <v>31</v>
      </c>
      <c r="G147" s="362">
        <v>50866</v>
      </c>
      <c r="H147" s="363">
        <v>86</v>
      </c>
      <c r="I147" s="364" t="s">
        <v>272</v>
      </c>
      <c r="J147" s="365">
        <v>3</v>
      </c>
      <c r="K147" s="365" t="s">
        <v>273</v>
      </c>
      <c r="L147" s="366"/>
    </row>
    <row r="148" spans="1:12" ht="15.75" customHeight="1">
      <c r="A148" s="382">
        <v>2</v>
      </c>
      <c r="B148" s="359">
        <v>4</v>
      </c>
      <c r="C148" s="359">
        <v>17</v>
      </c>
      <c r="D148" s="359" t="s">
        <v>169</v>
      </c>
      <c r="E148" s="360" t="s">
        <v>170</v>
      </c>
      <c r="F148" s="361" t="s">
        <v>34</v>
      </c>
      <c r="G148" s="362">
        <v>50596</v>
      </c>
      <c r="H148" s="363">
        <v>110</v>
      </c>
      <c r="I148" s="364" t="s">
        <v>265</v>
      </c>
      <c r="J148" s="365">
        <v>2</v>
      </c>
      <c r="K148" s="365" t="s">
        <v>270</v>
      </c>
      <c r="L148" s="366"/>
    </row>
    <row r="149" spans="1:12" ht="15.75" customHeight="1">
      <c r="A149" s="359">
        <v>2</v>
      </c>
      <c r="B149" s="359">
        <v>4</v>
      </c>
      <c r="C149" s="359">
        <v>17</v>
      </c>
      <c r="D149" s="359" t="s">
        <v>169</v>
      </c>
      <c r="E149" s="360" t="s">
        <v>170</v>
      </c>
      <c r="F149" s="361" t="s">
        <v>34</v>
      </c>
      <c r="G149" s="362">
        <v>50571</v>
      </c>
      <c r="H149" s="363">
        <v>223</v>
      </c>
      <c r="I149" s="364" t="s">
        <v>265</v>
      </c>
      <c r="J149" s="365">
        <v>2</v>
      </c>
      <c r="K149" s="365" t="s">
        <v>270</v>
      </c>
      <c r="L149" s="366"/>
    </row>
    <row r="150" spans="1:12" ht="15.75" customHeight="1">
      <c r="A150" s="359">
        <v>2</v>
      </c>
      <c r="B150" s="359">
        <v>4</v>
      </c>
      <c r="C150" s="359">
        <v>18</v>
      </c>
      <c r="D150" s="359" t="s">
        <v>171</v>
      </c>
      <c r="E150" s="360" t="s">
        <v>172</v>
      </c>
      <c r="F150" s="361" t="s">
        <v>25</v>
      </c>
      <c r="G150" s="362">
        <v>50831</v>
      </c>
      <c r="H150" s="363">
        <v>249</v>
      </c>
      <c r="I150" s="364" t="s">
        <v>272</v>
      </c>
      <c r="J150" s="365">
        <v>3</v>
      </c>
      <c r="K150" s="365" t="s">
        <v>273</v>
      </c>
      <c r="L150" s="366"/>
    </row>
    <row r="151" spans="1:12" ht="15.75" customHeight="1">
      <c r="A151" s="359">
        <v>2</v>
      </c>
      <c r="B151" s="359">
        <v>4</v>
      </c>
      <c r="C151" s="359">
        <v>19</v>
      </c>
      <c r="D151" s="359" t="s">
        <v>107</v>
      </c>
      <c r="E151" s="360" t="s">
        <v>108</v>
      </c>
      <c r="F151" s="361" t="s">
        <v>31</v>
      </c>
      <c r="G151" s="362">
        <v>50862</v>
      </c>
      <c r="H151" s="363">
        <v>714</v>
      </c>
      <c r="I151" s="364" t="s">
        <v>272</v>
      </c>
      <c r="J151" s="365">
        <v>3</v>
      </c>
      <c r="K151" s="365" t="s">
        <v>273</v>
      </c>
      <c r="L151" s="366"/>
    </row>
    <row r="152" spans="1:12" ht="15.75" customHeight="1">
      <c r="A152" s="359">
        <v>2</v>
      </c>
      <c r="B152" s="359">
        <v>4</v>
      </c>
      <c r="C152" s="359">
        <v>20</v>
      </c>
      <c r="D152" s="359" t="s">
        <v>173</v>
      </c>
      <c r="E152" s="360" t="s">
        <v>174</v>
      </c>
      <c r="F152" s="361" t="s">
        <v>25</v>
      </c>
      <c r="G152" s="362">
        <v>50678</v>
      </c>
      <c r="H152" s="363">
        <v>4</v>
      </c>
      <c r="I152" s="364" t="s">
        <v>272</v>
      </c>
      <c r="J152" s="365">
        <v>3</v>
      </c>
      <c r="K152" s="365" t="s">
        <v>273</v>
      </c>
      <c r="L152" s="366"/>
    </row>
    <row r="153" spans="1:12" ht="15.75" customHeight="1">
      <c r="A153" s="359">
        <v>2</v>
      </c>
      <c r="B153" s="359">
        <v>4</v>
      </c>
      <c r="C153" s="359">
        <v>20</v>
      </c>
      <c r="D153" s="359" t="s">
        <v>175</v>
      </c>
      <c r="E153" s="360" t="s">
        <v>176</v>
      </c>
      <c r="F153" s="361" t="s">
        <v>31</v>
      </c>
      <c r="G153" s="362">
        <v>50867</v>
      </c>
      <c r="H153" s="363">
        <v>303</v>
      </c>
      <c r="I153" s="364" t="s">
        <v>266</v>
      </c>
      <c r="J153" s="365">
        <v>1</v>
      </c>
      <c r="K153" s="365" t="s">
        <v>314</v>
      </c>
      <c r="L153" s="366"/>
    </row>
    <row r="154" spans="1:12" ht="15.75" customHeight="1">
      <c r="A154" s="359">
        <v>2</v>
      </c>
      <c r="B154" s="359">
        <v>4</v>
      </c>
      <c r="C154" s="359">
        <v>21</v>
      </c>
      <c r="D154" s="359" t="s">
        <v>177</v>
      </c>
      <c r="E154" s="360" t="s">
        <v>178</v>
      </c>
      <c r="F154" s="361" t="s">
        <v>31</v>
      </c>
      <c r="G154" s="362">
        <v>50861</v>
      </c>
      <c r="H154" s="363">
        <v>714</v>
      </c>
      <c r="I154" s="364" t="s">
        <v>265</v>
      </c>
      <c r="J154" s="365">
        <v>2</v>
      </c>
      <c r="K154" s="365" t="s">
        <v>315</v>
      </c>
      <c r="L154" s="366"/>
    </row>
    <row r="155" spans="1:12" ht="15.75" customHeight="1">
      <c r="A155" s="359">
        <v>2</v>
      </c>
      <c r="B155" s="359">
        <v>4</v>
      </c>
      <c r="C155" s="359">
        <v>22</v>
      </c>
      <c r="D155" s="359" t="s">
        <v>179</v>
      </c>
      <c r="E155" s="360" t="s">
        <v>180</v>
      </c>
      <c r="F155" s="361" t="s">
        <v>31</v>
      </c>
      <c r="G155" s="362">
        <v>50843</v>
      </c>
      <c r="H155" s="363">
        <v>330</v>
      </c>
      <c r="I155" s="364" t="s">
        <v>265</v>
      </c>
      <c r="J155" s="365">
        <v>2</v>
      </c>
      <c r="K155" s="365" t="s">
        <v>270</v>
      </c>
      <c r="L155" s="366"/>
    </row>
    <row r="156" spans="1:12" ht="15.75" customHeight="1">
      <c r="A156" s="359">
        <v>2</v>
      </c>
      <c r="B156" s="359">
        <v>5</v>
      </c>
      <c r="C156" s="359">
        <v>1</v>
      </c>
      <c r="D156" s="359" t="s">
        <v>95</v>
      </c>
      <c r="E156" s="360" t="s">
        <v>96</v>
      </c>
      <c r="F156" s="361" t="s">
        <v>68</v>
      </c>
      <c r="G156" s="362">
        <v>50620</v>
      </c>
      <c r="H156" s="363">
        <v>260</v>
      </c>
      <c r="I156" s="364" t="s">
        <v>272</v>
      </c>
      <c r="J156" s="365">
        <v>3</v>
      </c>
      <c r="K156" s="365" t="s">
        <v>273</v>
      </c>
      <c r="L156" s="366"/>
    </row>
    <row r="157" spans="1:12" ht="15.75" customHeight="1">
      <c r="A157" s="359">
        <v>2</v>
      </c>
      <c r="B157" s="359">
        <v>5</v>
      </c>
      <c r="C157" s="359">
        <v>1</v>
      </c>
      <c r="D157" s="359" t="s">
        <v>181</v>
      </c>
      <c r="E157" s="360" t="s">
        <v>182</v>
      </c>
      <c r="F157" s="361" t="s">
        <v>31</v>
      </c>
      <c r="G157" s="362">
        <v>50782</v>
      </c>
      <c r="H157" s="363">
        <v>162</v>
      </c>
      <c r="I157" s="364" t="s">
        <v>265</v>
      </c>
      <c r="J157" s="365">
        <v>2</v>
      </c>
      <c r="K157" s="365" t="s">
        <v>270</v>
      </c>
      <c r="L157" s="366"/>
    </row>
    <row r="158" spans="1:12" ht="15.75" customHeight="1">
      <c r="A158" s="359">
        <v>2</v>
      </c>
      <c r="B158" s="359">
        <v>5</v>
      </c>
      <c r="C158" s="359">
        <v>2</v>
      </c>
      <c r="D158" s="359" t="s">
        <v>56</v>
      </c>
      <c r="E158" s="360" t="s">
        <v>57</v>
      </c>
      <c r="F158" s="361" t="s">
        <v>68</v>
      </c>
      <c r="G158" s="362">
        <v>50664</v>
      </c>
      <c r="H158" s="363">
        <v>125</v>
      </c>
      <c r="I158" s="364" t="s">
        <v>265</v>
      </c>
      <c r="J158" s="365">
        <v>2</v>
      </c>
      <c r="K158" s="365" t="s">
        <v>270</v>
      </c>
      <c r="L158" s="366"/>
    </row>
    <row r="159" spans="1:12" ht="15.75" customHeight="1">
      <c r="A159" s="359">
        <v>2</v>
      </c>
      <c r="B159" s="359">
        <v>5</v>
      </c>
      <c r="C159" s="359">
        <v>3</v>
      </c>
      <c r="D159" s="359" t="s">
        <v>37</v>
      </c>
      <c r="E159" s="360" t="s">
        <v>38</v>
      </c>
      <c r="F159" s="361" t="s">
        <v>31</v>
      </c>
      <c r="G159" s="362">
        <v>50785</v>
      </c>
      <c r="H159" s="363">
        <v>128</v>
      </c>
      <c r="I159" s="364" t="s">
        <v>272</v>
      </c>
      <c r="J159" s="365">
        <v>3</v>
      </c>
      <c r="K159" s="365" t="s">
        <v>273</v>
      </c>
      <c r="L159" s="366"/>
    </row>
    <row r="160" spans="1:12" ht="15.75" customHeight="1">
      <c r="A160" s="359">
        <v>2</v>
      </c>
      <c r="B160" s="359">
        <v>5</v>
      </c>
      <c r="C160" s="359">
        <v>4</v>
      </c>
      <c r="D160" s="359" t="s">
        <v>35</v>
      </c>
      <c r="E160" s="360" t="s">
        <v>36</v>
      </c>
      <c r="F160" s="361" t="s">
        <v>31</v>
      </c>
      <c r="G160" s="362">
        <v>50806</v>
      </c>
      <c r="H160" s="363">
        <v>284</v>
      </c>
      <c r="I160" s="364" t="s">
        <v>272</v>
      </c>
      <c r="J160" s="365">
        <v>3</v>
      </c>
      <c r="K160" s="365" t="s">
        <v>273</v>
      </c>
      <c r="L160" s="366"/>
    </row>
    <row r="161" spans="1:18" ht="15.75" customHeight="1">
      <c r="A161" s="359">
        <v>2</v>
      </c>
      <c r="B161" s="359">
        <v>5</v>
      </c>
      <c r="C161" s="359">
        <v>4</v>
      </c>
      <c r="D161" s="359" t="s">
        <v>35</v>
      </c>
      <c r="E161" s="360" t="s">
        <v>36</v>
      </c>
      <c r="F161" s="361" t="s">
        <v>68</v>
      </c>
      <c r="G161" s="362">
        <v>50829</v>
      </c>
      <c r="H161" s="363">
        <v>418</v>
      </c>
      <c r="I161" s="364" t="s">
        <v>272</v>
      </c>
      <c r="J161" s="365">
        <v>3</v>
      </c>
      <c r="K161" s="365" t="s">
        <v>273</v>
      </c>
      <c r="L161" s="366"/>
    </row>
    <row r="162" spans="1:18" ht="15.75" customHeight="1">
      <c r="A162" s="359">
        <v>2</v>
      </c>
      <c r="B162" s="359">
        <v>5</v>
      </c>
      <c r="C162" s="359">
        <v>5</v>
      </c>
      <c r="D162" s="359" t="s">
        <v>183</v>
      </c>
      <c r="E162" s="360" t="s">
        <v>184</v>
      </c>
      <c r="F162" s="361" t="s">
        <v>31</v>
      </c>
      <c r="G162" s="362">
        <v>50808</v>
      </c>
      <c r="H162" s="363">
        <v>363</v>
      </c>
      <c r="I162" s="364" t="s">
        <v>272</v>
      </c>
      <c r="J162" s="365">
        <v>3</v>
      </c>
      <c r="K162" s="365" t="s">
        <v>273</v>
      </c>
      <c r="L162" s="366"/>
    </row>
    <row r="163" spans="1:18" ht="15.75" customHeight="1">
      <c r="A163" s="359">
        <v>2</v>
      </c>
      <c r="B163" s="359">
        <v>5</v>
      </c>
      <c r="C163" s="359">
        <v>5</v>
      </c>
      <c r="D163" s="359" t="s">
        <v>183</v>
      </c>
      <c r="E163" s="360" t="s">
        <v>184</v>
      </c>
      <c r="F163" s="361" t="s">
        <v>25</v>
      </c>
      <c r="G163" s="362">
        <v>50774</v>
      </c>
      <c r="H163" s="363">
        <v>2</v>
      </c>
      <c r="I163" s="364" t="s">
        <v>265</v>
      </c>
      <c r="J163" s="365">
        <v>2</v>
      </c>
      <c r="K163" s="365" t="s">
        <v>299</v>
      </c>
      <c r="L163" s="366"/>
    </row>
    <row r="164" spans="1:18" ht="15.75" customHeight="1">
      <c r="A164" s="359">
        <v>2</v>
      </c>
      <c r="B164" s="359">
        <v>5</v>
      </c>
      <c r="C164" s="359">
        <v>6</v>
      </c>
      <c r="D164" s="359" t="s">
        <v>49</v>
      </c>
      <c r="E164" s="360" t="s">
        <v>50</v>
      </c>
      <c r="F164" s="361" t="s">
        <v>68</v>
      </c>
      <c r="G164" s="362">
        <v>50838</v>
      </c>
      <c r="H164" s="363">
        <v>1374</v>
      </c>
      <c r="I164" s="364" t="s">
        <v>265</v>
      </c>
      <c r="J164" s="365">
        <v>2</v>
      </c>
      <c r="K164" s="365" t="s">
        <v>317</v>
      </c>
      <c r="L164" s="366"/>
    </row>
    <row r="165" spans="1:18" ht="15.75" customHeight="1">
      <c r="A165" s="359">
        <v>2</v>
      </c>
      <c r="B165" s="359">
        <v>5</v>
      </c>
      <c r="C165" s="359">
        <v>7</v>
      </c>
      <c r="D165" s="359" t="s">
        <v>185</v>
      </c>
      <c r="E165" s="360" t="s">
        <v>186</v>
      </c>
      <c r="F165" s="361" t="s">
        <v>31</v>
      </c>
      <c r="G165" s="362">
        <v>50844</v>
      </c>
      <c r="H165" s="363">
        <v>515</v>
      </c>
      <c r="I165" s="364" t="s">
        <v>272</v>
      </c>
      <c r="J165" s="365">
        <v>3</v>
      </c>
      <c r="K165" s="365" t="s">
        <v>273</v>
      </c>
      <c r="L165" s="366"/>
    </row>
    <row r="166" spans="1:18" ht="15.75" customHeight="1">
      <c r="A166" s="359">
        <v>2</v>
      </c>
      <c r="B166" s="359">
        <v>5</v>
      </c>
      <c r="C166" s="359">
        <v>8</v>
      </c>
      <c r="D166" s="359" t="s">
        <v>187</v>
      </c>
      <c r="E166" s="360" t="s">
        <v>188</v>
      </c>
      <c r="F166" s="361" t="s">
        <v>68</v>
      </c>
      <c r="G166" s="362">
        <v>50881</v>
      </c>
      <c r="H166" s="363">
        <v>738</v>
      </c>
      <c r="I166" s="364" t="s">
        <v>272</v>
      </c>
      <c r="J166" s="365">
        <v>3</v>
      </c>
      <c r="K166" s="365" t="s">
        <v>273</v>
      </c>
      <c r="L166" s="366"/>
    </row>
    <row r="167" spans="1:18" ht="15.75" customHeight="1">
      <c r="A167" s="359">
        <v>2</v>
      </c>
      <c r="B167" s="359">
        <v>5</v>
      </c>
      <c r="C167" s="359">
        <v>8</v>
      </c>
      <c r="D167" s="359" t="s">
        <v>102</v>
      </c>
      <c r="E167" s="360" t="s">
        <v>103</v>
      </c>
      <c r="F167" s="361" t="s">
        <v>68</v>
      </c>
      <c r="G167" s="362">
        <v>50882</v>
      </c>
      <c r="H167" s="363">
        <v>549</v>
      </c>
      <c r="I167" s="364" t="s">
        <v>272</v>
      </c>
      <c r="J167" s="365">
        <v>3</v>
      </c>
      <c r="K167" s="365" t="s">
        <v>273</v>
      </c>
      <c r="L167" s="366"/>
    </row>
    <row r="168" spans="1:18" ht="15.75" customHeight="1">
      <c r="A168" s="359">
        <v>2</v>
      </c>
      <c r="B168" s="359">
        <v>5</v>
      </c>
      <c r="C168" s="359">
        <v>9</v>
      </c>
      <c r="D168" s="359" t="s">
        <v>189</v>
      </c>
      <c r="E168" s="360" t="s">
        <v>190</v>
      </c>
      <c r="F168" s="361" t="s">
        <v>31</v>
      </c>
      <c r="G168" s="362">
        <v>50798</v>
      </c>
      <c r="H168" s="363">
        <v>182</v>
      </c>
      <c r="I168" s="364" t="s">
        <v>272</v>
      </c>
      <c r="J168" s="365">
        <v>3</v>
      </c>
      <c r="K168" s="365" t="s">
        <v>273</v>
      </c>
      <c r="L168" s="366"/>
    </row>
    <row r="169" spans="1:18" ht="15.75" customHeight="1">
      <c r="A169" s="359">
        <v>2</v>
      </c>
      <c r="B169" s="359">
        <v>5</v>
      </c>
      <c r="C169" s="359">
        <v>9</v>
      </c>
      <c r="D169" s="359" t="s">
        <v>189</v>
      </c>
      <c r="E169" s="360" t="s">
        <v>190</v>
      </c>
      <c r="F169" s="361" t="s">
        <v>31</v>
      </c>
      <c r="G169" s="362">
        <v>50856</v>
      </c>
      <c r="H169" s="363">
        <v>162</v>
      </c>
      <c r="I169" s="364" t="s">
        <v>272</v>
      </c>
      <c r="J169" s="365">
        <v>3</v>
      </c>
      <c r="K169" s="365" t="s">
        <v>273</v>
      </c>
      <c r="L169" s="366"/>
    </row>
    <row r="170" spans="1:18" ht="15.75" customHeight="1">
      <c r="A170" s="359">
        <v>2</v>
      </c>
      <c r="B170" s="359">
        <v>5</v>
      </c>
      <c r="C170" s="359">
        <v>9</v>
      </c>
      <c r="D170" s="359" t="s">
        <v>189</v>
      </c>
      <c r="E170" s="360" t="s">
        <v>190</v>
      </c>
      <c r="F170" s="361" t="s">
        <v>68</v>
      </c>
      <c r="G170" s="362">
        <v>50698</v>
      </c>
      <c r="H170" s="363">
        <v>87</v>
      </c>
      <c r="I170" s="364" t="s">
        <v>265</v>
      </c>
      <c r="J170" s="365">
        <v>2</v>
      </c>
      <c r="K170" s="365" t="s">
        <v>319</v>
      </c>
      <c r="L170" s="366"/>
    </row>
    <row r="171" spans="1:18" ht="15.75" customHeight="1">
      <c r="A171" s="84">
        <v>2</v>
      </c>
      <c r="B171" s="84">
        <v>5</v>
      </c>
      <c r="C171" s="84">
        <v>10</v>
      </c>
      <c r="D171" s="84" t="s">
        <v>112</v>
      </c>
      <c r="E171" s="367" t="s">
        <v>113</v>
      </c>
      <c r="F171" s="368" t="s">
        <v>31</v>
      </c>
      <c r="G171" s="369">
        <v>50538</v>
      </c>
      <c r="H171" s="402"/>
      <c r="I171" s="371"/>
      <c r="J171" s="372"/>
      <c r="K171" s="372"/>
      <c r="L171" s="372" t="s">
        <v>43</v>
      </c>
    </row>
    <row r="172" spans="1:18" ht="15.75" customHeight="1">
      <c r="A172" s="359">
        <v>2</v>
      </c>
      <c r="B172" s="359">
        <v>5</v>
      </c>
      <c r="C172" s="359">
        <v>10</v>
      </c>
      <c r="D172" s="359" t="s">
        <v>191</v>
      </c>
      <c r="E172" s="360" t="s">
        <v>192</v>
      </c>
      <c r="F172" s="361" t="s">
        <v>68</v>
      </c>
      <c r="G172" s="362">
        <v>50837</v>
      </c>
      <c r="H172" s="363">
        <v>330</v>
      </c>
      <c r="I172" s="364" t="s">
        <v>272</v>
      </c>
      <c r="J172" s="365">
        <v>3</v>
      </c>
      <c r="K172" s="365" t="s">
        <v>273</v>
      </c>
      <c r="L172" s="366"/>
    </row>
    <row r="173" spans="1:18" ht="15.75" customHeight="1">
      <c r="A173" s="153">
        <v>2</v>
      </c>
      <c r="B173" s="153">
        <v>5</v>
      </c>
      <c r="C173" s="153">
        <v>12</v>
      </c>
      <c r="D173" s="153" t="s">
        <v>49</v>
      </c>
      <c r="E173" s="155" t="s">
        <v>50</v>
      </c>
      <c r="F173" s="403" t="s">
        <v>31</v>
      </c>
      <c r="G173" s="156">
        <v>50566</v>
      </c>
      <c r="H173" s="157">
        <v>90</v>
      </c>
      <c r="I173" s="403" t="s">
        <v>272</v>
      </c>
      <c r="J173" s="397">
        <v>3</v>
      </c>
      <c r="K173" s="397" t="s">
        <v>273</v>
      </c>
      <c r="L173" s="397" t="s">
        <v>193</v>
      </c>
      <c r="M173" s="90"/>
      <c r="N173" s="90"/>
      <c r="O173" s="90"/>
      <c r="P173" s="90"/>
      <c r="Q173" s="90"/>
      <c r="R173" s="90"/>
    </row>
    <row r="174" spans="1:18" ht="15.75" customHeight="1">
      <c r="A174" s="359">
        <v>2</v>
      </c>
      <c r="B174" s="359">
        <v>5</v>
      </c>
      <c r="C174" s="359">
        <v>12</v>
      </c>
      <c r="D174" s="359" t="s">
        <v>49</v>
      </c>
      <c r="E174" s="360" t="s">
        <v>50</v>
      </c>
      <c r="F174" s="361" t="s">
        <v>34</v>
      </c>
      <c r="G174" s="362">
        <v>50476</v>
      </c>
      <c r="H174" s="363">
        <v>192</v>
      </c>
      <c r="I174" s="364" t="s">
        <v>272</v>
      </c>
      <c r="J174" s="365">
        <v>3</v>
      </c>
      <c r="K174" s="365" t="s">
        <v>273</v>
      </c>
      <c r="L174" s="366"/>
    </row>
    <row r="175" spans="1:18" ht="15.75" customHeight="1">
      <c r="A175" s="359">
        <v>2</v>
      </c>
      <c r="B175" s="359">
        <v>5</v>
      </c>
      <c r="C175" s="359">
        <v>12</v>
      </c>
      <c r="D175" s="359" t="s">
        <v>49</v>
      </c>
      <c r="E175" s="360" t="s">
        <v>194</v>
      </c>
      <c r="F175" s="361" t="s">
        <v>34</v>
      </c>
      <c r="G175" s="362">
        <v>50634</v>
      </c>
      <c r="H175" s="363">
        <v>74</v>
      </c>
      <c r="I175" s="364" t="s">
        <v>265</v>
      </c>
      <c r="J175" s="365">
        <v>3</v>
      </c>
      <c r="K175" s="365" t="s">
        <v>321</v>
      </c>
      <c r="L175" s="366"/>
    </row>
    <row r="176" spans="1:18" ht="15.75" customHeight="1">
      <c r="A176" s="359">
        <v>2</v>
      </c>
      <c r="B176" s="359">
        <v>5</v>
      </c>
      <c r="C176" s="359">
        <v>12</v>
      </c>
      <c r="D176" s="359" t="s">
        <v>49</v>
      </c>
      <c r="E176" s="360" t="s">
        <v>50</v>
      </c>
      <c r="F176" s="361" t="s">
        <v>68</v>
      </c>
      <c r="G176" s="362">
        <v>50633</v>
      </c>
      <c r="H176" s="363">
        <v>158</v>
      </c>
      <c r="I176" s="364" t="s">
        <v>272</v>
      </c>
      <c r="J176" s="365">
        <v>3</v>
      </c>
      <c r="K176" s="365" t="s">
        <v>273</v>
      </c>
      <c r="L176" s="366"/>
    </row>
    <row r="177" spans="1:12" ht="15.75" customHeight="1">
      <c r="A177" s="359">
        <v>2</v>
      </c>
      <c r="B177" s="359">
        <v>5</v>
      </c>
      <c r="C177" s="359">
        <v>13</v>
      </c>
      <c r="D177" s="359" t="s">
        <v>37</v>
      </c>
      <c r="E177" s="360" t="s">
        <v>38</v>
      </c>
      <c r="F177" s="361" t="s">
        <v>25</v>
      </c>
      <c r="G177" s="362">
        <v>50342</v>
      </c>
      <c r="H177" s="363">
        <v>3</v>
      </c>
      <c r="I177" s="364" t="s">
        <v>272</v>
      </c>
      <c r="J177" s="365">
        <v>3</v>
      </c>
      <c r="K177" s="365" t="s">
        <v>273</v>
      </c>
      <c r="L177" s="366"/>
    </row>
    <row r="178" spans="1:12" ht="15.75" customHeight="1">
      <c r="A178" s="359">
        <v>2</v>
      </c>
      <c r="B178" s="359">
        <v>5</v>
      </c>
      <c r="C178" s="359">
        <v>13</v>
      </c>
      <c r="D178" s="359" t="s">
        <v>37</v>
      </c>
      <c r="E178" s="360" t="s">
        <v>38</v>
      </c>
      <c r="F178" s="361" t="s">
        <v>31</v>
      </c>
      <c r="G178" s="362">
        <v>50785</v>
      </c>
      <c r="H178" s="363">
        <v>131</v>
      </c>
      <c r="I178" s="364" t="s">
        <v>272</v>
      </c>
      <c r="J178" s="365">
        <v>3</v>
      </c>
      <c r="K178" s="365" t="s">
        <v>273</v>
      </c>
      <c r="L178" s="366"/>
    </row>
    <row r="179" spans="1:12" ht="15.75" customHeight="1">
      <c r="A179" s="359">
        <v>2</v>
      </c>
      <c r="B179" s="359">
        <v>5</v>
      </c>
      <c r="C179" s="359">
        <v>13</v>
      </c>
      <c r="D179" s="359" t="s">
        <v>37</v>
      </c>
      <c r="E179" s="360" t="s">
        <v>38</v>
      </c>
      <c r="F179" s="361" t="s">
        <v>25</v>
      </c>
      <c r="G179" s="362">
        <v>50694</v>
      </c>
      <c r="H179" s="363">
        <v>161</v>
      </c>
      <c r="I179" s="364" t="s">
        <v>272</v>
      </c>
      <c r="J179" s="365">
        <v>3</v>
      </c>
      <c r="K179" s="365" t="s">
        <v>273</v>
      </c>
      <c r="L179" s="366"/>
    </row>
    <row r="180" spans="1:12" ht="15.75" customHeight="1">
      <c r="A180" s="359">
        <v>2</v>
      </c>
      <c r="B180" s="359">
        <v>5</v>
      </c>
      <c r="C180" s="359">
        <v>13</v>
      </c>
      <c r="D180" s="359" t="s">
        <v>37</v>
      </c>
      <c r="E180" s="360" t="s">
        <v>38</v>
      </c>
      <c r="F180" s="361" t="s">
        <v>68</v>
      </c>
      <c r="G180" s="362">
        <v>50600</v>
      </c>
      <c r="H180" s="363">
        <v>36</v>
      </c>
      <c r="I180" s="364" t="s">
        <v>272</v>
      </c>
      <c r="J180" s="365">
        <v>3</v>
      </c>
      <c r="K180" s="365" t="s">
        <v>273</v>
      </c>
      <c r="L180" s="366"/>
    </row>
    <row r="181" spans="1:12" ht="15.75" customHeight="1">
      <c r="A181" s="359">
        <v>2</v>
      </c>
      <c r="B181" s="359">
        <v>5</v>
      </c>
      <c r="C181" s="359">
        <v>13</v>
      </c>
      <c r="D181" s="359" t="s">
        <v>37</v>
      </c>
      <c r="E181" s="360" t="s">
        <v>38</v>
      </c>
      <c r="F181" s="361" t="s">
        <v>34</v>
      </c>
      <c r="G181" s="362">
        <v>50663</v>
      </c>
      <c r="H181" s="363">
        <v>14</v>
      </c>
      <c r="I181" s="364" t="s">
        <v>272</v>
      </c>
      <c r="J181" s="365">
        <v>3</v>
      </c>
      <c r="K181" s="365" t="s">
        <v>273</v>
      </c>
      <c r="L181" s="366"/>
    </row>
    <row r="182" spans="1:12" ht="15.75" customHeight="1">
      <c r="A182" s="359">
        <v>2</v>
      </c>
      <c r="B182" s="359">
        <v>5</v>
      </c>
      <c r="C182" s="359">
        <v>13</v>
      </c>
      <c r="D182" s="359" t="s">
        <v>37</v>
      </c>
      <c r="E182" s="360" t="s">
        <v>38</v>
      </c>
      <c r="F182" s="361" t="s">
        <v>68</v>
      </c>
      <c r="G182" s="362">
        <v>50696</v>
      </c>
      <c r="H182" s="363">
        <v>45</v>
      </c>
      <c r="I182" s="364" t="s">
        <v>272</v>
      </c>
      <c r="J182" s="365">
        <v>3</v>
      </c>
      <c r="K182" s="365" t="s">
        <v>273</v>
      </c>
      <c r="L182" s="366"/>
    </row>
    <row r="183" spans="1:12" ht="15.75" customHeight="1">
      <c r="A183" s="359">
        <v>2</v>
      </c>
      <c r="B183" s="359">
        <v>6</v>
      </c>
      <c r="C183" s="359">
        <v>1</v>
      </c>
      <c r="D183" s="359" t="s">
        <v>195</v>
      </c>
      <c r="E183" s="360" t="s">
        <v>196</v>
      </c>
      <c r="F183" s="361" t="s">
        <v>34</v>
      </c>
      <c r="G183" s="362">
        <v>50703</v>
      </c>
      <c r="H183" s="363">
        <v>190</v>
      </c>
      <c r="I183" s="364" t="s">
        <v>265</v>
      </c>
      <c r="J183" s="365">
        <v>2</v>
      </c>
      <c r="K183" s="365" t="s">
        <v>322</v>
      </c>
      <c r="L183" s="366"/>
    </row>
    <row r="184" spans="1:12" ht="15.75" customHeight="1">
      <c r="A184" s="359">
        <v>2</v>
      </c>
      <c r="B184" s="359">
        <v>6</v>
      </c>
      <c r="C184" s="359">
        <v>2</v>
      </c>
      <c r="D184" s="359" t="s">
        <v>197</v>
      </c>
      <c r="E184" s="360" t="s">
        <v>198</v>
      </c>
      <c r="F184" s="361" t="s">
        <v>25</v>
      </c>
      <c r="G184" s="362">
        <v>50771</v>
      </c>
      <c r="H184" s="363">
        <v>9</v>
      </c>
      <c r="I184" s="364" t="s">
        <v>265</v>
      </c>
      <c r="J184" s="365">
        <v>2</v>
      </c>
      <c r="K184" s="365" t="s">
        <v>322</v>
      </c>
      <c r="L184" s="366"/>
    </row>
    <row r="185" spans="1:12" ht="15.75" customHeight="1">
      <c r="A185" s="359">
        <v>2</v>
      </c>
      <c r="B185" s="359">
        <v>6</v>
      </c>
      <c r="C185" s="359">
        <v>2</v>
      </c>
      <c r="D185" s="359" t="s">
        <v>37</v>
      </c>
      <c r="E185" s="360" t="s">
        <v>38</v>
      </c>
      <c r="F185" s="361" t="s">
        <v>34</v>
      </c>
      <c r="G185" s="362">
        <v>50622</v>
      </c>
      <c r="H185" s="363">
        <v>47</v>
      </c>
      <c r="I185" s="364" t="s">
        <v>272</v>
      </c>
      <c r="J185" s="365">
        <v>3</v>
      </c>
      <c r="K185" s="365" t="s">
        <v>273</v>
      </c>
      <c r="L185" s="366"/>
    </row>
    <row r="186" spans="1:12" ht="15.75" customHeight="1">
      <c r="A186" s="324">
        <v>2</v>
      </c>
      <c r="B186" s="324">
        <v>6</v>
      </c>
      <c r="C186" s="324">
        <v>2</v>
      </c>
      <c r="D186" s="324" t="s">
        <v>37</v>
      </c>
      <c r="E186" s="373" t="s">
        <v>38</v>
      </c>
      <c r="F186" s="374" t="s">
        <v>25</v>
      </c>
      <c r="G186" s="375">
        <v>50694</v>
      </c>
      <c r="H186" s="376">
        <v>81</v>
      </c>
      <c r="I186" s="377"/>
      <c r="J186" s="378"/>
      <c r="K186" s="378"/>
      <c r="L186" s="378" t="s">
        <v>55</v>
      </c>
    </row>
    <row r="187" spans="1:12" ht="15.75" customHeight="1">
      <c r="A187" s="324">
        <v>2</v>
      </c>
      <c r="B187" s="324">
        <v>6</v>
      </c>
      <c r="C187" s="324">
        <v>2</v>
      </c>
      <c r="D187" s="324" t="s">
        <v>199</v>
      </c>
      <c r="E187" s="373" t="s">
        <v>200</v>
      </c>
      <c r="F187" s="374" t="s">
        <v>34</v>
      </c>
      <c r="G187" s="375">
        <v>50603</v>
      </c>
      <c r="H187" s="376">
        <v>65</v>
      </c>
      <c r="I187" s="377"/>
      <c r="J187" s="378"/>
      <c r="K187" s="378"/>
      <c r="L187" s="378" t="s">
        <v>55</v>
      </c>
    </row>
    <row r="188" spans="1:12" ht="15.75" customHeight="1">
      <c r="A188" s="324">
        <v>2</v>
      </c>
      <c r="B188" s="324">
        <v>6</v>
      </c>
      <c r="C188" s="324">
        <v>2</v>
      </c>
      <c r="D188" s="324" t="s">
        <v>199</v>
      </c>
      <c r="E188" s="373" t="s">
        <v>200</v>
      </c>
      <c r="F188" s="374" t="s">
        <v>34</v>
      </c>
      <c r="G188" s="375">
        <v>50656</v>
      </c>
      <c r="H188" s="376">
        <v>23</v>
      </c>
      <c r="I188" s="377"/>
      <c r="J188" s="378"/>
      <c r="K188" s="378"/>
      <c r="L188" s="378" t="s">
        <v>55</v>
      </c>
    </row>
    <row r="189" spans="1:12" ht="15.75" customHeight="1">
      <c r="A189" s="359">
        <v>2</v>
      </c>
      <c r="B189" s="359">
        <v>6</v>
      </c>
      <c r="C189" s="359">
        <v>3</v>
      </c>
      <c r="D189" s="359" t="s">
        <v>201</v>
      </c>
      <c r="E189" s="360" t="s">
        <v>202</v>
      </c>
      <c r="F189" s="361" t="s">
        <v>34</v>
      </c>
      <c r="G189" s="362">
        <v>50601</v>
      </c>
      <c r="H189" s="363">
        <v>146</v>
      </c>
      <c r="I189" s="364" t="s">
        <v>272</v>
      </c>
      <c r="J189" s="365">
        <v>3</v>
      </c>
      <c r="K189" s="365" t="s">
        <v>273</v>
      </c>
      <c r="L189" s="366"/>
    </row>
    <row r="190" spans="1:12" ht="15.75" customHeight="1">
      <c r="A190" s="359">
        <v>2</v>
      </c>
      <c r="B190" s="359">
        <v>6</v>
      </c>
      <c r="C190" s="359">
        <v>3</v>
      </c>
      <c r="D190" s="359" t="s">
        <v>201</v>
      </c>
      <c r="E190" s="360" t="s">
        <v>202</v>
      </c>
      <c r="F190" s="361" t="s">
        <v>25</v>
      </c>
      <c r="G190" s="362">
        <v>50525</v>
      </c>
      <c r="H190" s="363">
        <v>42</v>
      </c>
      <c r="I190" s="364" t="s">
        <v>272</v>
      </c>
      <c r="J190" s="365">
        <v>3</v>
      </c>
      <c r="K190" s="365" t="s">
        <v>273</v>
      </c>
      <c r="L190" s="366"/>
    </row>
    <row r="191" spans="1:12" ht="15.75" customHeight="1">
      <c r="A191" s="359">
        <v>2</v>
      </c>
      <c r="B191" s="359">
        <v>6</v>
      </c>
      <c r="C191" s="359">
        <v>3</v>
      </c>
      <c r="D191" s="359" t="s">
        <v>199</v>
      </c>
      <c r="E191" s="360" t="s">
        <v>200</v>
      </c>
      <c r="F191" s="361" t="s">
        <v>34</v>
      </c>
      <c r="G191" s="362">
        <v>50603</v>
      </c>
      <c r="H191" s="363">
        <v>32</v>
      </c>
      <c r="I191" s="364" t="s">
        <v>265</v>
      </c>
      <c r="J191" s="365">
        <v>2</v>
      </c>
      <c r="K191" s="365" t="s">
        <v>322</v>
      </c>
      <c r="L191" s="366"/>
    </row>
    <row r="192" spans="1:12" ht="15.75" customHeight="1">
      <c r="A192" s="359">
        <v>2</v>
      </c>
      <c r="B192" s="359">
        <v>6</v>
      </c>
      <c r="C192" s="359">
        <v>4</v>
      </c>
      <c r="D192" s="359" t="s">
        <v>203</v>
      </c>
      <c r="E192" s="360" t="s">
        <v>204</v>
      </c>
      <c r="F192" s="361" t="s">
        <v>68</v>
      </c>
      <c r="G192" s="362">
        <v>50835</v>
      </c>
      <c r="H192" s="363">
        <v>580</v>
      </c>
      <c r="I192" s="364" t="s">
        <v>265</v>
      </c>
      <c r="J192" s="365">
        <v>2</v>
      </c>
      <c r="K192" s="365" t="s">
        <v>323</v>
      </c>
      <c r="L192" s="366"/>
    </row>
    <row r="193" spans="1:12" ht="15.75" customHeight="1">
      <c r="A193" s="359">
        <v>2</v>
      </c>
      <c r="B193" s="359">
        <v>6</v>
      </c>
      <c r="C193" s="359">
        <v>5</v>
      </c>
      <c r="D193" s="359" t="s">
        <v>203</v>
      </c>
      <c r="E193" s="360" t="s">
        <v>204</v>
      </c>
      <c r="F193" s="361" t="s">
        <v>68</v>
      </c>
      <c r="G193" s="362">
        <v>50835</v>
      </c>
      <c r="H193" s="363">
        <v>308</v>
      </c>
      <c r="I193" s="364" t="s">
        <v>265</v>
      </c>
      <c r="J193" s="365">
        <v>2</v>
      </c>
      <c r="K193" s="365" t="s">
        <v>323</v>
      </c>
      <c r="L193" s="366"/>
    </row>
    <row r="194" spans="1:12" ht="15.75" customHeight="1">
      <c r="A194" s="359">
        <v>2</v>
      </c>
      <c r="B194" s="359">
        <v>6</v>
      </c>
      <c r="C194" s="359">
        <v>5</v>
      </c>
      <c r="D194" s="359" t="s">
        <v>167</v>
      </c>
      <c r="E194" s="360" t="s">
        <v>168</v>
      </c>
      <c r="F194" s="361" t="s">
        <v>25</v>
      </c>
      <c r="G194" s="362">
        <v>50744</v>
      </c>
      <c r="H194" s="363">
        <v>1</v>
      </c>
      <c r="I194" s="364" t="s">
        <v>265</v>
      </c>
      <c r="J194" s="365">
        <v>2</v>
      </c>
      <c r="K194" s="365" t="s">
        <v>269</v>
      </c>
      <c r="L194" s="366"/>
    </row>
    <row r="195" spans="1:12" ht="15.75" customHeight="1">
      <c r="A195" s="359">
        <v>2</v>
      </c>
      <c r="B195" s="359">
        <v>7</v>
      </c>
      <c r="C195" s="359">
        <v>1</v>
      </c>
      <c r="D195" s="359" t="s">
        <v>177</v>
      </c>
      <c r="E195" s="360" t="s">
        <v>178</v>
      </c>
      <c r="F195" s="361" t="s">
        <v>68</v>
      </c>
      <c r="G195" s="362">
        <v>50852</v>
      </c>
      <c r="H195" s="363">
        <v>256</v>
      </c>
      <c r="I195" s="364" t="s">
        <v>265</v>
      </c>
      <c r="J195" s="365">
        <v>2</v>
      </c>
      <c r="K195" s="365" t="s">
        <v>269</v>
      </c>
      <c r="L195" s="366"/>
    </row>
    <row r="196" spans="1:12" ht="15.75" customHeight="1">
      <c r="A196" s="382">
        <v>2</v>
      </c>
      <c r="B196" s="359">
        <v>7</v>
      </c>
      <c r="C196" s="359">
        <v>2</v>
      </c>
      <c r="D196" s="359" t="s">
        <v>205</v>
      </c>
      <c r="E196" s="360" t="s">
        <v>206</v>
      </c>
      <c r="F196" s="361" t="s">
        <v>34</v>
      </c>
      <c r="G196" s="362">
        <v>50853</v>
      </c>
      <c r="H196" s="363">
        <v>642</v>
      </c>
      <c r="I196" s="364" t="s">
        <v>265</v>
      </c>
      <c r="J196" s="365">
        <v>2</v>
      </c>
      <c r="K196" s="365" t="s">
        <v>310</v>
      </c>
      <c r="L196" s="366"/>
    </row>
    <row r="197" spans="1:12" ht="15.75" customHeight="1">
      <c r="A197" s="359">
        <v>2</v>
      </c>
      <c r="B197" s="359">
        <v>7</v>
      </c>
      <c r="C197" s="359">
        <v>3</v>
      </c>
      <c r="D197" s="359" t="s">
        <v>208</v>
      </c>
      <c r="E197" s="360" t="s">
        <v>209</v>
      </c>
      <c r="F197" s="361" t="s">
        <v>68</v>
      </c>
      <c r="G197" s="362">
        <v>50635</v>
      </c>
      <c r="H197" s="363">
        <v>311</v>
      </c>
      <c r="I197" s="364" t="s">
        <v>265</v>
      </c>
      <c r="J197" s="365">
        <v>2</v>
      </c>
      <c r="K197" s="365" t="s">
        <v>269</v>
      </c>
      <c r="L197" s="366"/>
    </row>
    <row r="198" spans="1:12" ht="15.75" customHeight="1">
      <c r="A198" s="359">
        <v>2</v>
      </c>
      <c r="B198" s="359">
        <v>7</v>
      </c>
      <c r="C198" s="359">
        <v>3</v>
      </c>
      <c r="D198" s="359" t="s">
        <v>81</v>
      </c>
      <c r="E198" s="360" t="s">
        <v>82</v>
      </c>
      <c r="F198" s="361" t="s">
        <v>34</v>
      </c>
      <c r="G198" s="362">
        <v>50555</v>
      </c>
      <c r="H198" s="363">
        <v>5</v>
      </c>
      <c r="I198" s="364" t="s">
        <v>265</v>
      </c>
      <c r="J198" s="365">
        <v>2</v>
      </c>
      <c r="K198" s="365" t="s">
        <v>269</v>
      </c>
      <c r="L198" s="366"/>
    </row>
    <row r="199" spans="1:12" ht="15.75" customHeight="1">
      <c r="A199" s="359">
        <v>2</v>
      </c>
      <c r="B199" s="359">
        <v>7</v>
      </c>
      <c r="C199" s="359">
        <v>3</v>
      </c>
      <c r="D199" s="359" t="s">
        <v>208</v>
      </c>
      <c r="E199" s="360" t="s">
        <v>209</v>
      </c>
      <c r="F199" s="361" t="s">
        <v>34</v>
      </c>
      <c r="G199" s="362">
        <v>50617</v>
      </c>
      <c r="H199" s="363">
        <v>75</v>
      </c>
      <c r="I199" s="364" t="s">
        <v>265</v>
      </c>
      <c r="J199" s="365">
        <v>2</v>
      </c>
      <c r="K199" s="365" t="s">
        <v>269</v>
      </c>
      <c r="L199" s="366"/>
    </row>
    <row r="200" spans="1:12" ht="15.75" customHeight="1">
      <c r="A200" s="324">
        <v>2</v>
      </c>
      <c r="B200" s="324">
        <v>7</v>
      </c>
      <c r="C200" s="324">
        <v>4</v>
      </c>
      <c r="D200" s="324" t="s">
        <v>210</v>
      </c>
      <c r="E200" s="373" t="s">
        <v>211</v>
      </c>
      <c r="F200" s="374" t="s">
        <v>34</v>
      </c>
      <c r="G200" s="375">
        <v>50578</v>
      </c>
      <c r="H200" s="376">
        <v>4</v>
      </c>
      <c r="I200" s="377"/>
      <c r="J200" s="378"/>
      <c r="K200" s="378"/>
      <c r="L200" s="378" t="s">
        <v>55</v>
      </c>
    </row>
    <row r="201" spans="1:12" ht="15.75" customHeight="1">
      <c r="A201" s="324">
        <v>2</v>
      </c>
      <c r="B201" s="324">
        <v>7</v>
      </c>
      <c r="C201" s="324">
        <v>4</v>
      </c>
      <c r="D201" s="324" t="s">
        <v>212</v>
      </c>
      <c r="E201" s="373" t="s">
        <v>213</v>
      </c>
      <c r="F201" s="374" t="s">
        <v>34</v>
      </c>
      <c r="G201" s="375">
        <v>50579</v>
      </c>
      <c r="H201" s="376">
        <v>1</v>
      </c>
      <c r="I201" s="377"/>
      <c r="J201" s="378"/>
      <c r="K201" s="378"/>
      <c r="L201" s="378" t="s">
        <v>55</v>
      </c>
    </row>
    <row r="202" spans="1:12" ht="15.75" customHeight="1">
      <c r="A202" s="359">
        <v>2</v>
      </c>
      <c r="B202" s="359">
        <v>7</v>
      </c>
      <c r="C202" s="359">
        <v>4</v>
      </c>
      <c r="D202" s="359" t="s">
        <v>214</v>
      </c>
      <c r="E202" s="360" t="s">
        <v>215</v>
      </c>
      <c r="F202" s="361" t="s">
        <v>34</v>
      </c>
      <c r="G202" s="362">
        <v>50580</v>
      </c>
      <c r="H202" s="363">
        <v>25</v>
      </c>
      <c r="I202" s="364" t="s">
        <v>272</v>
      </c>
      <c r="J202" s="365">
        <v>3</v>
      </c>
      <c r="K202" s="365" t="s">
        <v>273</v>
      </c>
      <c r="L202" s="366"/>
    </row>
    <row r="203" spans="1:12" ht="15.75" customHeight="1">
      <c r="A203" s="359">
        <v>2</v>
      </c>
      <c r="B203" s="359">
        <v>7</v>
      </c>
      <c r="C203" s="359">
        <v>4</v>
      </c>
      <c r="D203" s="359" t="s">
        <v>216</v>
      </c>
      <c r="E203" s="360" t="s">
        <v>217</v>
      </c>
      <c r="F203" s="361" t="s">
        <v>34</v>
      </c>
      <c r="G203" s="362">
        <v>50584</v>
      </c>
      <c r="H203" s="363">
        <v>92</v>
      </c>
      <c r="I203" s="364" t="s">
        <v>265</v>
      </c>
      <c r="J203" s="365">
        <v>2</v>
      </c>
      <c r="K203" s="365" t="s">
        <v>324</v>
      </c>
      <c r="L203" s="366"/>
    </row>
    <row r="204" spans="1:12" ht="15.75" customHeight="1">
      <c r="A204" s="359">
        <v>2</v>
      </c>
      <c r="B204" s="359">
        <v>7</v>
      </c>
      <c r="C204" s="359">
        <v>4</v>
      </c>
      <c r="D204" s="359" t="s">
        <v>218</v>
      </c>
      <c r="E204" s="360" t="s">
        <v>219</v>
      </c>
      <c r="F204" s="361" t="s">
        <v>34</v>
      </c>
      <c r="G204" s="362">
        <v>50547</v>
      </c>
      <c r="H204" s="363">
        <v>73</v>
      </c>
      <c r="I204" s="364" t="s">
        <v>265</v>
      </c>
      <c r="J204" s="365">
        <v>2</v>
      </c>
      <c r="K204" s="365" t="s">
        <v>325</v>
      </c>
      <c r="L204" s="366"/>
    </row>
    <row r="205" spans="1:12" ht="15.75" customHeight="1">
      <c r="A205" s="359">
        <v>2</v>
      </c>
      <c r="B205" s="359">
        <v>7</v>
      </c>
      <c r="C205" s="359">
        <v>4</v>
      </c>
      <c r="D205" s="359" t="s">
        <v>218</v>
      </c>
      <c r="E205" s="360" t="s">
        <v>219</v>
      </c>
      <c r="F205" s="361" t="s">
        <v>25</v>
      </c>
      <c r="G205" s="362">
        <v>50389</v>
      </c>
      <c r="H205" s="363">
        <v>14</v>
      </c>
      <c r="I205" s="364" t="s">
        <v>265</v>
      </c>
      <c r="J205" s="365">
        <v>2</v>
      </c>
      <c r="K205" s="365" t="s">
        <v>325</v>
      </c>
      <c r="L205" s="366"/>
    </row>
    <row r="206" spans="1:12" ht="15.75" customHeight="1">
      <c r="A206" s="359">
        <v>2</v>
      </c>
      <c r="B206" s="359">
        <v>7</v>
      </c>
      <c r="C206" s="359">
        <v>4</v>
      </c>
      <c r="D206" s="359" t="s">
        <v>218</v>
      </c>
      <c r="E206" s="360" t="s">
        <v>219</v>
      </c>
      <c r="F206" s="361" t="s">
        <v>25</v>
      </c>
      <c r="G206" s="362">
        <v>50676</v>
      </c>
      <c r="H206" s="363">
        <v>3</v>
      </c>
      <c r="I206" s="364" t="s">
        <v>265</v>
      </c>
      <c r="J206" s="365">
        <v>2</v>
      </c>
      <c r="K206" s="365" t="s">
        <v>325</v>
      </c>
      <c r="L206" s="366"/>
    </row>
    <row r="207" spans="1:12" ht="15.75" customHeight="1">
      <c r="A207" s="359">
        <v>2</v>
      </c>
      <c r="B207" s="359">
        <v>7</v>
      </c>
      <c r="C207" s="359">
        <v>5</v>
      </c>
      <c r="D207" s="359" t="s">
        <v>160</v>
      </c>
      <c r="E207" s="360" t="s">
        <v>161</v>
      </c>
      <c r="F207" s="361" t="s">
        <v>25</v>
      </c>
      <c r="G207" s="362">
        <v>50863</v>
      </c>
      <c r="H207" s="363">
        <v>168</v>
      </c>
      <c r="I207" s="364" t="s">
        <v>265</v>
      </c>
      <c r="J207" s="365">
        <v>2</v>
      </c>
      <c r="K207" s="365" t="s">
        <v>270</v>
      </c>
      <c r="L207" s="366"/>
    </row>
    <row r="208" spans="1:12" ht="15.75" customHeight="1">
      <c r="A208" s="359">
        <v>2</v>
      </c>
      <c r="B208" s="359">
        <v>7</v>
      </c>
      <c r="C208" s="359">
        <v>5</v>
      </c>
      <c r="D208" s="359" t="s">
        <v>189</v>
      </c>
      <c r="E208" s="360" t="s">
        <v>190</v>
      </c>
      <c r="F208" s="361" t="s">
        <v>25</v>
      </c>
      <c r="G208" s="362">
        <v>50864</v>
      </c>
      <c r="H208" s="363">
        <v>279</v>
      </c>
      <c r="I208" s="364" t="s">
        <v>272</v>
      </c>
      <c r="J208" s="365">
        <v>3</v>
      </c>
      <c r="K208" s="365" t="s">
        <v>309</v>
      </c>
      <c r="L208" s="366"/>
    </row>
    <row r="209" spans="1:18" ht="15.75" customHeight="1">
      <c r="A209" s="359">
        <v>2</v>
      </c>
      <c r="B209" s="359">
        <v>7</v>
      </c>
      <c r="C209" s="359">
        <v>6</v>
      </c>
      <c r="D209" s="359" t="s">
        <v>100</v>
      </c>
      <c r="E209" s="360" t="s">
        <v>101</v>
      </c>
      <c r="F209" s="361" t="s">
        <v>31</v>
      </c>
      <c r="G209" s="362">
        <v>50692</v>
      </c>
      <c r="H209" s="363">
        <v>462</v>
      </c>
      <c r="I209" s="364" t="s">
        <v>265</v>
      </c>
      <c r="J209" s="365">
        <v>2</v>
      </c>
      <c r="K209" s="365" t="s">
        <v>269</v>
      </c>
      <c r="L209" s="366"/>
    </row>
    <row r="210" spans="1:18" ht="15.75" customHeight="1">
      <c r="A210" s="359">
        <v>2</v>
      </c>
      <c r="B210" s="359">
        <v>7</v>
      </c>
      <c r="C210" s="359">
        <v>7</v>
      </c>
      <c r="D210" s="359" t="s">
        <v>58</v>
      </c>
      <c r="E210" s="360" t="s">
        <v>59</v>
      </c>
      <c r="F210" s="361" t="s">
        <v>25</v>
      </c>
      <c r="G210" s="362">
        <v>50868</v>
      </c>
      <c r="H210" s="363">
        <v>416</v>
      </c>
      <c r="I210" s="364" t="s">
        <v>265</v>
      </c>
      <c r="J210" s="365">
        <v>2</v>
      </c>
      <c r="K210" s="365" t="s">
        <v>270</v>
      </c>
      <c r="L210" s="366"/>
    </row>
    <row r="211" spans="1:18" ht="15.75" customHeight="1">
      <c r="A211" s="165">
        <v>2</v>
      </c>
      <c r="B211" s="165">
        <v>7</v>
      </c>
      <c r="C211" s="165">
        <v>7</v>
      </c>
      <c r="D211" s="165" t="s">
        <v>97</v>
      </c>
      <c r="E211" s="166" t="s">
        <v>220</v>
      </c>
      <c r="F211" s="403" t="s">
        <v>25</v>
      </c>
      <c r="G211" s="167">
        <v>50869</v>
      </c>
      <c r="H211" s="168">
        <v>214</v>
      </c>
      <c r="I211" s="403" t="s">
        <v>265</v>
      </c>
      <c r="J211" s="397">
        <v>2</v>
      </c>
      <c r="K211" s="397" t="s">
        <v>317</v>
      </c>
      <c r="L211" s="397" t="s">
        <v>221</v>
      </c>
      <c r="M211" s="170"/>
      <c r="N211" s="170"/>
      <c r="O211" s="170"/>
      <c r="P211" s="170"/>
      <c r="Q211" s="170"/>
      <c r="R211" s="170"/>
    </row>
    <row r="212" spans="1:18" ht="15.75" customHeight="1">
      <c r="A212" s="359">
        <v>2</v>
      </c>
      <c r="B212" s="359">
        <v>7</v>
      </c>
      <c r="C212" s="359">
        <v>9</v>
      </c>
      <c r="D212" s="359" t="s">
        <v>222</v>
      </c>
      <c r="E212" s="360" t="s">
        <v>223</v>
      </c>
      <c r="F212" s="361" t="s">
        <v>25</v>
      </c>
      <c r="G212" s="362">
        <v>50870</v>
      </c>
      <c r="H212" s="363">
        <v>93</v>
      </c>
      <c r="I212" s="364" t="s">
        <v>265</v>
      </c>
      <c r="J212" s="365">
        <v>2</v>
      </c>
      <c r="K212" s="365" t="s">
        <v>270</v>
      </c>
      <c r="L212" s="366"/>
    </row>
    <row r="213" spans="1:18" ht="15.75" customHeight="1">
      <c r="A213" s="359">
        <v>2</v>
      </c>
      <c r="B213" s="359">
        <v>7</v>
      </c>
      <c r="C213" s="359">
        <v>9</v>
      </c>
      <c r="D213" s="359" t="s">
        <v>138</v>
      </c>
      <c r="E213" s="360" t="s">
        <v>139</v>
      </c>
      <c r="F213" s="361" t="s">
        <v>25</v>
      </c>
      <c r="G213" s="362">
        <v>50871</v>
      </c>
      <c r="H213" s="363">
        <v>433</v>
      </c>
      <c r="I213" s="364" t="s">
        <v>272</v>
      </c>
      <c r="J213" s="365">
        <v>3</v>
      </c>
      <c r="K213" s="365" t="s">
        <v>273</v>
      </c>
      <c r="L213" s="366"/>
    </row>
    <row r="214" spans="1:18" ht="15.75" customHeight="1">
      <c r="A214" s="165">
        <v>2</v>
      </c>
      <c r="B214" s="165">
        <v>7</v>
      </c>
      <c r="C214" s="165">
        <v>11</v>
      </c>
      <c r="D214" s="165" t="s">
        <v>224</v>
      </c>
      <c r="E214" s="166" t="s">
        <v>225</v>
      </c>
      <c r="F214" s="403" t="s">
        <v>25</v>
      </c>
      <c r="G214" s="167">
        <v>50872</v>
      </c>
      <c r="H214" s="168">
        <v>200</v>
      </c>
      <c r="I214" s="403" t="s">
        <v>272</v>
      </c>
      <c r="J214" s="397">
        <v>3</v>
      </c>
      <c r="K214" s="397" t="s">
        <v>273</v>
      </c>
      <c r="L214" s="397" t="s">
        <v>221</v>
      </c>
      <c r="M214" s="170"/>
      <c r="N214" s="170"/>
      <c r="O214" s="170"/>
      <c r="P214" s="170"/>
      <c r="Q214" s="170"/>
      <c r="R214" s="170"/>
    </row>
    <row r="215" spans="1:18" ht="15.75" customHeight="1">
      <c r="A215" s="324">
        <v>2</v>
      </c>
      <c r="B215" s="324">
        <v>7</v>
      </c>
      <c r="C215" s="324">
        <v>11</v>
      </c>
      <c r="D215" s="324" t="s">
        <v>212</v>
      </c>
      <c r="E215" s="373" t="s">
        <v>213</v>
      </c>
      <c r="F215" s="374" t="s">
        <v>25</v>
      </c>
      <c r="G215" s="375">
        <v>50873</v>
      </c>
      <c r="H215" s="376">
        <v>186</v>
      </c>
      <c r="I215" s="377"/>
      <c r="J215" s="378"/>
      <c r="K215" s="378"/>
      <c r="L215" s="378" t="s">
        <v>55</v>
      </c>
    </row>
    <row r="216" spans="1:18" ht="15.75" customHeight="1">
      <c r="A216" s="359">
        <v>2</v>
      </c>
      <c r="B216" s="359">
        <v>7</v>
      </c>
      <c r="C216" s="359">
        <v>11</v>
      </c>
      <c r="D216" s="359" t="s">
        <v>74</v>
      </c>
      <c r="E216" s="360" t="s">
        <v>75</v>
      </c>
      <c r="F216" s="361" t="s">
        <v>25</v>
      </c>
      <c r="G216" s="362">
        <v>50885</v>
      </c>
      <c r="H216" s="363">
        <v>222</v>
      </c>
      <c r="I216" s="364" t="s">
        <v>265</v>
      </c>
      <c r="J216" s="365">
        <v>2</v>
      </c>
      <c r="K216" s="365" t="s">
        <v>270</v>
      </c>
      <c r="L216" s="366"/>
    </row>
    <row r="217" spans="1:18" ht="15.75" customHeight="1">
      <c r="A217" s="359">
        <v>2</v>
      </c>
      <c r="B217" s="359">
        <v>7</v>
      </c>
      <c r="C217" s="359">
        <v>12</v>
      </c>
      <c r="D217" s="359" t="s">
        <v>226</v>
      </c>
      <c r="E217" s="360" t="s">
        <v>227</v>
      </c>
      <c r="F217" s="361" t="s">
        <v>34</v>
      </c>
      <c r="G217" s="362">
        <v>50662</v>
      </c>
      <c r="H217" s="363">
        <v>31</v>
      </c>
      <c r="I217" s="364" t="s">
        <v>272</v>
      </c>
      <c r="J217" s="365">
        <v>3</v>
      </c>
      <c r="K217" s="365" t="s">
        <v>273</v>
      </c>
      <c r="L217" s="366"/>
    </row>
    <row r="218" spans="1:18" ht="15.75" customHeight="1">
      <c r="A218" s="359">
        <v>2</v>
      </c>
      <c r="B218" s="359">
        <v>7</v>
      </c>
      <c r="C218" s="359">
        <v>12</v>
      </c>
      <c r="D218" s="359" t="s">
        <v>212</v>
      </c>
      <c r="E218" s="360" t="s">
        <v>213</v>
      </c>
      <c r="F218" s="361" t="s">
        <v>48</v>
      </c>
      <c r="G218" s="362">
        <v>10995</v>
      </c>
      <c r="H218" s="363">
        <v>170</v>
      </c>
      <c r="I218" s="364" t="s">
        <v>272</v>
      </c>
      <c r="J218" s="365">
        <v>3</v>
      </c>
      <c r="K218" s="365" t="s">
        <v>273</v>
      </c>
      <c r="L218" s="366"/>
    </row>
    <row r="219" spans="1:18" ht="15.75" customHeight="1">
      <c r="A219" s="359">
        <v>2</v>
      </c>
      <c r="B219" s="359">
        <v>7</v>
      </c>
      <c r="C219" s="359">
        <v>13</v>
      </c>
      <c r="D219" s="359" t="s">
        <v>66</v>
      </c>
      <c r="E219" s="360" t="s">
        <v>67</v>
      </c>
      <c r="F219" s="361" t="s">
        <v>31</v>
      </c>
      <c r="G219" s="362">
        <v>50323</v>
      </c>
      <c r="H219" s="363">
        <v>143</v>
      </c>
      <c r="I219" s="364" t="s">
        <v>272</v>
      </c>
      <c r="J219" s="365">
        <v>3</v>
      </c>
      <c r="K219" s="365" t="s">
        <v>273</v>
      </c>
      <c r="L219" s="366"/>
    </row>
    <row r="220" spans="1:18" ht="15.75" customHeight="1">
      <c r="A220" s="359">
        <v>2</v>
      </c>
      <c r="B220" s="359">
        <v>7</v>
      </c>
      <c r="C220" s="359">
        <v>13</v>
      </c>
      <c r="D220" s="359" t="s">
        <v>66</v>
      </c>
      <c r="E220" s="360" t="s">
        <v>67</v>
      </c>
      <c r="F220" s="361" t="s">
        <v>31</v>
      </c>
      <c r="G220" s="362">
        <v>50726</v>
      </c>
      <c r="H220" s="363">
        <v>166</v>
      </c>
      <c r="I220" s="364" t="s">
        <v>272</v>
      </c>
      <c r="J220" s="365">
        <v>3</v>
      </c>
      <c r="K220" s="365" t="s">
        <v>273</v>
      </c>
      <c r="L220" s="366"/>
    </row>
    <row r="221" spans="1:18" ht="15.75" customHeight="1">
      <c r="A221" s="359">
        <v>2</v>
      </c>
      <c r="B221" s="359">
        <v>7</v>
      </c>
      <c r="C221" s="359">
        <v>13</v>
      </c>
      <c r="D221" s="359" t="s">
        <v>66</v>
      </c>
      <c r="E221" s="360" t="s">
        <v>67</v>
      </c>
      <c r="F221" s="361" t="s">
        <v>34</v>
      </c>
      <c r="G221" s="362">
        <v>50087</v>
      </c>
      <c r="H221" s="363">
        <v>132</v>
      </c>
      <c r="I221" s="364" t="s">
        <v>265</v>
      </c>
      <c r="J221" s="365">
        <v>2</v>
      </c>
      <c r="K221" s="365" t="s">
        <v>269</v>
      </c>
      <c r="L221" s="366"/>
    </row>
    <row r="222" spans="1:18" ht="15.75" customHeight="1">
      <c r="A222" s="359">
        <v>2</v>
      </c>
      <c r="B222" s="359">
        <v>7</v>
      </c>
      <c r="C222" s="359">
        <v>13</v>
      </c>
      <c r="D222" s="359" t="s">
        <v>66</v>
      </c>
      <c r="E222" s="360" t="s">
        <v>67</v>
      </c>
      <c r="F222" s="361" t="s">
        <v>31</v>
      </c>
      <c r="G222" s="362">
        <v>50724</v>
      </c>
      <c r="H222" s="363">
        <v>224</v>
      </c>
      <c r="I222" s="364" t="s">
        <v>272</v>
      </c>
      <c r="J222" s="365">
        <v>3</v>
      </c>
      <c r="K222" s="365" t="s">
        <v>273</v>
      </c>
      <c r="L222" s="366"/>
    </row>
    <row r="223" spans="1:18" ht="15.75" customHeight="1">
      <c r="A223" s="324">
        <v>2</v>
      </c>
      <c r="B223" s="324">
        <v>7</v>
      </c>
      <c r="C223" s="324">
        <v>14</v>
      </c>
      <c r="D223" s="324" t="s">
        <v>228</v>
      </c>
      <c r="E223" s="373" t="s">
        <v>229</v>
      </c>
      <c r="F223" s="374" t="s">
        <v>25</v>
      </c>
      <c r="G223" s="375">
        <v>50855</v>
      </c>
      <c r="H223" s="376">
        <v>26</v>
      </c>
      <c r="I223" s="398"/>
      <c r="J223" s="399"/>
      <c r="K223" s="399"/>
      <c r="L223" s="378" t="s">
        <v>55</v>
      </c>
    </row>
    <row r="224" spans="1:18" ht="15.75" customHeight="1">
      <c r="A224" s="359">
        <v>2</v>
      </c>
      <c r="B224" s="359">
        <v>7</v>
      </c>
      <c r="C224" s="359">
        <v>16</v>
      </c>
      <c r="D224" s="359" t="s">
        <v>138</v>
      </c>
      <c r="E224" s="360" t="s">
        <v>139</v>
      </c>
      <c r="F224" s="361" t="s">
        <v>25</v>
      </c>
      <c r="G224" s="362">
        <v>50879</v>
      </c>
      <c r="H224" s="363">
        <v>477</v>
      </c>
      <c r="I224" s="364" t="s">
        <v>272</v>
      </c>
      <c r="J224" s="365">
        <v>3</v>
      </c>
      <c r="K224" s="365" t="s">
        <v>273</v>
      </c>
      <c r="L224" s="366"/>
    </row>
    <row r="225" spans="1:12" ht="15.75" customHeight="1">
      <c r="A225" s="359">
        <v>2</v>
      </c>
      <c r="B225" s="359">
        <v>7</v>
      </c>
      <c r="C225" s="359">
        <v>16</v>
      </c>
      <c r="D225" s="359" t="s">
        <v>122</v>
      </c>
      <c r="E225" s="360" t="s">
        <v>123</v>
      </c>
      <c r="F225" s="361" t="s">
        <v>25</v>
      </c>
      <c r="G225" s="362">
        <v>50888</v>
      </c>
      <c r="H225" s="363">
        <v>135</v>
      </c>
      <c r="I225" s="364" t="s">
        <v>272</v>
      </c>
      <c r="J225" s="365">
        <v>3</v>
      </c>
      <c r="K225" s="365" t="s">
        <v>273</v>
      </c>
      <c r="L225" s="366"/>
    </row>
    <row r="226" spans="1:12" ht="15.75" customHeight="1">
      <c r="A226" s="359">
        <v>2</v>
      </c>
      <c r="B226" s="359">
        <v>7</v>
      </c>
      <c r="C226" s="359">
        <v>17</v>
      </c>
      <c r="D226" s="359" t="s">
        <v>66</v>
      </c>
      <c r="E226" s="360" t="s">
        <v>67</v>
      </c>
      <c r="F226" s="361" t="s">
        <v>34</v>
      </c>
      <c r="G226" s="362">
        <v>50459</v>
      </c>
      <c r="H226" s="363">
        <v>126</v>
      </c>
      <c r="I226" s="364" t="s">
        <v>272</v>
      </c>
      <c r="J226" s="365">
        <v>3</v>
      </c>
      <c r="K226" s="365" t="s">
        <v>273</v>
      </c>
      <c r="L226" s="366"/>
    </row>
    <row r="227" spans="1:12" ht="15.75" customHeight="1">
      <c r="A227" s="359">
        <v>2</v>
      </c>
      <c r="B227" s="359">
        <v>7</v>
      </c>
      <c r="C227" s="359">
        <v>17</v>
      </c>
      <c r="D227" s="359" t="s">
        <v>66</v>
      </c>
      <c r="E227" s="360" t="s">
        <v>67</v>
      </c>
      <c r="F227" s="361" t="s">
        <v>34</v>
      </c>
      <c r="G227" s="362">
        <v>50602</v>
      </c>
      <c r="H227" s="363">
        <v>42</v>
      </c>
      <c r="I227" s="364" t="s">
        <v>272</v>
      </c>
      <c r="J227" s="365">
        <v>3</v>
      </c>
      <c r="K227" s="365" t="s">
        <v>273</v>
      </c>
      <c r="L227" s="366"/>
    </row>
    <row r="228" spans="1:12" ht="15.75" customHeight="1">
      <c r="A228" s="359">
        <v>2</v>
      </c>
      <c r="B228" s="359">
        <v>7</v>
      </c>
      <c r="C228" s="359">
        <v>18</v>
      </c>
      <c r="D228" s="359" t="s">
        <v>230</v>
      </c>
      <c r="E228" s="360" t="s">
        <v>231</v>
      </c>
      <c r="F228" s="361" t="s">
        <v>48</v>
      </c>
      <c r="G228" s="362">
        <v>50206</v>
      </c>
      <c r="H228" s="363">
        <v>73</v>
      </c>
      <c r="I228" s="364" t="s">
        <v>272</v>
      </c>
      <c r="J228" s="365">
        <v>3</v>
      </c>
      <c r="K228" s="365" t="s">
        <v>273</v>
      </c>
      <c r="L228" s="366"/>
    </row>
    <row r="229" spans="1:12" ht="15.75" customHeight="1">
      <c r="A229" s="359">
        <v>2</v>
      </c>
      <c r="B229" s="359">
        <v>7</v>
      </c>
      <c r="C229" s="359">
        <v>18</v>
      </c>
      <c r="D229" s="359" t="s">
        <v>232</v>
      </c>
      <c r="E229" s="391"/>
      <c r="F229" s="361" t="s">
        <v>68</v>
      </c>
      <c r="G229" s="362">
        <v>50779</v>
      </c>
      <c r="H229" s="363">
        <v>91</v>
      </c>
      <c r="I229" s="364" t="s">
        <v>272</v>
      </c>
      <c r="J229" s="365">
        <v>3</v>
      </c>
      <c r="K229" s="365" t="s">
        <v>273</v>
      </c>
      <c r="L229" s="366"/>
    </row>
    <row r="230" spans="1:12" ht="15.75" customHeight="1">
      <c r="A230" s="359">
        <v>2</v>
      </c>
      <c r="B230" s="359">
        <v>8</v>
      </c>
      <c r="C230" s="359">
        <v>2</v>
      </c>
      <c r="D230" s="359" t="s">
        <v>233</v>
      </c>
      <c r="E230" s="360" t="s">
        <v>234</v>
      </c>
      <c r="F230" s="361" t="s">
        <v>48</v>
      </c>
      <c r="G230" s="362">
        <v>50778</v>
      </c>
      <c r="H230" s="363">
        <v>118</v>
      </c>
      <c r="I230" s="364" t="s">
        <v>272</v>
      </c>
      <c r="J230" s="365">
        <v>3</v>
      </c>
      <c r="K230" s="365" t="s">
        <v>273</v>
      </c>
      <c r="L230" s="366"/>
    </row>
    <row r="231" spans="1:12" ht="15.75" customHeight="1">
      <c r="A231" s="359">
        <v>2</v>
      </c>
      <c r="B231" s="359">
        <v>8</v>
      </c>
      <c r="C231" s="359">
        <v>2</v>
      </c>
      <c r="D231" s="359" t="s">
        <v>233</v>
      </c>
      <c r="E231" s="360" t="s">
        <v>234</v>
      </c>
      <c r="F231" s="361" t="s">
        <v>34</v>
      </c>
      <c r="G231" s="362">
        <v>50587</v>
      </c>
      <c r="H231" s="363">
        <v>47</v>
      </c>
      <c r="I231" s="364" t="s">
        <v>272</v>
      </c>
      <c r="J231" s="365">
        <v>3</v>
      </c>
      <c r="K231" s="365" t="s">
        <v>273</v>
      </c>
      <c r="L231" s="366"/>
    </row>
    <row r="232" spans="1:12" ht="15.75" customHeight="1">
      <c r="A232" s="359">
        <v>2</v>
      </c>
      <c r="B232" s="359">
        <v>8</v>
      </c>
      <c r="C232" s="359">
        <v>3</v>
      </c>
      <c r="D232" s="359" t="s">
        <v>134</v>
      </c>
      <c r="E232" s="360" t="s">
        <v>135</v>
      </c>
      <c r="F232" s="361" t="s">
        <v>25</v>
      </c>
      <c r="G232" s="362">
        <v>50268</v>
      </c>
      <c r="H232" s="363">
        <v>210</v>
      </c>
      <c r="I232" s="364" t="s">
        <v>272</v>
      </c>
      <c r="J232" s="365">
        <v>3</v>
      </c>
      <c r="K232" s="365" t="s">
        <v>273</v>
      </c>
      <c r="L232" s="366"/>
    </row>
    <row r="233" spans="1:12" ht="15.75" customHeight="1">
      <c r="A233" s="359">
        <v>2</v>
      </c>
      <c r="B233" s="359">
        <v>8</v>
      </c>
      <c r="C233" s="359">
        <v>4</v>
      </c>
      <c r="D233" s="359" t="s">
        <v>132</v>
      </c>
      <c r="E233" s="360" t="s">
        <v>133</v>
      </c>
      <c r="F233" s="361" t="s">
        <v>68</v>
      </c>
      <c r="G233" s="362">
        <v>50454</v>
      </c>
      <c r="H233" s="363">
        <v>273</v>
      </c>
      <c r="I233" s="364" t="s">
        <v>272</v>
      </c>
      <c r="J233" s="365">
        <v>3</v>
      </c>
      <c r="K233" s="365" t="s">
        <v>273</v>
      </c>
      <c r="L233" s="366"/>
    </row>
    <row r="234" spans="1:12" ht="15.75" customHeight="1">
      <c r="A234" s="359">
        <v>2</v>
      </c>
      <c r="B234" s="359">
        <v>8</v>
      </c>
      <c r="C234" s="359">
        <v>4</v>
      </c>
      <c r="D234" s="359" t="s">
        <v>132</v>
      </c>
      <c r="E234" s="360" t="s">
        <v>133</v>
      </c>
      <c r="F234" s="361" t="s">
        <v>34</v>
      </c>
      <c r="G234" s="362">
        <v>50570</v>
      </c>
      <c r="H234" s="363">
        <v>226</v>
      </c>
      <c r="I234" s="364" t="s">
        <v>272</v>
      </c>
      <c r="J234" s="365">
        <v>3</v>
      </c>
      <c r="K234" s="365" t="s">
        <v>273</v>
      </c>
      <c r="L234" s="366"/>
    </row>
    <row r="235" spans="1:12" ht="15.75" customHeight="1">
      <c r="A235" s="359">
        <v>2</v>
      </c>
      <c r="B235" s="359">
        <v>8</v>
      </c>
      <c r="C235" s="359">
        <v>5</v>
      </c>
      <c r="D235" s="359" t="s">
        <v>142</v>
      </c>
      <c r="E235" s="360" t="s">
        <v>143</v>
      </c>
      <c r="F235" s="361" t="s">
        <v>31</v>
      </c>
      <c r="G235" s="362">
        <v>50824</v>
      </c>
      <c r="H235" s="363">
        <v>67</v>
      </c>
      <c r="I235" s="364" t="s">
        <v>272</v>
      </c>
      <c r="J235" s="365">
        <v>3</v>
      </c>
      <c r="K235" s="365" t="s">
        <v>273</v>
      </c>
      <c r="L235" s="366"/>
    </row>
    <row r="236" spans="1:12" ht="15.75" customHeight="1">
      <c r="A236" s="359">
        <v>2</v>
      </c>
      <c r="B236" s="359">
        <v>8</v>
      </c>
      <c r="C236" s="359">
        <v>5</v>
      </c>
      <c r="D236" s="359" t="s">
        <v>142</v>
      </c>
      <c r="E236" s="360" t="s">
        <v>143</v>
      </c>
      <c r="F236" s="361" t="s">
        <v>25</v>
      </c>
      <c r="G236" s="362">
        <v>50766</v>
      </c>
      <c r="H236" s="363">
        <v>26</v>
      </c>
      <c r="I236" s="364" t="s">
        <v>266</v>
      </c>
      <c r="J236" s="365">
        <v>1</v>
      </c>
      <c r="K236" s="365" t="s">
        <v>314</v>
      </c>
      <c r="L236" s="366"/>
    </row>
    <row r="237" spans="1:12" ht="15.75" customHeight="1">
      <c r="A237" s="359">
        <v>2</v>
      </c>
      <c r="B237" s="359">
        <v>8</v>
      </c>
      <c r="C237" s="359">
        <v>6</v>
      </c>
      <c r="D237" s="359" t="s">
        <v>37</v>
      </c>
      <c r="E237" s="360" t="s">
        <v>38</v>
      </c>
      <c r="F237" s="361" t="s">
        <v>31</v>
      </c>
      <c r="G237" s="362">
        <v>50826</v>
      </c>
      <c r="H237" s="363">
        <v>185</v>
      </c>
      <c r="I237" s="364" t="s">
        <v>272</v>
      </c>
      <c r="J237" s="365">
        <v>3</v>
      </c>
      <c r="K237" s="365" t="s">
        <v>273</v>
      </c>
      <c r="L237" s="366"/>
    </row>
    <row r="238" spans="1:12" ht="15.75" customHeight="1">
      <c r="A238" s="359">
        <v>2</v>
      </c>
      <c r="B238" s="359">
        <v>8</v>
      </c>
      <c r="C238" s="359">
        <v>6</v>
      </c>
      <c r="D238" s="359" t="s">
        <v>58</v>
      </c>
      <c r="E238" s="360" t="s">
        <v>59</v>
      </c>
      <c r="F238" s="361" t="s">
        <v>31</v>
      </c>
      <c r="G238" s="362">
        <v>50839</v>
      </c>
      <c r="H238" s="363">
        <v>215</v>
      </c>
      <c r="I238" s="364" t="s">
        <v>265</v>
      </c>
      <c r="J238" s="365">
        <v>2</v>
      </c>
      <c r="K238" s="365" t="s">
        <v>268</v>
      </c>
      <c r="L238" s="366"/>
    </row>
    <row r="239" spans="1:12" ht="15.75" customHeight="1">
      <c r="A239" s="359">
        <v>2</v>
      </c>
      <c r="B239" s="359">
        <v>8</v>
      </c>
      <c r="C239" s="359">
        <v>6</v>
      </c>
      <c r="D239" s="359" t="s">
        <v>173</v>
      </c>
      <c r="E239" s="360" t="s">
        <v>174</v>
      </c>
      <c r="F239" s="361" t="s">
        <v>31</v>
      </c>
      <c r="G239" s="362">
        <v>50825</v>
      </c>
      <c r="H239" s="363">
        <v>132</v>
      </c>
      <c r="I239" s="405" t="s">
        <v>272</v>
      </c>
      <c r="J239" s="406">
        <v>3</v>
      </c>
      <c r="K239" s="406" t="s">
        <v>273</v>
      </c>
      <c r="L239" s="366"/>
    </row>
    <row r="240" spans="1:12" ht="15.75" customHeight="1">
      <c r="A240" s="359">
        <v>2</v>
      </c>
      <c r="B240" s="359">
        <v>8</v>
      </c>
      <c r="C240" s="359">
        <v>7</v>
      </c>
      <c r="D240" s="359" t="s">
        <v>171</v>
      </c>
      <c r="E240" s="360" t="s">
        <v>172</v>
      </c>
      <c r="F240" s="361" t="s">
        <v>25</v>
      </c>
      <c r="G240" s="362">
        <v>50878</v>
      </c>
      <c r="H240" s="363">
        <v>396</v>
      </c>
      <c r="I240" s="405" t="s">
        <v>272</v>
      </c>
      <c r="J240" s="406">
        <v>3</v>
      </c>
      <c r="K240" s="406" t="s">
        <v>273</v>
      </c>
      <c r="L240" s="366"/>
    </row>
    <row r="241" spans="1:12" ht="15.75" customHeight="1">
      <c r="A241" s="84">
        <v>2</v>
      </c>
      <c r="B241" s="84">
        <v>8</v>
      </c>
      <c r="C241" s="84">
        <v>8</v>
      </c>
      <c r="D241" s="84" t="s">
        <v>235</v>
      </c>
      <c r="E241" s="367" t="s">
        <v>236</v>
      </c>
      <c r="F241" s="368" t="s">
        <v>34</v>
      </c>
      <c r="G241" s="369">
        <v>50569</v>
      </c>
      <c r="H241" s="370">
        <v>7</v>
      </c>
      <c r="I241" s="371"/>
      <c r="J241" s="372"/>
      <c r="K241" s="372"/>
      <c r="L241" s="372" t="s">
        <v>43</v>
      </c>
    </row>
    <row r="242" spans="1:12" ht="15.75" customHeight="1">
      <c r="A242" s="359">
        <v>2</v>
      </c>
      <c r="B242" s="359">
        <v>8</v>
      </c>
      <c r="C242" s="359">
        <v>8</v>
      </c>
      <c r="D242" s="359" t="s">
        <v>85</v>
      </c>
      <c r="E242" s="360" t="s">
        <v>86</v>
      </c>
      <c r="F242" s="361" t="s">
        <v>31</v>
      </c>
      <c r="G242" s="362">
        <v>50796</v>
      </c>
      <c r="H242" s="363">
        <v>256</v>
      </c>
      <c r="I242" s="405" t="s">
        <v>272</v>
      </c>
      <c r="J242" s="406">
        <v>3</v>
      </c>
      <c r="K242" s="406" t="s">
        <v>273</v>
      </c>
      <c r="L242" s="366"/>
    </row>
    <row r="243" spans="1:12" ht="15.75" customHeight="1">
      <c r="A243" s="359">
        <v>2</v>
      </c>
      <c r="B243" s="359">
        <v>8</v>
      </c>
      <c r="C243" s="359">
        <v>10</v>
      </c>
      <c r="D243" s="359" t="s">
        <v>169</v>
      </c>
      <c r="E243" s="360" t="s">
        <v>170</v>
      </c>
      <c r="F243" s="361" t="s">
        <v>25</v>
      </c>
      <c r="G243" s="362">
        <v>50883</v>
      </c>
      <c r="H243" s="363">
        <v>158</v>
      </c>
      <c r="I243" s="364" t="s">
        <v>272</v>
      </c>
      <c r="J243" s="365">
        <v>3</v>
      </c>
      <c r="K243" s="365" t="s">
        <v>273</v>
      </c>
      <c r="L243" s="366"/>
    </row>
    <row r="244" spans="1:12" ht="15.75" customHeight="1">
      <c r="A244" s="382">
        <v>2</v>
      </c>
      <c r="B244" s="359">
        <v>8</v>
      </c>
      <c r="C244" s="359">
        <v>10</v>
      </c>
      <c r="D244" s="359" t="s">
        <v>218</v>
      </c>
      <c r="E244" s="360" t="s">
        <v>219</v>
      </c>
      <c r="F244" s="361" t="s">
        <v>25</v>
      </c>
      <c r="G244" s="362">
        <v>50884</v>
      </c>
      <c r="H244" s="363">
        <v>262</v>
      </c>
      <c r="I244" s="405" t="s">
        <v>272</v>
      </c>
      <c r="J244" s="406">
        <v>3</v>
      </c>
      <c r="K244" s="406" t="s">
        <v>273</v>
      </c>
      <c r="L244" s="366"/>
    </row>
    <row r="245" spans="1:12" ht="15.75" customHeight="1">
      <c r="A245" s="359">
        <v>2</v>
      </c>
      <c r="B245" s="359">
        <v>8</v>
      </c>
      <c r="C245" s="359">
        <v>11</v>
      </c>
      <c r="D245" s="359" t="s">
        <v>237</v>
      </c>
      <c r="E245" s="360" t="s">
        <v>238</v>
      </c>
      <c r="F245" s="361" t="s">
        <v>25</v>
      </c>
      <c r="G245" s="362">
        <v>50751</v>
      </c>
      <c r="H245" s="363">
        <v>239</v>
      </c>
      <c r="I245" s="364" t="s">
        <v>265</v>
      </c>
      <c r="J245" s="365">
        <v>2</v>
      </c>
      <c r="K245" s="365" t="s">
        <v>269</v>
      </c>
      <c r="L245" s="366"/>
    </row>
    <row r="246" spans="1:12" ht="15.75" customHeight="1">
      <c r="A246" s="359">
        <v>2</v>
      </c>
      <c r="B246" s="359">
        <v>8</v>
      </c>
      <c r="C246" s="359">
        <v>11</v>
      </c>
      <c r="D246" s="359" t="s">
        <v>237</v>
      </c>
      <c r="E246" s="360" t="s">
        <v>238</v>
      </c>
      <c r="F246" s="361" t="s">
        <v>68</v>
      </c>
      <c r="G246" s="362">
        <v>50737</v>
      </c>
      <c r="H246" s="363">
        <v>31</v>
      </c>
      <c r="I246" s="364" t="s">
        <v>265</v>
      </c>
      <c r="J246" s="365">
        <v>2</v>
      </c>
      <c r="K246" s="365" t="s">
        <v>269</v>
      </c>
      <c r="L246" s="366"/>
    </row>
    <row r="247" spans="1:12" ht="15.75" customHeight="1">
      <c r="A247" s="324">
        <v>2</v>
      </c>
      <c r="B247" s="324">
        <v>8</v>
      </c>
      <c r="C247" s="324">
        <v>11</v>
      </c>
      <c r="D247" s="324" t="s">
        <v>237</v>
      </c>
      <c r="E247" s="373" t="s">
        <v>238</v>
      </c>
      <c r="F247" s="374" t="s">
        <v>34</v>
      </c>
      <c r="G247" s="375">
        <v>50543</v>
      </c>
      <c r="H247" s="376">
        <v>38</v>
      </c>
      <c r="I247" s="377"/>
      <c r="J247" s="378"/>
      <c r="K247" s="378"/>
      <c r="L247" s="378" t="s">
        <v>55</v>
      </c>
    </row>
    <row r="248" spans="1:12" ht="15.75" customHeight="1">
      <c r="A248" s="359">
        <v>2</v>
      </c>
      <c r="B248" s="359">
        <v>8</v>
      </c>
      <c r="C248" s="359">
        <v>11</v>
      </c>
      <c r="D248" s="359" t="s">
        <v>237</v>
      </c>
      <c r="E248" s="360" t="s">
        <v>238</v>
      </c>
      <c r="F248" s="361" t="s">
        <v>34</v>
      </c>
      <c r="G248" s="362">
        <v>50738</v>
      </c>
      <c r="H248" s="363">
        <v>54</v>
      </c>
      <c r="I248" s="364" t="s">
        <v>265</v>
      </c>
      <c r="J248" s="365">
        <v>2</v>
      </c>
      <c r="K248" s="365" t="s">
        <v>269</v>
      </c>
      <c r="L248" s="366"/>
    </row>
    <row r="249" spans="1:12" ht="15.75" customHeight="1">
      <c r="A249" s="359">
        <v>2</v>
      </c>
      <c r="B249" s="359">
        <v>8</v>
      </c>
      <c r="C249" s="359">
        <v>11</v>
      </c>
      <c r="D249" s="359" t="s">
        <v>237</v>
      </c>
      <c r="E249" s="360" t="s">
        <v>238</v>
      </c>
      <c r="F249" s="361" t="s">
        <v>68</v>
      </c>
      <c r="G249" s="362">
        <v>50644</v>
      </c>
      <c r="H249" s="363">
        <v>14</v>
      </c>
      <c r="I249" s="364" t="s">
        <v>265</v>
      </c>
      <c r="J249" s="365">
        <v>2</v>
      </c>
      <c r="K249" s="365" t="s">
        <v>269</v>
      </c>
      <c r="L249" s="366"/>
    </row>
    <row r="250" spans="1:12" ht="15.75" customHeight="1">
      <c r="A250" s="84">
        <v>2</v>
      </c>
      <c r="B250" s="84">
        <v>8</v>
      </c>
      <c r="C250" s="84">
        <v>11</v>
      </c>
      <c r="D250" s="84" t="s">
        <v>237</v>
      </c>
      <c r="E250" s="367" t="s">
        <v>238</v>
      </c>
      <c r="F250" s="368" t="s">
        <v>25</v>
      </c>
      <c r="G250" s="369">
        <v>50275</v>
      </c>
      <c r="H250" s="370">
        <v>24</v>
      </c>
      <c r="I250" s="371"/>
      <c r="J250" s="372"/>
      <c r="K250" s="372"/>
      <c r="L250" s="372" t="s">
        <v>43</v>
      </c>
    </row>
    <row r="251" spans="1:12" ht="15.75" customHeight="1">
      <c r="A251" s="84">
        <v>2</v>
      </c>
      <c r="B251" s="84">
        <v>8</v>
      </c>
      <c r="C251" s="84">
        <v>11</v>
      </c>
      <c r="D251" s="84" t="s">
        <v>237</v>
      </c>
      <c r="E251" s="367" t="s">
        <v>238</v>
      </c>
      <c r="F251" s="368" t="s">
        <v>34</v>
      </c>
      <c r="G251" s="369">
        <v>50709</v>
      </c>
      <c r="H251" s="370">
        <v>31</v>
      </c>
      <c r="I251" s="371"/>
      <c r="J251" s="372"/>
      <c r="K251" s="372"/>
      <c r="L251" s="372" t="s">
        <v>43</v>
      </c>
    </row>
    <row r="252" spans="1:12" ht="15.75" customHeight="1">
      <c r="A252" s="352">
        <v>2</v>
      </c>
      <c r="B252" s="352">
        <v>8</v>
      </c>
      <c r="C252" s="352">
        <v>12</v>
      </c>
      <c r="D252" s="352" t="s">
        <v>239</v>
      </c>
      <c r="E252" s="353" t="s">
        <v>240</v>
      </c>
      <c r="F252" s="354" t="s">
        <v>25</v>
      </c>
      <c r="G252" s="355">
        <v>30885</v>
      </c>
      <c r="H252" s="356">
        <v>408</v>
      </c>
      <c r="I252" s="357"/>
      <c r="J252" s="358"/>
      <c r="K252" s="358"/>
      <c r="L252" s="358" t="s">
        <v>26</v>
      </c>
    </row>
    <row r="253" spans="1:12" ht="15.75" customHeight="1">
      <c r="A253" s="359">
        <v>2</v>
      </c>
      <c r="B253" s="359">
        <v>8</v>
      </c>
      <c r="C253" s="359">
        <v>13</v>
      </c>
      <c r="D253" s="359" t="s">
        <v>134</v>
      </c>
      <c r="E253" s="360" t="s">
        <v>135</v>
      </c>
      <c r="F253" s="361" t="s">
        <v>25</v>
      </c>
      <c r="G253" s="362">
        <v>50142</v>
      </c>
      <c r="H253" s="363">
        <v>224</v>
      </c>
      <c r="I253" s="364" t="s">
        <v>265</v>
      </c>
      <c r="J253" s="365">
        <v>2</v>
      </c>
      <c r="K253" s="365" t="s">
        <v>269</v>
      </c>
      <c r="L253" s="366"/>
    </row>
    <row r="254" spans="1:12" ht="15.75" customHeight="1">
      <c r="A254" s="359">
        <v>2</v>
      </c>
      <c r="B254" s="359">
        <v>8</v>
      </c>
      <c r="C254" s="359">
        <v>13</v>
      </c>
      <c r="D254" s="359" t="s">
        <v>136</v>
      </c>
      <c r="E254" s="360" t="s">
        <v>137</v>
      </c>
      <c r="F254" s="361" t="s">
        <v>25</v>
      </c>
      <c r="G254" s="362">
        <v>50857</v>
      </c>
      <c r="H254" s="363">
        <v>106</v>
      </c>
      <c r="I254" s="364" t="s">
        <v>272</v>
      </c>
      <c r="J254" s="365">
        <v>3</v>
      </c>
      <c r="K254" s="365" t="s">
        <v>273</v>
      </c>
      <c r="L254" s="366"/>
    </row>
    <row r="255" spans="1:12" ht="15.75" customHeight="1">
      <c r="A255" s="359">
        <v>2</v>
      </c>
      <c r="B255" s="359">
        <v>8</v>
      </c>
      <c r="C255" s="359">
        <v>14</v>
      </c>
      <c r="D255" s="359" t="s">
        <v>241</v>
      </c>
      <c r="E255" s="360" t="s">
        <v>242</v>
      </c>
      <c r="F255" s="361" t="s">
        <v>25</v>
      </c>
      <c r="G255" s="362">
        <v>50876</v>
      </c>
      <c r="H255" s="363">
        <v>420</v>
      </c>
      <c r="I255" s="364" t="s">
        <v>272</v>
      </c>
      <c r="J255" s="365">
        <v>3</v>
      </c>
      <c r="K255" s="365" t="s">
        <v>273</v>
      </c>
      <c r="L255" s="366"/>
    </row>
    <row r="256" spans="1:12" ht="15.75" customHeight="1">
      <c r="A256" s="359">
        <v>2</v>
      </c>
      <c r="B256" s="359">
        <v>8</v>
      </c>
      <c r="C256" s="359">
        <v>15</v>
      </c>
      <c r="D256" s="359" t="s">
        <v>203</v>
      </c>
      <c r="E256" s="360" t="s">
        <v>204</v>
      </c>
      <c r="F256" s="361" t="s">
        <v>31</v>
      </c>
      <c r="G256" s="362">
        <v>50841</v>
      </c>
      <c r="H256" s="363">
        <v>390</v>
      </c>
      <c r="I256" s="364" t="s">
        <v>265</v>
      </c>
      <c r="J256" s="365">
        <v>2</v>
      </c>
      <c r="K256" s="365" t="s">
        <v>331</v>
      </c>
      <c r="L256" s="366"/>
    </row>
    <row r="257" spans="1:12" ht="15.75" customHeight="1">
      <c r="A257" s="359">
        <v>2</v>
      </c>
      <c r="B257" s="359">
        <v>8</v>
      </c>
      <c r="C257" s="359">
        <v>15</v>
      </c>
      <c r="D257" s="359" t="s">
        <v>203</v>
      </c>
      <c r="E257" s="360" t="s">
        <v>204</v>
      </c>
      <c r="F257" s="361" t="s">
        <v>25</v>
      </c>
      <c r="G257" s="362">
        <v>50657</v>
      </c>
      <c r="H257" s="363">
        <v>8</v>
      </c>
      <c r="I257" s="364" t="s">
        <v>265</v>
      </c>
      <c r="J257" s="365">
        <v>2</v>
      </c>
      <c r="K257" s="365" t="s">
        <v>331</v>
      </c>
      <c r="L257" s="366"/>
    </row>
    <row r="258" spans="1:12" ht="15.75" customHeight="1">
      <c r="A258" s="359">
        <v>2</v>
      </c>
      <c r="B258" s="359">
        <v>8</v>
      </c>
      <c r="C258" s="359">
        <v>15</v>
      </c>
      <c r="D258" s="359" t="s">
        <v>203</v>
      </c>
      <c r="E258" s="360" t="s">
        <v>204</v>
      </c>
      <c r="F258" s="361" t="s">
        <v>31</v>
      </c>
      <c r="G258" s="362">
        <v>50777</v>
      </c>
      <c r="H258" s="363">
        <v>9</v>
      </c>
      <c r="I258" s="364" t="s">
        <v>265</v>
      </c>
      <c r="J258" s="365">
        <v>2</v>
      </c>
      <c r="K258" s="365" t="s">
        <v>331</v>
      </c>
      <c r="L258" s="366"/>
    </row>
    <row r="259" spans="1:12" ht="15.75" customHeight="1">
      <c r="A259" s="359">
        <v>2</v>
      </c>
      <c r="B259" s="359">
        <v>8</v>
      </c>
      <c r="C259" s="359">
        <v>15</v>
      </c>
      <c r="D259" s="359" t="s">
        <v>203</v>
      </c>
      <c r="E259" s="360" t="s">
        <v>204</v>
      </c>
      <c r="F259" s="361" t="s">
        <v>31</v>
      </c>
      <c r="G259" s="362">
        <v>50799</v>
      </c>
      <c r="H259" s="363">
        <v>7</v>
      </c>
      <c r="I259" s="364" t="s">
        <v>265</v>
      </c>
      <c r="J259" s="365">
        <v>2</v>
      </c>
      <c r="K259" s="365" t="s">
        <v>331</v>
      </c>
      <c r="L259" s="366"/>
    </row>
    <row r="260" spans="1:12" ht="15.75" customHeight="1">
      <c r="A260" s="84">
        <v>2</v>
      </c>
      <c r="B260" s="84">
        <v>12</v>
      </c>
      <c r="C260" s="84">
        <v>22</v>
      </c>
      <c r="D260" s="84" t="s">
        <v>243</v>
      </c>
      <c r="E260" s="367" t="s">
        <v>244</v>
      </c>
      <c r="F260" s="368" t="s">
        <v>109</v>
      </c>
      <c r="G260" s="369">
        <v>30655</v>
      </c>
      <c r="H260" s="370">
        <v>6</v>
      </c>
      <c r="I260" s="371"/>
      <c r="J260" s="372"/>
      <c r="K260" s="372"/>
      <c r="L260" s="372" t="s">
        <v>43</v>
      </c>
    </row>
    <row r="261" spans="1:12" ht="15.75" customHeight="1">
      <c r="A261" s="407"/>
      <c r="B261" s="407"/>
      <c r="C261" s="407"/>
      <c r="D261" s="407"/>
      <c r="E261" s="408"/>
      <c r="F261" s="390"/>
      <c r="G261" s="407"/>
      <c r="H261" s="409"/>
      <c r="I261" s="390"/>
      <c r="J261" s="366"/>
      <c r="K261" s="366"/>
      <c r="L261" s="366"/>
    </row>
    <row r="262" spans="1:12" ht="15.75" customHeight="1">
      <c r="A262" s="344"/>
      <c r="B262" s="344"/>
      <c r="C262" s="344"/>
      <c r="D262" s="344"/>
      <c r="E262" s="345"/>
      <c r="F262" s="346"/>
      <c r="G262" s="344"/>
      <c r="H262" s="11"/>
      <c r="I262" s="346"/>
      <c r="J262" s="410"/>
      <c r="K262" s="410"/>
      <c r="L262" s="410"/>
    </row>
    <row r="263" spans="1:12">
      <c r="A263" s="412" t="s">
        <v>245</v>
      </c>
      <c r="B263" s="344"/>
      <c r="C263" s="344"/>
      <c r="D263" s="344"/>
      <c r="E263" s="345"/>
      <c r="F263" s="346"/>
      <c r="G263" s="344"/>
      <c r="H263" s="11"/>
      <c r="I263" s="346"/>
      <c r="J263" s="410"/>
      <c r="K263" s="410"/>
      <c r="L263" s="410"/>
    </row>
    <row r="264" spans="1:12">
      <c r="A264" s="344"/>
      <c r="B264" s="344"/>
      <c r="C264" s="344"/>
      <c r="D264" s="344"/>
      <c r="E264" s="345"/>
      <c r="F264" s="346"/>
      <c r="G264" s="344"/>
      <c r="H264" s="11"/>
      <c r="I264" s="346"/>
      <c r="J264" s="410"/>
      <c r="K264" s="410"/>
      <c r="L264" s="410"/>
    </row>
    <row r="265" spans="1:12">
      <c r="A265" s="344"/>
      <c r="B265" s="344"/>
      <c r="C265" s="344"/>
      <c r="D265" s="344"/>
      <c r="E265" s="345"/>
      <c r="F265" s="346"/>
      <c r="G265" s="344"/>
      <c r="H265" s="11"/>
      <c r="I265" s="346"/>
      <c r="J265" s="410"/>
      <c r="K265" s="410"/>
      <c r="L265" s="410"/>
    </row>
    <row r="266" spans="1:12">
      <c r="A266" s="344"/>
      <c r="B266" s="344"/>
      <c r="C266" s="344"/>
      <c r="D266" s="344"/>
      <c r="E266" s="345"/>
      <c r="F266" s="346"/>
      <c r="G266" s="344"/>
      <c r="H266" s="11"/>
      <c r="I266" s="346"/>
      <c r="J266" s="410"/>
      <c r="K266" s="410"/>
      <c r="L266" s="410"/>
    </row>
    <row r="267" spans="1:12">
      <c r="A267" s="344"/>
      <c r="B267" s="344"/>
      <c r="C267" s="344"/>
      <c r="D267" s="344"/>
      <c r="E267" s="345"/>
      <c r="F267" s="346"/>
      <c r="G267" s="344"/>
      <c r="H267" s="11"/>
      <c r="I267" s="346"/>
      <c r="J267" s="410"/>
      <c r="K267" s="410"/>
      <c r="L267" s="410"/>
    </row>
    <row r="268" spans="1:12">
      <c r="A268" s="344"/>
      <c r="B268" s="344"/>
      <c r="C268" s="344"/>
      <c r="D268" s="344"/>
      <c r="E268" s="345"/>
      <c r="F268" s="346"/>
      <c r="G268" s="344"/>
      <c r="H268" s="11"/>
      <c r="I268" s="346"/>
      <c r="J268" s="410"/>
      <c r="K268" s="410"/>
      <c r="L268" s="410"/>
    </row>
    <row r="269" spans="1:12">
      <c r="A269" s="344"/>
      <c r="B269" s="344"/>
      <c r="C269" s="344"/>
      <c r="D269" s="344"/>
      <c r="E269" s="345"/>
      <c r="F269" s="346"/>
      <c r="G269" s="344"/>
      <c r="H269" s="11"/>
      <c r="I269" s="346"/>
      <c r="J269" s="410"/>
      <c r="K269" s="410"/>
      <c r="L269" s="410"/>
    </row>
    <row r="270" spans="1:12">
      <c r="A270" s="344"/>
      <c r="B270" s="344"/>
      <c r="C270" s="344"/>
      <c r="D270" s="344"/>
      <c r="E270" s="345"/>
      <c r="F270" s="346"/>
      <c r="G270" s="344"/>
      <c r="H270" s="11"/>
      <c r="I270" s="346"/>
      <c r="J270" s="410"/>
      <c r="K270" s="410"/>
      <c r="L270" s="410"/>
    </row>
    <row r="271" spans="1:12">
      <c r="A271" s="344"/>
      <c r="B271" s="344"/>
      <c r="C271" s="344"/>
      <c r="D271" s="344"/>
      <c r="E271" s="345"/>
      <c r="F271" s="346"/>
      <c r="G271" s="344"/>
      <c r="H271" s="11"/>
      <c r="I271" s="346"/>
      <c r="J271" s="410"/>
      <c r="K271" s="410"/>
      <c r="L271" s="410"/>
    </row>
    <row r="272" spans="1:12">
      <c r="A272" s="344"/>
      <c r="B272" s="344"/>
      <c r="C272" s="344"/>
      <c r="D272" s="344"/>
      <c r="E272" s="345"/>
      <c r="F272" s="346"/>
      <c r="G272" s="344"/>
      <c r="H272" s="11"/>
      <c r="I272" s="346"/>
      <c r="J272" s="410"/>
      <c r="K272" s="410"/>
      <c r="L272" s="410"/>
    </row>
    <row r="273" spans="1:12">
      <c r="A273" s="344"/>
      <c r="B273" s="344"/>
      <c r="C273" s="344"/>
      <c r="D273" s="344"/>
      <c r="E273" s="345"/>
      <c r="F273" s="346"/>
      <c r="G273" s="344"/>
      <c r="H273" s="11"/>
      <c r="I273" s="346"/>
      <c r="J273" s="410"/>
      <c r="K273" s="410"/>
      <c r="L273" s="410"/>
    </row>
    <row r="274" spans="1:12">
      <c r="A274" s="344"/>
      <c r="B274" s="344"/>
      <c r="C274" s="344"/>
      <c r="D274" s="344"/>
      <c r="E274" s="345"/>
      <c r="F274" s="346"/>
      <c r="G274" s="344"/>
      <c r="H274" s="11"/>
      <c r="I274" s="346"/>
      <c r="J274" s="410"/>
      <c r="K274" s="410"/>
      <c r="L274" s="410"/>
    </row>
    <row r="275" spans="1:12">
      <c r="A275" s="344"/>
      <c r="B275" s="344"/>
      <c r="C275" s="344"/>
      <c r="D275" s="344"/>
      <c r="E275" s="345"/>
      <c r="F275" s="346"/>
      <c r="G275" s="344"/>
      <c r="H275" s="11"/>
      <c r="I275" s="346"/>
      <c r="J275" s="410"/>
      <c r="K275" s="410"/>
      <c r="L275" s="410"/>
    </row>
    <row r="276" spans="1:12">
      <c r="A276" s="344"/>
      <c r="B276" s="344"/>
      <c r="C276" s="344"/>
      <c r="D276" s="344"/>
      <c r="E276" s="345"/>
      <c r="F276" s="346"/>
      <c r="G276" s="344"/>
      <c r="H276" s="11"/>
      <c r="I276" s="346"/>
      <c r="J276" s="410"/>
      <c r="K276" s="410"/>
      <c r="L276" s="410"/>
    </row>
    <row r="277" spans="1:12">
      <c r="A277" s="344"/>
      <c r="B277" s="344"/>
      <c r="C277" s="344"/>
      <c r="D277" s="344"/>
      <c r="E277" s="345"/>
      <c r="F277" s="346"/>
      <c r="G277" s="344"/>
      <c r="H277" s="11"/>
      <c r="I277" s="346"/>
      <c r="J277" s="410"/>
      <c r="K277" s="410"/>
      <c r="L277" s="410"/>
    </row>
    <row r="278" spans="1:12">
      <c r="A278" s="344"/>
      <c r="B278" s="344"/>
      <c r="C278" s="344"/>
      <c r="D278" s="344"/>
      <c r="E278" s="345"/>
      <c r="F278" s="346"/>
      <c r="G278" s="344"/>
      <c r="H278" s="11"/>
      <c r="I278" s="346"/>
      <c r="J278" s="410"/>
      <c r="K278" s="410"/>
      <c r="L278" s="410"/>
    </row>
    <row r="279" spans="1:12">
      <c r="A279" s="344"/>
      <c r="B279" s="344"/>
      <c r="C279" s="344"/>
      <c r="D279" s="344"/>
      <c r="E279" s="345"/>
      <c r="F279" s="346"/>
      <c r="G279" s="344"/>
      <c r="H279" s="11"/>
      <c r="I279" s="346"/>
      <c r="J279" s="410"/>
      <c r="K279" s="410"/>
      <c r="L279" s="410"/>
    </row>
    <row r="280" spans="1:12">
      <c r="A280" s="344"/>
      <c r="B280" s="344"/>
      <c r="C280" s="344"/>
      <c r="D280" s="344"/>
      <c r="E280" s="345"/>
      <c r="F280" s="346"/>
      <c r="G280" s="344"/>
      <c r="H280" s="11"/>
      <c r="I280" s="346"/>
      <c r="J280" s="410"/>
      <c r="K280" s="410"/>
      <c r="L280" s="410"/>
    </row>
    <row r="281" spans="1:12">
      <c r="A281" s="344"/>
      <c r="B281" s="344"/>
      <c r="C281" s="344"/>
      <c r="D281" s="344"/>
      <c r="E281" s="345"/>
      <c r="F281" s="346"/>
      <c r="G281" s="344"/>
      <c r="H281" s="11"/>
      <c r="I281" s="346"/>
      <c r="J281" s="410"/>
      <c r="K281" s="410"/>
      <c r="L281" s="410"/>
    </row>
    <row r="282" spans="1:12">
      <c r="A282" s="344"/>
      <c r="B282" s="344"/>
      <c r="C282" s="344"/>
      <c r="D282" s="344"/>
      <c r="E282" s="345"/>
      <c r="F282" s="346"/>
      <c r="G282" s="344"/>
      <c r="H282" s="11"/>
      <c r="I282" s="346"/>
      <c r="J282" s="410"/>
      <c r="K282" s="410"/>
      <c r="L282" s="410"/>
    </row>
    <row r="283" spans="1:12">
      <c r="A283" s="344"/>
      <c r="B283" s="344"/>
      <c r="C283" s="344"/>
      <c r="D283" s="344"/>
      <c r="E283" s="345"/>
      <c r="F283" s="346"/>
      <c r="G283" s="344"/>
      <c r="H283" s="11"/>
      <c r="I283" s="346"/>
      <c r="J283" s="410"/>
      <c r="K283" s="410"/>
      <c r="L283" s="410"/>
    </row>
    <row r="284" spans="1:12">
      <c r="A284" s="344"/>
      <c r="B284" s="344"/>
      <c r="C284" s="344"/>
      <c r="D284" s="344"/>
      <c r="E284" s="345"/>
      <c r="F284" s="346"/>
      <c r="G284" s="344"/>
      <c r="H284" s="11"/>
      <c r="I284" s="346"/>
      <c r="J284" s="410"/>
      <c r="K284" s="410"/>
      <c r="L284" s="410"/>
    </row>
    <row r="285" spans="1:12">
      <c r="A285" s="344"/>
      <c r="B285" s="344"/>
      <c r="C285" s="344"/>
      <c r="D285" s="344"/>
      <c r="E285" s="345"/>
      <c r="F285" s="346"/>
      <c r="G285" s="344"/>
      <c r="H285" s="11"/>
      <c r="I285" s="346"/>
      <c r="J285" s="410"/>
      <c r="K285" s="410"/>
      <c r="L285" s="410"/>
    </row>
    <row r="286" spans="1:12">
      <c r="A286" s="344"/>
      <c r="B286" s="344"/>
      <c r="C286" s="344"/>
      <c r="D286" s="344"/>
      <c r="E286" s="345"/>
      <c r="F286" s="346"/>
      <c r="G286" s="344"/>
      <c r="H286" s="11"/>
      <c r="I286" s="346"/>
      <c r="J286" s="410"/>
      <c r="K286" s="410"/>
      <c r="L286" s="410"/>
    </row>
    <row r="287" spans="1:12">
      <c r="A287" s="344"/>
      <c r="B287" s="344"/>
      <c r="C287" s="344"/>
      <c r="D287" s="344"/>
      <c r="E287" s="345"/>
      <c r="F287" s="346"/>
      <c r="G287" s="344"/>
      <c r="H287" s="11"/>
      <c r="I287" s="346"/>
      <c r="J287" s="410"/>
      <c r="K287" s="410"/>
      <c r="L287" s="410"/>
    </row>
    <row r="288" spans="1:12">
      <c r="A288" s="344"/>
      <c r="B288" s="344"/>
      <c r="C288" s="344"/>
      <c r="D288" s="344"/>
      <c r="E288" s="345"/>
      <c r="F288" s="346"/>
      <c r="G288" s="344"/>
      <c r="H288" s="11"/>
      <c r="I288" s="346"/>
      <c r="J288" s="410"/>
      <c r="K288" s="410"/>
      <c r="L288" s="410"/>
    </row>
    <row r="289" spans="1:12">
      <c r="A289" s="344"/>
      <c r="B289" s="344"/>
      <c r="C289" s="344"/>
      <c r="D289" s="344"/>
      <c r="E289" s="345"/>
      <c r="F289" s="346"/>
      <c r="G289" s="344"/>
      <c r="H289" s="11"/>
      <c r="I289" s="346"/>
      <c r="J289" s="410"/>
      <c r="K289" s="410"/>
      <c r="L289" s="410"/>
    </row>
    <row r="290" spans="1:12">
      <c r="A290" s="344"/>
      <c r="B290" s="344"/>
      <c r="C290" s="344"/>
      <c r="D290" s="344"/>
      <c r="E290" s="345"/>
      <c r="F290" s="346"/>
      <c r="G290" s="344"/>
      <c r="H290" s="11"/>
      <c r="I290" s="346"/>
      <c r="J290" s="410"/>
      <c r="K290" s="410"/>
      <c r="L290" s="410"/>
    </row>
    <row r="291" spans="1:12">
      <c r="A291" s="344"/>
      <c r="B291" s="344"/>
      <c r="C291" s="344"/>
      <c r="D291" s="344"/>
      <c r="E291" s="345"/>
      <c r="F291" s="346"/>
      <c r="G291" s="344"/>
      <c r="H291" s="11"/>
      <c r="I291" s="346"/>
      <c r="J291" s="410"/>
      <c r="K291" s="410"/>
      <c r="L291" s="410"/>
    </row>
    <row r="292" spans="1:12">
      <c r="A292" s="344"/>
      <c r="B292" s="344"/>
      <c r="C292" s="344"/>
      <c r="D292" s="344"/>
      <c r="E292" s="345"/>
      <c r="F292" s="346"/>
      <c r="G292" s="344"/>
      <c r="H292" s="11"/>
      <c r="I292" s="346"/>
      <c r="J292" s="410"/>
      <c r="K292" s="410"/>
      <c r="L292" s="410"/>
    </row>
    <row r="293" spans="1:12">
      <c r="A293" s="344"/>
      <c r="B293" s="344"/>
      <c r="C293" s="344"/>
      <c r="D293" s="344"/>
      <c r="E293" s="345"/>
      <c r="F293" s="346"/>
      <c r="G293" s="344"/>
      <c r="H293" s="11"/>
      <c r="I293" s="346"/>
      <c r="J293" s="410"/>
      <c r="K293" s="410"/>
      <c r="L293" s="410"/>
    </row>
    <row r="294" spans="1:12">
      <c r="A294" s="344"/>
      <c r="B294" s="344"/>
      <c r="C294" s="344"/>
      <c r="D294" s="344"/>
      <c r="E294" s="345"/>
      <c r="F294" s="346"/>
      <c r="G294" s="344"/>
      <c r="H294" s="11"/>
      <c r="I294" s="346"/>
      <c r="J294" s="410"/>
      <c r="K294" s="410"/>
      <c r="L294" s="410"/>
    </row>
    <row r="295" spans="1:12">
      <c r="A295" s="344"/>
      <c r="B295" s="344"/>
      <c r="C295" s="344"/>
      <c r="D295" s="344"/>
      <c r="E295" s="345"/>
      <c r="F295" s="346"/>
      <c r="G295" s="344"/>
      <c r="H295" s="11"/>
      <c r="I295" s="346"/>
      <c r="J295" s="410"/>
      <c r="K295" s="410"/>
      <c r="L295" s="410"/>
    </row>
    <row r="296" spans="1:12">
      <c r="A296" s="344"/>
      <c r="B296" s="344"/>
      <c r="C296" s="344"/>
      <c r="D296" s="344"/>
      <c r="E296" s="345"/>
      <c r="F296" s="346"/>
      <c r="G296" s="344"/>
      <c r="H296" s="11"/>
      <c r="I296" s="346"/>
      <c r="J296" s="410"/>
      <c r="K296" s="410"/>
      <c r="L296" s="410"/>
    </row>
    <row r="297" spans="1:12">
      <c r="A297" s="344"/>
      <c r="B297" s="344"/>
      <c r="C297" s="344"/>
      <c r="D297" s="344"/>
      <c r="E297" s="345"/>
      <c r="F297" s="346"/>
      <c r="G297" s="344"/>
      <c r="H297" s="11"/>
      <c r="I297" s="346"/>
      <c r="J297" s="410"/>
      <c r="K297" s="410"/>
      <c r="L297" s="410"/>
    </row>
    <row r="298" spans="1:12">
      <c r="A298" s="344"/>
      <c r="B298" s="344"/>
      <c r="C298" s="344"/>
      <c r="D298" s="344"/>
      <c r="E298" s="345"/>
      <c r="F298" s="346"/>
      <c r="G298" s="344"/>
      <c r="H298" s="11"/>
      <c r="I298" s="346"/>
      <c r="J298" s="410"/>
      <c r="K298" s="410"/>
      <c r="L298" s="410"/>
    </row>
    <row r="299" spans="1:12">
      <c r="A299" s="344"/>
      <c r="B299" s="344"/>
      <c r="C299" s="344"/>
      <c r="D299" s="344"/>
      <c r="E299" s="345"/>
      <c r="F299" s="346"/>
      <c r="G299" s="344"/>
      <c r="H299" s="11"/>
      <c r="I299" s="346"/>
      <c r="J299" s="410"/>
      <c r="K299" s="410"/>
      <c r="L299" s="410"/>
    </row>
    <row r="300" spans="1:12">
      <c r="A300" s="344"/>
      <c r="B300" s="344"/>
      <c r="C300" s="344"/>
      <c r="D300" s="344"/>
      <c r="E300" s="345"/>
      <c r="F300" s="346"/>
      <c r="G300" s="344"/>
      <c r="H300" s="11"/>
      <c r="I300" s="346"/>
      <c r="J300" s="410"/>
      <c r="K300" s="410"/>
      <c r="L300" s="410"/>
    </row>
    <row r="301" spans="1:12">
      <c r="A301" s="344"/>
      <c r="B301" s="344"/>
      <c r="C301" s="344"/>
      <c r="D301" s="344"/>
      <c r="E301" s="345"/>
      <c r="F301" s="346"/>
      <c r="G301" s="344"/>
      <c r="H301" s="11"/>
      <c r="I301" s="346"/>
      <c r="J301" s="410"/>
      <c r="K301" s="410"/>
      <c r="L301" s="410"/>
    </row>
    <row r="302" spans="1:12">
      <c r="A302" s="344"/>
      <c r="B302" s="344"/>
      <c r="C302" s="344"/>
      <c r="D302" s="344"/>
      <c r="E302" s="345"/>
      <c r="F302" s="346"/>
      <c r="G302" s="344"/>
      <c r="H302" s="11"/>
      <c r="I302" s="346"/>
      <c r="J302" s="410"/>
      <c r="K302" s="410"/>
      <c r="L302" s="410"/>
    </row>
    <row r="303" spans="1:12">
      <c r="A303" s="344"/>
      <c r="B303" s="344"/>
      <c r="C303" s="344"/>
      <c r="D303" s="344"/>
      <c r="E303" s="345"/>
      <c r="F303" s="346"/>
      <c r="G303" s="344"/>
      <c r="H303" s="11"/>
      <c r="I303" s="346"/>
      <c r="J303" s="410"/>
      <c r="K303" s="410"/>
      <c r="L303" s="410"/>
    </row>
    <row r="304" spans="1:12">
      <c r="A304" s="344"/>
      <c r="B304" s="344"/>
      <c r="C304" s="344"/>
      <c r="D304" s="344"/>
      <c r="E304" s="345"/>
      <c r="F304" s="346"/>
      <c r="G304" s="344"/>
      <c r="H304" s="11"/>
      <c r="I304" s="346"/>
      <c r="J304" s="410"/>
      <c r="K304" s="410"/>
      <c r="L304" s="410"/>
    </row>
    <row r="305" spans="1:12">
      <c r="A305" s="344"/>
      <c r="B305" s="344"/>
      <c r="C305" s="344"/>
      <c r="D305" s="344"/>
      <c r="E305" s="345"/>
      <c r="F305" s="346"/>
      <c r="G305" s="344"/>
      <c r="H305" s="11"/>
      <c r="I305" s="346"/>
      <c r="J305" s="410"/>
      <c r="K305" s="410"/>
      <c r="L305" s="410"/>
    </row>
    <row r="306" spans="1:12">
      <c r="A306" s="344"/>
      <c r="B306" s="344"/>
      <c r="C306" s="344"/>
      <c r="D306" s="344"/>
      <c r="E306" s="345"/>
      <c r="F306" s="346"/>
      <c r="G306" s="344"/>
      <c r="H306" s="11"/>
      <c r="I306" s="346"/>
      <c r="J306" s="410"/>
      <c r="K306" s="410"/>
      <c r="L306" s="410"/>
    </row>
    <row r="307" spans="1:12">
      <c r="A307" s="344"/>
      <c r="B307" s="344"/>
      <c r="C307" s="344"/>
      <c r="D307" s="344"/>
      <c r="E307" s="345"/>
      <c r="F307" s="346"/>
      <c r="G307" s="344"/>
      <c r="H307" s="11"/>
      <c r="I307" s="346"/>
      <c r="J307" s="410"/>
      <c r="K307" s="410"/>
      <c r="L307" s="410"/>
    </row>
    <row r="308" spans="1:12">
      <c r="A308" s="344"/>
      <c r="B308" s="344"/>
      <c r="C308" s="344"/>
      <c r="D308" s="344"/>
      <c r="E308" s="345"/>
      <c r="F308" s="346"/>
      <c r="G308" s="344"/>
      <c r="H308" s="11"/>
      <c r="I308" s="346"/>
      <c r="J308" s="410"/>
      <c r="K308" s="410"/>
      <c r="L308" s="410"/>
    </row>
    <row r="309" spans="1:12">
      <c r="A309" s="344"/>
      <c r="B309" s="344"/>
      <c r="C309" s="344"/>
      <c r="D309" s="344"/>
      <c r="E309" s="345"/>
      <c r="F309" s="346"/>
      <c r="G309" s="344"/>
      <c r="H309" s="11"/>
      <c r="I309" s="346"/>
      <c r="J309" s="410"/>
      <c r="K309" s="410"/>
      <c r="L309" s="410"/>
    </row>
    <row r="310" spans="1:12">
      <c r="A310" s="344"/>
      <c r="B310" s="344"/>
      <c r="C310" s="344"/>
      <c r="D310" s="344"/>
      <c r="E310" s="345"/>
      <c r="F310" s="346"/>
      <c r="G310" s="344"/>
      <c r="H310" s="11"/>
      <c r="I310" s="346"/>
      <c r="J310" s="410"/>
      <c r="K310" s="410"/>
      <c r="L310" s="410"/>
    </row>
    <row r="311" spans="1:12">
      <c r="A311" s="344"/>
      <c r="B311" s="344"/>
      <c r="C311" s="344"/>
      <c r="D311" s="344"/>
      <c r="E311" s="345"/>
      <c r="F311" s="346"/>
      <c r="G311" s="344"/>
      <c r="H311" s="11"/>
      <c r="I311" s="346"/>
      <c r="J311" s="410"/>
      <c r="K311" s="410"/>
      <c r="L311" s="410"/>
    </row>
    <row r="312" spans="1:12">
      <c r="A312" s="344"/>
      <c r="B312" s="344"/>
      <c r="C312" s="344"/>
      <c r="D312" s="344"/>
      <c r="E312" s="345"/>
      <c r="F312" s="346"/>
      <c r="G312" s="344"/>
      <c r="H312" s="11"/>
      <c r="I312" s="346"/>
      <c r="J312" s="410"/>
      <c r="K312" s="410"/>
      <c r="L312" s="410"/>
    </row>
    <row r="313" spans="1:12">
      <c r="A313" s="344"/>
      <c r="B313" s="344"/>
      <c r="C313" s="344"/>
      <c r="D313" s="344"/>
      <c r="E313" s="345"/>
      <c r="F313" s="346"/>
      <c r="G313" s="344"/>
      <c r="H313" s="11"/>
      <c r="I313" s="346"/>
      <c r="J313" s="410"/>
      <c r="K313" s="410"/>
      <c r="L313" s="410"/>
    </row>
    <row r="314" spans="1:12">
      <c r="A314" s="344"/>
      <c r="B314" s="344"/>
      <c r="C314" s="344"/>
      <c r="D314" s="344"/>
      <c r="E314" s="345"/>
      <c r="F314" s="346"/>
      <c r="G314" s="344"/>
      <c r="H314" s="11"/>
      <c r="I314" s="346"/>
      <c r="J314" s="410"/>
      <c r="K314" s="410"/>
      <c r="L314" s="410"/>
    </row>
    <row r="315" spans="1:12">
      <c r="A315" s="344"/>
      <c r="B315" s="344"/>
      <c r="C315" s="344"/>
      <c r="D315" s="344"/>
      <c r="E315" s="345"/>
      <c r="F315" s="346"/>
      <c r="G315" s="344"/>
      <c r="H315" s="11"/>
      <c r="I315" s="346"/>
      <c r="J315" s="410"/>
      <c r="K315" s="410"/>
      <c r="L315" s="410"/>
    </row>
    <row r="316" spans="1:12">
      <c r="A316" s="344"/>
      <c r="B316" s="344"/>
      <c r="C316" s="344"/>
      <c r="D316" s="344"/>
      <c r="E316" s="345"/>
      <c r="F316" s="346"/>
      <c r="G316" s="344"/>
      <c r="H316" s="11"/>
      <c r="I316" s="346"/>
      <c r="J316" s="410"/>
      <c r="K316" s="410"/>
      <c r="L316" s="410"/>
    </row>
    <row r="317" spans="1:12">
      <c r="A317" s="344"/>
      <c r="B317" s="344"/>
      <c r="C317" s="344"/>
      <c r="D317" s="344"/>
      <c r="E317" s="345"/>
      <c r="F317" s="346"/>
      <c r="G317" s="344"/>
      <c r="H317" s="11"/>
      <c r="I317" s="346"/>
      <c r="J317" s="410"/>
      <c r="K317" s="410"/>
      <c r="L317" s="410"/>
    </row>
    <row r="318" spans="1:12">
      <c r="A318" s="344"/>
      <c r="B318" s="344"/>
      <c r="C318" s="344"/>
      <c r="D318" s="344"/>
      <c r="E318" s="345"/>
      <c r="F318" s="346"/>
      <c r="G318" s="344"/>
      <c r="H318" s="11"/>
      <c r="I318" s="346"/>
      <c r="J318" s="410"/>
      <c r="K318" s="410"/>
      <c r="L318" s="410"/>
    </row>
    <row r="319" spans="1:12">
      <c r="A319" s="344"/>
      <c r="B319" s="344"/>
      <c r="C319" s="344"/>
      <c r="D319" s="344"/>
      <c r="E319" s="345"/>
      <c r="F319" s="346"/>
      <c r="G319" s="344"/>
      <c r="H319" s="11"/>
      <c r="I319" s="346"/>
      <c r="J319" s="410"/>
      <c r="K319" s="410"/>
      <c r="L319" s="410"/>
    </row>
    <row r="320" spans="1:12">
      <c r="A320" s="344"/>
      <c r="B320" s="344"/>
      <c r="C320" s="344"/>
      <c r="D320" s="344"/>
      <c r="E320" s="345"/>
      <c r="F320" s="346"/>
      <c r="G320" s="344"/>
      <c r="H320" s="11"/>
      <c r="I320" s="346"/>
      <c r="J320" s="410"/>
      <c r="K320" s="410"/>
      <c r="L320" s="410"/>
    </row>
    <row r="321" spans="1:12">
      <c r="A321" s="344"/>
      <c r="B321" s="344"/>
      <c r="C321" s="344"/>
      <c r="D321" s="344"/>
      <c r="E321" s="345"/>
      <c r="F321" s="346"/>
      <c r="G321" s="344"/>
      <c r="H321" s="11"/>
      <c r="I321" s="346"/>
      <c r="J321" s="410"/>
      <c r="K321" s="410"/>
      <c r="L321" s="410"/>
    </row>
    <row r="322" spans="1:12">
      <c r="A322" s="344"/>
      <c r="B322" s="344"/>
      <c r="C322" s="344"/>
      <c r="D322" s="344"/>
      <c r="E322" s="345"/>
      <c r="F322" s="346"/>
      <c r="G322" s="344"/>
      <c r="H322" s="11"/>
      <c r="I322" s="346"/>
      <c r="J322" s="410"/>
      <c r="K322" s="410"/>
      <c r="L322" s="410"/>
    </row>
    <row r="323" spans="1:12">
      <c r="A323" s="344"/>
      <c r="B323" s="344"/>
      <c r="C323" s="344"/>
      <c r="D323" s="344"/>
      <c r="E323" s="345"/>
      <c r="F323" s="346"/>
      <c r="G323" s="344"/>
      <c r="H323" s="11"/>
      <c r="I323" s="346"/>
      <c r="J323" s="410"/>
      <c r="K323" s="410"/>
      <c r="L323" s="410"/>
    </row>
    <row r="324" spans="1:12">
      <c r="A324" s="344"/>
      <c r="B324" s="344"/>
      <c r="C324" s="344"/>
      <c r="D324" s="344"/>
      <c r="E324" s="345"/>
      <c r="F324" s="346"/>
      <c r="G324" s="344"/>
      <c r="H324" s="11"/>
      <c r="I324" s="346"/>
      <c r="J324" s="410"/>
      <c r="K324" s="410"/>
      <c r="L324" s="410"/>
    </row>
    <row r="325" spans="1:12">
      <c r="A325" s="344"/>
      <c r="B325" s="344"/>
      <c r="C325" s="344"/>
      <c r="D325" s="344"/>
      <c r="E325" s="345"/>
      <c r="F325" s="346"/>
      <c r="G325" s="344"/>
      <c r="H325" s="11"/>
      <c r="I325" s="346"/>
      <c r="J325" s="410"/>
      <c r="K325" s="410"/>
      <c r="L325" s="410"/>
    </row>
    <row r="326" spans="1:12">
      <c r="A326" s="344"/>
      <c r="B326" s="344"/>
      <c r="C326" s="344"/>
      <c r="D326" s="344"/>
      <c r="E326" s="345"/>
      <c r="F326" s="346"/>
      <c r="G326" s="344"/>
      <c r="H326" s="11"/>
      <c r="I326" s="346"/>
      <c r="J326" s="410"/>
      <c r="K326" s="410"/>
      <c r="L326" s="410"/>
    </row>
    <row r="327" spans="1:12">
      <c r="A327" s="344"/>
      <c r="B327" s="344"/>
      <c r="C327" s="344"/>
      <c r="D327" s="344"/>
      <c r="E327" s="345"/>
      <c r="F327" s="346"/>
      <c r="G327" s="344"/>
      <c r="H327" s="11"/>
      <c r="I327" s="346"/>
      <c r="J327" s="410"/>
      <c r="K327" s="410"/>
      <c r="L327" s="410"/>
    </row>
    <row r="328" spans="1:12">
      <c r="A328" s="344"/>
      <c r="B328" s="344"/>
      <c r="C328" s="344"/>
      <c r="D328" s="344"/>
      <c r="E328" s="345"/>
      <c r="F328" s="346"/>
      <c r="G328" s="344"/>
      <c r="H328" s="11"/>
      <c r="I328" s="346"/>
      <c r="J328" s="410"/>
      <c r="K328" s="410"/>
      <c r="L328" s="410"/>
    </row>
    <row r="329" spans="1:12">
      <c r="A329" s="344"/>
      <c r="B329" s="344"/>
      <c r="C329" s="344"/>
      <c r="D329" s="344"/>
      <c r="E329" s="345"/>
      <c r="F329" s="346"/>
      <c r="G329" s="344"/>
      <c r="H329" s="11"/>
      <c r="I329" s="346"/>
      <c r="J329" s="410"/>
      <c r="K329" s="410"/>
      <c r="L329" s="410"/>
    </row>
    <row r="330" spans="1:12">
      <c r="A330" s="344"/>
      <c r="B330" s="344"/>
      <c r="C330" s="344"/>
      <c r="D330" s="344"/>
      <c r="E330" s="345"/>
      <c r="F330" s="346"/>
      <c r="G330" s="344"/>
      <c r="H330" s="11"/>
      <c r="I330" s="346"/>
      <c r="J330" s="410"/>
      <c r="K330" s="410"/>
      <c r="L330" s="410"/>
    </row>
    <row r="331" spans="1:12">
      <c r="A331" s="344"/>
      <c r="B331" s="344"/>
      <c r="C331" s="344"/>
      <c r="D331" s="344"/>
      <c r="E331" s="345"/>
      <c r="F331" s="346"/>
      <c r="G331" s="344"/>
      <c r="H331" s="11"/>
      <c r="I331" s="346"/>
      <c r="J331" s="410"/>
      <c r="K331" s="410"/>
      <c r="L331" s="410"/>
    </row>
    <row r="332" spans="1:12">
      <c r="A332" s="344"/>
      <c r="B332" s="344"/>
      <c r="C332" s="344"/>
      <c r="D332" s="344"/>
      <c r="E332" s="345"/>
      <c r="F332" s="346"/>
      <c r="G332" s="344"/>
      <c r="H332" s="11"/>
      <c r="I332" s="346"/>
      <c r="J332" s="410"/>
      <c r="K332" s="410"/>
      <c r="L332" s="410"/>
    </row>
    <row r="333" spans="1:12">
      <c r="A333" s="344"/>
      <c r="B333" s="344"/>
      <c r="C333" s="344"/>
      <c r="D333" s="344"/>
      <c r="E333" s="345"/>
      <c r="F333" s="346"/>
      <c r="G333" s="344"/>
      <c r="H333" s="11"/>
      <c r="I333" s="346"/>
      <c r="J333" s="410"/>
      <c r="K333" s="410"/>
      <c r="L333" s="410"/>
    </row>
    <row r="334" spans="1:12">
      <c r="A334" s="344"/>
      <c r="B334" s="344"/>
      <c r="C334" s="344"/>
      <c r="D334" s="344"/>
      <c r="E334" s="345"/>
      <c r="F334" s="346"/>
      <c r="G334" s="344"/>
      <c r="H334" s="11"/>
      <c r="I334" s="346"/>
      <c r="J334" s="410"/>
      <c r="K334" s="410"/>
      <c r="L334" s="410"/>
    </row>
    <row r="335" spans="1:12">
      <c r="A335" s="344"/>
      <c r="B335" s="344"/>
      <c r="C335" s="344"/>
      <c r="D335" s="344"/>
      <c r="E335" s="345"/>
      <c r="F335" s="346"/>
      <c r="G335" s="344"/>
      <c r="H335" s="11"/>
      <c r="I335" s="346"/>
      <c r="J335" s="410"/>
      <c r="K335" s="410"/>
      <c r="L335" s="410"/>
    </row>
    <row r="336" spans="1:12">
      <c r="A336" s="344"/>
      <c r="B336" s="344"/>
      <c r="C336" s="344"/>
      <c r="D336" s="344"/>
      <c r="E336" s="345"/>
      <c r="F336" s="346"/>
      <c r="G336" s="344"/>
      <c r="H336" s="11"/>
      <c r="I336" s="346"/>
      <c r="J336" s="410"/>
      <c r="K336" s="410"/>
      <c r="L336" s="410"/>
    </row>
    <row r="337" spans="1:12">
      <c r="A337" s="344"/>
      <c r="B337" s="344"/>
      <c r="C337" s="344"/>
      <c r="D337" s="344"/>
      <c r="E337" s="345"/>
      <c r="F337" s="346"/>
      <c r="G337" s="344"/>
      <c r="H337" s="11"/>
      <c r="I337" s="346"/>
      <c r="J337" s="410"/>
      <c r="K337" s="410"/>
      <c r="L337" s="410"/>
    </row>
    <row r="338" spans="1:12">
      <c r="A338" s="344"/>
      <c r="B338" s="344"/>
      <c r="C338" s="344"/>
      <c r="D338" s="344"/>
      <c r="E338" s="345"/>
      <c r="F338" s="346"/>
      <c r="G338" s="344"/>
      <c r="H338" s="11"/>
      <c r="I338" s="346"/>
      <c r="J338" s="410"/>
      <c r="K338" s="410"/>
      <c r="L338" s="410"/>
    </row>
    <row r="339" spans="1:12">
      <c r="A339" s="344"/>
      <c r="B339" s="344"/>
      <c r="C339" s="344"/>
      <c r="D339" s="344"/>
      <c r="E339" s="345"/>
      <c r="F339" s="346"/>
      <c r="G339" s="344"/>
      <c r="H339" s="11"/>
      <c r="I339" s="346"/>
      <c r="J339" s="410"/>
      <c r="K339" s="410"/>
      <c r="L339" s="410"/>
    </row>
    <row r="340" spans="1:12">
      <c r="A340" s="344"/>
      <c r="B340" s="344"/>
      <c r="C340" s="344"/>
      <c r="D340" s="344"/>
      <c r="E340" s="345"/>
      <c r="F340" s="346"/>
      <c r="G340" s="344"/>
      <c r="H340" s="11"/>
      <c r="I340" s="346"/>
      <c r="J340" s="410"/>
      <c r="K340" s="410"/>
      <c r="L340" s="410"/>
    </row>
    <row r="341" spans="1:12">
      <c r="A341" s="344"/>
      <c r="B341" s="344"/>
      <c r="C341" s="344"/>
      <c r="D341" s="344"/>
      <c r="E341" s="345"/>
      <c r="F341" s="346"/>
      <c r="G341" s="344"/>
      <c r="H341" s="11"/>
      <c r="I341" s="346"/>
      <c r="J341" s="410"/>
      <c r="K341" s="410"/>
      <c r="L341" s="410"/>
    </row>
    <row r="342" spans="1:12">
      <c r="A342" s="344"/>
      <c r="B342" s="344"/>
      <c r="C342" s="344"/>
      <c r="D342" s="344"/>
      <c r="E342" s="345"/>
      <c r="F342" s="346"/>
      <c r="G342" s="344"/>
      <c r="H342" s="11"/>
      <c r="I342" s="346"/>
      <c r="J342" s="410"/>
      <c r="K342" s="410"/>
      <c r="L342" s="410"/>
    </row>
    <row r="343" spans="1:12">
      <c r="A343" s="344"/>
      <c r="B343" s="344"/>
      <c r="C343" s="344"/>
      <c r="D343" s="344"/>
      <c r="E343" s="345"/>
      <c r="F343" s="346"/>
      <c r="G343" s="344"/>
      <c r="H343" s="11"/>
      <c r="I343" s="346"/>
      <c r="J343" s="410"/>
      <c r="K343" s="410"/>
      <c r="L343" s="410"/>
    </row>
    <row r="344" spans="1:12">
      <c r="A344" s="344"/>
      <c r="B344" s="344"/>
      <c r="C344" s="344"/>
      <c r="D344" s="344"/>
      <c r="E344" s="345"/>
      <c r="F344" s="346"/>
      <c r="G344" s="344"/>
      <c r="H344" s="11"/>
      <c r="I344" s="346"/>
      <c r="J344" s="410"/>
      <c r="K344" s="410"/>
      <c r="L344" s="410"/>
    </row>
    <row r="345" spans="1:12">
      <c r="A345" s="344"/>
      <c r="B345" s="344"/>
      <c r="C345" s="344"/>
      <c r="D345" s="344"/>
      <c r="E345" s="345"/>
      <c r="F345" s="346"/>
      <c r="G345" s="344"/>
      <c r="H345" s="11"/>
      <c r="I345" s="346"/>
      <c r="J345" s="410"/>
      <c r="K345" s="410"/>
      <c r="L345" s="410"/>
    </row>
    <row r="346" spans="1:12">
      <c r="A346" s="344"/>
      <c r="B346" s="344"/>
      <c r="C346" s="344"/>
      <c r="D346" s="344"/>
      <c r="E346" s="345"/>
      <c r="F346" s="346"/>
      <c r="G346" s="344"/>
      <c r="H346" s="11"/>
      <c r="I346" s="346"/>
      <c r="J346" s="410"/>
      <c r="K346" s="410"/>
      <c r="L346" s="410"/>
    </row>
    <row r="347" spans="1:12">
      <c r="A347" s="344"/>
      <c r="B347" s="344"/>
      <c r="C347" s="344"/>
      <c r="D347" s="344"/>
      <c r="E347" s="345"/>
      <c r="F347" s="346"/>
      <c r="G347" s="344"/>
      <c r="H347" s="11"/>
      <c r="I347" s="346"/>
      <c r="J347" s="410"/>
      <c r="K347" s="410"/>
      <c r="L347" s="410"/>
    </row>
    <row r="348" spans="1:12">
      <c r="A348" s="344"/>
      <c r="B348" s="344"/>
      <c r="C348" s="344"/>
      <c r="D348" s="344"/>
      <c r="E348" s="345"/>
      <c r="F348" s="346"/>
      <c r="G348" s="344"/>
      <c r="H348" s="11"/>
      <c r="I348" s="346"/>
      <c r="J348" s="410"/>
      <c r="K348" s="410"/>
      <c r="L348" s="410"/>
    </row>
    <row r="349" spans="1:12">
      <c r="A349" s="344"/>
      <c r="B349" s="344"/>
      <c r="C349" s="344"/>
      <c r="D349" s="344"/>
      <c r="E349" s="345"/>
      <c r="F349" s="346"/>
      <c r="G349" s="344"/>
      <c r="H349" s="11"/>
      <c r="I349" s="346"/>
      <c r="J349" s="410"/>
      <c r="K349" s="410"/>
      <c r="L349" s="410"/>
    </row>
    <row r="350" spans="1:12">
      <c r="A350" s="344"/>
      <c r="B350" s="344"/>
      <c r="C350" s="344"/>
      <c r="D350" s="344"/>
      <c r="E350" s="345"/>
      <c r="F350" s="346"/>
      <c r="G350" s="344"/>
      <c r="H350" s="11"/>
      <c r="I350" s="346"/>
      <c r="J350" s="410"/>
      <c r="K350" s="410"/>
      <c r="L350" s="410"/>
    </row>
    <row r="351" spans="1:12">
      <c r="A351" s="344"/>
      <c r="B351" s="344"/>
      <c r="C351" s="344"/>
      <c r="D351" s="344"/>
      <c r="E351" s="345"/>
      <c r="F351" s="346"/>
      <c r="G351" s="344"/>
      <c r="H351" s="11"/>
      <c r="I351" s="346"/>
      <c r="J351" s="410"/>
      <c r="K351" s="410"/>
      <c r="L351" s="410"/>
    </row>
    <row r="352" spans="1:12">
      <c r="A352" s="344"/>
      <c r="B352" s="344"/>
      <c r="C352" s="344"/>
      <c r="D352" s="344"/>
      <c r="E352" s="345"/>
      <c r="F352" s="346"/>
      <c r="G352" s="344"/>
      <c r="H352" s="11"/>
      <c r="I352" s="346"/>
      <c r="J352" s="410"/>
      <c r="K352" s="410"/>
      <c r="L352" s="410"/>
    </row>
    <row r="353" spans="1:12">
      <c r="A353" s="344"/>
      <c r="B353" s="344"/>
      <c r="C353" s="344"/>
      <c r="D353" s="344"/>
      <c r="E353" s="345"/>
      <c r="F353" s="346"/>
      <c r="G353" s="344"/>
      <c r="H353" s="11"/>
      <c r="I353" s="346"/>
      <c r="J353" s="410"/>
      <c r="K353" s="410"/>
      <c r="L353" s="410"/>
    </row>
    <row r="354" spans="1:12">
      <c r="A354" s="344"/>
      <c r="B354" s="344"/>
      <c r="C354" s="344"/>
      <c r="D354" s="344"/>
      <c r="E354" s="345"/>
      <c r="F354" s="346"/>
      <c r="G354" s="344"/>
      <c r="H354" s="11"/>
      <c r="I354" s="346"/>
      <c r="J354" s="410"/>
      <c r="K354" s="410"/>
      <c r="L354" s="410"/>
    </row>
    <row r="355" spans="1:12">
      <c r="A355" s="344"/>
      <c r="B355" s="344"/>
      <c r="C355" s="344"/>
      <c r="D355" s="344"/>
      <c r="E355" s="345"/>
      <c r="F355" s="346"/>
      <c r="G355" s="344"/>
      <c r="H355" s="11"/>
      <c r="I355" s="346"/>
      <c r="J355" s="410"/>
      <c r="K355" s="410"/>
      <c r="L355" s="410"/>
    </row>
    <row r="356" spans="1:12">
      <c r="A356" s="344"/>
      <c r="B356" s="344"/>
      <c r="C356" s="344"/>
      <c r="D356" s="344"/>
      <c r="E356" s="345"/>
      <c r="F356" s="346"/>
      <c r="G356" s="344"/>
      <c r="H356" s="11"/>
      <c r="I356" s="346"/>
      <c r="J356" s="410"/>
      <c r="K356" s="410"/>
      <c r="L356" s="410"/>
    </row>
    <row r="357" spans="1:12">
      <c r="A357" s="344"/>
      <c r="B357" s="344"/>
      <c r="C357" s="344"/>
      <c r="D357" s="344"/>
      <c r="E357" s="345"/>
      <c r="F357" s="346"/>
      <c r="G357" s="344"/>
      <c r="H357" s="11"/>
      <c r="I357" s="346"/>
      <c r="J357" s="410"/>
      <c r="K357" s="410"/>
      <c r="L357" s="410"/>
    </row>
    <row r="358" spans="1:12">
      <c r="A358" s="344"/>
      <c r="B358" s="344"/>
      <c r="C358" s="344"/>
      <c r="D358" s="344"/>
      <c r="E358" s="345"/>
      <c r="F358" s="346"/>
      <c r="G358" s="344"/>
      <c r="H358" s="11"/>
      <c r="I358" s="346"/>
      <c r="J358" s="410"/>
      <c r="K358" s="410"/>
      <c r="L358" s="410"/>
    </row>
    <row r="359" spans="1:12">
      <c r="A359" s="344"/>
      <c r="B359" s="344"/>
      <c r="C359" s="344"/>
      <c r="D359" s="344"/>
      <c r="E359" s="345"/>
      <c r="F359" s="346"/>
      <c r="G359" s="344"/>
      <c r="H359" s="11"/>
      <c r="I359" s="346"/>
      <c r="J359" s="410"/>
      <c r="K359" s="410"/>
      <c r="L359" s="410"/>
    </row>
    <row r="360" spans="1:12">
      <c r="A360" s="344"/>
      <c r="B360" s="344"/>
      <c r="C360" s="344"/>
      <c r="D360" s="344"/>
      <c r="E360" s="345"/>
      <c r="F360" s="346"/>
      <c r="G360" s="344"/>
      <c r="H360" s="11"/>
      <c r="I360" s="346"/>
      <c r="J360" s="410"/>
      <c r="K360" s="410"/>
      <c r="L360" s="410"/>
    </row>
    <row r="361" spans="1:12">
      <c r="A361" s="344"/>
      <c r="B361" s="344"/>
      <c r="C361" s="344"/>
      <c r="D361" s="344"/>
      <c r="E361" s="345"/>
      <c r="F361" s="346"/>
      <c r="G361" s="344"/>
      <c r="H361" s="11"/>
      <c r="I361" s="346"/>
      <c r="J361" s="410"/>
      <c r="K361" s="410"/>
      <c r="L361" s="410"/>
    </row>
    <row r="362" spans="1:12">
      <c r="A362" s="344"/>
      <c r="B362" s="344"/>
      <c r="C362" s="344"/>
      <c r="D362" s="344"/>
      <c r="E362" s="345"/>
      <c r="F362" s="346"/>
      <c r="G362" s="344"/>
      <c r="H362" s="11"/>
      <c r="I362" s="346"/>
      <c r="J362" s="410"/>
      <c r="K362" s="410"/>
      <c r="L362" s="410"/>
    </row>
    <row r="363" spans="1:12">
      <c r="A363" s="344"/>
      <c r="B363" s="344"/>
      <c r="C363" s="344"/>
      <c r="D363" s="344"/>
      <c r="E363" s="345"/>
      <c r="F363" s="346"/>
      <c r="G363" s="344"/>
      <c r="H363" s="11"/>
      <c r="I363" s="346"/>
      <c r="J363" s="410"/>
      <c r="K363" s="410"/>
      <c r="L363" s="410"/>
    </row>
    <row r="364" spans="1:12">
      <c r="A364" s="344"/>
      <c r="B364" s="344"/>
      <c r="C364" s="344"/>
      <c r="D364" s="344"/>
      <c r="E364" s="345"/>
      <c r="F364" s="346"/>
      <c r="G364" s="344"/>
      <c r="H364" s="11"/>
      <c r="I364" s="346"/>
      <c r="J364" s="410"/>
      <c r="K364" s="410"/>
      <c r="L364" s="410"/>
    </row>
    <row r="365" spans="1:12">
      <c r="A365" s="344"/>
      <c r="B365" s="344"/>
      <c r="C365" s="344"/>
      <c r="D365" s="344"/>
      <c r="E365" s="345"/>
      <c r="F365" s="346"/>
      <c r="G365" s="344"/>
      <c r="H365" s="11"/>
      <c r="I365" s="346"/>
      <c r="J365" s="410"/>
      <c r="K365" s="410"/>
      <c r="L365" s="410"/>
    </row>
    <row r="366" spans="1:12">
      <c r="A366" s="344"/>
      <c r="B366" s="344"/>
      <c r="C366" s="344"/>
      <c r="D366" s="344"/>
      <c r="E366" s="345"/>
      <c r="F366" s="346"/>
      <c r="G366" s="344"/>
      <c r="H366" s="11"/>
      <c r="I366" s="346"/>
      <c r="J366" s="410"/>
      <c r="K366" s="410"/>
      <c r="L366" s="410"/>
    </row>
    <row r="367" spans="1:12">
      <c r="A367" s="344"/>
      <c r="B367" s="344"/>
      <c r="C367" s="344"/>
      <c r="D367" s="344"/>
      <c r="E367" s="345"/>
      <c r="F367" s="346"/>
      <c r="G367" s="344"/>
      <c r="H367" s="11"/>
      <c r="I367" s="346"/>
      <c r="J367" s="410"/>
      <c r="K367" s="410"/>
      <c r="L367" s="410"/>
    </row>
    <row r="368" spans="1:12">
      <c r="A368" s="344"/>
      <c r="B368" s="344"/>
      <c r="C368" s="344"/>
      <c r="D368" s="344"/>
      <c r="E368" s="345"/>
      <c r="F368" s="346"/>
      <c r="G368" s="344"/>
      <c r="H368" s="11"/>
      <c r="I368" s="346"/>
      <c r="J368" s="410"/>
      <c r="K368" s="410"/>
      <c r="L368" s="410"/>
    </row>
    <row r="369" spans="1:12">
      <c r="A369" s="344"/>
      <c r="B369" s="344"/>
      <c r="C369" s="344"/>
      <c r="D369" s="344"/>
      <c r="E369" s="345"/>
      <c r="F369" s="346"/>
      <c r="G369" s="344"/>
      <c r="H369" s="11"/>
      <c r="I369" s="346"/>
      <c r="J369" s="410"/>
      <c r="K369" s="410"/>
      <c r="L369" s="410"/>
    </row>
    <row r="370" spans="1:12">
      <c r="A370" s="344"/>
      <c r="B370" s="344"/>
      <c r="C370" s="344"/>
      <c r="D370" s="344"/>
      <c r="E370" s="345"/>
      <c r="F370" s="346"/>
      <c r="G370" s="344"/>
      <c r="H370" s="11"/>
      <c r="I370" s="346"/>
      <c r="J370" s="410"/>
      <c r="K370" s="410"/>
      <c r="L370" s="410"/>
    </row>
    <row r="371" spans="1:12">
      <c r="A371" s="344"/>
      <c r="B371" s="344"/>
      <c r="C371" s="344"/>
      <c r="D371" s="344"/>
      <c r="E371" s="345"/>
      <c r="F371" s="346"/>
      <c r="G371" s="344"/>
      <c r="H371" s="11"/>
      <c r="I371" s="346"/>
      <c r="J371" s="410"/>
      <c r="K371" s="410"/>
      <c r="L371" s="410"/>
    </row>
    <row r="372" spans="1:12">
      <c r="A372" s="344"/>
      <c r="B372" s="344"/>
      <c r="C372" s="344"/>
      <c r="D372" s="344"/>
      <c r="E372" s="345"/>
      <c r="F372" s="346"/>
      <c r="G372" s="344"/>
      <c r="H372" s="11"/>
      <c r="I372" s="346"/>
      <c r="J372" s="410"/>
      <c r="K372" s="410"/>
      <c r="L372" s="410"/>
    </row>
    <row r="373" spans="1:12">
      <c r="A373" s="344"/>
      <c r="B373" s="344"/>
      <c r="C373" s="344"/>
      <c r="D373" s="344"/>
      <c r="E373" s="345"/>
      <c r="F373" s="346"/>
      <c r="G373" s="344"/>
      <c r="H373" s="11"/>
      <c r="I373" s="346"/>
      <c r="J373" s="410"/>
      <c r="K373" s="410"/>
      <c r="L373" s="410"/>
    </row>
    <row r="374" spans="1:12">
      <c r="A374" s="344"/>
      <c r="B374" s="344"/>
      <c r="C374" s="344"/>
      <c r="D374" s="344"/>
      <c r="E374" s="345"/>
      <c r="F374" s="346"/>
      <c r="G374" s="344"/>
      <c r="H374" s="11"/>
      <c r="I374" s="346"/>
      <c r="J374" s="410"/>
      <c r="K374" s="410"/>
      <c r="L374" s="410"/>
    </row>
    <row r="375" spans="1:12">
      <c r="A375" s="344"/>
      <c r="B375" s="344"/>
      <c r="C375" s="344"/>
      <c r="D375" s="344"/>
      <c r="E375" s="345"/>
      <c r="F375" s="346"/>
      <c r="G375" s="344"/>
      <c r="H375" s="11"/>
      <c r="I375" s="346"/>
      <c r="J375" s="410"/>
      <c r="K375" s="410"/>
      <c r="L375" s="410"/>
    </row>
    <row r="376" spans="1:12">
      <c r="A376" s="344"/>
      <c r="B376" s="344"/>
      <c r="C376" s="344"/>
      <c r="D376" s="344"/>
      <c r="E376" s="345"/>
      <c r="F376" s="346"/>
      <c r="G376" s="344"/>
      <c r="H376" s="11"/>
      <c r="I376" s="346"/>
      <c r="J376" s="410"/>
      <c r="K376" s="410"/>
      <c r="L376" s="410"/>
    </row>
    <row r="377" spans="1:12">
      <c r="A377" s="344"/>
      <c r="B377" s="344"/>
      <c r="C377" s="344"/>
      <c r="D377" s="344"/>
      <c r="E377" s="345"/>
      <c r="F377" s="346"/>
      <c r="G377" s="344"/>
      <c r="H377" s="11"/>
      <c r="I377" s="346"/>
      <c r="J377" s="410"/>
      <c r="K377" s="410"/>
      <c r="L377" s="410"/>
    </row>
    <row r="378" spans="1:12">
      <c r="A378" s="344"/>
      <c r="B378" s="344"/>
      <c r="C378" s="344"/>
      <c r="D378" s="344"/>
      <c r="E378" s="345"/>
      <c r="F378" s="346"/>
      <c r="G378" s="344"/>
      <c r="H378" s="11"/>
      <c r="I378" s="346"/>
      <c r="J378" s="410"/>
      <c r="K378" s="410"/>
      <c r="L378" s="410"/>
    </row>
    <row r="379" spans="1:12">
      <c r="A379" s="344"/>
      <c r="B379" s="344"/>
      <c r="C379" s="344"/>
      <c r="D379" s="344"/>
      <c r="E379" s="345"/>
      <c r="F379" s="346"/>
      <c r="G379" s="344"/>
      <c r="H379" s="11"/>
      <c r="I379" s="346"/>
      <c r="J379" s="410"/>
      <c r="K379" s="410"/>
      <c r="L379" s="410"/>
    </row>
    <row r="380" spans="1:12">
      <c r="A380" s="344"/>
      <c r="B380" s="344"/>
      <c r="C380" s="344"/>
      <c r="D380" s="344"/>
      <c r="E380" s="345"/>
      <c r="F380" s="346"/>
      <c r="G380" s="344"/>
      <c r="H380" s="11"/>
      <c r="I380" s="346"/>
      <c r="J380" s="410"/>
      <c r="K380" s="410"/>
      <c r="L380" s="410"/>
    </row>
    <row r="381" spans="1:12">
      <c r="A381" s="344"/>
      <c r="B381" s="344"/>
      <c r="C381" s="344"/>
      <c r="D381" s="344"/>
      <c r="E381" s="345"/>
      <c r="F381" s="346"/>
      <c r="G381" s="344"/>
      <c r="H381" s="11"/>
      <c r="I381" s="346"/>
      <c r="J381" s="410"/>
      <c r="K381" s="410"/>
      <c r="L381" s="410"/>
    </row>
    <row r="382" spans="1:12">
      <c r="A382" s="344"/>
      <c r="B382" s="344"/>
      <c r="C382" s="344"/>
      <c r="D382" s="344"/>
      <c r="E382" s="345"/>
      <c r="F382" s="346"/>
      <c r="G382" s="344"/>
      <c r="H382" s="11"/>
      <c r="I382" s="346"/>
      <c r="J382" s="410"/>
      <c r="K382" s="410"/>
      <c r="L382" s="410"/>
    </row>
    <row r="383" spans="1:12">
      <c r="A383" s="344"/>
      <c r="B383" s="344"/>
      <c r="C383" s="344"/>
      <c r="D383" s="344"/>
      <c r="E383" s="345"/>
      <c r="F383" s="346"/>
      <c r="G383" s="344"/>
      <c r="H383" s="11"/>
      <c r="I383" s="346"/>
      <c r="J383" s="410"/>
      <c r="K383" s="410"/>
      <c r="L383" s="410"/>
    </row>
    <row r="384" spans="1:12">
      <c r="A384" s="344"/>
      <c r="B384" s="344"/>
      <c r="C384" s="344"/>
      <c r="D384" s="344"/>
      <c r="E384" s="345"/>
      <c r="F384" s="346"/>
      <c r="G384" s="344"/>
      <c r="H384" s="11"/>
      <c r="I384" s="346"/>
      <c r="J384" s="410"/>
      <c r="K384" s="410"/>
      <c r="L384" s="410"/>
    </row>
    <row r="385" spans="1:12">
      <c r="A385" s="344"/>
      <c r="B385" s="344"/>
      <c r="C385" s="344"/>
      <c r="D385" s="344"/>
      <c r="E385" s="345"/>
      <c r="F385" s="346"/>
      <c r="G385" s="344"/>
      <c r="H385" s="11"/>
      <c r="I385" s="346"/>
      <c r="J385" s="410"/>
      <c r="K385" s="410"/>
      <c r="L385" s="410"/>
    </row>
    <row r="386" spans="1:12">
      <c r="A386" s="344"/>
      <c r="B386" s="344"/>
      <c r="C386" s="344"/>
      <c r="D386" s="344"/>
      <c r="E386" s="345"/>
      <c r="F386" s="346"/>
      <c r="G386" s="344"/>
      <c r="H386" s="11"/>
      <c r="I386" s="346"/>
      <c r="J386" s="410"/>
      <c r="K386" s="410"/>
      <c r="L386" s="410"/>
    </row>
    <row r="387" spans="1:12">
      <c r="A387" s="344"/>
      <c r="B387" s="344"/>
      <c r="C387" s="344"/>
      <c r="D387" s="344"/>
      <c r="E387" s="345"/>
      <c r="F387" s="346"/>
      <c r="G387" s="344"/>
      <c r="H387" s="11"/>
      <c r="I387" s="346"/>
      <c r="J387" s="410"/>
      <c r="K387" s="410"/>
      <c r="L387" s="410"/>
    </row>
    <row r="388" spans="1:12">
      <c r="A388" s="344"/>
      <c r="B388" s="344"/>
      <c r="C388" s="344"/>
      <c r="D388" s="344"/>
      <c r="E388" s="345"/>
      <c r="F388" s="346"/>
      <c r="G388" s="344"/>
      <c r="H388" s="11"/>
      <c r="I388" s="346"/>
      <c r="J388" s="410"/>
      <c r="K388" s="410"/>
      <c r="L388" s="410"/>
    </row>
    <row r="389" spans="1:12">
      <c r="A389" s="344"/>
      <c r="B389" s="344"/>
      <c r="C389" s="344"/>
      <c r="D389" s="344"/>
      <c r="E389" s="345"/>
      <c r="F389" s="346"/>
      <c r="G389" s="344"/>
      <c r="H389" s="11"/>
      <c r="I389" s="346"/>
      <c r="J389" s="410"/>
      <c r="K389" s="410"/>
      <c r="L389" s="410"/>
    </row>
    <row r="390" spans="1:12">
      <c r="A390" s="344"/>
      <c r="B390" s="344"/>
      <c r="C390" s="344"/>
      <c r="D390" s="344"/>
      <c r="E390" s="345"/>
      <c r="F390" s="346"/>
      <c r="G390" s="344"/>
      <c r="H390" s="11"/>
      <c r="I390" s="346"/>
      <c r="J390" s="410"/>
      <c r="K390" s="410"/>
      <c r="L390" s="410"/>
    </row>
    <row r="391" spans="1:12">
      <c r="A391" s="344"/>
      <c r="B391" s="344"/>
      <c r="C391" s="344"/>
      <c r="D391" s="344"/>
      <c r="E391" s="345"/>
      <c r="F391" s="346"/>
      <c r="G391" s="344"/>
      <c r="H391" s="11"/>
      <c r="I391" s="346"/>
      <c r="J391" s="410"/>
      <c r="K391" s="410"/>
      <c r="L391" s="410"/>
    </row>
    <row r="392" spans="1:12">
      <c r="A392" s="344"/>
      <c r="B392" s="344"/>
      <c r="C392" s="344"/>
      <c r="D392" s="344"/>
      <c r="E392" s="345"/>
      <c r="F392" s="346"/>
      <c r="G392" s="344"/>
      <c r="H392" s="11"/>
      <c r="I392" s="346"/>
      <c r="J392" s="410"/>
      <c r="K392" s="410"/>
      <c r="L392" s="410"/>
    </row>
    <row r="393" spans="1:12">
      <c r="A393" s="344"/>
      <c r="B393" s="344"/>
      <c r="C393" s="344"/>
      <c r="D393" s="344"/>
      <c r="E393" s="345"/>
      <c r="F393" s="346"/>
      <c r="G393" s="344"/>
      <c r="H393" s="11"/>
      <c r="I393" s="346"/>
      <c r="J393" s="410"/>
      <c r="K393" s="410"/>
      <c r="L393" s="410"/>
    </row>
    <row r="394" spans="1:12">
      <c r="A394" s="344"/>
      <c r="B394" s="344"/>
      <c r="C394" s="344"/>
      <c r="D394" s="344"/>
      <c r="E394" s="345"/>
      <c r="F394" s="346"/>
      <c r="G394" s="344"/>
      <c r="H394" s="11"/>
      <c r="I394" s="346"/>
      <c r="J394" s="410"/>
      <c r="K394" s="410"/>
      <c r="L394" s="410"/>
    </row>
    <row r="395" spans="1:12">
      <c r="A395" s="344"/>
      <c r="B395" s="344"/>
      <c r="C395" s="344"/>
      <c r="D395" s="344"/>
      <c r="E395" s="345"/>
      <c r="F395" s="346"/>
      <c r="G395" s="344"/>
      <c r="H395" s="11"/>
      <c r="I395" s="346"/>
      <c r="J395" s="410"/>
      <c r="K395" s="410"/>
      <c r="L395" s="410"/>
    </row>
    <row r="396" spans="1:12">
      <c r="A396" s="344"/>
      <c r="B396" s="344"/>
      <c r="C396" s="344"/>
      <c r="D396" s="344"/>
      <c r="E396" s="345"/>
      <c r="F396" s="346"/>
      <c r="G396" s="344"/>
      <c r="H396" s="11"/>
      <c r="I396" s="346"/>
      <c r="J396" s="410"/>
      <c r="K396" s="410"/>
      <c r="L396" s="410"/>
    </row>
    <row r="397" spans="1:12">
      <c r="A397" s="344"/>
      <c r="B397" s="344"/>
      <c r="C397" s="344"/>
      <c r="D397" s="344"/>
      <c r="E397" s="345"/>
      <c r="F397" s="346"/>
      <c r="G397" s="344"/>
      <c r="H397" s="11"/>
      <c r="I397" s="346"/>
      <c r="J397" s="410"/>
      <c r="K397" s="410"/>
      <c r="L397" s="410"/>
    </row>
    <row r="398" spans="1:12">
      <c r="A398" s="344"/>
      <c r="B398" s="344"/>
      <c r="C398" s="344"/>
      <c r="D398" s="344"/>
      <c r="E398" s="345"/>
      <c r="F398" s="346"/>
      <c r="G398" s="344"/>
      <c r="H398" s="11"/>
      <c r="I398" s="346"/>
      <c r="J398" s="410"/>
      <c r="K398" s="410"/>
      <c r="L398" s="410"/>
    </row>
    <row r="399" spans="1:12">
      <c r="A399" s="344"/>
      <c r="B399" s="344"/>
      <c r="C399" s="344"/>
      <c r="D399" s="344"/>
      <c r="E399" s="345"/>
      <c r="F399" s="346"/>
      <c r="G399" s="344"/>
      <c r="H399" s="11"/>
      <c r="I399" s="346"/>
      <c r="J399" s="410"/>
      <c r="K399" s="410"/>
      <c r="L399" s="410"/>
    </row>
    <row r="400" spans="1:12">
      <c r="A400" s="344"/>
      <c r="B400" s="344"/>
      <c r="C400" s="344"/>
      <c r="D400" s="344"/>
      <c r="E400" s="345"/>
      <c r="F400" s="346"/>
      <c r="G400" s="344"/>
      <c r="H400" s="11"/>
      <c r="I400" s="346"/>
      <c r="J400" s="410"/>
      <c r="K400" s="410"/>
      <c r="L400" s="410"/>
    </row>
    <row r="401" spans="1:12">
      <c r="A401" s="344"/>
      <c r="B401" s="344"/>
      <c r="C401" s="344"/>
      <c r="D401" s="344"/>
      <c r="E401" s="345"/>
      <c r="F401" s="346"/>
      <c r="G401" s="344"/>
      <c r="H401" s="11"/>
      <c r="I401" s="346"/>
      <c r="J401" s="410"/>
      <c r="K401" s="410"/>
      <c r="L401" s="410"/>
    </row>
    <row r="402" spans="1:12">
      <c r="A402" s="344"/>
      <c r="B402" s="344"/>
      <c r="C402" s="344"/>
      <c r="D402" s="344"/>
      <c r="E402" s="345"/>
      <c r="F402" s="346"/>
      <c r="G402" s="344"/>
      <c r="H402" s="11"/>
      <c r="I402" s="346"/>
      <c r="J402" s="410"/>
      <c r="K402" s="410"/>
      <c r="L402" s="410"/>
    </row>
    <row r="403" spans="1:12">
      <c r="A403" s="344"/>
      <c r="B403" s="344"/>
      <c r="C403" s="344"/>
      <c r="D403" s="344"/>
      <c r="E403" s="345"/>
      <c r="F403" s="346"/>
      <c r="G403" s="344"/>
      <c r="H403" s="11"/>
      <c r="I403" s="346"/>
      <c r="J403" s="410"/>
      <c r="K403" s="410"/>
      <c r="L403" s="410"/>
    </row>
    <row r="404" spans="1:12">
      <c r="A404" s="344"/>
      <c r="B404" s="344"/>
      <c r="C404" s="344"/>
      <c r="D404" s="344"/>
      <c r="E404" s="345"/>
      <c r="F404" s="346"/>
      <c r="G404" s="344"/>
      <c r="H404" s="11"/>
      <c r="I404" s="346"/>
      <c r="J404" s="410"/>
      <c r="K404" s="410"/>
      <c r="L404" s="410"/>
    </row>
    <row r="405" spans="1:12">
      <c r="A405" s="344"/>
      <c r="B405" s="344"/>
      <c r="C405" s="344"/>
      <c r="D405" s="344"/>
      <c r="E405" s="345"/>
      <c r="F405" s="346"/>
      <c r="G405" s="344"/>
      <c r="H405" s="11"/>
      <c r="I405" s="346"/>
      <c r="J405" s="410"/>
      <c r="K405" s="410"/>
      <c r="L405" s="410"/>
    </row>
    <row r="406" spans="1:12">
      <c r="A406" s="344"/>
      <c r="B406" s="344"/>
      <c r="C406" s="344"/>
      <c r="D406" s="344"/>
      <c r="E406" s="345"/>
      <c r="F406" s="346"/>
      <c r="G406" s="344"/>
      <c r="H406" s="11"/>
      <c r="I406" s="346"/>
      <c r="J406" s="410"/>
      <c r="K406" s="410"/>
      <c r="L406" s="410"/>
    </row>
    <row r="407" spans="1:12">
      <c r="A407" s="344"/>
      <c r="B407" s="344"/>
      <c r="C407" s="344"/>
      <c r="D407" s="344"/>
      <c r="E407" s="345"/>
      <c r="F407" s="346"/>
      <c r="G407" s="344"/>
      <c r="H407" s="11"/>
      <c r="I407" s="346"/>
      <c r="J407" s="410"/>
      <c r="K407" s="410"/>
      <c r="L407" s="410"/>
    </row>
    <row r="408" spans="1:12">
      <c r="A408" s="344"/>
      <c r="B408" s="344"/>
      <c r="C408" s="344"/>
      <c r="D408" s="344"/>
      <c r="E408" s="345"/>
      <c r="F408" s="346"/>
      <c r="G408" s="344"/>
      <c r="H408" s="11"/>
      <c r="I408" s="346"/>
      <c r="J408" s="410"/>
      <c r="K408" s="410"/>
      <c r="L408" s="410"/>
    </row>
    <row r="409" spans="1:12">
      <c r="A409" s="344"/>
      <c r="B409" s="344"/>
      <c r="C409" s="344"/>
      <c r="D409" s="344"/>
      <c r="E409" s="345"/>
      <c r="F409" s="346"/>
      <c r="G409" s="344"/>
      <c r="H409" s="11"/>
      <c r="I409" s="346"/>
      <c r="J409" s="410"/>
      <c r="K409" s="410"/>
      <c r="L409" s="410"/>
    </row>
    <row r="410" spans="1:12">
      <c r="A410" s="344"/>
      <c r="B410" s="344"/>
      <c r="C410" s="344"/>
      <c r="D410" s="344"/>
      <c r="E410" s="345"/>
      <c r="F410" s="346"/>
      <c r="G410" s="344"/>
      <c r="H410" s="11"/>
      <c r="I410" s="346"/>
      <c r="J410" s="410"/>
      <c r="K410" s="410"/>
      <c r="L410" s="410"/>
    </row>
    <row r="411" spans="1:12">
      <c r="A411" s="344"/>
      <c r="B411" s="344"/>
      <c r="C411" s="344"/>
      <c r="D411" s="344"/>
      <c r="E411" s="345"/>
      <c r="F411" s="346"/>
      <c r="G411" s="344"/>
      <c r="H411" s="11"/>
      <c r="I411" s="346"/>
      <c r="J411" s="410"/>
      <c r="K411" s="410"/>
      <c r="L411" s="410"/>
    </row>
    <row r="412" spans="1:12">
      <c r="A412" s="344"/>
      <c r="B412" s="344"/>
      <c r="C412" s="344"/>
      <c r="D412" s="344"/>
      <c r="E412" s="345"/>
      <c r="F412" s="346"/>
      <c r="G412" s="344"/>
      <c r="H412" s="11"/>
      <c r="I412" s="346"/>
      <c r="J412" s="410"/>
      <c r="K412" s="410"/>
      <c r="L412" s="410"/>
    </row>
    <row r="413" spans="1:12">
      <c r="A413" s="344"/>
      <c r="B413" s="344"/>
      <c r="C413" s="344"/>
      <c r="D413" s="344"/>
      <c r="E413" s="345"/>
      <c r="F413" s="346"/>
      <c r="G413" s="344"/>
      <c r="H413" s="11"/>
      <c r="I413" s="346"/>
      <c r="J413" s="410"/>
      <c r="K413" s="410"/>
      <c r="L413" s="410"/>
    </row>
    <row r="414" spans="1:12">
      <c r="A414" s="344"/>
      <c r="B414" s="344"/>
      <c r="C414" s="344"/>
      <c r="D414" s="344"/>
      <c r="E414" s="345"/>
      <c r="F414" s="346"/>
      <c r="G414" s="344"/>
      <c r="H414" s="11"/>
      <c r="I414" s="346"/>
      <c r="J414" s="410"/>
      <c r="K414" s="410"/>
      <c r="L414" s="410"/>
    </row>
    <row r="415" spans="1:12">
      <c r="A415" s="344"/>
      <c r="B415" s="344"/>
      <c r="C415" s="344"/>
      <c r="D415" s="344"/>
      <c r="E415" s="345"/>
      <c r="F415" s="346"/>
      <c r="G415" s="344"/>
      <c r="H415" s="11"/>
      <c r="I415" s="346"/>
      <c r="J415" s="410"/>
      <c r="K415" s="410"/>
      <c r="L415" s="410"/>
    </row>
    <row r="416" spans="1:12">
      <c r="A416" s="344"/>
      <c r="B416" s="344"/>
      <c r="C416" s="344"/>
      <c r="D416" s="344"/>
      <c r="E416" s="345"/>
      <c r="F416" s="346"/>
      <c r="G416" s="344"/>
      <c r="H416" s="11"/>
      <c r="I416" s="346"/>
      <c r="J416" s="410"/>
      <c r="K416" s="410"/>
      <c r="L416" s="410"/>
    </row>
    <row r="417" spans="1:12">
      <c r="A417" s="344"/>
      <c r="B417" s="344"/>
      <c r="C417" s="344"/>
      <c r="D417" s="344"/>
      <c r="E417" s="345"/>
      <c r="F417" s="346"/>
      <c r="G417" s="344"/>
      <c r="H417" s="11"/>
      <c r="I417" s="346"/>
      <c r="J417" s="410"/>
      <c r="K417" s="410"/>
      <c r="L417" s="410"/>
    </row>
    <row r="418" spans="1:12">
      <c r="A418" s="344"/>
      <c r="B418" s="344"/>
      <c r="C418" s="344"/>
      <c r="D418" s="344"/>
      <c r="E418" s="345"/>
      <c r="F418" s="346"/>
      <c r="G418" s="344"/>
      <c r="H418" s="11"/>
      <c r="I418" s="346"/>
      <c r="J418" s="410"/>
      <c r="K418" s="410"/>
      <c r="L418" s="410"/>
    </row>
    <row r="419" spans="1:12">
      <c r="A419" s="344"/>
      <c r="B419" s="344"/>
      <c r="C419" s="344"/>
      <c r="D419" s="344"/>
      <c r="E419" s="345"/>
      <c r="F419" s="346"/>
      <c r="G419" s="344"/>
      <c r="H419" s="11"/>
      <c r="I419" s="346"/>
      <c r="J419" s="410"/>
      <c r="K419" s="410"/>
      <c r="L419" s="410"/>
    </row>
    <row r="420" spans="1:12">
      <c r="A420" s="344"/>
      <c r="B420" s="344"/>
      <c r="C420" s="344"/>
      <c r="D420" s="344"/>
      <c r="E420" s="345"/>
      <c r="F420" s="346"/>
      <c r="G420" s="344"/>
      <c r="H420" s="11"/>
      <c r="I420" s="346"/>
      <c r="J420" s="410"/>
      <c r="K420" s="410"/>
      <c r="L420" s="410"/>
    </row>
    <row r="421" spans="1:12">
      <c r="A421" s="344"/>
      <c r="B421" s="344"/>
      <c r="C421" s="344"/>
      <c r="D421" s="344"/>
      <c r="E421" s="345"/>
      <c r="F421" s="346"/>
      <c r="G421" s="344"/>
      <c r="H421" s="11"/>
      <c r="I421" s="346"/>
      <c r="J421" s="410"/>
      <c r="K421" s="410"/>
      <c r="L421" s="410"/>
    </row>
    <row r="422" spans="1:12">
      <c r="A422" s="344"/>
      <c r="B422" s="344"/>
      <c r="C422" s="344"/>
      <c r="D422" s="344"/>
      <c r="E422" s="345"/>
      <c r="F422" s="346"/>
      <c r="G422" s="344"/>
      <c r="H422" s="11"/>
      <c r="I422" s="346"/>
      <c r="J422" s="410"/>
      <c r="K422" s="410"/>
      <c r="L422" s="410"/>
    </row>
    <row r="423" spans="1:12">
      <c r="A423" s="344"/>
      <c r="B423" s="344"/>
      <c r="C423" s="344"/>
      <c r="D423" s="344"/>
      <c r="E423" s="345"/>
      <c r="F423" s="346"/>
      <c r="G423" s="344"/>
      <c r="H423" s="11"/>
      <c r="I423" s="346"/>
      <c r="J423" s="410"/>
      <c r="K423" s="410"/>
      <c r="L423" s="410"/>
    </row>
    <row r="424" spans="1:12">
      <c r="A424" s="344"/>
      <c r="B424" s="344"/>
      <c r="C424" s="344"/>
      <c r="D424" s="344"/>
      <c r="E424" s="345"/>
      <c r="F424" s="346"/>
      <c r="G424" s="344"/>
      <c r="H424" s="11"/>
      <c r="I424" s="346"/>
      <c r="J424" s="410"/>
      <c r="K424" s="410"/>
      <c r="L424" s="410"/>
    </row>
    <row r="425" spans="1:12">
      <c r="A425" s="344"/>
      <c r="B425" s="344"/>
      <c r="C425" s="344"/>
      <c r="D425" s="344"/>
      <c r="E425" s="345"/>
      <c r="F425" s="346"/>
      <c r="G425" s="344"/>
      <c r="H425" s="11"/>
      <c r="I425" s="346"/>
      <c r="J425" s="410"/>
      <c r="K425" s="410"/>
      <c r="L425" s="410"/>
    </row>
    <row r="426" spans="1:12">
      <c r="A426" s="344"/>
      <c r="B426" s="344"/>
      <c r="C426" s="344"/>
      <c r="D426" s="344"/>
      <c r="E426" s="345"/>
      <c r="F426" s="346"/>
      <c r="G426" s="344"/>
      <c r="H426" s="11"/>
      <c r="I426" s="346"/>
      <c r="J426" s="410"/>
      <c r="K426" s="410"/>
      <c r="L426" s="410"/>
    </row>
    <row r="427" spans="1:12">
      <c r="A427" s="344"/>
      <c r="B427" s="344"/>
      <c r="C427" s="344"/>
      <c r="D427" s="344"/>
      <c r="E427" s="345"/>
      <c r="F427" s="346"/>
      <c r="G427" s="344"/>
      <c r="H427" s="11"/>
      <c r="I427" s="346"/>
      <c r="J427" s="410"/>
      <c r="K427" s="410"/>
      <c r="L427" s="410"/>
    </row>
    <row r="428" spans="1:12">
      <c r="A428" s="344"/>
      <c r="B428" s="344"/>
      <c r="C428" s="344"/>
      <c r="D428" s="344"/>
      <c r="E428" s="345"/>
      <c r="F428" s="346"/>
      <c r="G428" s="344"/>
      <c r="H428" s="11"/>
      <c r="I428" s="346"/>
      <c r="J428" s="410"/>
      <c r="K428" s="410"/>
      <c r="L428" s="410"/>
    </row>
    <row r="429" spans="1:12">
      <c r="A429" s="344"/>
      <c r="B429" s="344"/>
      <c r="C429" s="344"/>
      <c r="D429" s="344"/>
      <c r="E429" s="345"/>
      <c r="F429" s="346"/>
      <c r="G429" s="344"/>
      <c r="H429" s="11"/>
      <c r="I429" s="346"/>
      <c r="J429" s="410"/>
      <c r="K429" s="410"/>
      <c r="L429" s="410"/>
    </row>
    <row r="430" spans="1:12">
      <c r="A430" s="344"/>
      <c r="B430" s="344"/>
      <c r="C430" s="344"/>
      <c r="D430" s="344"/>
      <c r="E430" s="345"/>
      <c r="F430" s="346"/>
      <c r="G430" s="344"/>
      <c r="H430" s="11"/>
      <c r="I430" s="346"/>
      <c r="J430" s="410"/>
      <c r="K430" s="410"/>
      <c r="L430" s="410"/>
    </row>
    <row r="431" spans="1:12">
      <c r="A431" s="344"/>
      <c r="B431" s="344"/>
      <c r="C431" s="344"/>
      <c r="D431" s="344"/>
      <c r="E431" s="345"/>
      <c r="F431" s="346"/>
      <c r="G431" s="344"/>
      <c r="H431" s="11"/>
      <c r="I431" s="346"/>
      <c r="J431" s="410"/>
      <c r="K431" s="410"/>
      <c r="L431" s="410"/>
    </row>
    <row r="432" spans="1:12">
      <c r="A432" s="344"/>
      <c r="B432" s="344"/>
      <c r="C432" s="344"/>
      <c r="D432" s="344"/>
      <c r="E432" s="345"/>
      <c r="F432" s="346"/>
      <c r="G432" s="344"/>
      <c r="H432" s="11"/>
      <c r="I432" s="346"/>
      <c r="J432" s="410"/>
      <c r="K432" s="410"/>
      <c r="L432" s="410"/>
    </row>
    <row r="433" spans="1:12">
      <c r="A433" s="344"/>
      <c r="B433" s="344"/>
      <c r="C433" s="344"/>
      <c r="D433" s="344"/>
      <c r="E433" s="345"/>
      <c r="F433" s="346"/>
      <c r="G433" s="344"/>
      <c r="H433" s="11"/>
      <c r="I433" s="346"/>
      <c r="J433" s="410"/>
      <c r="K433" s="410"/>
      <c r="L433" s="410"/>
    </row>
    <row r="434" spans="1:12">
      <c r="A434" s="344"/>
      <c r="B434" s="344"/>
      <c r="C434" s="344"/>
      <c r="D434" s="344"/>
      <c r="E434" s="345"/>
      <c r="F434" s="346"/>
      <c r="G434" s="344"/>
      <c r="H434" s="11"/>
      <c r="I434" s="346"/>
      <c r="J434" s="410"/>
      <c r="K434" s="410"/>
      <c r="L434" s="410"/>
    </row>
    <row r="435" spans="1:12">
      <c r="A435" s="344"/>
      <c r="B435" s="344"/>
      <c r="C435" s="344"/>
      <c r="D435" s="344"/>
      <c r="E435" s="345"/>
      <c r="F435" s="346"/>
      <c r="G435" s="344"/>
      <c r="H435" s="11"/>
      <c r="I435" s="346"/>
      <c r="J435" s="410"/>
      <c r="K435" s="410"/>
      <c r="L435" s="410"/>
    </row>
    <row r="436" spans="1:12">
      <c r="A436" s="344"/>
      <c r="B436" s="344"/>
      <c r="C436" s="344"/>
      <c r="D436" s="344"/>
      <c r="E436" s="345"/>
      <c r="F436" s="346"/>
      <c r="G436" s="344"/>
      <c r="H436" s="11"/>
      <c r="I436" s="346"/>
      <c r="J436" s="410"/>
      <c r="K436" s="410"/>
      <c r="L436" s="410"/>
    </row>
    <row r="437" spans="1:12">
      <c r="A437" s="344"/>
      <c r="B437" s="344"/>
      <c r="C437" s="344"/>
      <c r="D437" s="344"/>
      <c r="E437" s="345"/>
      <c r="F437" s="346"/>
      <c r="G437" s="344"/>
      <c r="H437" s="11"/>
      <c r="I437" s="346"/>
      <c r="J437" s="410"/>
      <c r="K437" s="410"/>
      <c r="L437" s="410"/>
    </row>
    <row r="438" spans="1:12">
      <c r="A438" s="344"/>
      <c r="B438" s="344"/>
      <c r="C438" s="344"/>
      <c r="D438" s="344"/>
      <c r="E438" s="345"/>
      <c r="F438" s="346"/>
      <c r="G438" s="344"/>
      <c r="H438" s="11"/>
      <c r="I438" s="346"/>
      <c r="J438" s="410"/>
      <c r="K438" s="410"/>
      <c r="L438" s="410"/>
    </row>
    <row r="439" spans="1:12">
      <c r="A439" s="344"/>
      <c r="B439" s="344"/>
      <c r="C439" s="344"/>
      <c r="D439" s="344"/>
      <c r="E439" s="345"/>
      <c r="F439" s="346"/>
      <c r="G439" s="344"/>
      <c r="H439" s="11"/>
      <c r="I439" s="346"/>
      <c r="J439" s="410"/>
      <c r="K439" s="410"/>
      <c r="L439" s="410"/>
    </row>
    <row r="440" spans="1:12">
      <c r="A440" s="344"/>
      <c r="B440" s="344"/>
      <c r="C440" s="344"/>
      <c r="D440" s="344"/>
      <c r="E440" s="345"/>
      <c r="F440" s="346"/>
      <c r="G440" s="344"/>
      <c r="H440" s="11"/>
      <c r="I440" s="346"/>
      <c r="J440" s="410"/>
      <c r="K440" s="410"/>
      <c r="L440" s="410"/>
    </row>
    <row r="441" spans="1:12">
      <c r="A441" s="344"/>
      <c r="B441" s="344"/>
      <c r="C441" s="344"/>
      <c r="D441" s="344"/>
      <c r="E441" s="345"/>
      <c r="F441" s="346"/>
      <c r="G441" s="344"/>
      <c r="H441" s="11"/>
      <c r="I441" s="346"/>
      <c r="J441" s="410"/>
      <c r="K441" s="410"/>
      <c r="L441" s="410"/>
    </row>
    <row r="442" spans="1:12">
      <c r="A442" s="344"/>
      <c r="B442" s="344"/>
      <c r="C442" s="344"/>
      <c r="D442" s="344"/>
      <c r="E442" s="345"/>
      <c r="F442" s="346"/>
      <c r="G442" s="344"/>
      <c r="H442" s="11"/>
      <c r="I442" s="346"/>
      <c r="J442" s="410"/>
      <c r="K442" s="410"/>
      <c r="L442" s="410"/>
    </row>
    <row r="443" spans="1:12">
      <c r="A443" s="344"/>
      <c r="B443" s="344"/>
      <c r="C443" s="344"/>
      <c r="D443" s="344"/>
      <c r="E443" s="345"/>
      <c r="F443" s="346"/>
      <c r="G443" s="344"/>
      <c r="H443" s="11"/>
      <c r="I443" s="346"/>
      <c r="J443" s="410"/>
      <c r="K443" s="410"/>
      <c r="L443" s="410"/>
    </row>
    <row r="444" spans="1:12">
      <c r="A444" s="344"/>
      <c r="B444" s="344"/>
      <c r="C444" s="344"/>
      <c r="D444" s="344"/>
      <c r="E444" s="345"/>
      <c r="F444" s="346"/>
      <c r="G444" s="344"/>
      <c r="H444" s="11"/>
      <c r="I444" s="346"/>
      <c r="J444" s="410"/>
      <c r="K444" s="410"/>
      <c r="L444" s="410"/>
    </row>
    <row r="445" spans="1:12">
      <c r="A445" s="344"/>
      <c r="B445" s="344"/>
      <c r="C445" s="344"/>
      <c r="D445" s="344"/>
      <c r="E445" s="345"/>
      <c r="F445" s="346"/>
      <c r="G445" s="344"/>
      <c r="H445" s="11"/>
      <c r="I445" s="346"/>
      <c r="J445" s="410"/>
      <c r="K445" s="410"/>
      <c r="L445" s="410"/>
    </row>
    <row r="446" spans="1:12">
      <c r="A446" s="344"/>
      <c r="B446" s="344"/>
      <c r="C446" s="344"/>
      <c r="D446" s="344"/>
      <c r="E446" s="345"/>
      <c r="F446" s="346"/>
      <c r="G446" s="344"/>
      <c r="H446" s="11"/>
      <c r="I446" s="346"/>
      <c r="J446" s="410"/>
      <c r="K446" s="410"/>
      <c r="L446" s="410"/>
    </row>
    <row r="447" spans="1:12">
      <c r="A447" s="344"/>
      <c r="B447" s="344"/>
      <c r="C447" s="344"/>
      <c r="D447" s="344"/>
      <c r="E447" s="345"/>
      <c r="F447" s="346"/>
      <c r="G447" s="344"/>
      <c r="H447" s="11"/>
      <c r="I447" s="346"/>
      <c r="J447" s="410"/>
      <c r="K447" s="410"/>
      <c r="L447" s="410"/>
    </row>
    <row r="448" spans="1:12">
      <c r="A448" s="344"/>
      <c r="B448" s="344"/>
      <c r="C448" s="344"/>
      <c r="D448" s="344"/>
      <c r="E448" s="345"/>
      <c r="F448" s="346"/>
      <c r="G448" s="344"/>
      <c r="H448" s="11"/>
      <c r="I448" s="346"/>
      <c r="J448" s="410"/>
      <c r="K448" s="410"/>
      <c r="L448" s="410"/>
    </row>
    <row r="449" spans="1:12">
      <c r="A449" s="344"/>
      <c r="B449" s="344"/>
      <c r="C449" s="344"/>
      <c r="D449" s="344"/>
      <c r="E449" s="345"/>
      <c r="F449" s="346"/>
      <c r="G449" s="344"/>
      <c r="H449" s="11"/>
      <c r="I449" s="346"/>
      <c r="J449" s="410"/>
      <c r="K449" s="410"/>
      <c r="L449" s="410"/>
    </row>
    <row r="450" spans="1:12">
      <c r="A450" s="344"/>
      <c r="B450" s="344"/>
      <c r="C450" s="344"/>
      <c r="D450" s="344"/>
      <c r="E450" s="345"/>
      <c r="F450" s="346"/>
      <c r="G450" s="344"/>
      <c r="H450" s="11"/>
      <c r="I450" s="346"/>
      <c r="J450" s="410"/>
      <c r="K450" s="410"/>
      <c r="L450" s="410"/>
    </row>
    <row r="451" spans="1:12">
      <c r="A451" s="344"/>
      <c r="B451" s="344"/>
      <c r="C451" s="344"/>
      <c r="D451" s="344"/>
      <c r="E451" s="345"/>
      <c r="F451" s="346"/>
      <c r="G451" s="344"/>
      <c r="H451" s="11"/>
      <c r="I451" s="346"/>
      <c r="J451" s="410"/>
      <c r="K451" s="410"/>
      <c r="L451" s="410"/>
    </row>
    <row r="452" spans="1:12">
      <c r="A452" s="344"/>
      <c r="B452" s="344"/>
      <c r="C452" s="344"/>
      <c r="D452" s="344"/>
      <c r="E452" s="345"/>
      <c r="F452" s="346"/>
      <c r="G452" s="344"/>
      <c r="H452" s="11"/>
      <c r="I452" s="346"/>
      <c r="J452" s="410"/>
      <c r="K452" s="410"/>
      <c r="L452" s="410"/>
    </row>
    <row r="453" spans="1:12">
      <c r="A453" s="344"/>
      <c r="B453" s="344"/>
      <c r="C453" s="344"/>
      <c r="D453" s="344"/>
      <c r="E453" s="345"/>
      <c r="F453" s="346"/>
      <c r="G453" s="344"/>
      <c r="H453" s="11"/>
      <c r="I453" s="346"/>
      <c r="J453" s="410"/>
      <c r="K453" s="410"/>
      <c r="L453" s="410"/>
    </row>
    <row r="454" spans="1:12">
      <c r="A454" s="344"/>
      <c r="B454" s="344"/>
      <c r="C454" s="344"/>
      <c r="D454" s="344"/>
      <c r="E454" s="345"/>
      <c r="F454" s="346"/>
      <c r="G454" s="344"/>
      <c r="H454" s="11"/>
      <c r="I454" s="346"/>
      <c r="J454" s="410"/>
      <c r="K454" s="410"/>
      <c r="L454" s="410"/>
    </row>
    <row r="455" spans="1:12">
      <c r="A455" s="344"/>
      <c r="B455" s="344"/>
      <c r="C455" s="344"/>
      <c r="D455" s="344"/>
      <c r="E455" s="345"/>
      <c r="F455" s="346"/>
      <c r="G455" s="344"/>
      <c r="H455" s="11"/>
      <c r="I455" s="346"/>
      <c r="J455" s="410"/>
      <c r="K455" s="410"/>
      <c r="L455" s="410"/>
    </row>
    <row r="456" spans="1:12">
      <c r="A456" s="344"/>
      <c r="B456" s="344"/>
      <c r="C456" s="344"/>
      <c r="D456" s="344"/>
      <c r="E456" s="345"/>
      <c r="F456" s="346"/>
      <c r="G456" s="344"/>
      <c r="H456" s="11"/>
      <c r="I456" s="346"/>
      <c r="J456" s="410"/>
      <c r="K456" s="410"/>
      <c r="L456" s="410"/>
    </row>
    <row r="457" spans="1:12">
      <c r="A457" s="344"/>
      <c r="B457" s="344"/>
      <c r="C457" s="344"/>
      <c r="D457" s="344"/>
      <c r="E457" s="345"/>
      <c r="F457" s="346"/>
      <c r="G457" s="344"/>
      <c r="H457" s="11"/>
      <c r="I457" s="346"/>
      <c r="J457" s="410"/>
      <c r="K457" s="410"/>
      <c r="L457" s="410"/>
    </row>
    <row r="458" spans="1:12">
      <c r="A458" s="344"/>
      <c r="B458" s="344"/>
      <c r="C458" s="344"/>
      <c r="D458" s="344"/>
      <c r="E458" s="345"/>
      <c r="F458" s="346"/>
      <c r="G458" s="344"/>
      <c r="H458" s="11"/>
      <c r="I458" s="346"/>
      <c r="J458" s="410"/>
      <c r="K458" s="410"/>
      <c r="L458" s="410"/>
    </row>
    <row r="459" spans="1:12">
      <c r="A459" s="344"/>
      <c r="B459" s="344"/>
      <c r="C459" s="344"/>
      <c r="D459" s="344"/>
      <c r="E459" s="345"/>
      <c r="F459" s="346"/>
      <c r="G459" s="344"/>
      <c r="H459" s="11"/>
      <c r="I459" s="346"/>
      <c r="J459" s="410"/>
      <c r="K459" s="410"/>
      <c r="L459" s="410"/>
    </row>
    <row r="460" spans="1:12">
      <c r="A460" s="344"/>
      <c r="B460" s="344"/>
      <c r="C460" s="344"/>
      <c r="D460" s="344"/>
      <c r="E460" s="345"/>
      <c r="F460" s="346"/>
      <c r="G460" s="344"/>
      <c r="H460" s="11"/>
      <c r="I460" s="346"/>
      <c r="J460" s="410"/>
      <c r="K460" s="410"/>
      <c r="L460" s="410"/>
    </row>
    <row r="461" spans="1:12">
      <c r="A461" s="344"/>
      <c r="B461" s="344"/>
      <c r="C461" s="344"/>
      <c r="D461" s="344"/>
      <c r="E461" s="345"/>
      <c r="F461" s="346"/>
      <c r="G461" s="344"/>
      <c r="H461" s="11"/>
      <c r="I461" s="346"/>
      <c r="J461" s="410"/>
      <c r="K461" s="410"/>
      <c r="L461" s="410"/>
    </row>
    <row r="462" spans="1:12">
      <c r="A462" s="344"/>
      <c r="B462" s="344"/>
      <c r="C462" s="344"/>
      <c r="D462" s="344"/>
      <c r="E462" s="345"/>
      <c r="F462" s="346"/>
      <c r="G462" s="344"/>
      <c r="H462" s="11"/>
      <c r="I462" s="346"/>
      <c r="J462" s="410"/>
      <c r="K462" s="410"/>
      <c r="L462" s="410"/>
    </row>
    <row r="463" spans="1:12">
      <c r="A463" s="344"/>
      <c r="B463" s="344"/>
      <c r="C463" s="344"/>
      <c r="D463" s="344"/>
      <c r="E463" s="345"/>
      <c r="F463" s="346"/>
      <c r="G463" s="344"/>
      <c r="H463" s="11"/>
      <c r="I463" s="346"/>
      <c r="J463" s="410"/>
      <c r="K463" s="410"/>
      <c r="L463" s="410"/>
    </row>
    <row r="464" spans="1:12">
      <c r="A464" s="344"/>
      <c r="B464" s="344"/>
      <c r="C464" s="344"/>
      <c r="D464" s="344"/>
      <c r="E464" s="345"/>
      <c r="F464" s="346"/>
      <c r="G464" s="344"/>
      <c r="H464" s="11"/>
      <c r="I464" s="346"/>
      <c r="J464" s="410"/>
      <c r="K464" s="410"/>
      <c r="L464" s="410"/>
    </row>
    <row r="465" spans="1:12">
      <c r="A465" s="344"/>
      <c r="B465" s="344"/>
      <c r="C465" s="344"/>
      <c r="D465" s="344"/>
      <c r="E465" s="345"/>
      <c r="F465" s="346"/>
      <c r="G465" s="344"/>
      <c r="H465" s="11"/>
      <c r="I465" s="346"/>
      <c r="J465" s="410"/>
      <c r="K465" s="410"/>
      <c r="L465" s="410"/>
    </row>
    <row r="466" spans="1:12">
      <c r="A466" s="344"/>
      <c r="B466" s="344"/>
      <c r="C466" s="344"/>
      <c r="D466" s="344"/>
      <c r="E466" s="345"/>
      <c r="F466" s="346"/>
      <c r="G466" s="344"/>
      <c r="H466" s="11"/>
      <c r="I466" s="346"/>
      <c r="J466" s="410"/>
      <c r="K466" s="410"/>
      <c r="L466" s="410"/>
    </row>
    <row r="467" spans="1:12">
      <c r="A467" s="344"/>
      <c r="B467" s="344"/>
      <c r="C467" s="344"/>
      <c r="D467" s="344"/>
      <c r="E467" s="345"/>
      <c r="F467" s="346"/>
      <c r="G467" s="344"/>
      <c r="H467" s="11"/>
      <c r="I467" s="346"/>
      <c r="J467" s="410"/>
      <c r="K467" s="410"/>
      <c r="L467" s="410"/>
    </row>
    <row r="468" spans="1:12">
      <c r="A468" s="344"/>
      <c r="B468" s="344"/>
      <c r="C468" s="344"/>
      <c r="D468" s="344"/>
      <c r="E468" s="345"/>
      <c r="F468" s="346"/>
      <c r="G468" s="344"/>
      <c r="H468" s="11"/>
      <c r="I468" s="346"/>
      <c r="J468" s="410"/>
      <c r="K468" s="410"/>
      <c r="L468" s="410"/>
    </row>
    <row r="469" spans="1:12">
      <c r="A469" s="344"/>
      <c r="B469" s="344"/>
      <c r="C469" s="344"/>
      <c r="D469" s="344"/>
      <c r="E469" s="345"/>
      <c r="F469" s="346"/>
      <c r="G469" s="344"/>
      <c r="H469" s="11"/>
      <c r="I469" s="346"/>
      <c r="J469" s="410"/>
      <c r="K469" s="410"/>
      <c r="L469" s="410"/>
    </row>
    <row r="470" spans="1:12">
      <c r="A470" s="344"/>
      <c r="B470" s="344"/>
      <c r="C470" s="344"/>
      <c r="D470" s="344"/>
      <c r="E470" s="345"/>
      <c r="F470" s="346"/>
      <c r="G470" s="344"/>
      <c r="H470" s="11"/>
      <c r="I470" s="346"/>
      <c r="J470" s="410"/>
      <c r="K470" s="410"/>
      <c r="L470" s="410"/>
    </row>
    <row r="471" spans="1:12">
      <c r="A471" s="344"/>
      <c r="B471" s="344"/>
      <c r="C471" s="344"/>
      <c r="D471" s="344"/>
      <c r="E471" s="345"/>
      <c r="F471" s="346"/>
      <c r="G471" s="344"/>
      <c r="H471" s="11"/>
      <c r="I471" s="346"/>
      <c r="J471" s="410"/>
      <c r="K471" s="410"/>
      <c r="L471" s="410"/>
    </row>
    <row r="472" spans="1:12">
      <c r="A472" s="344"/>
      <c r="B472" s="344"/>
      <c r="C472" s="344"/>
      <c r="D472" s="344"/>
      <c r="E472" s="345"/>
      <c r="F472" s="346"/>
      <c r="G472" s="344"/>
      <c r="H472" s="11"/>
      <c r="I472" s="346"/>
      <c r="J472" s="410"/>
      <c r="K472" s="410"/>
      <c r="L472" s="410"/>
    </row>
    <row r="473" spans="1:12">
      <c r="A473" s="344"/>
      <c r="B473" s="344"/>
      <c r="C473" s="344"/>
      <c r="D473" s="344"/>
      <c r="E473" s="345"/>
      <c r="F473" s="346"/>
      <c r="G473" s="344"/>
      <c r="H473" s="11"/>
      <c r="I473" s="346"/>
      <c r="J473" s="410"/>
      <c r="K473" s="410"/>
      <c r="L473" s="410"/>
    </row>
    <row r="474" spans="1:12">
      <c r="A474" s="344"/>
      <c r="B474" s="344"/>
      <c r="C474" s="344"/>
      <c r="D474" s="344"/>
      <c r="E474" s="345"/>
      <c r="F474" s="346"/>
      <c r="G474" s="344"/>
      <c r="H474" s="11"/>
      <c r="I474" s="346"/>
      <c r="J474" s="410"/>
      <c r="K474" s="410"/>
      <c r="L474" s="410"/>
    </row>
    <row r="475" spans="1:12">
      <c r="A475" s="344"/>
      <c r="B475" s="344"/>
      <c r="C475" s="344"/>
      <c r="D475" s="344"/>
      <c r="E475" s="345"/>
      <c r="F475" s="346"/>
      <c r="G475" s="344"/>
      <c r="H475" s="11"/>
      <c r="I475" s="346"/>
      <c r="J475" s="410"/>
      <c r="K475" s="410"/>
      <c r="L475" s="410"/>
    </row>
    <row r="476" spans="1:12">
      <c r="A476" s="344"/>
      <c r="B476" s="344"/>
      <c r="C476" s="344"/>
      <c r="D476" s="344"/>
      <c r="E476" s="345"/>
      <c r="F476" s="346"/>
      <c r="G476" s="344"/>
      <c r="H476" s="11"/>
      <c r="I476" s="346"/>
      <c r="J476" s="410"/>
      <c r="K476" s="410"/>
      <c r="L476" s="410"/>
    </row>
    <row r="477" spans="1:12">
      <c r="A477" s="344"/>
      <c r="B477" s="344"/>
      <c r="C477" s="344"/>
      <c r="D477" s="344"/>
      <c r="E477" s="345"/>
      <c r="F477" s="346"/>
      <c r="G477" s="344"/>
      <c r="H477" s="11"/>
      <c r="I477" s="346"/>
      <c r="J477" s="410"/>
      <c r="K477" s="410"/>
      <c r="L477" s="410"/>
    </row>
    <row r="478" spans="1:12">
      <c r="A478" s="344"/>
      <c r="B478" s="344"/>
      <c r="C478" s="344"/>
      <c r="D478" s="344"/>
      <c r="E478" s="345"/>
      <c r="F478" s="346"/>
      <c r="G478" s="344"/>
      <c r="H478" s="11"/>
      <c r="I478" s="346"/>
      <c r="J478" s="410"/>
      <c r="K478" s="410"/>
      <c r="L478" s="410"/>
    </row>
    <row r="479" spans="1:12">
      <c r="A479" s="344"/>
      <c r="B479" s="344"/>
      <c r="C479" s="344"/>
      <c r="D479" s="344"/>
      <c r="E479" s="345"/>
      <c r="F479" s="346"/>
      <c r="G479" s="344"/>
      <c r="H479" s="11"/>
      <c r="I479" s="346"/>
      <c r="J479" s="410"/>
      <c r="K479" s="410"/>
      <c r="L479" s="410"/>
    </row>
    <row r="480" spans="1:12">
      <c r="A480" s="344"/>
      <c r="B480" s="344"/>
      <c r="C480" s="344"/>
      <c r="D480" s="344"/>
      <c r="E480" s="345"/>
      <c r="F480" s="346"/>
      <c r="G480" s="344"/>
      <c r="H480" s="11"/>
      <c r="I480" s="346"/>
      <c r="J480" s="410"/>
      <c r="K480" s="410"/>
      <c r="L480" s="410"/>
    </row>
    <row r="481" spans="1:12">
      <c r="A481" s="344"/>
      <c r="B481" s="344"/>
      <c r="C481" s="344"/>
      <c r="D481" s="344"/>
      <c r="E481" s="345"/>
      <c r="F481" s="346"/>
      <c r="G481" s="344"/>
      <c r="H481" s="11"/>
      <c r="I481" s="346"/>
      <c r="J481" s="410"/>
      <c r="K481" s="410"/>
      <c r="L481" s="410"/>
    </row>
    <row r="482" spans="1:12">
      <c r="A482" s="344"/>
      <c r="B482" s="344"/>
      <c r="C482" s="344"/>
      <c r="D482" s="344"/>
      <c r="E482" s="345"/>
      <c r="F482" s="346"/>
      <c r="G482" s="344"/>
      <c r="H482" s="11"/>
      <c r="I482" s="346"/>
      <c r="J482" s="410"/>
      <c r="K482" s="410"/>
      <c r="L482" s="410"/>
    </row>
    <row r="483" spans="1:12">
      <c r="A483" s="344"/>
      <c r="B483" s="344"/>
      <c r="C483" s="344"/>
      <c r="D483" s="344"/>
      <c r="E483" s="345"/>
      <c r="F483" s="346"/>
      <c r="G483" s="344"/>
      <c r="H483" s="11"/>
      <c r="I483" s="346"/>
      <c r="J483" s="410"/>
      <c r="K483" s="410"/>
      <c r="L483" s="410"/>
    </row>
    <row r="484" spans="1:12">
      <c r="A484" s="344"/>
      <c r="B484" s="344"/>
      <c r="C484" s="344"/>
      <c r="D484" s="344"/>
      <c r="E484" s="345"/>
      <c r="F484" s="346"/>
      <c r="G484" s="344"/>
      <c r="H484" s="11"/>
      <c r="I484" s="346"/>
      <c r="J484" s="410"/>
      <c r="K484" s="410"/>
      <c r="L484" s="410"/>
    </row>
    <row r="485" spans="1:12">
      <c r="A485" s="344"/>
      <c r="B485" s="344"/>
      <c r="C485" s="344"/>
      <c r="D485" s="344"/>
      <c r="E485" s="345"/>
      <c r="F485" s="346"/>
      <c r="G485" s="344"/>
      <c r="H485" s="11"/>
      <c r="I485" s="346"/>
      <c r="J485" s="410"/>
      <c r="K485" s="410"/>
      <c r="L485" s="410"/>
    </row>
    <row r="486" spans="1:12">
      <c r="A486" s="344"/>
      <c r="B486" s="344"/>
      <c r="C486" s="344"/>
      <c r="D486" s="344"/>
      <c r="E486" s="345"/>
      <c r="F486" s="346"/>
      <c r="G486" s="344"/>
      <c r="H486" s="11"/>
      <c r="I486" s="346"/>
      <c r="J486" s="410"/>
      <c r="K486" s="410"/>
      <c r="L486" s="410"/>
    </row>
    <row r="487" spans="1:12">
      <c r="A487" s="344"/>
      <c r="B487" s="344"/>
      <c r="C487" s="344"/>
      <c r="D487" s="344"/>
      <c r="E487" s="345"/>
      <c r="F487" s="346"/>
      <c r="G487" s="344"/>
      <c r="H487" s="11"/>
      <c r="I487" s="346"/>
      <c r="J487" s="410"/>
      <c r="K487" s="410"/>
      <c r="L487" s="410"/>
    </row>
    <row r="488" spans="1:12">
      <c r="A488" s="344"/>
      <c r="B488" s="344"/>
      <c r="C488" s="344"/>
      <c r="D488" s="344"/>
      <c r="E488" s="345"/>
      <c r="F488" s="346"/>
      <c r="G488" s="344"/>
      <c r="H488" s="11"/>
      <c r="I488" s="346"/>
      <c r="J488" s="410"/>
      <c r="K488" s="410"/>
      <c r="L488" s="410"/>
    </row>
    <row r="489" spans="1:12">
      <c r="A489" s="344"/>
      <c r="B489" s="344"/>
      <c r="C489" s="344"/>
      <c r="D489" s="344"/>
      <c r="E489" s="345"/>
      <c r="F489" s="346"/>
      <c r="G489" s="344"/>
      <c r="H489" s="11"/>
      <c r="I489" s="346"/>
      <c r="J489" s="410"/>
      <c r="K489" s="410"/>
      <c r="L489" s="410"/>
    </row>
    <row r="490" spans="1:12">
      <c r="A490" s="344"/>
      <c r="B490" s="344"/>
      <c r="C490" s="344"/>
      <c r="D490" s="344"/>
      <c r="E490" s="345"/>
      <c r="F490" s="346"/>
      <c r="G490" s="344"/>
      <c r="H490" s="11"/>
      <c r="I490" s="346"/>
      <c r="J490" s="410"/>
      <c r="K490" s="410"/>
      <c r="L490" s="410"/>
    </row>
    <row r="491" spans="1:12">
      <c r="A491" s="344"/>
      <c r="B491" s="344"/>
      <c r="C491" s="344"/>
      <c r="D491" s="344"/>
      <c r="E491" s="345"/>
      <c r="F491" s="346"/>
      <c r="G491" s="344"/>
      <c r="H491" s="11"/>
      <c r="I491" s="346"/>
      <c r="J491" s="410"/>
      <c r="K491" s="410"/>
      <c r="L491" s="410"/>
    </row>
    <row r="492" spans="1:12">
      <c r="A492" s="344"/>
      <c r="B492" s="344"/>
      <c r="C492" s="344"/>
      <c r="D492" s="344"/>
      <c r="E492" s="345"/>
      <c r="F492" s="346"/>
      <c r="G492" s="344"/>
      <c r="H492" s="11"/>
      <c r="I492" s="346"/>
      <c r="J492" s="410"/>
      <c r="K492" s="410"/>
      <c r="L492" s="410"/>
    </row>
    <row r="493" spans="1:12">
      <c r="A493" s="344"/>
      <c r="B493" s="344"/>
      <c r="C493" s="344"/>
      <c r="D493" s="344"/>
      <c r="E493" s="345"/>
      <c r="F493" s="346"/>
      <c r="G493" s="344"/>
      <c r="H493" s="11"/>
      <c r="I493" s="346"/>
      <c r="J493" s="410"/>
      <c r="K493" s="410"/>
      <c r="L493" s="410"/>
    </row>
    <row r="494" spans="1:12">
      <c r="A494" s="344"/>
      <c r="B494" s="344"/>
      <c r="C494" s="344"/>
      <c r="D494" s="344"/>
      <c r="E494" s="345"/>
      <c r="F494" s="346"/>
      <c r="G494" s="344"/>
      <c r="H494" s="11"/>
      <c r="I494" s="346"/>
      <c r="J494" s="410"/>
      <c r="K494" s="410"/>
      <c r="L494" s="410"/>
    </row>
    <row r="495" spans="1:12">
      <c r="A495" s="344"/>
      <c r="B495" s="344"/>
      <c r="C495" s="344"/>
      <c r="D495" s="344"/>
      <c r="E495" s="345"/>
      <c r="F495" s="346"/>
      <c r="G495" s="344"/>
      <c r="H495" s="11"/>
      <c r="I495" s="346"/>
      <c r="J495" s="410"/>
      <c r="K495" s="410"/>
      <c r="L495" s="410"/>
    </row>
    <row r="496" spans="1:12">
      <c r="A496" s="344"/>
      <c r="B496" s="344"/>
      <c r="C496" s="344"/>
      <c r="D496" s="344"/>
      <c r="E496" s="345"/>
      <c r="F496" s="346"/>
      <c r="G496" s="344"/>
      <c r="H496" s="11"/>
      <c r="I496" s="346"/>
      <c r="J496" s="410"/>
      <c r="K496" s="410"/>
      <c r="L496" s="410"/>
    </row>
    <row r="497" spans="1:12">
      <c r="A497" s="344"/>
      <c r="B497" s="344"/>
      <c r="C497" s="344"/>
      <c r="D497" s="344"/>
      <c r="E497" s="345"/>
      <c r="F497" s="346"/>
      <c r="G497" s="344"/>
      <c r="H497" s="11"/>
      <c r="I497" s="346"/>
      <c r="J497" s="410"/>
      <c r="K497" s="410"/>
      <c r="L497" s="410"/>
    </row>
    <row r="498" spans="1:12">
      <c r="A498" s="344"/>
      <c r="B498" s="344"/>
      <c r="C498" s="344"/>
      <c r="D498" s="344"/>
      <c r="E498" s="345"/>
      <c r="F498" s="346"/>
      <c r="G498" s="344"/>
      <c r="H498" s="11"/>
      <c r="I498" s="346"/>
      <c r="J498" s="410"/>
      <c r="K498" s="410"/>
      <c r="L498" s="410"/>
    </row>
    <row r="499" spans="1:12">
      <c r="A499" s="344"/>
      <c r="B499" s="344"/>
      <c r="C499" s="344"/>
      <c r="D499" s="344"/>
      <c r="E499" s="345"/>
      <c r="F499" s="346"/>
      <c r="G499" s="344"/>
      <c r="H499" s="11"/>
      <c r="I499" s="346"/>
      <c r="J499" s="410"/>
      <c r="K499" s="410"/>
      <c r="L499" s="410"/>
    </row>
    <row r="500" spans="1:12">
      <c r="A500" s="344"/>
      <c r="B500" s="344"/>
      <c r="C500" s="344"/>
      <c r="D500" s="344"/>
      <c r="E500" s="345"/>
      <c r="F500" s="346"/>
      <c r="G500" s="344"/>
      <c r="H500" s="11"/>
      <c r="I500" s="346"/>
      <c r="J500" s="410"/>
      <c r="K500" s="410"/>
      <c r="L500" s="410"/>
    </row>
    <row r="501" spans="1:12">
      <c r="A501" s="344"/>
      <c r="B501" s="344"/>
      <c r="C501" s="344"/>
      <c r="D501" s="344"/>
      <c r="E501" s="345"/>
      <c r="F501" s="346"/>
      <c r="G501" s="344"/>
      <c r="H501" s="11"/>
      <c r="I501" s="346"/>
      <c r="J501" s="410"/>
      <c r="K501" s="410"/>
      <c r="L501" s="410"/>
    </row>
    <row r="502" spans="1:12">
      <c r="A502" s="344"/>
      <c r="B502" s="344"/>
      <c r="C502" s="344"/>
      <c r="D502" s="344"/>
      <c r="E502" s="345"/>
      <c r="F502" s="346"/>
      <c r="G502" s="344"/>
      <c r="H502" s="11"/>
      <c r="I502" s="346"/>
      <c r="J502" s="410"/>
      <c r="K502" s="410"/>
      <c r="L502" s="410"/>
    </row>
    <row r="503" spans="1:12">
      <c r="A503" s="344"/>
      <c r="B503" s="344"/>
      <c r="C503" s="344"/>
      <c r="D503" s="344"/>
      <c r="E503" s="345"/>
      <c r="F503" s="346"/>
      <c r="G503" s="344"/>
      <c r="H503" s="11"/>
      <c r="I503" s="346"/>
      <c r="J503" s="410"/>
      <c r="K503" s="410"/>
      <c r="L503" s="410"/>
    </row>
    <row r="504" spans="1:12">
      <c r="A504" s="344"/>
      <c r="B504" s="344"/>
      <c r="C504" s="344"/>
      <c r="D504" s="344"/>
      <c r="E504" s="345"/>
      <c r="F504" s="346"/>
      <c r="G504" s="344"/>
      <c r="H504" s="11"/>
      <c r="I504" s="346"/>
      <c r="J504" s="410"/>
      <c r="K504" s="410"/>
      <c r="L504" s="410"/>
    </row>
    <row r="505" spans="1:12">
      <c r="A505" s="344"/>
      <c r="B505" s="344"/>
      <c r="C505" s="344"/>
      <c r="D505" s="344"/>
      <c r="E505" s="345"/>
      <c r="F505" s="346"/>
      <c r="G505" s="344"/>
      <c r="H505" s="11"/>
      <c r="I505" s="346"/>
      <c r="J505" s="410"/>
      <c r="K505" s="410"/>
      <c r="L505" s="410"/>
    </row>
    <row r="506" spans="1:12">
      <c r="A506" s="344"/>
      <c r="B506" s="344"/>
      <c r="C506" s="344"/>
      <c r="D506" s="344"/>
      <c r="E506" s="345"/>
      <c r="F506" s="346"/>
      <c r="G506" s="344"/>
      <c r="H506" s="11"/>
      <c r="I506" s="346"/>
      <c r="J506" s="410"/>
      <c r="K506" s="410"/>
      <c r="L506" s="410"/>
    </row>
    <row r="507" spans="1:12">
      <c r="A507" s="344"/>
      <c r="B507" s="344"/>
      <c r="C507" s="344"/>
      <c r="D507" s="344"/>
      <c r="E507" s="345"/>
      <c r="F507" s="346"/>
      <c r="G507" s="344"/>
      <c r="H507" s="11"/>
      <c r="I507" s="346"/>
      <c r="J507" s="410"/>
      <c r="K507" s="410"/>
      <c r="L507" s="410"/>
    </row>
    <row r="508" spans="1:12">
      <c r="A508" s="344"/>
      <c r="B508" s="344"/>
      <c r="C508" s="344"/>
      <c r="D508" s="344"/>
      <c r="E508" s="345"/>
      <c r="F508" s="346"/>
      <c r="G508" s="344"/>
      <c r="H508" s="11"/>
      <c r="I508" s="346"/>
      <c r="J508" s="410"/>
      <c r="K508" s="410"/>
      <c r="L508" s="410"/>
    </row>
    <row r="509" spans="1:12">
      <c r="A509" s="344"/>
      <c r="B509" s="344"/>
      <c r="C509" s="344"/>
      <c r="D509" s="344"/>
      <c r="E509" s="345"/>
      <c r="F509" s="346"/>
      <c r="G509" s="344"/>
      <c r="H509" s="11"/>
      <c r="I509" s="346"/>
      <c r="J509" s="410"/>
      <c r="K509" s="410"/>
      <c r="L509" s="410"/>
    </row>
    <row r="510" spans="1:12">
      <c r="A510" s="344"/>
      <c r="B510" s="344"/>
      <c r="C510" s="344"/>
      <c r="D510" s="344"/>
      <c r="E510" s="345"/>
      <c r="F510" s="346"/>
      <c r="G510" s="344"/>
      <c r="H510" s="11"/>
      <c r="I510" s="346"/>
      <c r="J510" s="410"/>
      <c r="K510" s="410"/>
      <c r="L510" s="410"/>
    </row>
    <row r="511" spans="1:12">
      <c r="A511" s="344"/>
      <c r="B511" s="344"/>
      <c r="C511" s="344"/>
      <c r="D511" s="344"/>
      <c r="E511" s="345"/>
      <c r="F511" s="346"/>
      <c r="G511" s="344"/>
      <c r="H511" s="11"/>
      <c r="I511" s="346"/>
      <c r="J511" s="410"/>
      <c r="K511" s="410"/>
      <c r="L511" s="410"/>
    </row>
    <row r="512" spans="1:12">
      <c r="A512" s="344"/>
      <c r="B512" s="344"/>
      <c r="C512" s="344"/>
      <c r="D512" s="344"/>
      <c r="E512" s="345"/>
      <c r="F512" s="346"/>
      <c r="G512" s="344"/>
      <c r="H512" s="11"/>
      <c r="I512" s="346"/>
      <c r="J512" s="410"/>
      <c r="K512" s="410"/>
      <c r="L512" s="410"/>
    </row>
    <row r="513" spans="1:12">
      <c r="A513" s="344"/>
      <c r="B513" s="344"/>
      <c r="C513" s="344"/>
      <c r="D513" s="344"/>
      <c r="E513" s="345"/>
      <c r="F513" s="346"/>
      <c r="G513" s="344"/>
      <c r="H513" s="11"/>
      <c r="I513" s="346"/>
      <c r="J513" s="410"/>
      <c r="K513" s="410"/>
      <c r="L513" s="410"/>
    </row>
    <row r="514" spans="1:12">
      <c r="A514" s="344"/>
      <c r="B514" s="344"/>
      <c r="C514" s="344"/>
      <c r="D514" s="344"/>
      <c r="E514" s="345"/>
      <c r="F514" s="346"/>
      <c r="G514" s="344"/>
      <c r="H514" s="11"/>
      <c r="I514" s="346"/>
      <c r="J514" s="410"/>
      <c r="K514" s="410"/>
      <c r="L514" s="410"/>
    </row>
    <row r="515" spans="1:12">
      <c r="A515" s="344"/>
      <c r="B515" s="344"/>
      <c r="C515" s="344"/>
      <c r="D515" s="344"/>
      <c r="E515" s="345"/>
      <c r="F515" s="346"/>
      <c r="G515" s="344"/>
      <c r="H515" s="11"/>
      <c r="I515" s="346"/>
      <c r="J515" s="410"/>
      <c r="K515" s="410"/>
      <c r="L515" s="410"/>
    </row>
    <row r="516" spans="1:12">
      <c r="A516" s="344"/>
      <c r="B516" s="344"/>
      <c r="C516" s="344"/>
      <c r="D516" s="344"/>
      <c r="E516" s="345"/>
      <c r="F516" s="346"/>
      <c r="G516" s="344"/>
      <c r="H516" s="11"/>
      <c r="I516" s="346"/>
      <c r="J516" s="410"/>
      <c r="K516" s="410"/>
      <c r="L516" s="410"/>
    </row>
    <row r="517" spans="1:12">
      <c r="A517" s="344"/>
      <c r="B517" s="344"/>
      <c r="C517" s="344"/>
      <c r="D517" s="344"/>
      <c r="E517" s="345"/>
      <c r="F517" s="346"/>
      <c r="G517" s="344"/>
      <c r="H517" s="11"/>
      <c r="I517" s="346"/>
      <c r="J517" s="410"/>
      <c r="K517" s="410"/>
      <c r="L517" s="410"/>
    </row>
    <row r="518" spans="1:12">
      <c r="A518" s="344"/>
      <c r="B518" s="344"/>
      <c r="C518" s="344"/>
      <c r="D518" s="344"/>
      <c r="E518" s="345"/>
      <c r="F518" s="346"/>
      <c r="G518" s="344"/>
      <c r="H518" s="11"/>
      <c r="I518" s="346"/>
      <c r="J518" s="410"/>
      <c r="K518" s="410"/>
      <c r="L518" s="410"/>
    </row>
    <row r="519" spans="1:12">
      <c r="A519" s="344"/>
      <c r="B519" s="344"/>
      <c r="C519" s="344"/>
      <c r="D519" s="344"/>
      <c r="E519" s="345"/>
      <c r="F519" s="346"/>
      <c r="G519" s="344"/>
      <c r="H519" s="11"/>
      <c r="I519" s="346"/>
      <c r="J519" s="410"/>
      <c r="K519" s="410"/>
      <c r="L519" s="410"/>
    </row>
    <row r="520" spans="1:12">
      <c r="A520" s="344"/>
      <c r="B520" s="344"/>
      <c r="C520" s="344"/>
      <c r="D520" s="344"/>
      <c r="E520" s="345"/>
      <c r="F520" s="346"/>
      <c r="G520" s="344"/>
      <c r="H520" s="11"/>
      <c r="I520" s="346"/>
      <c r="J520" s="410"/>
      <c r="K520" s="410"/>
      <c r="L520" s="410"/>
    </row>
    <row r="521" spans="1:12">
      <c r="A521" s="344"/>
      <c r="B521" s="344"/>
      <c r="C521" s="344"/>
      <c r="D521" s="344"/>
      <c r="E521" s="345"/>
      <c r="F521" s="346"/>
      <c r="G521" s="344"/>
      <c r="H521" s="11"/>
      <c r="I521" s="346"/>
      <c r="J521" s="410"/>
      <c r="K521" s="410"/>
      <c r="L521" s="410"/>
    </row>
    <row r="522" spans="1:12">
      <c r="A522" s="344"/>
      <c r="B522" s="344"/>
      <c r="C522" s="344"/>
      <c r="D522" s="344"/>
      <c r="E522" s="345"/>
      <c r="F522" s="346"/>
      <c r="G522" s="344"/>
      <c r="H522" s="11"/>
      <c r="I522" s="346"/>
      <c r="J522" s="410"/>
      <c r="K522" s="410"/>
      <c r="L522" s="410"/>
    </row>
    <row r="523" spans="1:12">
      <c r="A523" s="344"/>
      <c r="B523" s="344"/>
      <c r="C523" s="344"/>
      <c r="D523" s="344"/>
      <c r="E523" s="345"/>
      <c r="F523" s="346"/>
      <c r="G523" s="344"/>
      <c r="H523" s="11"/>
      <c r="I523" s="346"/>
      <c r="J523" s="410"/>
      <c r="K523" s="410"/>
      <c r="L523" s="410"/>
    </row>
    <row r="524" spans="1:12">
      <c r="A524" s="344"/>
      <c r="B524" s="344"/>
      <c r="C524" s="344"/>
      <c r="D524" s="344"/>
      <c r="E524" s="345"/>
      <c r="F524" s="346"/>
      <c r="G524" s="344"/>
      <c r="H524" s="11"/>
      <c r="I524" s="346"/>
      <c r="J524" s="410"/>
      <c r="K524" s="410"/>
      <c r="L524" s="410"/>
    </row>
    <row r="525" spans="1:12">
      <c r="A525" s="344"/>
      <c r="B525" s="344"/>
      <c r="C525" s="344"/>
      <c r="D525" s="344"/>
      <c r="E525" s="345"/>
      <c r="F525" s="346"/>
      <c r="G525" s="344"/>
      <c r="H525" s="11"/>
      <c r="I525" s="346"/>
      <c r="J525" s="410"/>
      <c r="K525" s="410"/>
      <c r="L525" s="410"/>
    </row>
    <row r="526" spans="1:12">
      <c r="A526" s="344"/>
      <c r="B526" s="344"/>
      <c r="C526" s="344"/>
      <c r="D526" s="344"/>
      <c r="E526" s="345"/>
      <c r="F526" s="346"/>
      <c r="G526" s="344"/>
      <c r="H526" s="11"/>
      <c r="I526" s="346"/>
      <c r="J526" s="410"/>
      <c r="K526" s="410"/>
      <c r="L526" s="410"/>
    </row>
    <row r="527" spans="1:12">
      <c r="A527" s="344"/>
      <c r="B527" s="344"/>
      <c r="C527" s="344"/>
      <c r="D527" s="344"/>
      <c r="E527" s="345"/>
      <c r="F527" s="346"/>
      <c r="G527" s="344"/>
      <c r="H527" s="11"/>
      <c r="I527" s="346"/>
      <c r="J527" s="410"/>
      <c r="K527" s="410"/>
      <c r="L527" s="410"/>
    </row>
    <row r="528" spans="1:12">
      <c r="A528" s="344"/>
      <c r="B528" s="344"/>
      <c r="C528" s="344"/>
      <c r="D528" s="344"/>
      <c r="E528" s="345"/>
      <c r="F528" s="346"/>
      <c r="G528" s="344"/>
      <c r="H528" s="11"/>
      <c r="I528" s="346"/>
      <c r="J528" s="410"/>
      <c r="K528" s="410"/>
      <c r="L528" s="410"/>
    </row>
    <row r="529" spans="1:12">
      <c r="A529" s="344"/>
      <c r="B529" s="344"/>
      <c r="C529" s="344"/>
      <c r="D529" s="344"/>
      <c r="E529" s="345"/>
      <c r="F529" s="346"/>
      <c r="G529" s="344"/>
      <c r="H529" s="11"/>
      <c r="I529" s="346"/>
      <c r="J529" s="410"/>
      <c r="K529" s="410"/>
      <c r="L529" s="410"/>
    </row>
    <row r="530" spans="1:12">
      <c r="A530" s="344"/>
      <c r="B530" s="344"/>
      <c r="C530" s="344"/>
      <c r="D530" s="344"/>
      <c r="E530" s="345"/>
      <c r="F530" s="346"/>
      <c r="G530" s="344"/>
      <c r="H530" s="11"/>
      <c r="I530" s="346"/>
      <c r="J530" s="410"/>
      <c r="K530" s="410"/>
      <c r="L530" s="410"/>
    </row>
    <row r="531" spans="1:12">
      <c r="A531" s="344"/>
      <c r="B531" s="344"/>
      <c r="C531" s="344"/>
      <c r="D531" s="344"/>
      <c r="E531" s="345"/>
      <c r="F531" s="346"/>
      <c r="G531" s="344"/>
      <c r="H531" s="11"/>
      <c r="I531" s="346"/>
      <c r="J531" s="410"/>
      <c r="K531" s="410"/>
      <c r="L531" s="410"/>
    </row>
    <row r="532" spans="1:12">
      <c r="A532" s="344"/>
      <c r="B532" s="344"/>
      <c r="C532" s="344"/>
      <c r="D532" s="344"/>
      <c r="E532" s="345"/>
      <c r="F532" s="346"/>
      <c r="G532" s="344"/>
      <c r="H532" s="11"/>
      <c r="I532" s="346"/>
      <c r="J532" s="410"/>
      <c r="K532" s="410"/>
      <c r="L532" s="410"/>
    </row>
    <row r="533" spans="1:12">
      <c r="A533" s="344"/>
      <c r="B533" s="344"/>
      <c r="C533" s="344"/>
      <c r="D533" s="344"/>
      <c r="E533" s="345"/>
      <c r="F533" s="346"/>
      <c r="G533" s="344"/>
      <c r="H533" s="11"/>
      <c r="I533" s="346"/>
      <c r="J533" s="410"/>
      <c r="K533" s="410"/>
      <c r="L533" s="410"/>
    </row>
    <row r="534" spans="1:12">
      <c r="A534" s="344"/>
      <c r="B534" s="344"/>
      <c r="C534" s="344"/>
      <c r="D534" s="344"/>
      <c r="E534" s="345"/>
      <c r="F534" s="346"/>
      <c r="G534" s="344"/>
      <c r="H534" s="11"/>
      <c r="I534" s="346"/>
      <c r="J534" s="410"/>
      <c r="K534" s="410"/>
      <c r="L534" s="410"/>
    </row>
    <row r="535" spans="1:12">
      <c r="A535" s="344"/>
      <c r="B535" s="344"/>
      <c r="C535" s="344"/>
      <c r="D535" s="344"/>
      <c r="E535" s="345"/>
      <c r="F535" s="346"/>
      <c r="G535" s="344"/>
      <c r="H535" s="11"/>
      <c r="I535" s="346"/>
      <c r="J535" s="410"/>
      <c r="K535" s="410"/>
      <c r="L535" s="410"/>
    </row>
    <row r="536" spans="1:12">
      <c r="A536" s="344"/>
      <c r="B536" s="344"/>
      <c r="C536" s="344"/>
      <c r="D536" s="344"/>
      <c r="E536" s="345"/>
      <c r="F536" s="346"/>
      <c r="G536" s="344"/>
      <c r="H536" s="11"/>
      <c r="I536" s="346"/>
      <c r="J536" s="410"/>
      <c r="K536" s="410"/>
      <c r="L536" s="410"/>
    </row>
    <row r="537" spans="1:12">
      <c r="A537" s="344"/>
      <c r="B537" s="344"/>
      <c r="C537" s="344"/>
      <c r="D537" s="344"/>
      <c r="E537" s="345"/>
      <c r="F537" s="346"/>
      <c r="G537" s="344"/>
      <c r="H537" s="11"/>
      <c r="I537" s="346"/>
      <c r="J537" s="410"/>
      <c r="K537" s="410"/>
      <c r="L537" s="410"/>
    </row>
    <row r="538" spans="1:12">
      <c r="A538" s="344"/>
      <c r="B538" s="344"/>
      <c r="C538" s="344"/>
      <c r="D538" s="344"/>
      <c r="E538" s="345"/>
      <c r="F538" s="346"/>
      <c r="G538" s="344"/>
      <c r="H538" s="11"/>
      <c r="I538" s="346"/>
      <c r="J538" s="410"/>
      <c r="K538" s="410"/>
      <c r="L538" s="410"/>
    </row>
    <row r="539" spans="1:12">
      <c r="A539" s="344"/>
      <c r="B539" s="344"/>
      <c r="C539" s="344"/>
      <c r="D539" s="344"/>
      <c r="E539" s="345"/>
      <c r="F539" s="346"/>
      <c r="G539" s="344"/>
      <c r="H539" s="11"/>
      <c r="I539" s="346"/>
      <c r="J539" s="410"/>
      <c r="K539" s="410"/>
      <c r="L539" s="410"/>
    </row>
    <row r="540" spans="1:12">
      <c r="A540" s="344"/>
      <c r="B540" s="344"/>
      <c r="C540" s="344"/>
      <c r="D540" s="344"/>
      <c r="E540" s="345"/>
      <c r="F540" s="346"/>
      <c r="G540" s="344"/>
      <c r="H540" s="11"/>
      <c r="I540" s="346"/>
      <c r="J540" s="410"/>
      <c r="K540" s="410"/>
      <c r="L540" s="410"/>
    </row>
    <row r="541" spans="1:12">
      <c r="A541" s="344"/>
      <c r="B541" s="344"/>
      <c r="C541" s="344"/>
      <c r="D541" s="344"/>
      <c r="E541" s="345"/>
      <c r="F541" s="346"/>
      <c r="G541" s="344"/>
      <c r="H541" s="11"/>
      <c r="I541" s="346"/>
      <c r="J541" s="410"/>
      <c r="K541" s="410"/>
      <c r="L541" s="410"/>
    </row>
    <row r="542" spans="1:12">
      <c r="A542" s="344"/>
      <c r="B542" s="344"/>
      <c r="C542" s="344"/>
      <c r="D542" s="344"/>
      <c r="E542" s="345"/>
      <c r="F542" s="346"/>
      <c r="G542" s="344"/>
      <c r="H542" s="11"/>
      <c r="I542" s="346"/>
      <c r="J542" s="410"/>
      <c r="K542" s="410"/>
      <c r="L542" s="410"/>
    </row>
    <row r="543" spans="1:12">
      <c r="A543" s="344"/>
      <c r="B543" s="344"/>
      <c r="C543" s="344"/>
      <c r="D543" s="344"/>
      <c r="E543" s="345"/>
      <c r="F543" s="346"/>
      <c r="G543" s="344"/>
      <c r="H543" s="11"/>
      <c r="I543" s="346"/>
      <c r="J543" s="410"/>
      <c r="K543" s="410"/>
      <c r="L543" s="410"/>
    </row>
    <row r="544" spans="1:12">
      <c r="A544" s="344"/>
      <c r="B544" s="344"/>
      <c r="C544" s="344"/>
      <c r="D544" s="344"/>
      <c r="E544" s="345"/>
      <c r="F544" s="346"/>
      <c r="G544" s="344"/>
      <c r="H544" s="11"/>
      <c r="I544" s="346"/>
      <c r="J544" s="410"/>
      <c r="K544" s="410"/>
      <c r="L544" s="410"/>
    </row>
    <row r="545" spans="1:12">
      <c r="A545" s="344"/>
      <c r="B545" s="344"/>
      <c r="C545" s="344"/>
      <c r="D545" s="344"/>
      <c r="E545" s="345"/>
      <c r="F545" s="346"/>
      <c r="G545" s="344"/>
      <c r="H545" s="11"/>
      <c r="I545" s="346"/>
      <c r="J545" s="410"/>
      <c r="K545" s="410"/>
      <c r="L545" s="410"/>
    </row>
    <row r="546" spans="1:12">
      <c r="A546" s="344"/>
      <c r="B546" s="344"/>
      <c r="C546" s="344"/>
      <c r="D546" s="344"/>
      <c r="E546" s="345"/>
      <c r="F546" s="346"/>
      <c r="G546" s="344"/>
      <c r="H546" s="11"/>
      <c r="I546" s="346"/>
      <c r="J546" s="410"/>
      <c r="K546" s="410"/>
      <c r="L546" s="410"/>
    </row>
    <row r="547" spans="1:12">
      <c r="A547" s="344"/>
      <c r="B547" s="344"/>
      <c r="C547" s="344"/>
      <c r="D547" s="344"/>
      <c r="E547" s="345"/>
      <c r="F547" s="346"/>
      <c r="G547" s="344"/>
      <c r="H547" s="11"/>
      <c r="I547" s="346"/>
      <c r="J547" s="410"/>
      <c r="K547" s="410"/>
      <c r="L547" s="410"/>
    </row>
    <row r="548" spans="1:12">
      <c r="A548" s="344"/>
      <c r="B548" s="344"/>
      <c r="C548" s="344"/>
      <c r="D548" s="344"/>
      <c r="E548" s="345"/>
      <c r="F548" s="346"/>
      <c r="G548" s="344"/>
      <c r="H548" s="11"/>
      <c r="I548" s="346"/>
      <c r="J548" s="410"/>
      <c r="K548" s="410"/>
      <c r="L548" s="410"/>
    </row>
    <row r="549" spans="1:12">
      <c r="A549" s="344"/>
      <c r="B549" s="344"/>
      <c r="C549" s="344"/>
      <c r="D549" s="344"/>
      <c r="E549" s="345"/>
      <c r="F549" s="346"/>
      <c r="G549" s="344"/>
      <c r="H549" s="11"/>
      <c r="I549" s="346"/>
      <c r="J549" s="410"/>
      <c r="K549" s="410"/>
      <c r="L549" s="410"/>
    </row>
    <row r="550" spans="1:12">
      <c r="A550" s="344"/>
      <c r="B550" s="344"/>
      <c r="C550" s="344"/>
      <c r="D550" s="344"/>
      <c r="E550" s="345"/>
      <c r="F550" s="346"/>
      <c r="G550" s="344"/>
      <c r="H550" s="11"/>
      <c r="I550" s="346"/>
      <c r="J550" s="410"/>
      <c r="K550" s="410"/>
      <c r="L550" s="410"/>
    </row>
    <row r="551" spans="1:12">
      <c r="A551" s="344"/>
      <c r="B551" s="344"/>
      <c r="C551" s="344"/>
      <c r="D551" s="344"/>
      <c r="E551" s="345"/>
      <c r="F551" s="346"/>
      <c r="G551" s="344"/>
      <c r="H551" s="11"/>
      <c r="I551" s="346"/>
      <c r="J551" s="410"/>
      <c r="K551" s="410"/>
      <c r="L551" s="410"/>
    </row>
    <row r="552" spans="1:12">
      <c r="A552" s="344"/>
      <c r="B552" s="344"/>
      <c r="C552" s="344"/>
      <c r="D552" s="344"/>
      <c r="E552" s="345"/>
      <c r="F552" s="346"/>
      <c r="G552" s="344"/>
      <c r="H552" s="11"/>
      <c r="I552" s="346"/>
      <c r="J552" s="410"/>
      <c r="K552" s="410"/>
      <c r="L552" s="410"/>
    </row>
    <row r="553" spans="1:12">
      <c r="A553" s="344"/>
      <c r="B553" s="344"/>
      <c r="C553" s="344"/>
      <c r="D553" s="344"/>
      <c r="E553" s="345"/>
      <c r="F553" s="346"/>
      <c r="G553" s="344"/>
      <c r="H553" s="11"/>
      <c r="I553" s="346"/>
      <c r="J553" s="410"/>
      <c r="K553" s="410"/>
      <c r="L553" s="410"/>
    </row>
    <row r="554" spans="1:12">
      <c r="A554" s="344"/>
      <c r="B554" s="344"/>
      <c r="C554" s="344"/>
      <c r="D554" s="344"/>
      <c r="E554" s="345"/>
      <c r="F554" s="346"/>
      <c r="G554" s="344"/>
      <c r="H554" s="11"/>
      <c r="I554" s="346"/>
      <c r="J554" s="410"/>
      <c r="K554" s="410"/>
      <c r="L554" s="410"/>
    </row>
    <row r="555" spans="1:12">
      <c r="A555" s="344"/>
      <c r="B555" s="344"/>
      <c r="C555" s="344"/>
      <c r="D555" s="344"/>
      <c r="E555" s="345"/>
      <c r="F555" s="346"/>
      <c r="G555" s="344"/>
      <c r="H555" s="11"/>
      <c r="I555" s="346"/>
      <c r="J555" s="410"/>
      <c r="K555" s="410"/>
      <c r="L555" s="410"/>
    </row>
    <row r="556" spans="1:12">
      <c r="A556" s="344"/>
      <c r="B556" s="344"/>
      <c r="C556" s="344"/>
      <c r="D556" s="344"/>
      <c r="E556" s="345"/>
      <c r="F556" s="346"/>
      <c r="G556" s="344"/>
      <c r="H556" s="11"/>
      <c r="I556" s="346"/>
      <c r="J556" s="410"/>
      <c r="K556" s="410"/>
      <c r="L556" s="410"/>
    </row>
    <row r="557" spans="1:12">
      <c r="A557" s="344"/>
      <c r="B557" s="344"/>
      <c r="C557" s="344"/>
      <c r="D557" s="344"/>
      <c r="E557" s="345"/>
      <c r="F557" s="346"/>
      <c r="G557" s="344"/>
      <c r="H557" s="11"/>
      <c r="I557" s="346"/>
      <c r="J557" s="410"/>
      <c r="K557" s="410"/>
      <c r="L557" s="410"/>
    </row>
    <row r="558" spans="1:12">
      <c r="A558" s="344"/>
      <c r="B558" s="344"/>
      <c r="C558" s="344"/>
      <c r="D558" s="344"/>
      <c r="E558" s="345"/>
      <c r="F558" s="346"/>
      <c r="G558" s="344"/>
      <c r="H558" s="11"/>
      <c r="I558" s="346"/>
      <c r="J558" s="410"/>
      <c r="K558" s="410"/>
      <c r="L558" s="410"/>
    </row>
    <row r="559" spans="1:12">
      <c r="A559" s="344"/>
      <c r="B559" s="344"/>
      <c r="C559" s="344"/>
      <c r="D559" s="344"/>
      <c r="E559" s="345"/>
      <c r="F559" s="346"/>
      <c r="G559" s="344"/>
      <c r="H559" s="11"/>
      <c r="I559" s="346"/>
      <c r="J559" s="410"/>
      <c r="K559" s="410"/>
      <c r="L559" s="410"/>
    </row>
    <row r="560" spans="1:12">
      <c r="A560" s="344"/>
      <c r="B560" s="344"/>
      <c r="C560" s="344"/>
      <c r="D560" s="344"/>
      <c r="E560" s="345"/>
      <c r="F560" s="346"/>
      <c r="G560" s="344"/>
      <c r="H560" s="11"/>
      <c r="I560" s="346"/>
      <c r="J560" s="410"/>
      <c r="K560" s="410"/>
      <c r="L560" s="410"/>
    </row>
    <row r="561" spans="1:12">
      <c r="A561" s="344"/>
      <c r="B561" s="344"/>
      <c r="C561" s="344"/>
      <c r="D561" s="344"/>
      <c r="E561" s="345"/>
      <c r="F561" s="346"/>
      <c r="G561" s="344"/>
      <c r="H561" s="11"/>
      <c r="I561" s="346"/>
      <c r="J561" s="410"/>
      <c r="K561" s="410"/>
      <c r="L561" s="410"/>
    </row>
    <row r="562" spans="1:12">
      <c r="A562" s="344"/>
      <c r="B562" s="344"/>
      <c r="C562" s="344"/>
      <c r="D562" s="344"/>
      <c r="E562" s="345"/>
      <c r="F562" s="346"/>
      <c r="G562" s="344"/>
      <c r="H562" s="11"/>
      <c r="I562" s="346"/>
      <c r="J562" s="410"/>
      <c r="K562" s="410"/>
      <c r="L562" s="410"/>
    </row>
    <row r="563" spans="1:12">
      <c r="A563" s="344"/>
      <c r="B563" s="344"/>
      <c r="C563" s="344"/>
      <c r="D563" s="344"/>
      <c r="E563" s="345"/>
      <c r="F563" s="346"/>
      <c r="G563" s="344"/>
      <c r="H563" s="11"/>
      <c r="I563" s="346"/>
      <c r="J563" s="410"/>
      <c r="K563" s="410"/>
      <c r="L563" s="410"/>
    </row>
    <row r="564" spans="1:12">
      <c r="A564" s="344"/>
      <c r="B564" s="344"/>
      <c r="C564" s="344"/>
      <c r="D564" s="344"/>
      <c r="E564" s="345"/>
      <c r="F564" s="346"/>
      <c r="G564" s="344"/>
      <c r="H564" s="11"/>
      <c r="I564" s="346"/>
      <c r="J564" s="410"/>
      <c r="K564" s="410"/>
      <c r="L564" s="410"/>
    </row>
    <row r="565" spans="1:12">
      <c r="A565" s="344"/>
      <c r="B565" s="344"/>
      <c r="C565" s="344"/>
      <c r="D565" s="344"/>
      <c r="E565" s="345"/>
      <c r="F565" s="346"/>
      <c r="G565" s="344"/>
      <c r="H565" s="11"/>
      <c r="I565" s="346"/>
      <c r="J565" s="410"/>
      <c r="K565" s="410"/>
      <c r="L565" s="410"/>
    </row>
    <row r="566" spans="1:12">
      <c r="A566" s="344"/>
      <c r="B566" s="344"/>
      <c r="C566" s="344"/>
      <c r="D566" s="344"/>
      <c r="E566" s="345"/>
      <c r="F566" s="346"/>
      <c r="G566" s="344"/>
      <c r="H566" s="11"/>
      <c r="I566" s="346"/>
      <c r="J566" s="410"/>
      <c r="K566" s="410"/>
      <c r="L566" s="410"/>
    </row>
    <row r="567" spans="1:12">
      <c r="A567" s="344"/>
      <c r="B567" s="344"/>
      <c r="C567" s="344"/>
      <c r="D567" s="344"/>
      <c r="E567" s="345"/>
      <c r="F567" s="346"/>
      <c r="G567" s="344"/>
      <c r="H567" s="11"/>
      <c r="I567" s="346"/>
      <c r="J567" s="410"/>
      <c r="K567" s="410"/>
      <c r="L567" s="410"/>
    </row>
    <row r="568" spans="1:12">
      <c r="A568" s="344"/>
      <c r="B568" s="344"/>
      <c r="C568" s="344"/>
      <c r="D568" s="344"/>
      <c r="E568" s="345"/>
      <c r="F568" s="346"/>
      <c r="G568" s="344"/>
      <c r="H568" s="11"/>
      <c r="I568" s="346"/>
      <c r="J568" s="410"/>
      <c r="K568" s="410"/>
      <c r="L568" s="410"/>
    </row>
    <row r="569" spans="1:12">
      <c r="A569" s="344"/>
      <c r="B569" s="344"/>
      <c r="C569" s="344"/>
      <c r="D569" s="344"/>
      <c r="E569" s="345"/>
      <c r="F569" s="346"/>
      <c r="G569" s="344"/>
      <c r="H569" s="11"/>
      <c r="I569" s="346"/>
      <c r="J569" s="410"/>
      <c r="K569" s="410"/>
      <c r="L569" s="410"/>
    </row>
    <row r="570" spans="1:12">
      <c r="A570" s="344"/>
      <c r="B570" s="344"/>
      <c r="C570" s="344"/>
      <c r="D570" s="344"/>
      <c r="E570" s="345"/>
      <c r="F570" s="346"/>
      <c r="G570" s="344"/>
      <c r="H570" s="11"/>
      <c r="I570" s="346"/>
      <c r="J570" s="410"/>
      <c r="K570" s="410"/>
      <c r="L570" s="410"/>
    </row>
    <row r="571" spans="1:12">
      <c r="A571" s="344"/>
      <c r="B571" s="344"/>
      <c r="C571" s="344"/>
      <c r="D571" s="344"/>
      <c r="E571" s="345"/>
      <c r="F571" s="346"/>
      <c r="G571" s="344"/>
      <c r="H571" s="11"/>
      <c r="I571" s="346"/>
      <c r="J571" s="410"/>
      <c r="K571" s="410"/>
      <c r="L571" s="410"/>
    </row>
    <row r="572" spans="1:12">
      <c r="A572" s="344"/>
      <c r="B572" s="344"/>
      <c r="C572" s="344"/>
      <c r="D572" s="344"/>
      <c r="E572" s="345"/>
      <c r="F572" s="346"/>
      <c r="G572" s="344"/>
      <c r="H572" s="11"/>
      <c r="I572" s="346"/>
      <c r="J572" s="410"/>
      <c r="K572" s="410"/>
      <c r="L572" s="410"/>
    </row>
    <row r="573" spans="1:12">
      <c r="A573" s="344"/>
      <c r="B573" s="344"/>
      <c r="C573" s="344"/>
      <c r="D573" s="344"/>
      <c r="E573" s="345"/>
      <c r="F573" s="346"/>
      <c r="G573" s="344"/>
      <c r="H573" s="11"/>
      <c r="I573" s="346"/>
      <c r="J573" s="410"/>
      <c r="K573" s="410"/>
      <c r="L573" s="410"/>
    </row>
    <row r="574" spans="1:12">
      <c r="A574" s="344"/>
      <c r="B574" s="344"/>
      <c r="C574" s="344"/>
      <c r="D574" s="344"/>
      <c r="E574" s="345"/>
      <c r="F574" s="346"/>
      <c r="G574" s="344"/>
      <c r="H574" s="11"/>
      <c r="I574" s="346"/>
      <c r="J574" s="410"/>
      <c r="K574" s="410"/>
      <c r="L574" s="410"/>
    </row>
    <row r="575" spans="1:12">
      <c r="A575" s="344"/>
      <c r="B575" s="344"/>
      <c r="C575" s="344"/>
      <c r="D575" s="344"/>
      <c r="E575" s="345"/>
      <c r="F575" s="346"/>
      <c r="G575" s="344"/>
      <c r="H575" s="11"/>
      <c r="I575" s="346"/>
      <c r="J575" s="410"/>
      <c r="K575" s="410"/>
      <c r="L575" s="410"/>
    </row>
    <row r="576" spans="1:12">
      <c r="A576" s="344"/>
      <c r="B576" s="344"/>
      <c r="C576" s="344"/>
      <c r="D576" s="344"/>
      <c r="E576" s="345"/>
      <c r="F576" s="346"/>
      <c r="G576" s="344"/>
      <c r="H576" s="11"/>
      <c r="I576" s="346"/>
      <c r="J576" s="410"/>
      <c r="K576" s="410"/>
      <c r="L576" s="410"/>
    </row>
    <row r="577" spans="1:12">
      <c r="A577" s="344"/>
      <c r="B577" s="344"/>
      <c r="C577" s="344"/>
      <c r="D577" s="344"/>
      <c r="E577" s="345"/>
      <c r="F577" s="346"/>
      <c r="G577" s="344"/>
      <c r="H577" s="11"/>
      <c r="I577" s="346"/>
      <c r="J577" s="410"/>
      <c r="K577" s="410"/>
      <c r="L577" s="410"/>
    </row>
    <row r="578" spans="1:12">
      <c r="A578" s="344"/>
      <c r="B578" s="344"/>
      <c r="C578" s="344"/>
      <c r="D578" s="344"/>
      <c r="E578" s="345"/>
      <c r="F578" s="346"/>
      <c r="G578" s="344"/>
      <c r="H578" s="11"/>
      <c r="I578" s="346"/>
      <c r="J578" s="410"/>
      <c r="K578" s="410"/>
      <c r="L578" s="410"/>
    </row>
    <row r="579" spans="1:12">
      <c r="A579" s="344"/>
      <c r="B579" s="344"/>
      <c r="C579" s="344"/>
      <c r="D579" s="344"/>
      <c r="E579" s="345"/>
      <c r="F579" s="346"/>
      <c r="G579" s="344"/>
      <c r="H579" s="11"/>
      <c r="I579" s="346"/>
      <c r="J579" s="410"/>
      <c r="K579" s="410"/>
      <c r="L579" s="410"/>
    </row>
    <row r="580" spans="1:12">
      <c r="A580" s="344"/>
      <c r="B580" s="344"/>
      <c r="C580" s="344"/>
      <c r="D580" s="344"/>
      <c r="E580" s="345"/>
      <c r="F580" s="346"/>
      <c r="G580" s="344"/>
      <c r="H580" s="11"/>
      <c r="I580" s="346"/>
      <c r="J580" s="410"/>
      <c r="K580" s="410"/>
      <c r="L580" s="410"/>
    </row>
    <row r="581" spans="1:12">
      <c r="A581" s="344"/>
      <c r="B581" s="344"/>
      <c r="C581" s="344"/>
      <c r="D581" s="344"/>
      <c r="E581" s="345"/>
      <c r="F581" s="346"/>
      <c r="G581" s="344"/>
      <c r="H581" s="11"/>
      <c r="I581" s="346"/>
      <c r="J581" s="410"/>
      <c r="K581" s="410"/>
      <c r="L581" s="410"/>
    </row>
    <row r="582" spans="1:12">
      <c r="A582" s="344"/>
      <c r="B582" s="344"/>
      <c r="C582" s="344"/>
      <c r="D582" s="344"/>
      <c r="E582" s="345"/>
      <c r="F582" s="346"/>
      <c r="G582" s="344"/>
      <c r="H582" s="11"/>
      <c r="I582" s="346"/>
      <c r="J582" s="410"/>
      <c r="K582" s="410"/>
      <c r="L582" s="410"/>
    </row>
    <row r="583" spans="1:12">
      <c r="A583" s="344"/>
      <c r="B583" s="344"/>
      <c r="C583" s="344"/>
      <c r="D583" s="344"/>
      <c r="E583" s="345"/>
      <c r="F583" s="346"/>
      <c r="G583" s="344"/>
      <c r="H583" s="11"/>
      <c r="I583" s="346"/>
      <c r="J583" s="410"/>
      <c r="K583" s="410"/>
      <c r="L583" s="410"/>
    </row>
    <row r="584" spans="1:12">
      <c r="A584" s="344"/>
      <c r="B584" s="344"/>
      <c r="C584" s="344"/>
      <c r="D584" s="344"/>
      <c r="E584" s="345"/>
      <c r="F584" s="346"/>
      <c r="G584" s="344"/>
      <c r="H584" s="11"/>
      <c r="I584" s="346"/>
      <c r="J584" s="410"/>
      <c r="K584" s="410"/>
      <c r="L584" s="410"/>
    </row>
    <row r="585" spans="1:12">
      <c r="A585" s="344"/>
      <c r="B585" s="344"/>
      <c r="C585" s="344"/>
      <c r="D585" s="344"/>
      <c r="E585" s="345"/>
      <c r="F585" s="346"/>
      <c r="G585" s="344"/>
      <c r="H585" s="11"/>
      <c r="I585" s="346"/>
      <c r="J585" s="410"/>
      <c r="K585" s="410"/>
      <c r="L585" s="410"/>
    </row>
    <row r="586" spans="1:12">
      <c r="A586" s="344"/>
      <c r="B586" s="344"/>
      <c r="C586" s="344"/>
      <c r="D586" s="344"/>
      <c r="E586" s="345"/>
      <c r="F586" s="346"/>
      <c r="G586" s="344"/>
      <c r="H586" s="11"/>
      <c r="I586" s="346"/>
      <c r="J586" s="410"/>
      <c r="K586" s="410"/>
      <c r="L586" s="410"/>
    </row>
    <row r="587" spans="1:12">
      <c r="A587" s="344"/>
      <c r="B587" s="344"/>
      <c r="C587" s="344"/>
      <c r="D587" s="344"/>
      <c r="E587" s="345"/>
      <c r="F587" s="346"/>
      <c r="G587" s="344"/>
      <c r="H587" s="11"/>
      <c r="I587" s="346"/>
      <c r="J587" s="410"/>
      <c r="K587" s="410"/>
      <c r="L587" s="410"/>
    </row>
    <row r="588" spans="1:12">
      <c r="A588" s="344"/>
      <c r="B588" s="344"/>
      <c r="C588" s="344"/>
      <c r="D588" s="344"/>
      <c r="E588" s="345"/>
      <c r="F588" s="346"/>
      <c r="G588" s="344"/>
      <c r="H588" s="11"/>
      <c r="I588" s="346"/>
      <c r="J588" s="410"/>
      <c r="K588" s="410"/>
      <c r="L588" s="410"/>
    </row>
    <row r="589" spans="1:12">
      <c r="A589" s="344"/>
      <c r="B589" s="344"/>
      <c r="C589" s="344"/>
      <c r="D589" s="344"/>
      <c r="E589" s="345"/>
      <c r="F589" s="346"/>
      <c r="G589" s="344"/>
      <c r="H589" s="11"/>
      <c r="I589" s="346"/>
      <c r="J589" s="410"/>
      <c r="K589" s="410"/>
      <c r="L589" s="410"/>
    </row>
    <row r="590" spans="1:12">
      <c r="A590" s="344"/>
      <c r="B590" s="344"/>
      <c r="C590" s="344"/>
      <c r="D590" s="344"/>
      <c r="E590" s="345"/>
      <c r="F590" s="346"/>
      <c r="G590" s="344"/>
      <c r="H590" s="11"/>
      <c r="I590" s="346"/>
      <c r="J590" s="410"/>
      <c r="K590" s="410"/>
      <c r="L590" s="410"/>
    </row>
    <row r="591" spans="1:12">
      <c r="A591" s="344"/>
      <c r="B591" s="344"/>
      <c r="C591" s="344"/>
      <c r="D591" s="344"/>
      <c r="E591" s="345"/>
      <c r="F591" s="346"/>
      <c r="G591" s="344"/>
      <c r="H591" s="11"/>
      <c r="I591" s="346"/>
      <c r="J591" s="410"/>
      <c r="K591" s="410"/>
      <c r="L591" s="410"/>
    </row>
    <row r="592" spans="1:12">
      <c r="A592" s="344"/>
      <c r="B592" s="344"/>
      <c r="C592" s="344"/>
      <c r="D592" s="344"/>
      <c r="E592" s="345"/>
      <c r="F592" s="346"/>
      <c r="G592" s="344"/>
      <c r="H592" s="11"/>
      <c r="I592" s="346"/>
      <c r="J592" s="410"/>
      <c r="K592" s="410"/>
      <c r="L592" s="410"/>
    </row>
    <row r="593" spans="1:12">
      <c r="A593" s="344"/>
      <c r="B593" s="344"/>
      <c r="C593" s="344"/>
      <c r="D593" s="344"/>
      <c r="E593" s="345"/>
      <c r="F593" s="346"/>
      <c r="G593" s="344"/>
      <c r="H593" s="11"/>
      <c r="I593" s="346"/>
      <c r="J593" s="410"/>
      <c r="K593" s="410"/>
      <c r="L593" s="410"/>
    </row>
    <row r="594" spans="1:12">
      <c r="A594" s="344"/>
      <c r="B594" s="344"/>
      <c r="C594" s="344"/>
      <c r="D594" s="344"/>
      <c r="E594" s="345"/>
      <c r="F594" s="346"/>
      <c r="G594" s="344"/>
      <c r="H594" s="11"/>
      <c r="I594" s="346"/>
      <c r="J594" s="410"/>
      <c r="K594" s="410"/>
      <c r="L594" s="410"/>
    </row>
    <row r="595" spans="1:12">
      <c r="A595" s="344"/>
      <c r="B595" s="344"/>
      <c r="C595" s="344"/>
      <c r="D595" s="344"/>
      <c r="E595" s="345"/>
      <c r="F595" s="346"/>
      <c r="G595" s="344"/>
      <c r="H595" s="11"/>
      <c r="I595" s="346"/>
      <c r="J595" s="410"/>
      <c r="K595" s="410"/>
      <c r="L595" s="410"/>
    </row>
    <row r="596" spans="1:12">
      <c r="A596" s="344"/>
      <c r="B596" s="344"/>
      <c r="C596" s="344"/>
      <c r="D596" s="344"/>
      <c r="E596" s="345"/>
      <c r="F596" s="346"/>
      <c r="G596" s="344"/>
      <c r="H596" s="11"/>
      <c r="I596" s="346"/>
      <c r="J596" s="410"/>
      <c r="K596" s="410"/>
      <c r="L596" s="410"/>
    </row>
    <row r="597" spans="1:12">
      <c r="A597" s="344"/>
      <c r="B597" s="344"/>
      <c r="C597" s="344"/>
      <c r="D597" s="344"/>
      <c r="E597" s="345"/>
      <c r="F597" s="346"/>
      <c r="G597" s="344"/>
      <c r="H597" s="11"/>
      <c r="I597" s="346"/>
      <c r="J597" s="410"/>
      <c r="K597" s="410"/>
      <c r="L597" s="410"/>
    </row>
    <row r="598" spans="1:12">
      <c r="A598" s="344"/>
      <c r="B598" s="344"/>
      <c r="C598" s="344"/>
      <c r="D598" s="344"/>
      <c r="E598" s="345"/>
      <c r="F598" s="346"/>
      <c r="G598" s="344"/>
      <c r="H598" s="11"/>
      <c r="I598" s="346"/>
      <c r="J598" s="410"/>
      <c r="K598" s="410"/>
      <c r="L598" s="410"/>
    </row>
    <row r="599" spans="1:12">
      <c r="A599" s="344"/>
      <c r="B599" s="344"/>
      <c r="C599" s="344"/>
      <c r="D599" s="344"/>
      <c r="E599" s="345"/>
      <c r="F599" s="346"/>
      <c r="G599" s="344"/>
      <c r="H599" s="11"/>
      <c r="I599" s="346"/>
      <c r="J599" s="410"/>
      <c r="K599" s="410"/>
      <c r="L599" s="410"/>
    </row>
    <row r="600" spans="1:12">
      <c r="A600" s="344"/>
      <c r="B600" s="344"/>
      <c r="C600" s="344"/>
      <c r="D600" s="344"/>
      <c r="E600" s="345"/>
      <c r="F600" s="346"/>
      <c r="G600" s="344"/>
      <c r="H600" s="11"/>
      <c r="I600" s="346"/>
      <c r="J600" s="410"/>
      <c r="K600" s="410"/>
      <c r="L600" s="410"/>
    </row>
    <row r="601" spans="1:12">
      <c r="A601" s="344"/>
      <c r="B601" s="344"/>
      <c r="C601" s="344"/>
      <c r="D601" s="344"/>
      <c r="E601" s="345"/>
      <c r="F601" s="346"/>
      <c r="G601" s="344"/>
      <c r="H601" s="11"/>
      <c r="I601" s="346"/>
      <c r="J601" s="410"/>
      <c r="K601" s="410"/>
      <c r="L601" s="410"/>
    </row>
    <row r="602" spans="1:12">
      <c r="A602" s="344"/>
      <c r="B602" s="344"/>
      <c r="C602" s="344"/>
      <c r="D602" s="344"/>
      <c r="E602" s="345"/>
      <c r="F602" s="346"/>
      <c r="G602" s="344"/>
      <c r="H602" s="11"/>
      <c r="I602" s="346"/>
      <c r="J602" s="410"/>
      <c r="K602" s="410"/>
      <c r="L602" s="410"/>
    </row>
    <row r="603" spans="1:12">
      <c r="A603" s="344"/>
      <c r="B603" s="344"/>
      <c r="C603" s="344"/>
      <c r="D603" s="344"/>
      <c r="E603" s="345"/>
      <c r="F603" s="346"/>
      <c r="G603" s="344"/>
      <c r="H603" s="11"/>
      <c r="I603" s="346"/>
      <c r="J603" s="410"/>
      <c r="K603" s="410"/>
      <c r="L603" s="410"/>
    </row>
    <row r="604" spans="1:12">
      <c r="A604" s="344"/>
      <c r="B604" s="344"/>
      <c r="C604" s="344"/>
      <c r="D604" s="344"/>
      <c r="E604" s="345"/>
      <c r="F604" s="346"/>
      <c r="G604" s="344"/>
      <c r="H604" s="11"/>
      <c r="I604" s="346"/>
      <c r="J604" s="410"/>
      <c r="K604" s="410"/>
      <c r="L604" s="410"/>
    </row>
    <row r="605" spans="1:12">
      <c r="A605" s="344"/>
      <c r="B605" s="344"/>
      <c r="C605" s="344"/>
      <c r="D605" s="344"/>
      <c r="E605" s="345"/>
      <c r="F605" s="346"/>
      <c r="G605" s="344"/>
      <c r="H605" s="11"/>
      <c r="I605" s="346"/>
      <c r="J605" s="410"/>
      <c r="K605" s="410"/>
      <c r="L605" s="410"/>
    </row>
    <row r="606" spans="1:12">
      <c r="A606" s="344"/>
      <c r="B606" s="344"/>
      <c r="C606" s="344"/>
      <c r="D606" s="344"/>
      <c r="E606" s="345"/>
      <c r="F606" s="346"/>
      <c r="G606" s="344"/>
      <c r="H606" s="11"/>
      <c r="I606" s="346"/>
      <c r="J606" s="410"/>
      <c r="K606" s="410"/>
      <c r="L606" s="410"/>
    </row>
    <row r="607" spans="1:12">
      <c r="A607" s="344"/>
      <c r="B607" s="344"/>
      <c r="C607" s="344"/>
      <c r="D607" s="344"/>
      <c r="E607" s="345"/>
      <c r="F607" s="346"/>
      <c r="G607" s="344"/>
      <c r="H607" s="11"/>
      <c r="I607" s="346"/>
      <c r="J607" s="410"/>
      <c r="K607" s="410"/>
      <c r="L607" s="410"/>
    </row>
    <row r="608" spans="1:12">
      <c r="A608" s="344"/>
      <c r="B608" s="344"/>
      <c r="C608" s="344"/>
      <c r="D608" s="344"/>
      <c r="E608" s="345"/>
      <c r="F608" s="346"/>
      <c r="G608" s="344"/>
      <c r="H608" s="11"/>
      <c r="I608" s="346"/>
      <c r="J608" s="410"/>
      <c r="K608" s="410"/>
      <c r="L608" s="410"/>
    </row>
    <row r="609" spans="1:12">
      <c r="A609" s="344"/>
      <c r="B609" s="344"/>
      <c r="C609" s="344"/>
      <c r="D609" s="344"/>
      <c r="E609" s="345"/>
      <c r="F609" s="346"/>
      <c r="G609" s="344"/>
      <c r="H609" s="11"/>
      <c r="I609" s="346"/>
      <c r="J609" s="410"/>
      <c r="K609" s="410"/>
      <c r="L609" s="410"/>
    </row>
    <row r="610" spans="1:12">
      <c r="A610" s="344"/>
      <c r="B610" s="344"/>
      <c r="C610" s="344"/>
      <c r="D610" s="344"/>
      <c r="E610" s="345"/>
      <c r="F610" s="346"/>
      <c r="G610" s="344"/>
      <c r="H610" s="11"/>
      <c r="I610" s="346"/>
      <c r="J610" s="410"/>
      <c r="K610" s="410"/>
      <c r="L610" s="410"/>
    </row>
    <row r="611" spans="1:12">
      <c r="A611" s="344"/>
      <c r="B611" s="344"/>
      <c r="C611" s="344"/>
      <c r="D611" s="344"/>
      <c r="E611" s="345"/>
      <c r="F611" s="346"/>
      <c r="G611" s="344"/>
      <c r="H611" s="11"/>
      <c r="I611" s="346"/>
      <c r="J611" s="410"/>
      <c r="K611" s="410"/>
      <c r="L611" s="410"/>
    </row>
    <row r="612" spans="1:12">
      <c r="A612" s="344"/>
      <c r="B612" s="344"/>
      <c r="C612" s="344"/>
      <c r="D612" s="344"/>
      <c r="E612" s="345"/>
      <c r="F612" s="346"/>
      <c r="G612" s="344"/>
      <c r="H612" s="11"/>
      <c r="I612" s="346"/>
      <c r="J612" s="410"/>
      <c r="K612" s="410"/>
      <c r="L612" s="410"/>
    </row>
    <row r="613" spans="1:12">
      <c r="A613" s="344"/>
      <c r="B613" s="344"/>
      <c r="C613" s="344"/>
      <c r="D613" s="344"/>
      <c r="E613" s="345"/>
      <c r="F613" s="346"/>
      <c r="G613" s="344"/>
      <c r="H613" s="11"/>
      <c r="I613" s="346"/>
      <c r="J613" s="410"/>
      <c r="K613" s="410"/>
      <c r="L613" s="410"/>
    </row>
    <row r="614" spans="1:12">
      <c r="A614" s="344"/>
      <c r="B614" s="344"/>
      <c r="C614" s="344"/>
      <c r="D614" s="344"/>
      <c r="E614" s="345"/>
      <c r="F614" s="346"/>
      <c r="G614" s="344"/>
      <c r="H614" s="11"/>
      <c r="I614" s="346"/>
      <c r="J614" s="410"/>
      <c r="K614" s="410"/>
      <c r="L614" s="410"/>
    </row>
    <row r="615" spans="1:12">
      <c r="A615" s="344"/>
      <c r="B615" s="344"/>
      <c r="C615" s="344"/>
      <c r="D615" s="344"/>
      <c r="E615" s="345"/>
      <c r="F615" s="346"/>
      <c r="G615" s="344"/>
      <c r="H615" s="11"/>
      <c r="I615" s="346"/>
      <c r="J615" s="410"/>
      <c r="K615" s="410"/>
      <c r="L615" s="410"/>
    </row>
    <row r="616" spans="1:12">
      <c r="A616" s="344"/>
      <c r="B616" s="344"/>
      <c r="C616" s="344"/>
      <c r="D616" s="344"/>
      <c r="E616" s="345"/>
      <c r="F616" s="346"/>
      <c r="G616" s="344"/>
      <c r="H616" s="11"/>
      <c r="I616" s="346"/>
      <c r="J616" s="410"/>
      <c r="K616" s="410"/>
      <c r="L616" s="410"/>
    </row>
    <row r="617" spans="1:12">
      <c r="A617" s="344"/>
      <c r="B617" s="344"/>
      <c r="C617" s="344"/>
      <c r="D617" s="344"/>
      <c r="E617" s="345"/>
      <c r="F617" s="346"/>
      <c r="G617" s="344"/>
      <c r="H617" s="11"/>
      <c r="I617" s="346"/>
      <c r="J617" s="410"/>
      <c r="K617" s="410"/>
      <c r="L617" s="410"/>
    </row>
    <row r="618" spans="1:12">
      <c r="A618" s="344"/>
      <c r="B618" s="344"/>
      <c r="C618" s="344"/>
      <c r="D618" s="344"/>
      <c r="E618" s="345"/>
      <c r="F618" s="346"/>
      <c r="G618" s="344"/>
      <c r="H618" s="11"/>
      <c r="I618" s="346"/>
      <c r="J618" s="410"/>
      <c r="K618" s="410"/>
      <c r="L618" s="410"/>
    </row>
    <row r="619" spans="1:12">
      <c r="A619" s="344"/>
      <c r="B619" s="344"/>
      <c r="C619" s="344"/>
      <c r="D619" s="344"/>
      <c r="E619" s="345"/>
      <c r="F619" s="346"/>
      <c r="G619" s="344"/>
      <c r="H619" s="11"/>
      <c r="I619" s="346"/>
      <c r="J619" s="410"/>
      <c r="K619" s="410"/>
      <c r="L619" s="410"/>
    </row>
    <row r="620" spans="1:12">
      <c r="A620" s="344"/>
      <c r="B620" s="344"/>
      <c r="C620" s="344"/>
      <c r="D620" s="344"/>
      <c r="E620" s="345"/>
      <c r="F620" s="346"/>
      <c r="G620" s="344"/>
      <c r="H620" s="11"/>
      <c r="I620" s="346"/>
      <c r="J620" s="410"/>
      <c r="K620" s="410"/>
      <c r="L620" s="410"/>
    </row>
    <row r="621" spans="1:12">
      <c r="A621" s="344"/>
      <c r="B621" s="344"/>
      <c r="C621" s="344"/>
      <c r="D621" s="344"/>
      <c r="E621" s="345"/>
      <c r="F621" s="346"/>
      <c r="G621" s="344"/>
      <c r="H621" s="11"/>
      <c r="I621" s="346"/>
      <c r="J621" s="410"/>
      <c r="K621" s="410"/>
      <c r="L621" s="410"/>
    </row>
    <row r="622" spans="1:12">
      <c r="A622" s="344"/>
      <c r="B622" s="344"/>
      <c r="C622" s="344"/>
      <c r="D622" s="344"/>
      <c r="E622" s="345"/>
      <c r="F622" s="346"/>
      <c r="G622" s="344"/>
      <c r="H622" s="11"/>
      <c r="I622" s="346"/>
      <c r="J622" s="410"/>
      <c r="K622" s="410"/>
      <c r="L622" s="410"/>
    </row>
    <row r="623" spans="1:12">
      <c r="A623" s="344"/>
      <c r="B623" s="344"/>
      <c r="C623" s="344"/>
      <c r="D623" s="344"/>
      <c r="E623" s="345"/>
      <c r="F623" s="346"/>
      <c r="G623" s="344"/>
      <c r="H623" s="11"/>
      <c r="I623" s="346"/>
      <c r="J623" s="410"/>
      <c r="K623" s="410"/>
      <c r="L623" s="410"/>
    </row>
    <row r="624" spans="1:12">
      <c r="A624" s="344"/>
      <c r="B624" s="344"/>
      <c r="C624" s="344"/>
      <c r="D624" s="344"/>
      <c r="E624" s="345"/>
      <c r="F624" s="346"/>
      <c r="G624" s="344"/>
      <c r="H624" s="11"/>
      <c r="I624" s="346"/>
      <c r="J624" s="410"/>
      <c r="K624" s="410"/>
      <c r="L624" s="410"/>
    </row>
    <row r="625" spans="1:12">
      <c r="A625" s="344"/>
      <c r="B625" s="344"/>
      <c r="C625" s="344"/>
      <c r="D625" s="344"/>
      <c r="E625" s="345"/>
      <c r="F625" s="346"/>
      <c r="G625" s="344"/>
      <c r="H625" s="11"/>
      <c r="I625" s="346"/>
      <c r="J625" s="410"/>
      <c r="K625" s="410"/>
      <c r="L625" s="410"/>
    </row>
    <row r="626" spans="1:12">
      <c r="A626" s="344"/>
      <c r="B626" s="344"/>
      <c r="C626" s="344"/>
      <c r="D626" s="344"/>
      <c r="E626" s="345"/>
      <c r="F626" s="346"/>
      <c r="G626" s="344"/>
      <c r="H626" s="11"/>
      <c r="I626" s="346"/>
      <c r="J626" s="410"/>
      <c r="K626" s="410"/>
      <c r="L626" s="410"/>
    </row>
    <row r="627" spans="1:12">
      <c r="A627" s="344"/>
      <c r="B627" s="344"/>
      <c r="C627" s="344"/>
      <c r="D627" s="344"/>
      <c r="E627" s="345"/>
      <c r="F627" s="346"/>
      <c r="G627" s="344"/>
      <c r="H627" s="11"/>
      <c r="I627" s="346"/>
      <c r="J627" s="410"/>
      <c r="K627" s="410"/>
      <c r="L627" s="410"/>
    </row>
    <row r="628" spans="1:12">
      <c r="A628" s="344"/>
      <c r="B628" s="344"/>
      <c r="C628" s="344"/>
      <c r="D628" s="344"/>
      <c r="E628" s="345"/>
      <c r="F628" s="346"/>
      <c r="G628" s="344"/>
      <c r="H628" s="11"/>
      <c r="I628" s="346"/>
      <c r="J628" s="410"/>
      <c r="K628" s="410"/>
      <c r="L628" s="410"/>
    </row>
    <row r="629" spans="1:12">
      <c r="A629" s="344"/>
      <c r="B629" s="344"/>
      <c r="C629" s="344"/>
      <c r="D629" s="344"/>
      <c r="E629" s="345"/>
      <c r="F629" s="346"/>
      <c r="G629" s="344"/>
      <c r="H629" s="11"/>
      <c r="I629" s="346"/>
      <c r="J629" s="410"/>
      <c r="K629" s="410"/>
      <c r="L629" s="410"/>
    </row>
    <row r="630" spans="1:12">
      <c r="A630" s="344"/>
      <c r="B630" s="344"/>
      <c r="C630" s="344"/>
      <c r="D630" s="344"/>
      <c r="E630" s="345"/>
      <c r="F630" s="346"/>
      <c r="G630" s="344"/>
      <c r="H630" s="11"/>
      <c r="I630" s="346"/>
      <c r="J630" s="410"/>
      <c r="K630" s="410"/>
      <c r="L630" s="410"/>
    </row>
    <row r="631" spans="1:12">
      <c r="A631" s="344"/>
      <c r="B631" s="344"/>
      <c r="C631" s="344"/>
      <c r="D631" s="344"/>
      <c r="E631" s="345"/>
      <c r="F631" s="346"/>
      <c r="G631" s="344"/>
      <c r="H631" s="11"/>
      <c r="I631" s="346"/>
      <c r="J631" s="410"/>
      <c r="K631" s="410"/>
      <c r="L631" s="410"/>
    </row>
    <row r="632" spans="1:12">
      <c r="A632" s="344"/>
      <c r="B632" s="344"/>
      <c r="C632" s="344"/>
      <c r="D632" s="344"/>
      <c r="E632" s="345"/>
      <c r="F632" s="346"/>
      <c r="G632" s="344"/>
      <c r="H632" s="11"/>
      <c r="I632" s="346"/>
      <c r="J632" s="410"/>
      <c r="K632" s="410"/>
      <c r="L632" s="410"/>
    </row>
    <row r="633" spans="1:12">
      <c r="A633" s="344"/>
      <c r="B633" s="344"/>
      <c r="C633" s="344"/>
      <c r="D633" s="344"/>
      <c r="E633" s="345"/>
      <c r="F633" s="346"/>
      <c r="G633" s="344"/>
      <c r="H633" s="11"/>
      <c r="I633" s="346"/>
      <c r="J633" s="410"/>
      <c r="K633" s="410"/>
      <c r="L633" s="410"/>
    </row>
    <row r="634" spans="1:12">
      <c r="A634" s="344"/>
      <c r="B634" s="344"/>
      <c r="C634" s="344"/>
      <c r="D634" s="344"/>
      <c r="E634" s="345"/>
      <c r="F634" s="346"/>
      <c r="G634" s="344"/>
      <c r="H634" s="11"/>
      <c r="I634" s="346"/>
      <c r="J634" s="410"/>
      <c r="K634" s="410"/>
      <c r="L634" s="410"/>
    </row>
    <row r="635" spans="1:12">
      <c r="A635" s="344"/>
      <c r="B635" s="344"/>
      <c r="C635" s="344"/>
      <c r="D635" s="344"/>
      <c r="E635" s="345"/>
      <c r="F635" s="346"/>
      <c r="G635" s="344"/>
      <c r="H635" s="11"/>
      <c r="I635" s="346"/>
      <c r="J635" s="410"/>
      <c r="K635" s="410"/>
      <c r="L635" s="410"/>
    </row>
    <row r="636" spans="1:12">
      <c r="A636" s="344"/>
      <c r="B636" s="344"/>
      <c r="C636" s="344"/>
      <c r="D636" s="344"/>
      <c r="E636" s="345"/>
      <c r="F636" s="346"/>
      <c r="G636" s="344"/>
      <c r="H636" s="11"/>
      <c r="I636" s="346"/>
      <c r="J636" s="410"/>
      <c r="K636" s="410"/>
      <c r="L636" s="410"/>
    </row>
    <row r="637" spans="1:12">
      <c r="A637" s="344"/>
      <c r="B637" s="344"/>
      <c r="C637" s="344"/>
      <c r="D637" s="344"/>
      <c r="E637" s="345"/>
      <c r="F637" s="346"/>
      <c r="G637" s="344"/>
      <c r="H637" s="11"/>
      <c r="I637" s="346"/>
      <c r="J637" s="410"/>
      <c r="K637" s="410"/>
      <c r="L637" s="410"/>
    </row>
    <row r="638" spans="1:12">
      <c r="A638" s="344"/>
      <c r="B638" s="344"/>
      <c r="C638" s="344"/>
      <c r="D638" s="344"/>
      <c r="E638" s="345"/>
      <c r="F638" s="346"/>
      <c r="G638" s="344"/>
      <c r="H638" s="11"/>
      <c r="I638" s="346"/>
      <c r="J638" s="410"/>
      <c r="K638" s="410"/>
      <c r="L638" s="410"/>
    </row>
    <row r="639" spans="1:12">
      <c r="A639" s="344"/>
      <c r="B639" s="344"/>
      <c r="C639" s="344"/>
      <c r="D639" s="344"/>
      <c r="E639" s="345"/>
      <c r="F639" s="346"/>
      <c r="G639" s="344"/>
      <c r="H639" s="11"/>
      <c r="I639" s="346"/>
      <c r="J639" s="410"/>
      <c r="K639" s="410"/>
      <c r="L639" s="410"/>
    </row>
    <row r="640" spans="1:12">
      <c r="A640" s="344"/>
      <c r="B640" s="344"/>
      <c r="C640" s="344"/>
      <c r="D640" s="344"/>
      <c r="E640" s="345"/>
      <c r="F640" s="346"/>
      <c r="G640" s="344"/>
      <c r="H640" s="11"/>
      <c r="I640" s="346"/>
      <c r="J640" s="410"/>
      <c r="K640" s="410"/>
      <c r="L640" s="410"/>
    </row>
    <row r="641" spans="1:12">
      <c r="A641" s="344"/>
      <c r="B641" s="344"/>
      <c r="C641" s="344"/>
      <c r="D641" s="344"/>
      <c r="E641" s="345"/>
      <c r="F641" s="346"/>
      <c r="G641" s="344"/>
      <c r="H641" s="11"/>
      <c r="I641" s="346"/>
      <c r="J641" s="410"/>
      <c r="K641" s="410"/>
      <c r="L641" s="410"/>
    </row>
    <row r="642" spans="1:12">
      <c r="A642" s="344"/>
      <c r="B642" s="344"/>
      <c r="C642" s="344"/>
      <c r="D642" s="344"/>
      <c r="E642" s="345"/>
      <c r="F642" s="346"/>
      <c r="G642" s="344"/>
      <c r="H642" s="11"/>
      <c r="I642" s="346"/>
      <c r="J642" s="410"/>
      <c r="K642" s="410"/>
      <c r="L642" s="410"/>
    </row>
    <row r="643" spans="1:12">
      <c r="A643" s="344"/>
      <c r="B643" s="344"/>
      <c r="C643" s="344"/>
      <c r="D643" s="344"/>
      <c r="E643" s="345"/>
      <c r="F643" s="346"/>
      <c r="G643" s="344"/>
      <c r="H643" s="11"/>
      <c r="I643" s="346"/>
      <c r="J643" s="410"/>
      <c r="K643" s="410"/>
      <c r="L643" s="410"/>
    </row>
    <row r="644" spans="1:12">
      <c r="A644" s="344"/>
      <c r="B644" s="344"/>
      <c r="C644" s="344"/>
      <c r="D644" s="344"/>
      <c r="E644" s="345"/>
      <c r="F644" s="346"/>
      <c r="G644" s="344"/>
      <c r="H644" s="11"/>
      <c r="I644" s="346"/>
      <c r="J644" s="410"/>
      <c r="K644" s="410"/>
      <c r="L644" s="410"/>
    </row>
    <row r="645" spans="1:12">
      <c r="A645" s="344"/>
      <c r="B645" s="344"/>
      <c r="C645" s="344"/>
      <c r="D645" s="344"/>
      <c r="E645" s="345"/>
      <c r="F645" s="346"/>
      <c r="G645" s="344"/>
      <c r="H645" s="11"/>
      <c r="I645" s="346"/>
      <c r="J645" s="410"/>
      <c r="K645" s="410"/>
      <c r="L645" s="410"/>
    </row>
    <row r="646" spans="1:12">
      <c r="A646" s="344"/>
      <c r="B646" s="344"/>
      <c r="C646" s="344"/>
      <c r="D646" s="344"/>
      <c r="E646" s="345"/>
      <c r="F646" s="346"/>
      <c r="G646" s="344"/>
      <c r="H646" s="11"/>
      <c r="I646" s="346"/>
      <c r="J646" s="410"/>
      <c r="K646" s="410"/>
      <c r="L646" s="410"/>
    </row>
    <row r="647" spans="1:12">
      <c r="A647" s="344"/>
      <c r="B647" s="344"/>
      <c r="C647" s="344"/>
      <c r="D647" s="344"/>
      <c r="E647" s="345"/>
      <c r="F647" s="346"/>
      <c r="G647" s="344"/>
      <c r="H647" s="11"/>
      <c r="I647" s="346"/>
      <c r="J647" s="410"/>
      <c r="K647" s="410"/>
      <c r="L647" s="410"/>
    </row>
    <row r="648" spans="1:12">
      <c r="A648" s="344"/>
      <c r="B648" s="344"/>
      <c r="C648" s="344"/>
      <c r="D648" s="344"/>
      <c r="E648" s="345"/>
      <c r="F648" s="346"/>
      <c r="G648" s="344"/>
      <c r="H648" s="11"/>
      <c r="I648" s="346"/>
      <c r="J648" s="410"/>
      <c r="K648" s="410"/>
      <c r="L648" s="410"/>
    </row>
    <row r="649" spans="1:12">
      <c r="A649" s="344"/>
      <c r="B649" s="344"/>
      <c r="C649" s="344"/>
      <c r="D649" s="344"/>
      <c r="E649" s="345"/>
      <c r="F649" s="346"/>
      <c r="G649" s="344"/>
      <c r="H649" s="11"/>
      <c r="I649" s="346"/>
      <c r="J649" s="410"/>
      <c r="K649" s="410"/>
      <c r="L649" s="410"/>
    </row>
    <row r="650" spans="1:12">
      <c r="A650" s="344"/>
      <c r="B650" s="344"/>
      <c r="C650" s="344"/>
      <c r="D650" s="344"/>
      <c r="E650" s="345"/>
      <c r="F650" s="346"/>
      <c r="G650" s="344"/>
      <c r="H650" s="11"/>
      <c r="I650" s="346"/>
      <c r="J650" s="410"/>
      <c r="K650" s="410"/>
      <c r="L650" s="410"/>
    </row>
    <row r="651" spans="1:12">
      <c r="A651" s="344"/>
      <c r="B651" s="344"/>
      <c r="C651" s="344"/>
      <c r="D651" s="344"/>
      <c r="E651" s="345"/>
      <c r="F651" s="346"/>
      <c r="G651" s="344"/>
      <c r="H651" s="11"/>
      <c r="I651" s="346"/>
      <c r="J651" s="410"/>
      <c r="K651" s="410"/>
      <c r="L651" s="410"/>
    </row>
    <row r="652" spans="1:12">
      <c r="A652" s="344"/>
      <c r="B652" s="344"/>
      <c r="C652" s="344"/>
      <c r="D652" s="344"/>
      <c r="E652" s="345"/>
      <c r="F652" s="346"/>
      <c r="G652" s="344"/>
      <c r="H652" s="11"/>
      <c r="I652" s="346"/>
      <c r="J652" s="410"/>
      <c r="K652" s="410"/>
      <c r="L652" s="410"/>
    </row>
    <row r="653" spans="1:12">
      <c r="A653" s="344"/>
      <c r="B653" s="344"/>
      <c r="C653" s="344"/>
      <c r="D653" s="344"/>
      <c r="E653" s="345"/>
      <c r="F653" s="346"/>
      <c r="G653" s="344"/>
      <c r="H653" s="11"/>
      <c r="I653" s="346"/>
      <c r="J653" s="410"/>
      <c r="K653" s="410"/>
      <c r="L653" s="410"/>
    </row>
    <row r="654" spans="1:12">
      <c r="A654" s="344"/>
      <c r="B654" s="344"/>
      <c r="C654" s="344"/>
      <c r="D654" s="344"/>
      <c r="E654" s="345"/>
      <c r="F654" s="346"/>
      <c r="G654" s="344"/>
      <c r="H654" s="11"/>
      <c r="I654" s="346"/>
      <c r="J654" s="410"/>
      <c r="K654" s="410"/>
      <c r="L654" s="410"/>
    </row>
    <row r="655" spans="1:12">
      <c r="A655" s="344"/>
      <c r="B655" s="344"/>
      <c r="C655" s="344"/>
      <c r="D655" s="344"/>
      <c r="E655" s="345"/>
      <c r="F655" s="346"/>
      <c r="G655" s="344"/>
      <c r="H655" s="11"/>
      <c r="I655" s="346"/>
      <c r="J655" s="410"/>
      <c r="K655" s="410"/>
      <c r="L655" s="410"/>
    </row>
    <row r="656" spans="1:12">
      <c r="A656" s="344"/>
      <c r="B656" s="344"/>
      <c r="C656" s="344"/>
      <c r="D656" s="344"/>
      <c r="E656" s="345"/>
      <c r="F656" s="346"/>
      <c r="G656" s="344"/>
      <c r="H656" s="11"/>
      <c r="I656" s="346"/>
      <c r="J656" s="410"/>
      <c r="K656" s="410"/>
      <c r="L656" s="410"/>
    </row>
    <row r="657" spans="1:12">
      <c r="A657" s="344"/>
      <c r="B657" s="344"/>
      <c r="C657" s="344"/>
      <c r="D657" s="344"/>
      <c r="E657" s="345"/>
      <c r="F657" s="346"/>
      <c r="G657" s="344"/>
      <c r="H657" s="11"/>
      <c r="I657" s="346"/>
      <c r="J657" s="410"/>
      <c r="K657" s="410"/>
      <c r="L657" s="410"/>
    </row>
    <row r="658" spans="1:12">
      <c r="A658" s="344"/>
      <c r="B658" s="344"/>
      <c r="C658" s="344"/>
      <c r="D658" s="344"/>
      <c r="E658" s="345"/>
      <c r="F658" s="346"/>
      <c r="G658" s="344"/>
      <c r="H658" s="11"/>
      <c r="I658" s="346"/>
      <c r="J658" s="410"/>
      <c r="K658" s="410"/>
      <c r="L658" s="410"/>
    </row>
    <row r="659" spans="1:12">
      <c r="A659" s="344"/>
      <c r="B659" s="344"/>
      <c r="C659" s="344"/>
      <c r="D659" s="344"/>
      <c r="E659" s="345"/>
      <c r="F659" s="346"/>
      <c r="G659" s="344"/>
      <c r="H659" s="11"/>
      <c r="I659" s="346"/>
      <c r="J659" s="410"/>
      <c r="K659" s="410"/>
      <c r="L659" s="410"/>
    </row>
    <row r="660" spans="1:12">
      <c r="A660" s="344"/>
      <c r="B660" s="344"/>
      <c r="C660" s="344"/>
      <c r="D660" s="344"/>
      <c r="E660" s="345"/>
      <c r="F660" s="346"/>
      <c r="G660" s="344"/>
      <c r="H660" s="11"/>
      <c r="I660" s="346"/>
      <c r="J660" s="410"/>
      <c r="K660" s="410"/>
      <c r="L660" s="410"/>
    </row>
    <row r="661" spans="1:12">
      <c r="A661" s="344"/>
      <c r="B661" s="344"/>
      <c r="C661" s="344"/>
      <c r="D661" s="344"/>
      <c r="E661" s="345"/>
      <c r="F661" s="346"/>
      <c r="G661" s="344"/>
      <c r="H661" s="11"/>
      <c r="I661" s="346"/>
      <c r="J661" s="410"/>
      <c r="K661" s="410"/>
      <c r="L661" s="410"/>
    </row>
    <row r="662" spans="1:12">
      <c r="A662" s="344"/>
      <c r="B662" s="344"/>
      <c r="C662" s="344"/>
      <c r="D662" s="344"/>
      <c r="E662" s="345"/>
      <c r="F662" s="346"/>
      <c r="G662" s="344"/>
      <c r="H662" s="11"/>
      <c r="I662" s="346"/>
      <c r="J662" s="410"/>
      <c r="K662" s="410"/>
      <c r="L662" s="410"/>
    </row>
    <row r="663" spans="1:12">
      <c r="A663" s="344"/>
      <c r="B663" s="344"/>
      <c r="C663" s="344"/>
      <c r="D663" s="344"/>
      <c r="E663" s="345"/>
      <c r="F663" s="346"/>
      <c r="G663" s="344"/>
      <c r="H663" s="11"/>
      <c r="I663" s="346"/>
      <c r="J663" s="410"/>
      <c r="K663" s="410"/>
      <c r="L663" s="410"/>
    </row>
    <row r="664" spans="1:12">
      <c r="A664" s="344"/>
      <c r="B664" s="344"/>
      <c r="C664" s="344"/>
      <c r="D664" s="344"/>
      <c r="E664" s="345"/>
      <c r="F664" s="346"/>
      <c r="G664" s="344"/>
      <c r="H664" s="11"/>
      <c r="I664" s="346"/>
      <c r="J664" s="410"/>
      <c r="K664" s="410"/>
      <c r="L664" s="410"/>
    </row>
    <row r="665" spans="1:12">
      <c r="A665" s="344"/>
      <c r="B665" s="344"/>
      <c r="C665" s="344"/>
      <c r="D665" s="344"/>
      <c r="E665" s="345"/>
      <c r="F665" s="346"/>
      <c r="G665" s="344"/>
      <c r="H665" s="11"/>
      <c r="I665" s="346"/>
      <c r="J665" s="410"/>
      <c r="K665" s="410"/>
      <c r="L665" s="410"/>
    </row>
    <row r="666" spans="1:12">
      <c r="A666" s="344"/>
      <c r="B666" s="344"/>
      <c r="C666" s="344"/>
      <c r="D666" s="344"/>
      <c r="E666" s="345"/>
      <c r="F666" s="346"/>
      <c r="G666" s="344"/>
      <c r="H666" s="11"/>
      <c r="I666" s="346"/>
      <c r="J666" s="410"/>
      <c r="K666" s="410"/>
      <c r="L666" s="410"/>
    </row>
    <row r="667" spans="1:12">
      <c r="A667" s="344"/>
      <c r="B667" s="344"/>
      <c r="C667" s="344"/>
      <c r="D667" s="344"/>
      <c r="E667" s="345"/>
      <c r="F667" s="346"/>
      <c r="G667" s="344"/>
      <c r="H667" s="11"/>
      <c r="I667" s="346"/>
      <c r="J667" s="410"/>
      <c r="K667" s="410"/>
      <c r="L667" s="410"/>
    </row>
    <row r="668" spans="1:12">
      <c r="A668" s="344"/>
      <c r="B668" s="344"/>
      <c r="C668" s="344"/>
      <c r="D668" s="344"/>
      <c r="E668" s="345"/>
      <c r="F668" s="346"/>
      <c r="G668" s="344"/>
      <c r="H668" s="11"/>
      <c r="I668" s="346"/>
      <c r="J668" s="410"/>
      <c r="K668" s="410"/>
      <c r="L668" s="410"/>
    </row>
    <row r="669" spans="1:12">
      <c r="A669" s="344"/>
      <c r="B669" s="344"/>
      <c r="C669" s="344"/>
      <c r="D669" s="344"/>
      <c r="E669" s="345"/>
      <c r="F669" s="346"/>
      <c r="G669" s="344"/>
      <c r="H669" s="11"/>
      <c r="I669" s="346"/>
      <c r="J669" s="410"/>
      <c r="K669" s="410"/>
      <c r="L669" s="410"/>
    </row>
    <row r="670" spans="1:12">
      <c r="A670" s="344"/>
      <c r="B670" s="344"/>
      <c r="C670" s="344"/>
      <c r="D670" s="344"/>
      <c r="E670" s="345"/>
      <c r="F670" s="346"/>
      <c r="G670" s="344"/>
      <c r="H670" s="11"/>
      <c r="I670" s="346"/>
      <c r="J670" s="410"/>
      <c r="K670" s="410"/>
      <c r="L670" s="410"/>
    </row>
    <row r="671" spans="1:12">
      <c r="A671" s="344"/>
      <c r="B671" s="344"/>
      <c r="C671" s="344"/>
      <c r="D671" s="344"/>
      <c r="E671" s="345"/>
      <c r="F671" s="346"/>
      <c r="G671" s="344"/>
      <c r="H671" s="11"/>
      <c r="I671" s="346"/>
      <c r="J671" s="410"/>
      <c r="K671" s="410"/>
      <c r="L671" s="410"/>
    </row>
    <row r="672" spans="1:12">
      <c r="A672" s="344"/>
      <c r="B672" s="344"/>
      <c r="C672" s="344"/>
      <c r="D672" s="344"/>
      <c r="E672" s="345"/>
      <c r="F672" s="346"/>
      <c r="G672" s="344"/>
      <c r="H672" s="11"/>
      <c r="I672" s="346"/>
      <c r="J672" s="410"/>
      <c r="K672" s="410"/>
      <c r="L672" s="410"/>
    </row>
    <row r="673" spans="1:12">
      <c r="A673" s="344"/>
      <c r="B673" s="344"/>
      <c r="C673" s="344"/>
      <c r="D673" s="344"/>
      <c r="E673" s="345"/>
      <c r="F673" s="346"/>
      <c r="G673" s="344"/>
      <c r="H673" s="11"/>
      <c r="I673" s="346"/>
      <c r="J673" s="410"/>
      <c r="K673" s="410"/>
      <c r="L673" s="410"/>
    </row>
    <row r="674" spans="1:12">
      <c r="A674" s="344"/>
      <c r="B674" s="344"/>
      <c r="C674" s="344"/>
      <c r="D674" s="344"/>
      <c r="E674" s="345"/>
      <c r="F674" s="346"/>
      <c r="G674" s="344"/>
      <c r="H674" s="11"/>
      <c r="I674" s="346"/>
      <c r="J674" s="410"/>
      <c r="K674" s="410"/>
      <c r="L674" s="410"/>
    </row>
    <row r="675" spans="1:12">
      <c r="A675" s="344"/>
      <c r="B675" s="344"/>
      <c r="C675" s="344"/>
      <c r="D675" s="344"/>
      <c r="E675" s="345"/>
      <c r="F675" s="346"/>
      <c r="G675" s="344"/>
      <c r="H675" s="11"/>
      <c r="I675" s="346"/>
      <c r="J675" s="410"/>
      <c r="K675" s="410"/>
      <c r="L675" s="410"/>
    </row>
    <row r="676" spans="1:12">
      <c r="A676" s="344"/>
      <c r="B676" s="344"/>
      <c r="C676" s="344"/>
      <c r="D676" s="344"/>
      <c r="E676" s="345"/>
      <c r="F676" s="346"/>
      <c r="G676" s="344"/>
      <c r="H676" s="11"/>
      <c r="I676" s="346"/>
      <c r="J676" s="410"/>
      <c r="K676" s="410"/>
      <c r="L676" s="410"/>
    </row>
    <row r="677" spans="1:12">
      <c r="A677" s="344"/>
      <c r="B677" s="344"/>
      <c r="C677" s="344"/>
      <c r="D677" s="344"/>
      <c r="E677" s="345"/>
      <c r="F677" s="346"/>
      <c r="G677" s="344"/>
      <c r="H677" s="11"/>
      <c r="I677" s="346"/>
      <c r="J677" s="410"/>
      <c r="K677" s="410"/>
      <c r="L677" s="410"/>
    </row>
    <row r="678" spans="1:12">
      <c r="A678" s="344"/>
      <c r="B678" s="344"/>
      <c r="C678" s="344"/>
      <c r="D678" s="344"/>
      <c r="E678" s="345"/>
      <c r="F678" s="346"/>
      <c r="G678" s="344"/>
      <c r="H678" s="11"/>
      <c r="I678" s="346"/>
      <c r="J678" s="410"/>
      <c r="K678" s="410"/>
      <c r="L678" s="410"/>
    </row>
    <row r="679" spans="1:12">
      <c r="A679" s="344"/>
      <c r="B679" s="344"/>
      <c r="C679" s="344"/>
      <c r="D679" s="344"/>
      <c r="E679" s="345"/>
      <c r="F679" s="346"/>
      <c r="G679" s="344"/>
      <c r="H679" s="11"/>
      <c r="I679" s="346"/>
      <c r="J679" s="410"/>
      <c r="K679" s="410"/>
      <c r="L679" s="410"/>
    </row>
    <row r="680" spans="1:12">
      <c r="A680" s="344"/>
      <c r="B680" s="344"/>
      <c r="C680" s="344"/>
      <c r="D680" s="344"/>
      <c r="E680" s="345"/>
      <c r="F680" s="346"/>
      <c r="G680" s="344"/>
      <c r="H680" s="11"/>
      <c r="I680" s="346"/>
      <c r="J680" s="410"/>
      <c r="K680" s="410"/>
      <c r="L680" s="410"/>
    </row>
    <row r="681" spans="1:12">
      <c r="A681" s="344"/>
      <c r="B681" s="344"/>
      <c r="C681" s="344"/>
      <c r="D681" s="344"/>
      <c r="E681" s="345"/>
      <c r="F681" s="346"/>
      <c r="G681" s="344"/>
      <c r="H681" s="11"/>
      <c r="I681" s="346"/>
      <c r="J681" s="410"/>
      <c r="K681" s="410"/>
      <c r="L681" s="410"/>
    </row>
    <row r="682" spans="1:12">
      <c r="A682" s="344"/>
      <c r="B682" s="344"/>
      <c r="C682" s="344"/>
      <c r="D682" s="344"/>
      <c r="E682" s="345"/>
      <c r="F682" s="346"/>
      <c r="G682" s="344"/>
      <c r="H682" s="11"/>
      <c r="I682" s="346"/>
      <c r="J682" s="410"/>
      <c r="K682" s="410"/>
      <c r="L682" s="410"/>
    </row>
    <row r="683" spans="1:12">
      <c r="A683" s="344"/>
      <c r="B683" s="344"/>
      <c r="C683" s="344"/>
      <c r="D683" s="344"/>
      <c r="E683" s="345"/>
      <c r="F683" s="346"/>
      <c r="G683" s="344"/>
      <c r="H683" s="11"/>
      <c r="I683" s="346"/>
      <c r="J683" s="410"/>
      <c r="K683" s="410"/>
      <c r="L683" s="410"/>
    </row>
    <row r="684" spans="1:12">
      <c r="A684" s="344"/>
      <c r="B684" s="344"/>
      <c r="C684" s="344"/>
      <c r="D684" s="344"/>
      <c r="E684" s="345"/>
      <c r="F684" s="346"/>
      <c r="G684" s="344"/>
      <c r="H684" s="11"/>
      <c r="I684" s="346"/>
      <c r="J684" s="410"/>
      <c r="K684" s="410"/>
      <c r="L684" s="410"/>
    </row>
    <row r="685" spans="1:12">
      <c r="A685" s="344"/>
      <c r="B685" s="344"/>
      <c r="C685" s="344"/>
      <c r="D685" s="344"/>
      <c r="E685" s="345"/>
      <c r="F685" s="346"/>
      <c r="G685" s="344"/>
      <c r="H685" s="11"/>
      <c r="I685" s="346"/>
      <c r="J685" s="410"/>
      <c r="K685" s="410"/>
      <c r="L685" s="410"/>
    </row>
    <row r="686" spans="1:12">
      <c r="A686" s="344"/>
      <c r="B686" s="344"/>
      <c r="C686" s="344"/>
      <c r="D686" s="344"/>
      <c r="E686" s="345"/>
      <c r="F686" s="346"/>
      <c r="G686" s="344"/>
      <c r="H686" s="11"/>
      <c r="I686" s="346"/>
      <c r="J686" s="410"/>
      <c r="K686" s="410"/>
      <c r="L686" s="410"/>
    </row>
    <row r="687" spans="1:12">
      <c r="A687" s="344"/>
      <c r="B687" s="344"/>
      <c r="C687" s="344"/>
      <c r="D687" s="344"/>
      <c r="E687" s="345"/>
      <c r="F687" s="346"/>
      <c r="G687" s="344"/>
      <c r="H687" s="11"/>
      <c r="I687" s="346"/>
      <c r="J687" s="410"/>
      <c r="K687" s="410"/>
      <c r="L687" s="410"/>
    </row>
    <row r="688" spans="1:12">
      <c r="A688" s="344"/>
      <c r="B688" s="344"/>
      <c r="C688" s="344"/>
      <c r="D688" s="344"/>
      <c r="E688" s="345"/>
      <c r="F688" s="346"/>
      <c r="G688" s="344"/>
      <c r="H688" s="11"/>
      <c r="I688" s="346"/>
      <c r="J688" s="410"/>
      <c r="K688" s="410"/>
      <c r="L688" s="410"/>
    </row>
    <row r="689" spans="1:12">
      <c r="A689" s="344"/>
      <c r="B689" s="344"/>
      <c r="C689" s="344"/>
      <c r="D689" s="344"/>
      <c r="E689" s="345"/>
      <c r="F689" s="346"/>
      <c r="G689" s="344"/>
      <c r="H689" s="11"/>
      <c r="I689" s="346"/>
      <c r="J689" s="410"/>
      <c r="K689" s="410"/>
      <c r="L689" s="410"/>
    </row>
    <row r="690" spans="1:12">
      <c r="A690" s="344"/>
      <c r="B690" s="344"/>
      <c r="C690" s="344"/>
      <c r="D690" s="344"/>
      <c r="E690" s="345"/>
      <c r="F690" s="346"/>
      <c r="G690" s="344"/>
      <c r="H690" s="11"/>
      <c r="I690" s="346"/>
      <c r="J690" s="410"/>
      <c r="K690" s="410"/>
      <c r="L690" s="410"/>
    </row>
    <row r="691" spans="1:12">
      <c r="A691" s="344"/>
      <c r="B691" s="344"/>
      <c r="C691" s="344"/>
      <c r="D691" s="344"/>
      <c r="E691" s="345"/>
      <c r="F691" s="346"/>
      <c r="G691" s="344"/>
      <c r="H691" s="11"/>
      <c r="I691" s="346"/>
      <c r="J691" s="410"/>
      <c r="K691" s="410"/>
      <c r="L691" s="410"/>
    </row>
    <row r="692" spans="1:12">
      <c r="A692" s="344"/>
      <c r="B692" s="344"/>
      <c r="C692" s="344"/>
      <c r="D692" s="344"/>
      <c r="E692" s="345"/>
      <c r="F692" s="346"/>
      <c r="G692" s="344"/>
      <c r="H692" s="11"/>
      <c r="I692" s="346"/>
      <c r="J692" s="410"/>
      <c r="K692" s="410"/>
      <c r="L692" s="410"/>
    </row>
    <row r="693" spans="1:12">
      <c r="A693" s="344"/>
      <c r="B693" s="344"/>
      <c r="C693" s="344"/>
      <c r="D693" s="344"/>
      <c r="E693" s="345"/>
      <c r="F693" s="346"/>
      <c r="G693" s="344"/>
      <c r="H693" s="11"/>
      <c r="I693" s="346"/>
      <c r="J693" s="410"/>
      <c r="K693" s="410"/>
      <c r="L693" s="410"/>
    </row>
    <row r="694" spans="1:12">
      <c r="A694" s="344"/>
      <c r="B694" s="344"/>
      <c r="C694" s="344"/>
      <c r="D694" s="344"/>
      <c r="E694" s="345"/>
      <c r="F694" s="346"/>
      <c r="G694" s="344"/>
      <c r="H694" s="11"/>
      <c r="I694" s="346"/>
      <c r="J694" s="410"/>
      <c r="K694" s="410"/>
      <c r="L694" s="410"/>
    </row>
    <row r="695" spans="1:12">
      <c r="A695" s="344"/>
      <c r="B695" s="344"/>
      <c r="C695" s="344"/>
      <c r="D695" s="344"/>
      <c r="E695" s="345"/>
      <c r="F695" s="346"/>
      <c r="G695" s="344"/>
      <c r="H695" s="11"/>
      <c r="I695" s="346"/>
      <c r="J695" s="410"/>
      <c r="K695" s="410"/>
      <c r="L695" s="410"/>
    </row>
    <row r="696" spans="1:12">
      <c r="A696" s="344"/>
      <c r="B696" s="344"/>
      <c r="C696" s="344"/>
      <c r="D696" s="344"/>
      <c r="E696" s="345"/>
      <c r="F696" s="346"/>
      <c r="G696" s="344"/>
      <c r="H696" s="11"/>
      <c r="I696" s="346"/>
      <c r="J696" s="410"/>
      <c r="K696" s="410"/>
      <c r="L696" s="410"/>
    </row>
    <row r="697" spans="1:12">
      <c r="A697" s="344"/>
      <c r="B697" s="344"/>
      <c r="C697" s="344"/>
      <c r="D697" s="344"/>
      <c r="E697" s="345"/>
      <c r="F697" s="346"/>
      <c r="G697" s="344"/>
      <c r="H697" s="11"/>
      <c r="I697" s="346"/>
      <c r="J697" s="410"/>
      <c r="K697" s="410"/>
      <c r="L697" s="410"/>
    </row>
    <row r="698" spans="1:12">
      <c r="A698" s="344"/>
      <c r="B698" s="344"/>
      <c r="C698" s="344"/>
      <c r="D698" s="344"/>
      <c r="E698" s="345"/>
      <c r="F698" s="346"/>
      <c r="G698" s="344"/>
      <c r="H698" s="11"/>
      <c r="I698" s="346"/>
      <c r="J698" s="410"/>
      <c r="K698" s="410"/>
      <c r="L698" s="410"/>
    </row>
    <row r="699" spans="1:12">
      <c r="A699" s="344"/>
      <c r="B699" s="344"/>
      <c r="C699" s="344"/>
      <c r="D699" s="344"/>
      <c r="E699" s="345"/>
      <c r="F699" s="346"/>
      <c r="G699" s="344"/>
      <c r="H699" s="11"/>
      <c r="I699" s="346"/>
      <c r="J699" s="410"/>
      <c r="K699" s="410"/>
      <c r="L699" s="410"/>
    </row>
    <row r="700" spans="1:12">
      <c r="A700" s="344"/>
      <c r="B700" s="344"/>
      <c r="C700" s="344"/>
      <c r="D700" s="344"/>
      <c r="E700" s="345"/>
      <c r="F700" s="346"/>
      <c r="G700" s="344"/>
      <c r="H700" s="11"/>
      <c r="I700" s="346"/>
      <c r="J700" s="410"/>
      <c r="K700" s="410"/>
      <c r="L700" s="410"/>
    </row>
    <row r="701" spans="1:12">
      <c r="A701" s="344"/>
      <c r="B701" s="344"/>
      <c r="C701" s="344"/>
      <c r="D701" s="344"/>
      <c r="E701" s="345"/>
      <c r="F701" s="346"/>
      <c r="G701" s="344"/>
      <c r="H701" s="11"/>
      <c r="I701" s="346"/>
      <c r="J701" s="410"/>
      <c r="K701" s="410"/>
      <c r="L701" s="410"/>
    </row>
    <row r="702" spans="1:12">
      <c r="A702" s="344"/>
      <c r="B702" s="344"/>
      <c r="C702" s="344"/>
      <c r="D702" s="344"/>
      <c r="E702" s="345"/>
      <c r="F702" s="346"/>
      <c r="G702" s="344"/>
      <c r="H702" s="11"/>
      <c r="I702" s="346"/>
      <c r="J702" s="410"/>
      <c r="K702" s="410"/>
      <c r="L702" s="410"/>
    </row>
    <row r="703" spans="1:12">
      <c r="A703" s="344"/>
      <c r="B703" s="344"/>
      <c r="C703" s="344"/>
      <c r="D703" s="344"/>
      <c r="E703" s="345"/>
      <c r="F703" s="346"/>
      <c r="G703" s="344"/>
      <c r="H703" s="11"/>
      <c r="I703" s="346"/>
      <c r="J703" s="410"/>
      <c r="K703" s="410"/>
      <c r="L703" s="410"/>
    </row>
    <row r="704" spans="1:12">
      <c r="A704" s="344"/>
      <c r="B704" s="344"/>
      <c r="C704" s="344"/>
      <c r="D704" s="344"/>
      <c r="E704" s="345"/>
      <c r="F704" s="346"/>
      <c r="G704" s="344"/>
      <c r="H704" s="11"/>
      <c r="I704" s="346"/>
      <c r="J704" s="410"/>
      <c r="K704" s="410"/>
      <c r="L704" s="410"/>
    </row>
    <row r="705" spans="1:12">
      <c r="A705" s="344"/>
      <c r="B705" s="344"/>
      <c r="C705" s="344"/>
      <c r="D705" s="344"/>
      <c r="E705" s="345"/>
      <c r="F705" s="346"/>
      <c r="G705" s="344"/>
      <c r="H705" s="11"/>
      <c r="I705" s="346"/>
      <c r="J705" s="410"/>
      <c r="K705" s="410"/>
      <c r="L705" s="410"/>
    </row>
    <row r="706" spans="1:12">
      <c r="A706" s="344"/>
      <c r="B706" s="344"/>
      <c r="C706" s="344"/>
      <c r="D706" s="344"/>
      <c r="E706" s="345"/>
      <c r="F706" s="346"/>
      <c r="G706" s="344"/>
      <c r="H706" s="11"/>
      <c r="I706" s="346"/>
      <c r="J706" s="410"/>
      <c r="K706" s="410"/>
      <c r="L706" s="410"/>
    </row>
    <row r="707" spans="1:12">
      <c r="A707" s="344"/>
      <c r="B707" s="344"/>
      <c r="C707" s="344"/>
      <c r="D707" s="344"/>
      <c r="E707" s="345"/>
      <c r="F707" s="346"/>
      <c r="G707" s="344"/>
      <c r="H707" s="11"/>
      <c r="I707" s="346"/>
      <c r="J707" s="410"/>
      <c r="K707" s="410"/>
      <c r="L707" s="410"/>
    </row>
    <row r="708" spans="1:12">
      <c r="A708" s="344"/>
      <c r="B708" s="344"/>
      <c r="C708" s="344"/>
      <c r="D708" s="344"/>
      <c r="E708" s="345"/>
      <c r="F708" s="346"/>
      <c r="G708" s="344"/>
      <c r="H708" s="11"/>
      <c r="I708" s="346"/>
      <c r="J708" s="410"/>
      <c r="K708" s="410"/>
      <c r="L708" s="410"/>
    </row>
    <row r="709" spans="1:12">
      <c r="A709" s="344"/>
      <c r="B709" s="344"/>
      <c r="C709" s="344"/>
      <c r="D709" s="344"/>
      <c r="E709" s="345"/>
      <c r="F709" s="346"/>
      <c r="G709" s="344"/>
      <c r="H709" s="11"/>
      <c r="I709" s="346"/>
      <c r="J709" s="410"/>
      <c r="K709" s="410"/>
      <c r="L709" s="410"/>
    </row>
    <row r="710" spans="1:12">
      <c r="A710" s="344"/>
      <c r="B710" s="344"/>
      <c r="C710" s="344"/>
      <c r="D710" s="344"/>
      <c r="E710" s="345"/>
      <c r="F710" s="346"/>
      <c r="G710" s="344"/>
      <c r="H710" s="11"/>
      <c r="I710" s="346"/>
      <c r="J710" s="410"/>
      <c r="K710" s="410"/>
      <c r="L710" s="410"/>
    </row>
    <row r="711" spans="1:12">
      <c r="A711" s="344"/>
      <c r="B711" s="344"/>
      <c r="C711" s="344"/>
      <c r="D711" s="344"/>
      <c r="E711" s="345"/>
      <c r="F711" s="346"/>
      <c r="G711" s="344"/>
      <c r="H711" s="11"/>
      <c r="I711" s="346"/>
      <c r="J711" s="410"/>
      <c r="K711" s="410"/>
      <c r="L711" s="410"/>
    </row>
    <row r="712" spans="1:12">
      <c r="A712" s="344"/>
      <c r="B712" s="344"/>
      <c r="C712" s="344"/>
      <c r="D712" s="344"/>
      <c r="E712" s="345"/>
      <c r="F712" s="346"/>
      <c r="G712" s="344"/>
      <c r="H712" s="11"/>
      <c r="I712" s="346"/>
      <c r="J712" s="410"/>
      <c r="K712" s="410"/>
      <c r="L712" s="410"/>
    </row>
    <row r="713" spans="1:12">
      <c r="A713" s="344"/>
      <c r="B713" s="344"/>
      <c r="C713" s="344"/>
      <c r="D713" s="344"/>
      <c r="E713" s="345"/>
      <c r="F713" s="346"/>
      <c r="G713" s="344"/>
      <c r="H713" s="11"/>
      <c r="I713" s="346"/>
      <c r="J713" s="410"/>
      <c r="K713" s="410"/>
      <c r="L713" s="410"/>
    </row>
    <row r="714" spans="1:12">
      <c r="A714" s="344"/>
      <c r="B714" s="344"/>
      <c r="C714" s="344"/>
      <c r="D714" s="344"/>
      <c r="E714" s="345"/>
      <c r="F714" s="346"/>
      <c r="G714" s="344"/>
      <c r="H714" s="11"/>
      <c r="I714" s="346"/>
      <c r="J714" s="410"/>
      <c r="K714" s="410"/>
      <c r="L714" s="410"/>
    </row>
    <row r="715" spans="1:12">
      <c r="A715" s="344"/>
      <c r="B715" s="344"/>
      <c r="C715" s="344"/>
      <c r="D715" s="344"/>
      <c r="E715" s="345"/>
      <c r="F715" s="346"/>
      <c r="G715" s="344"/>
      <c r="H715" s="11"/>
      <c r="I715" s="346"/>
      <c r="J715" s="410"/>
      <c r="K715" s="410"/>
      <c r="L715" s="410"/>
    </row>
    <row r="716" spans="1:12">
      <c r="A716" s="344"/>
      <c r="B716" s="344"/>
      <c r="C716" s="344"/>
      <c r="D716" s="344"/>
      <c r="E716" s="345"/>
      <c r="F716" s="346"/>
      <c r="G716" s="344"/>
      <c r="H716" s="11"/>
      <c r="I716" s="346"/>
      <c r="J716" s="410"/>
      <c r="K716" s="410"/>
      <c r="L716" s="410"/>
    </row>
    <row r="717" spans="1:12">
      <c r="A717" s="344"/>
      <c r="B717" s="344"/>
      <c r="C717" s="344"/>
      <c r="D717" s="344"/>
      <c r="E717" s="345"/>
      <c r="F717" s="346"/>
      <c r="G717" s="344"/>
      <c r="H717" s="11"/>
      <c r="I717" s="346"/>
      <c r="J717" s="410"/>
      <c r="K717" s="410"/>
      <c r="L717" s="410"/>
    </row>
    <row r="718" spans="1:12">
      <c r="A718" s="344"/>
      <c r="B718" s="344"/>
      <c r="C718" s="344"/>
      <c r="D718" s="344"/>
      <c r="E718" s="345"/>
      <c r="F718" s="346"/>
      <c r="G718" s="344"/>
      <c r="H718" s="11"/>
      <c r="I718" s="346"/>
      <c r="J718" s="410"/>
      <c r="K718" s="410"/>
      <c r="L718" s="410"/>
    </row>
    <row r="719" spans="1:12">
      <c r="A719" s="344"/>
      <c r="B719" s="344"/>
      <c r="C719" s="344"/>
      <c r="D719" s="344"/>
      <c r="E719" s="345"/>
      <c r="F719" s="346"/>
      <c r="G719" s="344"/>
      <c r="H719" s="11"/>
      <c r="I719" s="346"/>
      <c r="J719" s="410"/>
      <c r="K719" s="410"/>
      <c r="L719" s="410"/>
    </row>
    <row r="720" spans="1:12">
      <c r="A720" s="344"/>
      <c r="B720" s="344"/>
      <c r="C720" s="344"/>
      <c r="D720" s="344"/>
      <c r="E720" s="345"/>
      <c r="F720" s="346"/>
      <c r="G720" s="344"/>
      <c r="H720" s="11"/>
      <c r="I720" s="346"/>
      <c r="J720" s="410"/>
      <c r="K720" s="410"/>
      <c r="L720" s="410"/>
    </row>
    <row r="721" spans="1:12">
      <c r="A721" s="344"/>
      <c r="B721" s="344"/>
      <c r="C721" s="344"/>
      <c r="D721" s="344"/>
      <c r="E721" s="345"/>
      <c r="F721" s="346"/>
      <c r="G721" s="344"/>
      <c r="H721" s="11"/>
      <c r="I721" s="346"/>
      <c r="J721" s="410"/>
      <c r="K721" s="410"/>
      <c r="L721" s="410"/>
    </row>
    <row r="722" spans="1:12">
      <c r="A722" s="344"/>
      <c r="B722" s="344"/>
      <c r="C722" s="344"/>
      <c r="D722" s="344"/>
      <c r="E722" s="345"/>
      <c r="F722" s="346"/>
      <c r="G722" s="344"/>
      <c r="H722" s="11"/>
      <c r="I722" s="346"/>
      <c r="J722" s="410"/>
      <c r="K722" s="410"/>
      <c r="L722" s="410"/>
    </row>
    <row r="723" spans="1:12">
      <c r="A723" s="344"/>
      <c r="B723" s="344"/>
      <c r="C723" s="344"/>
      <c r="D723" s="344"/>
      <c r="E723" s="345"/>
      <c r="F723" s="346"/>
      <c r="G723" s="344"/>
      <c r="H723" s="11"/>
      <c r="I723" s="346"/>
      <c r="J723" s="410"/>
      <c r="K723" s="410"/>
      <c r="L723" s="410"/>
    </row>
    <row r="724" spans="1:12">
      <c r="A724" s="344"/>
      <c r="B724" s="344"/>
      <c r="C724" s="344"/>
      <c r="D724" s="344"/>
      <c r="E724" s="345"/>
      <c r="F724" s="346"/>
      <c r="G724" s="344"/>
      <c r="H724" s="11"/>
      <c r="I724" s="346"/>
      <c r="J724" s="410"/>
      <c r="K724" s="410"/>
      <c r="L724" s="410"/>
    </row>
    <row r="725" spans="1:12">
      <c r="A725" s="344"/>
      <c r="B725" s="344"/>
      <c r="C725" s="344"/>
      <c r="D725" s="344"/>
      <c r="E725" s="345"/>
      <c r="F725" s="346"/>
      <c r="G725" s="344"/>
      <c r="H725" s="11"/>
      <c r="I725" s="346"/>
      <c r="J725" s="410"/>
      <c r="K725" s="410"/>
      <c r="L725" s="410"/>
    </row>
    <row r="726" spans="1:12">
      <c r="A726" s="344"/>
      <c r="B726" s="344"/>
      <c r="C726" s="344"/>
      <c r="D726" s="344"/>
      <c r="E726" s="345"/>
      <c r="F726" s="346"/>
      <c r="G726" s="344"/>
      <c r="H726" s="11"/>
      <c r="I726" s="346"/>
      <c r="J726" s="410"/>
      <c r="K726" s="410"/>
      <c r="L726" s="410"/>
    </row>
    <row r="727" spans="1:12">
      <c r="A727" s="344"/>
      <c r="B727" s="344"/>
      <c r="C727" s="344"/>
      <c r="D727" s="344"/>
      <c r="E727" s="345"/>
      <c r="F727" s="346"/>
      <c r="G727" s="344"/>
      <c r="H727" s="11"/>
      <c r="I727" s="346"/>
      <c r="J727" s="410"/>
      <c r="K727" s="410"/>
      <c r="L727" s="410"/>
    </row>
    <row r="728" spans="1:12">
      <c r="A728" s="344"/>
      <c r="B728" s="344"/>
      <c r="C728" s="344"/>
      <c r="D728" s="344"/>
      <c r="E728" s="345"/>
      <c r="F728" s="346"/>
      <c r="G728" s="344"/>
      <c r="H728" s="11"/>
      <c r="I728" s="346"/>
      <c r="J728" s="410"/>
      <c r="K728" s="410"/>
      <c r="L728" s="410"/>
    </row>
    <row r="729" spans="1:12">
      <c r="A729" s="344"/>
      <c r="B729" s="344"/>
      <c r="C729" s="344"/>
      <c r="D729" s="344"/>
      <c r="E729" s="345"/>
      <c r="F729" s="346"/>
      <c r="G729" s="344"/>
      <c r="H729" s="11"/>
      <c r="I729" s="346"/>
      <c r="J729" s="410"/>
      <c r="K729" s="410"/>
      <c r="L729" s="410"/>
    </row>
    <row r="730" spans="1:12">
      <c r="A730" s="344"/>
      <c r="B730" s="344"/>
      <c r="C730" s="344"/>
      <c r="D730" s="344"/>
      <c r="E730" s="345"/>
      <c r="F730" s="346"/>
      <c r="G730" s="344"/>
      <c r="H730" s="11"/>
      <c r="I730" s="346"/>
      <c r="J730" s="410"/>
      <c r="K730" s="410"/>
      <c r="L730" s="410"/>
    </row>
    <row r="731" spans="1:12">
      <c r="A731" s="344"/>
      <c r="B731" s="344"/>
      <c r="C731" s="344"/>
      <c r="D731" s="344"/>
      <c r="E731" s="345"/>
      <c r="F731" s="346"/>
      <c r="G731" s="344"/>
      <c r="H731" s="11"/>
      <c r="I731" s="346"/>
      <c r="J731" s="410"/>
      <c r="K731" s="410"/>
      <c r="L731" s="410"/>
    </row>
    <row r="732" spans="1:12">
      <c r="A732" s="344"/>
      <c r="B732" s="344"/>
      <c r="C732" s="344"/>
      <c r="D732" s="344"/>
      <c r="E732" s="345"/>
      <c r="F732" s="346"/>
      <c r="G732" s="344"/>
      <c r="H732" s="11"/>
      <c r="I732" s="346"/>
      <c r="J732" s="410"/>
      <c r="K732" s="410"/>
      <c r="L732" s="410"/>
    </row>
    <row r="733" spans="1:12">
      <c r="A733" s="344"/>
      <c r="B733" s="344"/>
      <c r="C733" s="344"/>
      <c r="D733" s="344"/>
      <c r="E733" s="345"/>
      <c r="F733" s="346"/>
      <c r="G733" s="344"/>
      <c r="H733" s="11"/>
      <c r="I733" s="346"/>
      <c r="J733" s="410"/>
      <c r="K733" s="410"/>
      <c r="L733" s="410"/>
    </row>
    <row r="734" spans="1:12">
      <c r="A734" s="344"/>
      <c r="B734" s="344"/>
      <c r="C734" s="344"/>
      <c r="D734" s="344"/>
      <c r="E734" s="345"/>
      <c r="F734" s="346"/>
      <c r="G734" s="344"/>
      <c r="H734" s="11"/>
      <c r="I734" s="346"/>
      <c r="J734" s="410"/>
      <c r="K734" s="410"/>
      <c r="L734" s="410"/>
    </row>
    <row r="735" spans="1:12">
      <c r="A735" s="344"/>
      <c r="B735" s="344"/>
      <c r="C735" s="344"/>
      <c r="D735" s="344"/>
      <c r="E735" s="345"/>
      <c r="F735" s="346"/>
      <c r="G735" s="344"/>
      <c r="H735" s="11"/>
      <c r="I735" s="346"/>
      <c r="J735" s="410"/>
      <c r="K735" s="410"/>
      <c r="L735" s="410"/>
    </row>
    <row r="736" spans="1:12">
      <c r="A736" s="344"/>
      <c r="B736" s="344"/>
      <c r="C736" s="344"/>
      <c r="D736" s="344"/>
      <c r="E736" s="345"/>
      <c r="F736" s="346"/>
      <c r="G736" s="344"/>
      <c r="H736" s="11"/>
      <c r="I736" s="346"/>
      <c r="J736" s="410"/>
      <c r="K736" s="410"/>
      <c r="L736" s="410"/>
    </row>
    <row r="737" spans="1:12">
      <c r="A737" s="344"/>
      <c r="B737" s="344"/>
      <c r="C737" s="344"/>
      <c r="D737" s="344"/>
      <c r="E737" s="345"/>
      <c r="F737" s="346"/>
      <c r="G737" s="344"/>
      <c r="H737" s="11"/>
      <c r="I737" s="346"/>
      <c r="J737" s="410"/>
      <c r="K737" s="410"/>
      <c r="L737" s="410"/>
    </row>
    <row r="738" spans="1:12">
      <c r="A738" s="344"/>
      <c r="B738" s="344"/>
      <c r="C738" s="344"/>
      <c r="D738" s="344"/>
      <c r="E738" s="345"/>
      <c r="F738" s="346"/>
      <c r="G738" s="344"/>
      <c r="H738" s="11"/>
      <c r="I738" s="346"/>
      <c r="J738" s="410"/>
      <c r="K738" s="410"/>
      <c r="L738" s="410"/>
    </row>
    <row r="739" spans="1:12">
      <c r="A739" s="344"/>
      <c r="B739" s="344"/>
      <c r="C739" s="344"/>
      <c r="D739" s="344"/>
      <c r="E739" s="345"/>
      <c r="F739" s="346"/>
      <c r="G739" s="344"/>
      <c r="H739" s="11"/>
      <c r="I739" s="346"/>
      <c r="J739" s="410"/>
      <c r="K739" s="410"/>
      <c r="L739" s="410"/>
    </row>
    <row r="740" spans="1:12">
      <c r="A740" s="344"/>
      <c r="B740" s="344"/>
      <c r="C740" s="344"/>
      <c r="D740" s="344"/>
      <c r="E740" s="345"/>
      <c r="F740" s="346"/>
      <c r="G740" s="344"/>
      <c r="H740" s="11"/>
      <c r="I740" s="346"/>
      <c r="J740" s="410"/>
      <c r="K740" s="410"/>
      <c r="L740" s="410"/>
    </row>
    <row r="741" spans="1:12">
      <c r="A741" s="344"/>
      <c r="B741" s="344"/>
      <c r="C741" s="344"/>
      <c r="D741" s="344"/>
      <c r="E741" s="345"/>
      <c r="F741" s="346"/>
      <c r="G741" s="344"/>
      <c r="H741" s="11"/>
      <c r="I741" s="346"/>
      <c r="J741" s="410"/>
      <c r="K741" s="410"/>
      <c r="L741" s="410"/>
    </row>
    <row r="742" spans="1:12">
      <c r="A742" s="344"/>
      <c r="B742" s="344"/>
      <c r="C742" s="344"/>
      <c r="D742" s="344"/>
      <c r="E742" s="345"/>
      <c r="F742" s="346"/>
      <c r="G742" s="344"/>
      <c r="H742" s="11"/>
      <c r="I742" s="346"/>
      <c r="J742" s="410"/>
      <c r="K742" s="410"/>
      <c r="L742" s="410"/>
    </row>
    <row r="743" spans="1:12">
      <c r="A743" s="344"/>
      <c r="B743" s="344"/>
      <c r="C743" s="344"/>
      <c r="D743" s="344"/>
      <c r="E743" s="345"/>
      <c r="F743" s="346"/>
      <c r="G743" s="344"/>
      <c r="H743" s="11"/>
      <c r="I743" s="346"/>
      <c r="J743" s="410"/>
      <c r="K743" s="410"/>
      <c r="L743" s="410"/>
    </row>
    <row r="744" spans="1:12">
      <c r="A744" s="344"/>
      <c r="B744" s="344"/>
      <c r="C744" s="344"/>
      <c r="D744" s="344"/>
      <c r="E744" s="345"/>
      <c r="F744" s="346"/>
      <c r="G744" s="344"/>
      <c r="H744" s="11"/>
      <c r="I744" s="346"/>
      <c r="J744" s="410"/>
      <c r="K744" s="410"/>
      <c r="L744" s="410"/>
    </row>
    <row r="745" spans="1:12">
      <c r="A745" s="344"/>
      <c r="B745" s="344"/>
      <c r="C745" s="344"/>
      <c r="D745" s="344"/>
      <c r="E745" s="345"/>
      <c r="F745" s="346"/>
      <c r="G745" s="344"/>
      <c r="H745" s="11"/>
      <c r="I745" s="346"/>
      <c r="J745" s="410"/>
      <c r="K745" s="410"/>
      <c r="L745" s="410"/>
    </row>
    <row r="746" spans="1:12">
      <c r="A746" s="344"/>
      <c r="B746" s="344"/>
      <c r="C746" s="344"/>
      <c r="D746" s="344"/>
      <c r="E746" s="345"/>
      <c r="F746" s="346"/>
      <c r="G746" s="344"/>
      <c r="H746" s="11"/>
      <c r="I746" s="346"/>
      <c r="J746" s="410"/>
      <c r="K746" s="410"/>
      <c r="L746" s="410"/>
    </row>
    <row r="747" spans="1:12">
      <c r="A747" s="344"/>
      <c r="B747" s="344"/>
      <c r="C747" s="344"/>
      <c r="D747" s="344"/>
      <c r="E747" s="345"/>
      <c r="F747" s="346"/>
      <c r="G747" s="344"/>
      <c r="H747" s="11"/>
      <c r="I747" s="346"/>
      <c r="J747" s="410"/>
      <c r="K747" s="410"/>
      <c r="L747" s="410"/>
    </row>
    <row r="748" spans="1:12">
      <c r="A748" s="344"/>
      <c r="B748" s="344"/>
      <c r="C748" s="344"/>
      <c r="D748" s="344"/>
      <c r="E748" s="345"/>
      <c r="F748" s="346"/>
      <c r="G748" s="344"/>
      <c r="H748" s="11"/>
      <c r="I748" s="346"/>
      <c r="J748" s="410"/>
      <c r="K748" s="410"/>
      <c r="L748" s="410"/>
    </row>
    <row r="749" spans="1:12">
      <c r="A749" s="344"/>
      <c r="B749" s="344"/>
      <c r="C749" s="344"/>
      <c r="D749" s="344"/>
      <c r="E749" s="345"/>
      <c r="F749" s="346"/>
      <c r="G749" s="344"/>
      <c r="H749" s="11"/>
      <c r="I749" s="346"/>
      <c r="J749" s="410"/>
      <c r="K749" s="410"/>
      <c r="L749" s="410"/>
    </row>
    <row r="750" spans="1:12">
      <c r="A750" s="344"/>
      <c r="B750" s="344"/>
      <c r="C750" s="344"/>
      <c r="D750" s="344"/>
      <c r="E750" s="345"/>
      <c r="F750" s="346"/>
      <c r="G750" s="344"/>
      <c r="H750" s="11"/>
      <c r="I750" s="346"/>
      <c r="J750" s="410"/>
      <c r="K750" s="410"/>
      <c r="L750" s="410"/>
    </row>
    <row r="751" spans="1:12">
      <c r="A751" s="344"/>
      <c r="B751" s="344"/>
      <c r="C751" s="344"/>
      <c r="D751" s="344"/>
      <c r="E751" s="345"/>
      <c r="F751" s="346"/>
      <c r="G751" s="344"/>
      <c r="H751" s="11"/>
      <c r="I751" s="346"/>
      <c r="J751" s="410"/>
      <c r="K751" s="410"/>
      <c r="L751" s="410"/>
    </row>
    <row r="752" spans="1:12">
      <c r="A752" s="344"/>
      <c r="B752" s="344"/>
      <c r="C752" s="344"/>
      <c r="D752" s="344"/>
      <c r="E752" s="345"/>
      <c r="F752" s="346"/>
      <c r="G752" s="344"/>
      <c r="H752" s="11"/>
      <c r="I752" s="346"/>
      <c r="J752" s="410"/>
      <c r="K752" s="410"/>
      <c r="L752" s="410"/>
    </row>
    <row r="753" spans="1:12">
      <c r="A753" s="344"/>
      <c r="B753" s="344"/>
      <c r="C753" s="344"/>
      <c r="D753" s="344"/>
      <c r="E753" s="345"/>
      <c r="F753" s="346"/>
      <c r="G753" s="344"/>
      <c r="H753" s="11"/>
      <c r="I753" s="346"/>
      <c r="J753" s="410"/>
      <c r="K753" s="410"/>
      <c r="L753" s="410"/>
    </row>
    <row r="754" spans="1:12">
      <c r="A754" s="344"/>
      <c r="B754" s="344"/>
      <c r="C754" s="344"/>
      <c r="D754" s="344"/>
      <c r="E754" s="345"/>
      <c r="F754" s="346"/>
      <c r="G754" s="344"/>
      <c r="H754" s="11"/>
      <c r="I754" s="346"/>
      <c r="J754" s="410"/>
      <c r="K754" s="410"/>
      <c r="L754" s="410"/>
    </row>
    <row r="755" spans="1:12">
      <c r="A755" s="344"/>
      <c r="B755" s="344"/>
      <c r="C755" s="344"/>
      <c r="D755" s="344"/>
      <c r="E755" s="345"/>
      <c r="F755" s="346"/>
      <c r="G755" s="344"/>
      <c r="H755" s="11"/>
      <c r="I755" s="346"/>
      <c r="J755" s="410"/>
      <c r="K755" s="410"/>
      <c r="L755" s="410"/>
    </row>
    <row r="756" spans="1:12">
      <c r="A756" s="344"/>
      <c r="B756" s="344"/>
      <c r="C756" s="344"/>
      <c r="D756" s="344"/>
      <c r="E756" s="345"/>
      <c r="F756" s="346"/>
      <c r="G756" s="344"/>
      <c r="H756" s="11"/>
      <c r="I756" s="346"/>
      <c r="J756" s="410"/>
      <c r="K756" s="410"/>
      <c r="L756" s="410"/>
    </row>
    <row r="757" spans="1:12">
      <c r="A757" s="344"/>
      <c r="B757" s="344"/>
      <c r="C757" s="344"/>
      <c r="D757" s="344"/>
      <c r="E757" s="345"/>
      <c r="F757" s="346"/>
      <c r="G757" s="344"/>
      <c r="H757" s="11"/>
      <c r="I757" s="346"/>
      <c r="J757" s="410"/>
      <c r="K757" s="410"/>
      <c r="L757" s="410"/>
    </row>
    <row r="758" spans="1:12">
      <c r="A758" s="344"/>
      <c r="B758" s="344"/>
      <c r="C758" s="344"/>
      <c r="D758" s="344"/>
      <c r="E758" s="345"/>
      <c r="F758" s="346"/>
      <c r="G758" s="344"/>
      <c r="H758" s="11"/>
      <c r="I758" s="346"/>
      <c r="J758" s="410"/>
      <c r="K758" s="410"/>
      <c r="L758" s="410"/>
    </row>
    <row r="759" spans="1:12">
      <c r="A759" s="344"/>
      <c r="B759" s="344"/>
      <c r="C759" s="344"/>
      <c r="D759" s="344"/>
      <c r="E759" s="345"/>
      <c r="F759" s="346"/>
      <c r="G759" s="344"/>
      <c r="H759" s="11"/>
      <c r="I759" s="346"/>
      <c r="J759" s="410"/>
      <c r="K759" s="410"/>
      <c r="L759" s="410"/>
    </row>
    <row r="760" spans="1:12">
      <c r="A760" s="344"/>
      <c r="B760" s="344"/>
      <c r="C760" s="344"/>
      <c r="D760" s="344"/>
      <c r="E760" s="345"/>
      <c r="F760" s="346"/>
      <c r="G760" s="344"/>
      <c r="H760" s="11"/>
      <c r="I760" s="346"/>
      <c r="J760" s="410"/>
      <c r="K760" s="410"/>
      <c r="L760" s="410"/>
    </row>
    <row r="761" spans="1:12">
      <c r="A761" s="344"/>
      <c r="B761" s="344"/>
      <c r="C761" s="344"/>
      <c r="D761" s="344"/>
      <c r="E761" s="345"/>
      <c r="F761" s="346"/>
      <c r="G761" s="344"/>
      <c r="H761" s="11"/>
      <c r="I761" s="346"/>
      <c r="J761" s="410"/>
      <c r="K761" s="410"/>
      <c r="L761" s="410"/>
    </row>
    <row r="762" spans="1:12">
      <c r="A762" s="344"/>
      <c r="B762" s="344"/>
      <c r="C762" s="344"/>
      <c r="D762" s="344"/>
      <c r="E762" s="345"/>
      <c r="F762" s="346"/>
      <c r="G762" s="344"/>
      <c r="H762" s="11"/>
      <c r="I762" s="346"/>
      <c r="J762" s="410"/>
      <c r="K762" s="410"/>
      <c r="L762" s="410"/>
    </row>
    <row r="763" spans="1:12">
      <c r="A763" s="344"/>
      <c r="B763" s="344"/>
      <c r="C763" s="344"/>
      <c r="D763" s="344"/>
      <c r="E763" s="345"/>
      <c r="F763" s="346"/>
      <c r="G763" s="344"/>
      <c r="H763" s="11"/>
      <c r="I763" s="346"/>
      <c r="J763" s="410"/>
      <c r="K763" s="410"/>
      <c r="L763" s="410"/>
    </row>
    <row r="764" spans="1:12">
      <c r="A764" s="344"/>
      <c r="B764" s="344"/>
      <c r="C764" s="344"/>
      <c r="D764" s="344"/>
      <c r="E764" s="345"/>
      <c r="F764" s="346"/>
      <c r="G764" s="344"/>
      <c r="H764" s="11"/>
      <c r="I764" s="346"/>
      <c r="J764" s="410"/>
      <c r="K764" s="410"/>
      <c r="L764" s="410"/>
    </row>
    <row r="765" spans="1:12">
      <c r="A765" s="344"/>
      <c r="B765" s="344"/>
      <c r="C765" s="344"/>
      <c r="D765" s="344"/>
      <c r="E765" s="345"/>
      <c r="F765" s="346"/>
      <c r="G765" s="344"/>
      <c r="H765" s="11"/>
      <c r="I765" s="346"/>
      <c r="J765" s="410"/>
      <c r="K765" s="410"/>
      <c r="L765" s="410"/>
    </row>
    <row r="766" spans="1:12">
      <c r="A766" s="344"/>
      <c r="B766" s="344"/>
      <c r="C766" s="344"/>
      <c r="D766" s="344"/>
      <c r="E766" s="345"/>
      <c r="F766" s="346"/>
      <c r="G766" s="344"/>
      <c r="H766" s="11"/>
      <c r="I766" s="346"/>
      <c r="J766" s="410"/>
      <c r="K766" s="410"/>
      <c r="L766" s="410"/>
    </row>
    <row r="767" spans="1:12">
      <c r="A767" s="344"/>
      <c r="B767" s="344"/>
      <c r="C767" s="344"/>
      <c r="D767" s="344"/>
      <c r="E767" s="345"/>
      <c r="F767" s="346"/>
      <c r="G767" s="344"/>
      <c r="H767" s="11"/>
      <c r="I767" s="346"/>
      <c r="J767" s="410"/>
      <c r="K767" s="410"/>
      <c r="L767" s="410"/>
    </row>
    <row r="768" spans="1:12">
      <c r="A768" s="344"/>
      <c r="B768" s="344"/>
      <c r="C768" s="344"/>
      <c r="D768" s="344"/>
      <c r="E768" s="345"/>
      <c r="F768" s="346"/>
      <c r="G768" s="344"/>
      <c r="H768" s="11"/>
      <c r="I768" s="346"/>
      <c r="J768" s="410"/>
      <c r="K768" s="410"/>
      <c r="L768" s="410"/>
    </row>
    <row r="769" spans="1:12">
      <c r="A769" s="344"/>
      <c r="B769" s="344"/>
      <c r="C769" s="344"/>
      <c r="D769" s="344"/>
      <c r="E769" s="345"/>
      <c r="F769" s="346"/>
      <c r="G769" s="344"/>
      <c r="H769" s="11"/>
      <c r="I769" s="346"/>
      <c r="J769" s="410"/>
      <c r="K769" s="410"/>
      <c r="L769" s="410"/>
    </row>
    <row r="770" spans="1:12">
      <c r="A770" s="344"/>
      <c r="B770" s="344"/>
      <c r="C770" s="344"/>
      <c r="D770" s="344"/>
      <c r="E770" s="345"/>
      <c r="F770" s="346"/>
      <c r="G770" s="344"/>
      <c r="H770" s="11"/>
      <c r="I770" s="346"/>
      <c r="J770" s="410"/>
      <c r="K770" s="410"/>
      <c r="L770" s="410"/>
    </row>
    <row r="771" spans="1:12">
      <c r="A771" s="344"/>
      <c r="B771" s="344"/>
      <c r="C771" s="344"/>
      <c r="D771" s="344"/>
      <c r="E771" s="345"/>
      <c r="F771" s="346"/>
      <c r="G771" s="344"/>
      <c r="H771" s="11"/>
      <c r="I771" s="346"/>
      <c r="J771" s="410"/>
      <c r="K771" s="410"/>
      <c r="L771" s="410"/>
    </row>
    <row r="772" spans="1:12">
      <c r="A772" s="344"/>
      <c r="B772" s="344"/>
      <c r="C772" s="344"/>
      <c r="D772" s="344"/>
      <c r="E772" s="345"/>
      <c r="F772" s="346"/>
      <c r="G772" s="344"/>
      <c r="H772" s="11"/>
      <c r="I772" s="346"/>
      <c r="J772" s="410"/>
      <c r="K772" s="410"/>
      <c r="L772" s="410"/>
    </row>
    <row r="773" spans="1:12">
      <c r="A773" s="344"/>
      <c r="B773" s="344"/>
      <c r="C773" s="344"/>
      <c r="D773" s="344"/>
      <c r="E773" s="345"/>
      <c r="F773" s="346"/>
      <c r="G773" s="344"/>
      <c r="H773" s="11"/>
      <c r="I773" s="346"/>
      <c r="J773" s="410"/>
      <c r="K773" s="410"/>
      <c r="L773" s="410"/>
    </row>
    <row r="774" spans="1:12">
      <c r="A774" s="344"/>
      <c r="B774" s="344"/>
      <c r="C774" s="344"/>
      <c r="D774" s="344"/>
      <c r="E774" s="345"/>
      <c r="F774" s="346"/>
      <c r="G774" s="344"/>
      <c r="H774" s="11"/>
      <c r="I774" s="346"/>
      <c r="J774" s="410"/>
      <c r="K774" s="410"/>
      <c r="L774" s="410"/>
    </row>
    <row r="775" spans="1:12">
      <c r="A775" s="344"/>
      <c r="B775" s="344"/>
      <c r="C775" s="344"/>
      <c r="D775" s="344"/>
      <c r="E775" s="345"/>
      <c r="F775" s="346"/>
      <c r="G775" s="344"/>
      <c r="H775" s="11"/>
      <c r="I775" s="346"/>
      <c r="J775" s="410"/>
      <c r="K775" s="410"/>
      <c r="L775" s="410"/>
    </row>
    <row r="776" spans="1:12">
      <c r="A776" s="344"/>
      <c r="B776" s="344"/>
      <c r="C776" s="344"/>
      <c r="D776" s="344"/>
      <c r="E776" s="345"/>
      <c r="F776" s="346"/>
      <c r="G776" s="344"/>
      <c r="H776" s="11"/>
      <c r="I776" s="346"/>
      <c r="J776" s="410"/>
      <c r="K776" s="410"/>
      <c r="L776" s="410"/>
    </row>
    <row r="777" spans="1:12">
      <c r="A777" s="344"/>
      <c r="B777" s="344"/>
      <c r="C777" s="344"/>
      <c r="D777" s="344"/>
      <c r="E777" s="345"/>
      <c r="F777" s="346"/>
      <c r="G777" s="344"/>
      <c r="H777" s="11"/>
      <c r="I777" s="346"/>
      <c r="J777" s="410"/>
      <c r="K777" s="410"/>
      <c r="L777" s="410"/>
    </row>
    <row r="778" spans="1:12">
      <c r="A778" s="344"/>
      <c r="B778" s="344"/>
      <c r="C778" s="344"/>
      <c r="D778" s="344"/>
      <c r="E778" s="345"/>
      <c r="F778" s="346"/>
      <c r="G778" s="344"/>
      <c r="H778" s="11"/>
      <c r="I778" s="346"/>
      <c r="J778" s="410"/>
      <c r="K778" s="410"/>
      <c r="L778" s="410"/>
    </row>
    <row r="779" spans="1:12">
      <c r="A779" s="344"/>
      <c r="B779" s="344"/>
      <c r="C779" s="344"/>
      <c r="D779" s="344"/>
      <c r="E779" s="345"/>
      <c r="F779" s="346"/>
      <c r="G779" s="344"/>
      <c r="H779" s="11"/>
      <c r="I779" s="346"/>
      <c r="J779" s="410"/>
      <c r="K779" s="410"/>
      <c r="L779" s="410"/>
    </row>
    <row r="780" spans="1:12">
      <c r="A780" s="344"/>
      <c r="B780" s="344"/>
      <c r="C780" s="344"/>
      <c r="D780" s="344"/>
      <c r="E780" s="345"/>
      <c r="F780" s="346"/>
      <c r="G780" s="344"/>
      <c r="H780" s="11"/>
      <c r="I780" s="346"/>
      <c r="J780" s="410"/>
      <c r="K780" s="410"/>
      <c r="L780" s="410"/>
    </row>
    <row r="781" spans="1:12">
      <c r="A781" s="344"/>
      <c r="B781" s="344"/>
      <c r="C781" s="344"/>
      <c r="D781" s="344"/>
      <c r="E781" s="345"/>
      <c r="F781" s="346"/>
      <c r="G781" s="344"/>
      <c r="H781" s="11"/>
      <c r="I781" s="346"/>
      <c r="J781" s="410"/>
      <c r="K781" s="410"/>
      <c r="L781" s="410"/>
    </row>
    <row r="782" spans="1:12">
      <c r="A782" s="344"/>
      <c r="B782" s="344"/>
      <c r="C782" s="344"/>
      <c r="D782" s="344"/>
      <c r="E782" s="345"/>
      <c r="F782" s="346"/>
      <c r="G782" s="344"/>
      <c r="H782" s="11"/>
      <c r="I782" s="346"/>
      <c r="J782" s="410"/>
      <c r="K782" s="410"/>
      <c r="L782" s="410"/>
    </row>
    <row r="783" spans="1:12">
      <c r="A783" s="344"/>
      <c r="B783" s="344"/>
      <c r="C783" s="344"/>
      <c r="D783" s="344"/>
      <c r="E783" s="345"/>
      <c r="F783" s="346"/>
      <c r="G783" s="344"/>
      <c r="H783" s="11"/>
      <c r="I783" s="346"/>
      <c r="J783" s="410"/>
      <c r="K783" s="410"/>
      <c r="L783" s="410"/>
    </row>
    <row r="784" spans="1:12">
      <c r="A784" s="344"/>
      <c r="B784" s="344"/>
      <c r="C784" s="344"/>
      <c r="D784" s="344"/>
      <c r="E784" s="345"/>
      <c r="F784" s="346"/>
      <c r="G784" s="344"/>
      <c r="H784" s="11"/>
      <c r="I784" s="346"/>
      <c r="J784" s="410"/>
      <c r="K784" s="410"/>
      <c r="L784" s="410"/>
    </row>
    <row r="785" spans="1:12">
      <c r="A785" s="344"/>
      <c r="B785" s="344"/>
      <c r="C785" s="344"/>
      <c r="D785" s="344"/>
      <c r="E785" s="345"/>
      <c r="F785" s="346"/>
      <c r="G785" s="344"/>
      <c r="H785" s="11"/>
      <c r="I785" s="346"/>
      <c r="J785" s="410"/>
      <c r="K785" s="410"/>
      <c r="L785" s="410"/>
    </row>
    <row r="786" spans="1:12">
      <c r="A786" s="344"/>
      <c r="B786" s="344"/>
      <c r="C786" s="344"/>
      <c r="D786" s="344"/>
      <c r="E786" s="345"/>
      <c r="F786" s="346"/>
      <c r="G786" s="344"/>
      <c r="H786" s="11"/>
      <c r="I786" s="346"/>
      <c r="J786" s="410"/>
      <c r="K786" s="410"/>
      <c r="L786" s="410"/>
    </row>
    <row r="787" spans="1:12">
      <c r="A787" s="344"/>
      <c r="B787" s="344"/>
      <c r="C787" s="344"/>
      <c r="D787" s="344"/>
      <c r="E787" s="345"/>
      <c r="F787" s="346"/>
      <c r="G787" s="344"/>
      <c r="H787" s="11"/>
      <c r="I787" s="346"/>
      <c r="J787" s="410"/>
      <c r="K787" s="410"/>
      <c r="L787" s="410"/>
    </row>
    <row r="788" spans="1:12">
      <c r="A788" s="344"/>
      <c r="B788" s="344"/>
      <c r="C788" s="344"/>
      <c r="D788" s="344"/>
      <c r="E788" s="345"/>
      <c r="F788" s="346"/>
      <c r="G788" s="344"/>
      <c r="H788" s="11"/>
      <c r="I788" s="346"/>
      <c r="J788" s="410"/>
      <c r="K788" s="410"/>
      <c r="L788" s="410"/>
    </row>
    <row r="789" spans="1:12">
      <c r="A789" s="344"/>
      <c r="B789" s="344"/>
      <c r="C789" s="344"/>
      <c r="D789" s="344"/>
      <c r="E789" s="345"/>
      <c r="F789" s="346"/>
      <c r="G789" s="344"/>
      <c r="H789" s="11"/>
      <c r="I789" s="346"/>
      <c r="J789" s="410"/>
      <c r="K789" s="410"/>
      <c r="L789" s="410"/>
    </row>
    <row r="790" spans="1:12">
      <c r="A790" s="344"/>
      <c r="B790" s="344"/>
      <c r="C790" s="344"/>
      <c r="D790" s="344"/>
      <c r="E790" s="345"/>
      <c r="F790" s="346"/>
      <c r="G790" s="344"/>
      <c r="H790" s="11"/>
      <c r="I790" s="346"/>
      <c r="J790" s="410"/>
      <c r="K790" s="410"/>
      <c r="L790" s="410"/>
    </row>
    <row r="791" spans="1:12">
      <c r="A791" s="344"/>
      <c r="B791" s="344"/>
      <c r="C791" s="344"/>
      <c r="D791" s="344"/>
      <c r="E791" s="345"/>
      <c r="F791" s="346"/>
      <c r="G791" s="344"/>
      <c r="H791" s="11"/>
      <c r="I791" s="346"/>
      <c r="J791" s="410"/>
      <c r="K791" s="410"/>
      <c r="L791" s="410"/>
    </row>
    <row r="792" spans="1:12">
      <c r="A792" s="344"/>
      <c r="B792" s="344"/>
      <c r="C792" s="344"/>
      <c r="D792" s="344"/>
      <c r="E792" s="345"/>
      <c r="F792" s="346"/>
      <c r="G792" s="344"/>
      <c r="H792" s="11"/>
      <c r="I792" s="346"/>
      <c r="J792" s="410"/>
      <c r="K792" s="410"/>
      <c r="L792" s="410"/>
    </row>
    <row r="793" spans="1:12">
      <c r="A793" s="344"/>
      <c r="B793" s="344"/>
      <c r="C793" s="344"/>
      <c r="D793" s="344"/>
      <c r="E793" s="345"/>
      <c r="F793" s="346"/>
      <c r="G793" s="344"/>
      <c r="H793" s="11"/>
      <c r="I793" s="346"/>
      <c r="J793" s="410"/>
      <c r="K793" s="410"/>
      <c r="L793" s="410"/>
    </row>
    <row r="794" spans="1:12">
      <c r="A794" s="344"/>
      <c r="B794" s="344"/>
      <c r="C794" s="344"/>
      <c r="D794" s="344"/>
      <c r="E794" s="345"/>
      <c r="F794" s="346"/>
      <c r="G794" s="344"/>
      <c r="H794" s="11"/>
      <c r="I794" s="346"/>
      <c r="J794" s="410"/>
      <c r="K794" s="410"/>
      <c r="L794" s="410"/>
    </row>
    <row r="795" spans="1:12">
      <c r="A795" s="344"/>
      <c r="B795" s="344"/>
      <c r="C795" s="344"/>
      <c r="D795" s="344"/>
      <c r="E795" s="345"/>
      <c r="F795" s="346"/>
      <c r="G795" s="344"/>
      <c r="H795" s="11"/>
      <c r="I795" s="346"/>
      <c r="J795" s="410"/>
      <c r="K795" s="410"/>
      <c r="L795" s="410"/>
    </row>
    <row r="796" spans="1:12">
      <c r="A796" s="344"/>
      <c r="B796" s="344"/>
      <c r="C796" s="344"/>
      <c r="D796" s="344"/>
      <c r="E796" s="345"/>
      <c r="F796" s="346"/>
      <c r="G796" s="344"/>
      <c r="H796" s="11"/>
      <c r="I796" s="346"/>
      <c r="J796" s="410"/>
      <c r="K796" s="410"/>
      <c r="L796" s="410"/>
    </row>
    <row r="797" spans="1:12">
      <c r="A797" s="344"/>
      <c r="B797" s="344"/>
      <c r="C797" s="344"/>
      <c r="D797" s="344"/>
      <c r="E797" s="345"/>
      <c r="F797" s="346"/>
      <c r="G797" s="344"/>
      <c r="H797" s="11"/>
      <c r="I797" s="346"/>
      <c r="J797" s="410"/>
      <c r="K797" s="410"/>
      <c r="L797" s="410"/>
    </row>
    <row r="798" spans="1:12">
      <c r="A798" s="344"/>
      <c r="B798" s="344"/>
      <c r="C798" s="344"/>
      <c r="D798" s="344"/>
      <c r="E798" s="345"/>
      <c r="F798" s="346"/>
      <c r="G798" s="344"/>
      <c r="H798" s="11"/>
      <c r="I798" s="346"/>
      <c r="J798" s="410"/>
      <c r="K798" s="410"/>
      <c r="L798" s="410"/>
    </row>
    <row r="799" spans="1:12">
      <c r="A799" s="344"/>
      <c r="B799" s="344"/>
      <c r="C799" s="344"/>
      <c r="D799" s="344"/>
      <c r="E799" s="345"/>
      <c r="F799" s="346"/>
      <c r="G799" s="344"/>
      <c r="H799" s="11"/>
      <c r="I799" s="346"/>
      <c r="J799" s="410"/>
      <c r="K799" s="410"/>
      <c r="L799" s="410"/>
    </row>
    <row r="800" spans="1:12">
      <c r="A800" s="344"/>
      <c r="B800" s="344"/>
      <c r="C800" s="344"/>
      <c r="D800" s="344"/>
      <c r="E800" s="345"/>
      <c r="F800" s="346"/>
      <c r="G800" s="344"/>
      <c r="H800" s="11"/>
      <c r="I800" s="346"/>
      <c r="J800" s="410"/>
      <c r="K800" s="410"/>
      <c r="L800" s="410"/>
    </row>
    <row r="801" spans="1:12">
      <c r="A801" s="344"/>
      <c r="B801" s="344"/>
      <c r="C801" s="344"/>
      <c r="D801" s="344"/>
      <c r="E801" s="345"/>
      <c r="F801" s="346"/>
      <c r="G801" s="344"/>
      <c r="H801" s="11"/>
      <c r="I801" s="346"/>
      <c r="J801" s="410"/>
      <c r="K801" s="410"/>
      <c r="L801" s="410"/>
    </row>
    <row r="802" spans="1:12">
      <c r="A802" s="344"/>
      <c r="B802" s="344"/>
      <c r="C802" s="344"/>
      <c r="D802" s="344"/>
      <c r="E802" s="345"/>
      <c r="F802" s="346"/>
      <c r="G802" s="344"/>
      <c r="H802" s="11"/>
      <c r="I802" s="346"/>
      <c r="J802" s="410"/>
      <c r="K802" s="410"/>
      <c r="L802" s="410"/>
    </row>
    <row r="803" spans="1:12">
      <c r="A803" s="344"/>
      <c r="B803" s="344"/>
      <c r="C803" s="344"/>
      <c r="D803" s="344"/>
      <c r="E803" s="345"/>
      <c r="F803" s="346"/>
      <c r="G803" s="344"/>
      <c r="H803" s="11"/>
      <c r="I803" s="346"/>
      <c r="J803" s="410"/>
      <c r="K803" s="410"/>
      <c r="L803" s="410"/>
    </row>
    <row r="804" spans="1:12">
      <c r="A804" s="344"/>
      <c r="B804" s="344"/>
      <c r="C804" s="344"/>
      <c r="D804" s="344"/>
      <c r="E804" s="345"/>
      <c r="F804" s="346"/>
      <c r="G804" s="344"/>
      <c r="H804" s="11"/>
      <c r="I804" s="346"/>
      <c r="J804" s="410"/>
      <c r="K804" s="410"/>
      <c r="L804" s="410"/>
    </row>
    <row r="805" spans="1:12">
      <c r="A805" s="344"/>
      <c r="B805" s="344"/>
      <c r="C805" s="344"/>
      <c r="D805" s="344"/>
      <c r="E805" s="345"/>
      <c r="F805" s="346"/>
      <c r="G805" s="344"/>
      <c r="H805" s="11"/>
      <c r="I805" s="346"/>
      <c r="J805" s="410"/>
      <c r="K805" s="410"/>
      <c r="L805" s="410"/>
    </row>
    <row r="806" spans="1:12">
      <c r="A806" s="344"/>
      <c r="B806" s="344"/>
      <c r="C806" s="344"/>
      <c r="D806" s="344"/>
      <c r="E806" s="345"/>
      <c r="F806" s="346"/>
      <c r="G806" s="344"/>
      <c r="H806" s="11"/>
      <c r="I806" s="346"/>
      <c r="J806" s="410"/>
      <c r="K806" s="410"/>
      <c r="L806" s="410"/>
    </row>
    <row r="807" spans="1:12">
      <c r="A807" s="344"/>
      <c r="B807" s="344"/>
      <c r="C807" s="344"/>
      <c r="D807" s="344"/>
      <c r="E807" s="345"/>
      <c r="F807" s="346"/>
      <c r="G807" s="344"/>
      <c r="H807" s="11"/>
      <c r="I807" s="346"/>
      <c r="J807" s="410"/>
      <c r="K807" s="410"/>
      <c r="L807" s="410"/>
    </row>
    <row r="808" spans="1:12">
      <c r="A808" s="344"/>
      <c r="B808" s="344"/>
      <c r="C808" s="344"/>
      <c r="D808" s="344"/>
      <c r="E808" s="345"/>
      <c r="F808" s="346"/>
      <c r="G808" s="344"/>
      <c r="H808" s="11"/>
      <c r="I808" s="346"/>
      <c r="J808" s="410"/>
      <c r="K808" s="410"/>
      <c r="L808" s="410"/>
    </row>
    <row r="809" spans="1:12">
      <c r="A809" s="344"/>
      <c r="B809" s="344"/>
      <c r="C809" s="344"/>
      <c r="D809" s="344"/>
      <c r="E809" s="345"/>
      <c r="F809" s="346"/>
      <c r="G809" s="344"/>
      <c r="H809" s="11"/>
      <c r="I809" s="346"/>
      <c r="J809" s="410"/>
      <c r="K809" s="410"/>
      <c r="L809" s="410"/>
    </row>
    <row r="810" spans="1:12">
      <c r="A810" s="344"/>
      <c r="B810" s="344"/>
      <c r="C810" s="344"/>
      <c r="D810" s="344"/>
      <c r="E810" s="345"/>
      <c r="F810" s="346"/>
      <c r="G810" s="344"/>
      <c r="H810" s="11"/>
      <c r="I810" s="346"/>
      <c r="J810" s="410"/>
      <c r="K810" s="410"/>
      <c r="L810" s="410"/>
    </row>
    <row r="811" spans="1:12">
      <c r="A811" s="344"/>
      <c r="B811" s="344"/>
      <c r="C811" s="344"/>
      <c r="D811" s="344"/>
      <c r="E811" s="345"/>
      <c r="F811" s="346"/>
      <c r="G811" s="344"/>
      <c r="H811" s="11"/>
      <c r="I811" s="346"/>
      <c r="J811" s="410"/>
      <c r="K811" s="410"/>
      <c r="L811" s="410"/>
    </row>
    <row r="812" spans="1:12">
      <c r="A812" s="344"/>
      <c r="B812" s="344"/>
      <c r="C812" s="344"/>
      <c r="D812" s="344"/>
      <c r="E812" s="345"/>
      <c r="F812" s="346"/>
      <c r="G812" s="344"/>
      <c r="H812" s="11"/>
      <c r="I812" s="346"/>
      <c r="J812" s="410"/>
      <c r="K812" s="410"/>
      <c r="L812" s="410"/>
    </row>
    <row r="813" spans="1:12">
      <c r="A813" s="344"/>
      <c r="B813" s="344"/>
      <c r="C813" s="344"/>
      <c r="D813" s="344"/>
      <c r="E813" s="345"/>
      <c r="F813" s="346"/>
      <c r="G813" s="344"/>
      <c r="H813" s="11"/>
      <c r="I813" s="346"/>
      <c r="J813" s="410"/>
      <c r="K813" s="410"/>
      <c r="L813" s="410"/>
    </row>
    <row r="814" spans="1:12">
      <c r="A814" s="344"/>
      <c r="B814" s="344"/>
      <c r="C814" s="344"/>
      <c r="D814" s="344"/>
      <c r="E814" s="345"/>
      <c r="F814" s="346"/>
      <c r="G814" s="344"/>
      <c r="H814" s="11"/>
      <c r="I814" s="346"/>
      <c r="J814" s="410"/>
      <c r="K814" s="410"/>
      <c r="L814" s="410"/>
    </row>
    <row r="815" spans="1:12">
      <c r="A815" s="344"/>
      <c r="B815" s="344"/>
      <c r="C815" s="344"/>
      <c r="D815" s="344"/>
      <c r="E815" s="345"/>
      <c r="F815" s="346"/>
      <c r="G815" s="344"/>
      <c r="H815" s="11"/>
      <c r="I815" s="346"/>
      <c r="J815" s="410"/>
      <c r="K815" s="410"/>
      <c r="L815" s="410"/>
    </row>
    <row r="816" spans="1:12">
      <c r="A816" s="344"/>
      <c r="B816" s="344"/>
      <c r="C816" s="344"/>
      <c r="D816" s="344"/>
      <c r="E816" s="345"/>
      <c r="F816" s="346"/>
      <c r="G816" s="344"/>
      <c r="H816" s="11"/>
      <c r="I816" s="346"/>
      <c r="J816" s="410"/>
      <c r="K816" s="410"/>
      <c r="L816" s="410"/>
    </row>
    <row r="817" spans="1:12">
      <c r="A817" s="344"/>
      <c r="B817" s="344"/>
      <c r="C817" s="344"/>
      <c r="D817" s="344"/>
      <c r="E817" s="345"/>
      <c r="F817" s="346"/>
      <c r="G817" s="344"/>
      <c r="H817" s="11"/>
      <c r="I817" s="346"/>
      <c r="J817" s="410"/>
      <c r="K817" s="410"/>
      <c r="L817" s="410"/>
    </row>
    <row r="818" spans="1:12">
      <c r="A818" s="344"/>
      <c r="B818" s="344"/>
      <c r="C818" s="344"/>
      <c r="D818" s="344"/>
      <c r="E818" s="345"/>
      <c r="F818" s="346"/>
      <c r="G818" s="344"/>
      <c r="H818" s="11"/>
      <c r="I818" s="346"/>
      <c r="J818" s="410"/>
      <c r="K818" s="410"/>
      <c r="L818" s="410"/>
    </row>
    <row r="819" spans="1:12">
      <c r="A819" s="344"/>
      <c r="B819" s="344"/>
      <c r="C819" s="344"/>
      <c r="D819" s="344"/>
      <c r="E819" s="345"/>
      <c r="F819" s="346"/>
      <c r="G819" s="344"/>
      <c r="H819" s="11"/>
      <c r="I819" s="346"/>
      <c r="J819" s="410"/>
      <c r="K819" s="410"/>
      <c r="L819" s="410"/>
    </row>
    <row r="820" spans="1:12">
      <c r="A820" s="344"/>
      <c r="B820" s="344"/>
      <c r="C820" s="344"/>
      <c r="D820" s="344"/>
      <c r="E820" s="345"/>
      <c r="F820" s="346"/>
      <c r="G820" s="344"/>
      <c r="H820" s="11"/>
      <c r="I820" s="346"/>
      <c r="J820" s="410"/>
      <c r="K820" s="410"/>
      <c r="L820" s="410"/>
    </row>
    <row r="821" spans="1:12">
      <c r="A821" s="344"/>
      <c r="B821" s="344"/>
      <c r="C821" s="344"/>
      <c r="D821" s="344"/>
      <c r="E821" s="345"/>
      <c r="F821" s="346"/>
      <c r="G821" s="344"/>
      <c r="H821" s="11"/>
      <c r="I821" s="346"/>
      <c r="J821" s="410"/>
      <c r="K821" s="410"/>
      <c r="L821" s="410"/>
    </row>
    <row r="822" spans="1:12">
      <c r="A822" s="344"/>
      <c r="B822" s="344"/>
      <c r="C822" s="344"/>
      <c r="D822" s="344"/>
      <c r="E822" s="345"/>
      <c r="F822" s="346"/>
      <c r="G822" s="344"/>
      <c r="H822" s="11"/>
      <c r="I822" s="346"/>
      <c r="J822" s="410"/>
      <c r="K822" s="410"/>
      <c r="L822" s="410"/>
    </row>
    <row r="823" spans="1:12">
      <c r="A823" s="344"/>
      <c r="B823" s="344"/>
      <c r="C823" s="344"/>
      <c r="D823" s="344"/>
      <c r="E823" s="345"/>
      <c r="F823" s="346"/>
      <c r="G823" s="344"/>
      <c r="H823" s="11"/>
      <c r="I823" s="346"/>
      <c r="J823" s="410"/>
      <c r="K823" s="410"/>
      <c r="L823" s="410"/>
    </row>
    <row r="824" spans="1:12">
      <c r="A824" s="344"/>
      <c r="B824" s="344"/>
      <c r="C824" s="344"/>
      <c r="D824" s="344"/>
      <c r="E824" s="345"/>
      <c r="F824" s="346"/>
      <c r="G824" s="344"/>
      <c r="H824" s="11"/>
      <c r="I824" s="346"/>
      <c r="J824" s="410"/>
      <c r="K824" s="410"/>
      <c r="L824" s="410"/>
    </row>
    <row r="825" spans="1:12">
      <c r="A825" s="344"/>
      <c r="B825" s="344"/>
      <c r="C825" s="344"/>
      <c r="D825" s="344"/>
      <c r="E825" s="345"/>
      <c r="F825" s="346"/>
      <c r="G825" s="344"/>
      <c r="H825" s="11"/>
      <c r="I825" s="346"/>
      <c r="J825" s="410"/>
      <c r="K825" s="410"/>
      <c r="L825" s="410"/>
    </row>
    <row r="826" spans="1:12">
      <c r="A826" s="344"/>
      <c r="B826" s="344"/>
      <c r="C826" s="344"/>
      <c r="D826" s="344"/>
      <c r="E826" s="345"/>
      <c r="F826" s="346"/>
      <c r="G826" s="344"/>
      <c r="H826" s="11"/>
      <c r="I826" s="346"/>
      <c r="J826" s="410"/>
      <c r="K826" s="410"/>
      <c r="L826" s="410"/>
    </row>
    <row r="827" spans="1:12">
      <c r="A827" s="344"/>
      <c r="B827" s="344"/>
      <c r="C827" s="344"/>
      <c r="D827" s="344"/>
      <c r="E827" s="345"/>
      <c r="F827" s="346"/>
      <c r="G827" s="344"/>
      <c r="H827" s="11"/>
      <c r="I827" s="346"/>
      <c r="J827" s="410"/>
      <c r="K827" s="410"/>
      <c r="L827" s="410"/>
    </row>
    <row r="828" spans="1:12">
      <c r="A828" s="344"/>
      <c r="B828" s="344"/>
      <c r="C828" s="344"/>
      <c r="D828" s="344"/>
      <c r="E828" s="345"/>
      <c r="F828" s="346"/>
      <c r="G828" s="344"/>
      <c r="H828" s="11"/>
      <c r="I828" s="346"/>
      <c r="J828" s="410"/>
      <c r="K828" s="410"/>
      <c r="L828" s="410"/>
    </row>
    <row r="829" spans="1:12">
      <c r="A829" s="344"/>
      <c r="B829" s="344"/>
      <c r="C829" s="344"/>
      <c r="D829" s="344"/>
      <c r="E829" s="345"/>
      <c r="F829" s="346"/>
      <c r="G829" s="344"/>
      <c r="H829" s="11"/>
      <c r="I829" s="346"/>
      <c r="J829" s="410"/>
      <c r="K829" s="410"/>
      <c r="L829" s="410"/>
    </row>
    <row r="830" spans="1:12">
      <c r="A830" s="344"/>
      <c r="B830" s="344"/>
      <c r="C830" s="344"/>
      <c r="D830" s="344"/>
      <c r="E830" s="345"/>
      <c r="F830" s="346"/>
      <c r="G830" s="344"/>
      <c r="H830" s="11"/>
      <c r="I830" s="346"/>
      <c r="J830" s="410"/>
      <c r="K830" s="410"/>
      <c r="L830" s="410"/>
    </row>
    <row r="831" spans="1:12">
      <c r="A831" s="344"/>
      <c r="B831" s="344"/>
      <c r="C831" s="344"/>
      <c r="D831" s="344"/>
      <c r="E831" s="345"/>
      <c r="F831" s="346"/>
      <c r="G831" s="344"/>
      <c r="H831" s="11"/>
      <c r="I831" s="346"/>
      <c r="J831" s="410"/>
      <c r="K831" s="410"/>
      <c r="L831" s="410"/>
    </row>
    <row r="832" spans="1:12">
      <c r="A832" s="344"/>
      <c r="B832" s="344"/>
      <c r="C832" s="344"/>
      <c r="D832" s="344"/>
      <c r="E832" s="345"/>
      <c r="F832" s="346"/>
      <c r="G832" s="344"/>
      <c r="H832" s="11"/>
      <c r="I832" s="346"/>
      <c r="J832" s="410"/>
      <c r="K832" s="410"/>
      <c r="L832" s="410"/>
    </row>
    <row r="833" spans="1:12">
      <c r="A833" s="344"/>
      <c r="B833" s="344"/>
      <c r="C833" s="344"/>
      <c r="D833" s="344"/>
      <c r="E833" s="345"/>
      <c r="F833" s="346"/>
      <c r="G833" s="344"/>
      <c r="H833" s="11"/>
      <c r="I833" s="346"/>
      <c r="J833" s="410"/>
      <c r="K833" s="410"/>
      <c r="L833" s="410"/>
    </row>
    <row r="834" spans="1:12">
      <c r="A834" s="344"/>
      <c r="B834" s="344"/>
      <c r="C834" s="344"/>
      <c r="D834" s="344"/>
      <c r="E834" s="345"/>
      <c r="F834" s="346"/>
      <c r="G834" s="344"/>
      <c r="H834" s="11"/>
      <c r="I834" s="346"/>
      <c r="J834" s="410"/>
      <c r="K834" s="410"/>
      <c r="L834" s="410"/>
    </row>
    <row r="835" spans="1:12">
      <c r="A835" s="344"/>
      <c r="B835" s="344"/>
      <c r="C835" s="344"/>
      <c r="D835" s="344"/>
      <c r="E835" s="345"/>
      <c r="F835" s="346"/>
      <c r="G835" s="344"/>
      <c r="H835" s="11"/>
      <c r="I835" s="346"/>
      <c r="J835" s="410"/>
      <c r="K835" s="410"/>
      <c r="L835" s="410"/>
    </row>
    <row r="836" spans="1:12">
      <c r="A836" s="344"/>
      <c r="B836" s="344"/>
      <c r="C836" s="344"/>
      <c r="D836" s="344"/>
      <c r="E836" s="345"/>
      <c r="F836" s="346"/>
      <c r="G836" s="344"/>
      <c r="H836" s="11"/>
      <c r="I836" s="346"/>
      <c r="J836" s="410"/>
      <c r="K836" s="410"/>
      <c r="L836" s="410"/>
    </row>
    <row r="837" spans="1:12">
      <c r="A837" s="344"/>
      <c r="B837" s="344"/>
      <c r="C837" s="344"/>
      <c r="D837" s="344"/>
      <c r="E837" s="345"/>
      <c r="F837" s="346"/>
      <c r="G837" s="344"/>
      <c r="H837" s="11"/>
      <c r="I837" s="346"/>
      <c r="J837" s="410"/>
      <c r="K837" s="410"/>
      <c r="L837" s="410"/>
    </row>
    <row r="838" spans="1:12">
      <c r="A838" s="344"/>
      <c r="B838" s="344"/>
      <c r="C838" s="344"/>
      <c r="D838" s="344"/>
      <c r="E838" s="345"/>
      <c r="F838" s="346"/>
      <c r="G838" s="344"/>
      <c r="H838" s="11"/>
      <c r="I838" s="346"/>
      <c r="J838" s="410"/>
      <c r="K838" s="410"/>
      <c r="L838" s="410"/>
    </row>
    <row r="839" spans="1:12">
      <c r="A839" s="344"/>
      <c r="B839" s="344"/>
      <c r="C839" s="344"/>
      <c r="D839" s="344"/>
      <c r="E839" s="345"/>
      <c r="F839" s="346"/>
      <c r="G839" s="344"/>
      <c r="H839" s="11"/>
      <c r="I839" s="346"/>
      <c r="J839" s="410"/>
      <c r="K839" s="410"/>
      <c r="L839" s="410"/>
    </row>
    <row r="840" spans="1:12">
      <c r="A840" s="344"/>
      <c r="B840" s="344"/>
      <c r="C840" s="344"/>
      <c r="D840" s="344"/>
      <c r="E840" s="345"/>
      <c r="F840" s="346"/>
      <c r="G840" s="344"/>
      <c r="H840" s="11"/>
      <c r="I840" s="346"/>
      <c r="J840" s="410"/>
      <c r="K840" s="410"/>
      <c r="L840" s="410"/>
    </row>
    <row r="841" spans="1:12">
      <c r="A841" s="344"/>
      <c r="B841" s="344"/>
      <c r="C841" s="344"/>
      <c r="D841" s="344"/>
      <c r="E841" s="345"/>
      <c r="F841" s="346"/>
      <c r="G841" s="344"/>
      <c r="H841" s="11"/>
      <c r="I841" s="346"/>
      <c r="J841" s="410"/>
      <c r="K841" s="410"/>
      <c r="L841" s="410"/>
    </row>
    <row r="842" spans="1:12">
      <c r="A842" s="344"/>
      <c r="B842" s="344"/>
      <c r="C842" s="344"/>
      <c r="D842" s="344"/>
      <c r="E842" s="345"/>
      <c r="F842" s="346"/>
      <c r="G842" s="344"/>
      <c r="H842" s="11"/>
      <c r="I842" s="346"/>
      <c r="J842" s="410"/>
      <c r="K842" s="410"/>
      <c r="L842" s="410"/>
    </row>
    <row r="843" spans="1:12">
      <c r="A843" s="344"/>
      <c r="B843" s="344"/>
      <c r="C843" s="344"/>
      <c r="D843" s="344"/>
      <c r="E843" s="345"/>
      <c r="F843" s="346"/>
      <c r="G843" s="344"/>
      <c r="H843" s="11"/>
      <c r="I843" s="346"/>
      <c r="J843" s="410"/>
      <c r="K843" s="410"/>
      <c r="L843" s="410"/>
    </row>
    <row r="844" spans="1:12">
      <c r="A844" s="344"/>
      <c r="B844" s="344"/>
      <c r="C844" s="344"/>
      <c r="D844" s="344"/>
      <c r="E844" s="345"/>
      <c r="F844" s="346"/>
      <c r="G844" s="344"/>
      <c r="H844" s="11"/>
      <c r="I844" s="346"/>
      <c r="J844" s="410"/>
      <c r="K844" s="410"/>
      <c r="L844" s="410"/>
    </row>
    <row r="845" spans="1:12">
      <c r="A845" s="344"/>
      <c r="B845" s="344"/>
      <c r="C845" s="344"/>
      <c r="D845" s="344"/>
      <c r="E845" s="345"/>
      <c r="F845" s="346"/>
      <c r="G845" s="344"/>
      <c r="H845" s="11"/>
      <c r="I845" s="346"/>
      <c r="J845" s="410"/>
      <c r="K845" s="410"/>
      <c r="L845" s="410"/>
    </row>
    <row r="846" spans="1:12">
      <c r="A846" s="344"/>
      <c r="B846" s="344"/>
      <c r="C846" s="344"/>
      <c r="D846" s="344"/>
      <c r="E846" s="345"/>
      <c r="F846" s="346"/>
      <c r="G846" s="344"/>
      <c r="H846" s="11"/>
      <c r="I846" s="346"/>
      <c r="J846" s="410"/>
      <c r="K846" s="410"/>
      <c r="L846" s="410"/>
    </row>
    <row r="847" spans="1:12">
      <c r="A847" s="344"/>
      <c r="B847" s="344"/>
      <c r="C847" s="344"/>
      <c r="D847" s="344"/>
      <c r="E847" s="345"/>
      <c r="F847" s="346"/>
      <c r="G847" s="344"/>
      <c r="H847" s="11"/>
      <c r="I847" s="346"/>
      <c r="J847" s="410"/>
      <c r="K847" s="410"/>
      <c r="L847" s="410"/>
    </row>
    <row r="848" spans="1:12">
      <c r="A848" s="344"/>
      <c r="B848" s="344"/>
      <c r="C848" s="344"/>
      <c r="D848" s="344"/>
      <c r="E848" s="345"/>
      <c r="F848" s="346"/>
      <c r="G848" s="344"/>
      <c r="H848" s="11"/>
      <c r="I848" s="346"/>
      <c r="J848" s="410"/>
      <c r="K848" s="410"/>
      <c r="L848" s="410"/>
    </row>
    <row r="849" spans="1:12">
      <c r="A849" s="344"/>
      <c r="B849" s="344"/>
      <c r="C849" s="344"/>
      <c r="D849" s="344"/>
      <c r="E849" s="345"/>
      <c r="F849" s="346"/>
      <c r="G849" s="344"/>
      <c r="H849" s="11"/>
      <c r="I849" s="346"/>
      <c r="J849" s="410"/>
      <c r="K849" s="410"/>
      <c r="L849" s="410"/>
    </row>
    <row r="850" spans="1:12">
      <c r="A850" s="344"/>
      <c r="B850" s="344"/>
      <c r="C850" s="344"/>
      <c r="D850" s="344"/>
      <c r="E850" s="345"/>
      <c r="F850" s="346"/>
      <c r="G850" s="344"/>
      <c r="H850" s="11"/>
      <c r="I850" s="346"/>
      <c r="J850" s="410"/>
      <c r="K850" s="410"/>
      <c r="L850" s="410"/>
    </row>
    <row r="851" spans="1:12">
      <c r="A851" s="344"/>
      <c r="B851" s="344"/>
      <c r="C851" s="344"/>
      <c r="D851" s="344"/>
      <c r="E851" s="345"/>
      <c r="F851" s="346"/>
      <c r="G851" s="344"/>
      <c r="H851" s="11"/>
      <c r="I851" s="346"/>
      <c r="J851" s="410"/>
      <c r="K851" s="410"/>
      <c r="L851" s="410"/>
    </row>
    <row r="852" spans="1:12">
      <c r="A852" s="344"/>
      <c r="B852" s="344"/>
      <c r="C852" s="344"/>
      <c r="D852" s="344"/>
      <c r="E852" s="345"/>
      <c r="F852" s="346"/>
      <c r="G852" s="344"/>
      <c r="H852" s="11"/>
      <c r="I852" s="346"/>
      <c r="J852" s="410"/>
      <c r="K852" s="410"/>
      <c r="L852" s="410"/>
    </row>
    <row r="853" spans="1:12">
      <c r="A853" s="344"/>
      <c r="B853" s="344"/>
      <c r="C853" s="344"/>
      <c r="D853" s="344"/>
      <c r="E853" s="345"/>
      <c r="F853" s="346"/>
      <c r="G853" s="344"/>
      <c r="H853" s="11"/>
      <c r="I853" s="346"/>
      <c r="J853" s="410"/>
      <c r="K853" s="410"/>
      <c r="L853" s="410"/>
    </row>
    <row r="854" spans="1:12">
      <c r="A854" s="344"/>
      <c r="B854" s="344"/>
      <c r="C854" s="344"/>
      <c r="D854" s="344"/>
      <c r="E854" s="345"/>
      <c r="F854" s="346"/>
      <c r="G854" s="344"/>
      <c r="H854" s="11"/>
      <c r="I854" s="346"/>
      <c r="J854" s="410"/>
      <c r="K854" s="410"/>
      <c r="L854" s="410"/>
    </row>
    <row r="855" spans="1:12">
      <c r="A855" s="344"/>
      <c r="B855" s="344"/>
      <c r="C855" s="344"/>
      <c r="D855" s="344"/>
      <c r="E855" s="345"/>
      <c r="F855" s="346"/>
      <c r="G855" s="344"/>
      <c r="H855" s="11"/>
      <c r="I855" s="346"/>
      <c r="J855" s="410"/>
      <c r="K855" s="410"/>
      <c r="L855" s="410"/>
    </row>
    <row r="856" spans="1:12">
      <c r="A856" s="344"/>
      <c r="B856" s="344"/>
      <c r="C856" s="344"/>
      <c r="D856" s="344"/>
      <c r="E856" s="345"/>
      <c r="F856" s="346"/>
      <c r="G856" s="344"/>
      <c r="H856" s="11"/>
      <c r="I856" s="346"/>
      <c r="J856" s="410"/>
      <c r="K856" s="410"/>
      <c r="L856" s="410"/>
    </row>
    <row r="857" spans="1:12">
      <c r="A857" s="344"/>
      <c r="B857" s="344"/>
      <c r="C857" s="344"/>
      <c r="D857" s="344"/>
      <c r="E857" s="345"/>
      <c r="F857" s="346"/>
      <c r="G857" s="344"/>
      <c r="H857" s="11"/>
      <c r="I857" s="346"/>
      <c r="J857" s="410"/>
      <c r="K857" s="410"/>
      <c r="L857" s="410"/>
    </row>
    <row r="858" spans="1:12">
      <c r="A858" s="344"/>
      <c r="B858" s="344"/>
      <c r="C858" s="344"/>
      <c r="D858" s="344"/>
      <c r="E858" s="345"/>
      <c r="F858" s="346"/>
      <c r="G858" s="344"/>
      <c r="H858" s="11"/>
      <c r="I858" s="346"/>
      <c r="J858" s="410"/>
      <c r="K858" s="410"/>
      <c r="L858" s="410"/>
    </row>
    <row r="859" spans="1:12">
      <c r="A859" s="344"/>
      <c r="B859" s="344"/>
      <c r="C859" s="344"/>
      <c r="D859" s="344"/>
      <c r="E859" s="345"/>
      <c r="F859" s="346"/>
      <c r="G859" s="344"/>
      <c r="H859" s="11"/>
      <c r="I859" s="346"/>
      <c r="J859" s="410"/>
      <c r="K859" s="410"/>
      <c r="L859" s="410"/>
    </row>
    <row r="860" spans="1:12">
      <c r="A860" s="344"/>
      <c r="B860" s="344"/>
      <c r="C860" s="344"/>
      <c r="D860" s="344"/>
      <c r="E860" s="345"/>
      <c r="F860" s="346"/>
      <c r="G860" s="344"/>
      <c r="H860" s="11"/>
      <c r="I860" s="346"/>
      <c r="J860" s="410"/>
      <c r="K860" s="410"/>
      <c r="L860" s="410"/>
    </row>
    <row r="861" spans="1:12">
      <c r="A861" s="344"/>
      <c r="B861" s="344"/>
      <c r="C861" s="344"/>
      <c r="D861" s="344"/>
      <c r="E861" s="345"/>
      <c r="F861" s="346"/>
      <c r="G861" s="344"/>
      <c r="H861" s="11"/>
      <c r="I861" s="346"/>
      <c r="J861" s="410"/>
      <c r="K861" s="410"/>
      <c r="L861" s="410"/>
    </row>
    <row r="862" spans="1:12">
      <c r="A862" s="344"/>
      <c r="B862" s="344"/>
      <c r="C862" s="344"/>
      <c r="D862" s="344"/>
      <c r="E862" s="345"/>
      <c r="F862" s="346"/>
      <c r="G862" s="344"/>
      <c r="H862" s="11"/>
      <c r="I862" s="346"/>
      <c r="J862" s="410"/>
      <c r="K862" s="410"/>
      <c r="L862" s="410"/>
    </row>
    <row r="863" spans="1:12">
      <c r="A863" s="344"/>
      <c r="B863" s="344"/>
      <c r="C863" s="344"/>
      <c r="D863" s="344"/>
      <c r="E863" s="345"/>
      <c r="F863" s="346"/>
      <c r="G863" s="344"/>
      <c r="H863" s="11"/>
      <c r="I863" s="346"/>
      <c r="J863" s="410"/>
      <c r="K863" s="410"/>
      <c r="L863" s="410"/>
    </row>
    <row r="864" spans="1:12">
      <c r="A864" s="344"/>
      <c r="B864" s="344"/>
      <c r="C864" s="344"/>
      <c r="D864" s="344"/>
      <c r="E864" s="345"/>
      <c r="F864" s="346"/>
      <c r="G864" s="344"/>
      <c r="H864" s="11"/>
      <c r="I864" s="346"/>
      <c r="J864" s="410"/>
      <c r="K864" s="410"/>
      <c r="L864" s="410"/>
    </row>
    <row r="865" spans="1:12">
      <c r="A865" s="344"/>
      <c r="B865" s="344"/>
      <c r="C865" s="344"/>
      <c r="D865" s="344"/>
      <c r="E865" s="345"/>
      <c r="F865" s="346"/>
      <c r="G865" s="344"/>
      <c r="H865" s="11"/>
      <c r="I865" s="346"/>
      <c r="J865" s="410"/>
      <c r="K865" s="410"/>
      <c r="L865" s="410"/>
    </row>
    <row r="866" spans="1:12">
      <c r="A866" s="344"/>
      <c r="B866" s="344"/>
      <c r="C866" s="344"/>
      <c r="D866" s="344"/>
      <c r="E866" s="345"/>
      <c r="F866" s="346"/>
      <c r="G866" s="344"/>
      <c r="H866" s="11"/>
      <c r="I866" s="346"/>
      <c r="J866" s="410"/>
      <c r="K866" s="410"/>
      <c r="L866" s="410"/>
    </row>
    <row r="867" spans="1:12">
      <c r="A867" s="344"/>
      <c r="B867" s="344"/>
      <c r="C867" s="344"/>
      <c r="D867" s="344"/>
      <c r="E867" s="345"/>
      <c r="F867" s="346"/>
      <c r="G867" s="344"/>
      <c r="H867" s="11"/>
      <c r="I867" s="346"/>
      <c r="J867" s="410"/>
      <c r="K867" s="410"/>
      <c r="L867" s="410"/>
    </row>
    <row r="868" spans="1:12">
      <c r="A868" s="344"/>
      <c r="B868" s="344"/>
      <c r="C868" s="344"/>
      <c r="D868" s="344"/>
      <c r="E868" s="345"/>
      <c r="F868" s="346"/>
      <c r="G868" s="344"/>
      <c r="H868" s="11"/>
      <c r="I868" s="346"/>
      <c r="J868" s="410"/>
      <c r="K868" s="410"/>
      <c r="L868" s="410"/>
    </row>
    <row r="869" spans="1:12">
      <c r="A869" s="344"/>
      <c r="B869" s="344"/>
      <c r="C869" s="344"/>
      <c r="D869" s="344"/>
      <c r="E869" s="345"/>
      <c r="F869" s="346"/>
      <c r="G869" s="344"/>
      <c r="H869" s="11"/>
      <c r="I869" s="346"/>
      <c r="J869" s="410"/>
      <c r="K869" s="410"/>
      <c r="L869" s="410"/>
    </row>
    <row r="870" spans="1:12">
      <c r="A870" s="344"/>
      <c r="B870" s="344"/>
      <c r="C870" s="344"/>
      <c r="D870" s="344"/>
      <c r="E870" s="345"/>
      <c r="F870" s="346"/>
      <c r="G870" s="344"/>
      <c r="H870" s="11"/>
      <c r="I870" s="346"/>
      <c r="J870" s="410"/>
      <c r="K870" s="410"/>
      <c r="L870" s="410"/>
    </row>
    <row r="871" spans="1:12">
      <c r="A871" s="344"/>
      <c r="B871" s="344"/>
      <c r="C871" s="344"/>
      <c r="D871" s="344"/>
      <c r="E871" s="345"/>
      <c r="F871" s="346"/>
      <c r="G871" s="344"/>
      <c r="H871" s="11"/>
      <c r="I871" s="346"/>
      <c r="J871" s="410"/>
      <c r="K871" s="410"/>
      <c r="L871" s="410"/>
    </row>
    <row r="872" spans="1:12">
      <c r="A872" s="344"/>
      <c r="B872" s="344"/>
      <c r="C872" s="344"/>
      <c r="D872" s="344"/>
      <c r="E872" s="345"/>
      <c r="F872" s="346"/>
      <c r="G872" s="344"/>
      <c r="H872" s="11"/>
      <c r="I872" s="346"/>
      <c r="J872" s="410"/>
      <c r="K872" s="410"/>
      <c r="L872" s="410"/>
    </row>
    <row r="873" spans="1:12">
      <c r="A873" s="344"/>
      <c r="B873" s="344"/>
      <c r="C873" s="344"/>
      <c r="D873" s="344"/>
      <c r="E873" s="345"/>
      <c r="F873" s="346"/>
      <c r="G873" s="344"/>
      <c r="H873" s="11"/>
      <c r="I873" s="346"/>
      <c r="J873" s="410"/>
      <c r="K873" s="410"/>
      <c r="L873" s="410"/>
    </row>
    <row r="874" spans="1:12">
      <c r="A874" s="344"/>
      <c r="B874" s="344"/>
      <c r="C874" s="344"/>
      <c r="D874" s="344"/>
      <c r="E874" s="345"/>
      <c r="F874" s="346"/>
      <c r="G874" s="344"/>
      <c r="H874" s="11"/>
      <c r="I874" s="346"/>
      <c r="J874" s="410"/>
      <c r="K874" s="410"/>
      <c r="L874" s="410"/>
    </row>
    <row r="875" spans="1:12">
      <c r="A875" s="344"/>
      <c r="B875" s="344"/>
      <c r="C875" s="344"/>
      <c r="D875" s="344"/>
      <c r="E875" s="345"/>
      <c r="F875" s="346"/>
      <c r="G875" s="344"/>
      <c r="H875" s="11"/>
      <c r="I875" s="346"/>
      <c r="J875" s="410"/>
      <c r="K875" s="410"/>
      <c r="L875" s="410"/>
    </row>
    <row r="876" spans="1:12">
      <c r="A876" s="344"/>
      <c r="B876" s="344"/>
      <c r="C876" s="344"/>
      <c r="D876" s="344"/>
      <c r="E876" s="345"/>
      <c r="F876" s="346"/>
      <c r="G876" s="344"/>
      <c r="H876" s="11"/>
      <c r="I876" s="346"/>
      <c r="J876" s="410"/>
      <c r="K876" s="410"/>
      <c r="L876" s="410"/>
    </row>
    <row r="877" spans="1:12">
      <c r="A877" s="344"/>
      <c r="B877" s="344"/>
      <c r="C877" s="344"/>
      <c r="D877" s="344"/>
      <c r="E877" s="345"/>
      <c r="F877" s="346"/>
      <c r="G877" s="344"/>
      <c r="H877" s="11"/>
      <c r="I877" s="346"/>
      <c r="J877" s="410"/>
      <c r="K877" s="410"/>
      <c r="L877" s="410"/>
    </row>
    <row r="878" spans="1:12">
      <c r="A878" s="344"/>
      <c r="B878" s="344"/>
      <c r="C878" s="344"/>
      <c r="D878" s="344"/>
      <c r="E878" s="345"/>
      <c r="F878" s="346"/>
      <c r="G878" s="344"/>
      <c r="H878" s="11"/>
      <c r="I878" s="346"/>
      <c r="J878" s="410"/>
      <c r="K878" s="410"/>
      <c r="L878" s="410"/>
    </row>
    <row r="879" spans="1:12">
      <c r="A879" s="344"/>
      <c r="B879" s="344"/>
      <c r="C879" s="344"/>
      <c r="D879" s="344"/>
      <c r="E879" s="345"/>
      <c r="F879" s="346"/>
      <c r="G879" s="344"/>
      <c r="H879" s="11"/>
      <c r="I879" s="346"/>
      <c r="J879" s="410"/>
      <c r="K879" s="410"/>
      <c r="L879" s="410"/>
    </row>
    <row r="880" spans="1:12">
      <c r="A880" s="344"/>
      <c r="B880" s="344"/>
      <c r="C880" s="344"/>
      <c r="D880" s="344"/>
      <c r="E880" s="345"/>
      <c r="F880" s="346"/>
      <c r="G880" s="344"/>
      <c r="H880" s="11"/>
      <c r="I880" s="346"/>
      <c r="J880" s="410"/>
      <c r="K880" s="410"/>
      <c r="L880" s="410"/>
    </row>
    <row r="881" spans="1:12">
      <c r="A881" s="344"/>
      <c r="B881" s="344"/>
      <c r="C881" s="344"/>
      <c r="D881" s="344"/>
      <c r="E881" s="345"/>
      <c r="F881" s="346"/>
      <c r="G881" s="344"/>
      <c r="H881" s="11"/>
      <c r="I881" s="346"/>
      <c r="J881" s="410"/>
      <c r="K881" s="410"/>
      <c r="L881" s="410"/>
    </row>
    <row r="882" spans="1:12">
      <c r="A882" s="344"/>
      <c r="B882" s="344"/>
      <c r="C882" s="344"/>
      <c r="D882" s="344"/>
      <c r="E882" s="345"/>
      <c r="F882" s="346"/>
      <c r="G882" s="344"/>
      <c r="H882" s="11"/>
      <c r="I882" s="346"/>
      <c r="J882" s="410"/>
      <c r="K882" s="410"/>
      <c r="L882" s="410"/>
    </row>
    <row r="883" spans="1:12">
      <c r="A883" s="344"/>
      <c r="B883" s="344"/>
      <c r="C883" s="344"/>
      <c r="D883" s="344"/>
      <c r="E883" s="345"/>
      <c r="F883" s="346"/>
      <c r="G883" s="344"/>
      <c r="H883" s="11"/>
      <c r="I883" s="346"/>
      <c r="J883" s="410"/>
      <c r="K883" s="410"/>
      <c r="L883" s="410"/>
    </row>
    <row r="884" spans="1:12">
      <c r="A884" s="344"/>
      <c r="B884" s="344"/>
      <c r="C884" s="344"/>
      <c r="D884" s="344"/>
      <c r="E884" s="345"/>
      <c r="F884" s="346"/>
      <c r="G884" s="344"/>
      <c r="H884" s="11"/>
      <c r="I884" s="346"/>
      <c r="J884" s="410"/>
      <c r="K884" s="410"/>
      <c r="L884" s="410"/>
    </row>
    <row r="885" spans="1:12">
      <c r="A885" s="344"/>
      <c r="B885" s="344"/>
      <c r="C885" s="344"/>
      <c r="D885" s="344"/>
      <c r="E885" s="345"/>
      <c r="F885" s="346"/>
      <c r="G885" s="344"/>
      <c r="H885" s="11"/>
      <c r="I885" s="346"/>
      <c r="J885" s="410"/>
      <c r="K885" s="410"/>
      <c r="L885" s="410"/>
    </row>
    <row r="886" spans="1:12">
      <c r="A886" s="344"/>
      <c r="B886" s="344"/>
      <c r="C886" s="344"/>
      <c r="D886" s="344"/>
      <c r="E886" s="345"/>
      <c r="F886" s="346"/>
      <c r="G886" s="344"/>
      <c r="H886" s="11"/>
      <c r="I886" s="346"/>
      <c r="J886" s="410"/>
      <c r="K886" s="410"/>
      <c r="L886" s="410"/>
    </row>
    <row r="887" spans="1:12">
      <c r="A887" s="344"/>
      <c r="B887" s="344"/>
      <c r="C887" s="344"/>
      <c r="D887" s="344"/>
      <c r="E887" s="345"/>
      <c r="F887" s="346"/>
      <c r="G887" s="344"/>
      <c r="H887" s="11"/>
      <c r="I887" s="346"/>
      <c r="J887" s="410"/>
      <c r="K887" s="410"/>
      <c r="L887" s="410"/>
    </row>
    <row r="888" spans="1:12">
      <c r="A888" s="344"/>
      <c r="B888" s="344"/>
      <c r="C888" s="344"/>
      <c r="D888" s="344"/>
      <c r="E888" s="345"/>
      <c r="F888" s="346"/>
      <c r="G888" s="344"/>
      <c r="H888" s="11"/>
      <c r="I888" s="346"/>
      <c r="J888" s="410"/>
      <c r="K888" s="410"/>
      <c r="L888" s="410"/>
    </row>
    <row r="889" spans="1:12">
      <c r="A889" s="344"/>
      <c r="B889" s="344"/>
      <c r="C889" s="344"/>
      <c r="D889" s="344"/>
      <c r="E889" s="345"/>
      <c r="F889" s="346"/>
      <c r="G889" s="344"/>
      <c r="H889" s="11"/>
      <c r="I889" s="346"/>
      <c r="J889" s="410"/>
      <c r="K889" s="410"/>
      <c r="L889" s="410"/>
    </row>
    <row r="890" spans="1:12">
      <c r="A890" s="344"/>
      <c r="B890" s="344"/>
      <c r="C890" s="344"/>
      <c r="D890" s="344"/>
      <c r="E890" s="345"/>
      <c r="F890" s="346"/>
      <c r="G890" s="344"/>
      <c r="H890" s="11"/>
      <c r="I890" s="346"/>
      <c r="J890" s="410"/>
      <c r="K890" s="410"/>
      <c r="L890" s="410"/>
    </row>
    <row r="891" spans="1:12">
      <c r="A891" s="344"/>
      <c r="B891" s="344"/>
      <c r="C891" s="344"/>
      <c r="D891" s="344"/>
      <c r="E891" s="345"/>
      <c r="F891" s="346"/>
      <c r="G891" s="344"/>
      <c r="H891" s="11"/>
      <c r="I891" s="346"/>
      <c r="J891" s="410"/>
      <c r="K891" s="410"/>
      <c r="L891" s="410"/>
    </row>
    <row r="892" spans="1:12">
      <c r="A892" s="344"/>
      <c r="B892" s="344"/>
      <c r="C892" s="344"/>
      <c r="D892" s="344"/>
      <c r="E892" s="345"/>
      <c r="F892" s="346"/>
      <c r="G892" s="344"/>
      <c r="H892" s="11"/>
      <c r="I892" s="346"/>
      <c r="J892" s="410"/>
      <c r="K892" s="410"/>
      <c r="L892" s="410"/>
    </row>
    <row r="893" spans="1:12">
      <c r="A893" s="344"/>
      <c r="B893" s="344"/>
      <c r="C893" s="344"/>
      <c r="D893" s="344"/>
      <c r="E893" s="345"/>
      <c r="F893" s="346"/>
      <c r="G893" s="344"/>
      <c r="H893" s="11"/>
      <c r="I893" s="346"/>
      <c r="J893" s="410"/>
      <c r="K893" s="410"/>
      <c r="L893" s="410"/>
    </row>
    <row r="894" spans="1:12">
      <c r="A894" s="344"/>
      <c r="B894" s="344"/>
      <c r="C894" s="344"/>
      <c r="D894" s="344"/>
      <c r="E894" s="345"/>
      <c r="F894" s="346"/>
      <c r="G894" s="344"/>
      <c r="H894" s="11"/>
      <c r="I894" s="346"/>
      <c r="J894" s="410"/>
      <c r="K894" s="410"/>
      <c r="L894" s="410"/>
    </row>
    <row r="895" spans="1:12">
      <c r="A895" s="344"/>
      <c r="B895" s="344"/>
      <c r="C895" s="344"/>
      <c r="D895" s="344"/>
      <c r="E895" s="345"/>
      <c r="F895" s="346"/>
      <c r="G895" s="344"/>
      <c r="H895" s="11"/>
      <c r="I895" s="346"/>
      <c r="J895" s="410"/>
      <c r="K895" s="410"/>
      <c r="L895" s="410"/>
    </row>
    <row r="896" spans="1:12">
      <c r="A896" s="344"/>
      <c r="B896" s="344"/>
      <c r="C896" s="344"/>
      <c r="D896" s="344"/>
      <c r="E896" s="345"/>
      <c r="F896" s="346"/>
      <c r="G896" s="344"/>
      <c r="H896" s="11"/>
      <c r="I896" s="346"/>
      <c r="J896" s="410"/>
      <c r="K896" s="410"/>
      <c r="L896" s="410"/>
    </row>
    <row r="897" spans="1:12">
      <c r="A897" s="344"/>
      <c r="B897" s="344"/>
      <c r="C897" s="344"/>
      <c r="D897" s="344"/>
      <c r="E897" s="345"/>
      <c r="F897" s="346"/>
      <c r="G897" s="344"/>
      <c r="H897" s="11"/>
      <c r="I897" s="346"/>
      <c r="J897" s="410"/>
      <c r="K897" s="410"/>
      <c r="L897" s="410"/>
    </row>
    <row r="898" spans="1:12">
      <c r="A898" s="344"/>
      <c r="B898" s="344"/>
      <c r="C898" s="344"/>
      <c r="D898" s="344"/>
      <c r="E898" s="345"/>
      <c r="F898" s="346"/>
      <c r="G898" s="344"/>
      <c r="H898" s="11"/>
      <c r="I898" s="346"/>
      <c r="J898" s="410"/>
      <c r="K898" s="410"/>
      <c r="L898" s="410"/>
    </row>
    <row r="899" spans="1:12">
      <c r="A899" s="344"/>
      <c r="B899" s="344"/>
      <c r="C899" s="344"/>
      <c r="D899" s="344"/>
      <c r="E899" s="345"/>
      <c r="F899" s="346"/>
      <c r="G899" s="344"/>
      <c r="H899" s="11"/>
      <c r="I899" s="346"/>
      <c r="J899" s="410"/>
      <c r="K899" s="410"/>
      <c r="L899" s="410"/>
    </row>
    <row r="900" spans="1:12">
      <c r="A900" s="344"/>
      <c r="B900" s="344"/>
      <c r="C900" s="344"/>
      <c r="D900" s="344"/>
      <c r="E900" s="345"/>
      <c r="F900" s="346"/>
      <c r="G900" s="344"/>
      <c r="H900" s="11"/>
      <c r="I900" s="346"/>
      <c r="J900" s="410"/>
      <c r="K900" s="410"/>
      <c r="L900" s="410"/>
    </row>
    <row r="901" spans="1:12">
      <c r="A901" s="344"/>
      <c r="B901" s="344"/>
      <c r="C901" s="344"/>
      <c r="D901" s="344"/>
      <c r="E901" s="345"/>
      <c r="F901" s="346"/>
      <c r="G901" s="344"/>
      <c r="H901" s="11"/>
      <c r="I901" s="346"/>
      <c r="J901" s="410"/>
      <c r="K901" s="410"/>
      <c r="L901" s="410"/>
    </row>
    <row r="902" spans="1:12">
      <c r="A902" s="344"/>
      <c r="B902" s="344"/>
      <c r="C902" s="344"/>
      <c r="D902" s="344"/>
      <c r="E902" s="345"/>
      <c r="F902" s="346"/>
      <c r="G902" s="344"/>
      <c r="H902" s="11"/>
      <c r="I902" s="346"/>
      <c r="J902" s="410"/>
      <c r="K902" s="410"/>
      <c r="L902" s="410"/>
    </row>
    <row r="903" spans="1:12">
      <c r="A903" s="344"/>
      <c r="B903" s="344"/>
      <c r="C903" s="344"/>
      <c r="D903" s="344"/>
      <c r="E903" s="345"/>
      <c r="F903" s="346"/>
      <c r="G903" s="344"/>
      <c r="H903" s="11"/>
      <c r="I903" s="346"/>
      <c r="J903" s="410"/>
      <c r="K903" s="410"/>
      <c r="L903" s="410"/>
    </row>
    <row r="904" spans="1:12">
      <c r="A904" s="344"/>
      <c r="B904" s="344"/>
      <c r="C904" s="344"/>
      <c r="D904" s="344"/>
      <c r="E904" s="345"/>
      <c r="F904" s="346"/>
      <c r="G904" s="344"/>
      <c r="H904" s="11"/>
      <c r="I904" s="346"/>
      <c r="J904" s="410"/>
      <c r="K904" s="410"/>
      <c r="L904" s="410"/>
    </row>
    <row r="905" spans="1:12">
      <c r="A905" s="344"/>
      <c r="B905" s="344"/>
      <c r="C905" s="344"/>
      <c r="D905" s="344"/>
      <c r="E905" s="345"/>
      <c r="F905" s="346"/>
      <c r="G905" s="344"/>
      <c r="H905" s="11"/>
      <c r="I905" s="346"/>
      <c r="J905" s="410"/>
      <c r="K905" s="410"/>
      <c r="L905" s="410"/>
    </row>
    <row r="906" spans="1:12">
      <c r="A906" s="344"/>
      <c r="B906" s="344"/>
      <c r="C906" s="344"/>
      <c r="D906" s="344"/>
      <c r="E906" s="345"/>
      <c r="F906" s="346"/>
      <c r="G906" s="344"/>
      <c r="H906" s="11"/>
      <c r="I906" s="346"/>
      <c r="J906" s="410"/>
      <c r="K906" s="410"/>
      <c r="L906" s="410"/>
    </row>
    <row r="907" spans="1:12">
      <c r="A907" s="344"/>
      <c r="B907" s="344"/>
      <c r="C907" s="344"/>
      <c r="D907" s="344"/>
      <c r="E907" s="345"/>
      <c r="F907" s="346"/>
      <c r="G907" s="344"/>
      <c r="H907" s="11"/>
      <c r="I907" s="346"/>
      <c r="J907" s="410"/>
      <c r="K907" s="410"/>
      <c r="L907" s="410"/>
    </row>
    <row r="908" spans="1:12">
      <c r="A908" s="344"/>
      <c r="B908" s="344"/>
      <c r="C908" s="344"/>
      <c r="D908" s="344"/>
      <c r="E908" s="345"/>
      <c r="F908" s="346"/>
      <c r="G908" s="344"/>
      <c r="H908" s="11"/>
      <c r="I908" s="346"/>
      <c r="J908" s="410"/>
      <c r="K908" s="410"/>
      <c r="L908" s="410"/>
    </row>
    <row r="909" spans="1:12">
      <c r="A909" s="344"/>
      <c r="B909" s="344"/>
      <c r="C909" s="344"/>
      <c r="D909" s="344"/>
      <c r="E909" s="345"/>
      <c r="F909" s="346"/>
      <c r="G909" s="344"/>
      <c r="H909" s="11"/>
      <c r="I909" s="346"/>
      <c r="J909" s="410"/>
      <c r="K909" s="410"/>
      <c r="L909" s="410"/>
    </row>
    <row r="910" spans="1:12">
      <c r="A910" s="344"/>
      <c r="B910" s="344"/>
      <c r="C910" s="344"/>
      <c r="D910" s="344"/>
      <c r="E910" s="345"/>
      <c r="F910" s="346"/>
      <c r="G910" s="344"/>
      <c r="H910" s="11"/>
      <c r="I910" s="346"/>
      <c r="J910" s="410"/>
      <c r="K910" s="410"/>
      <c r="L910" s="410"/>
    </row>
    <row r="911" spans="1:12">
      <c r="A911" s="344"/>
      <c r="B911" s="344"/>
      <c r="C911" s="344"/>
      <c r="D911" s="344"/>
      <c r="E911" s="345"/>
      <c r="F911" s="346"/>
      <c r="G911" s="344"/>
      <c r="H911" s="11"/>
      <c r="I911" s="346"/>
      <c r="J911" s="410"/>
      <c r="K911" s="410"/>
      <c r="L911" s="410"/>
    </row>
    <row r="912" spans="1:12">
      <c r="A912" s="344"/>
      <c r="B912" s="344"/>
      <c r="C912" s="344"/>
      <c r="D912" s="344"/>
      <c r="E912" s="345"/>
      <c r="F912" s="346"/>
      <c r="G912" s="344"/>
      <c r="H912" s="11"/>
      <c r="I912" s="346"/>
      <c r="J912" s="410"/>
      <c r="K912" s="410"/>
      <c r="L912" s="410"/>
    </row>
    <row r="913" spans="1:12">
      <c r="A913" s="344"/>
      <c r="B913" s="344"/>
      <c r="C913" s="344"/>
      <c r="D913" s="344"/>
      <c r="E913" s="345"/>
      <c r="F913" s="346"/>
      <c r="G913" s="344"/>
      <c r="H913" s="11"/>
      <c r="I913" s="346"/>
      <c r="J913" s="410"/>
      <c r="K913" s="410"/>
      <c r="L913" s="410"/>
    </row>
    <row r="914" spans="1:12">
      <c r="A914" s="344"/>
      <c r="B914" s="344"/>
      <c r="C914" s="344"/>
      <c r="D914" s="344"/>
      <c r="E914" s="345"/>
      <c r="F914" s="346"/>
      <c r="G914" s="344"/>
      <c r="H914" s="11"/>
      <c r="I914" s="346"/>
      <c r="J914" s="410"/>
      <c r="K914" s="410"/>
      <c r="L914" s="410"/>
    </row>
    <row r="915" spans="1:12">
      <c r="A915" s="344"/>
      <c r="B915" s="344"/>
      <c r="C915" s="344"/>
      <c r="D915" s="344"/>
      <c r="E915" s="345"/>
      <c r="F915" s="346"/>
      <c r="G915" s="344"/>
      <c r="H915" s="11"/>
      <c r="I915" s="346"/>
      <c r="J915" s="410"/>
      <c r="K915" s="410"/>
      <c r="L915" s="410"/>
    </row>
    <row r="916" spans="1:12">
      <c r="A916" s="344"/>
      <c r="B916" s="344"/>
      <c r="C916" s="344"/>
      <c r="D916" s="344"/>
      <c r="E916" s="345"/>
      <c r="F916" s="346"/>
      <c r="G916" s="344"/>
      <c r="H916" s="11"/>
      <c r="I916" s="346"/>
      <c r="J916" s="410"/>
      <c r="K916" s="410"/>
      <c r="L916" s="410"/>
    </row>
    <row r="917" spans="1:12">
      <c r="A917" s="344"/>
      <c r="B917" s="344"/>
      <c r="C917" s="344"/>
      <c r="D917" s="344"/>
      <c r="E917" s="345"/>
      <c r="F917" s="346"/>
      <c r="G917" s="344"/>
      <c r="H917" s="11"/>
      <c r="I917" s="346"/>
      <c r="J917" s="410"/>
      <c r="K917" s="410"/>
      <c r="L917" s="410"/>
    </row>
    <row r="918" spans="1:12">
      <c r="A918" s="344"/>
      <c r="B918" s="344"/>
      <c r="C918" s="344"/>
      <c r="D918" s="344"/>
      <c r="E918" s="345"/>
      <c r="F918" s="346"/>
      <c r="G918" s="344"/>
      <c r="H918" s="11"/>
      <c r="I918" s="346"/>
      <c r="J918" s="410"/>
      <c r="K918" s="410"/>
      <c r="L918" s="410"/>
    </row>
    <row r="919" spans="1:12">
      <c r="A919" s="344"/>
      <c r="B919" s="344"/>
      <c r="C919" s="344"/>
      <c r="D919" s="344"/>
      <c r="E919" s="345"/>
      <c r="F919" s="346"/>
      <c r="G919" s="344"/>
      <c r="H919" s="11"/>
      <c r="I919" s="346"/>
      <c r="J919" s="410"/>
      <c r="K919" s="410"/>
      <c r="L919" s="410"/>
    </row>
    <row r="920" spans="1:12">
      <c r="A920" s="344"/>
      <c r="B920" s="344"/>
      <c r="C920" s="344"/>
      <c r="D920" s="344"/>
      <c r="E920" s="345"/>
      <c r="F920" s="346"/>
      <c r="G920" s="344"/>
      <c r="H920" s="11"/>
      <c r="I920" s="346"/>
      <c r="J920" s="410"/>
      <c r="K920" s="410"/>
      <c r="L920" s="410"/>
    </row>
    <row r="921" spans="1:12">
      <c r="A921" s="344"/>
      <c r="B921" s="344"/>
      <c r="C921" s="344"/>
      <c r="D921" s="344"/>
      <c r="E921" s="345"/>
      <c r="F921" s="346"/>
      <c r="G921" s="344"/>
      <c r="H921" s="11"/>
      <c r="I921" s="346"/>
      <c r="J921" s="410"/>
      <c r="K921" s="410"/>
      <c r="L921" s="410"/>
    </row>
    <row r="922" spans="1:12">
      <c r="A922" s="344"/>
      <c r="B922" s="344"/>
      <c r="C922" s="344"/>
      <c r="D922" s="344"/>
      <c r="E922" s="345"/>
      <c r="F922" s="346"/>
      <c r="G922" s="344"/>
      <c r="H922" s="11"/>
      <c r="I922" s="346"/>
      <c r="J922" s="410"/>
      <c r="K922" s="410"/>
      <c r="L922" s="410"/>
    </row>
    <row r="923" spans="1:12">
      <c r="A923" s="344"/>
      <c r="B923" s="344"/>
      <c r="C923" s="344"/>
      <c r="D923" s="344"/>
      <c r="E923" s="345"/>
      <c r="F923" s="346"/>
      <c r="G923" s="344"/>
      <c r="H923" s="11"/>
      <c r="I923" s="346"/>
      <c r="J923" s="410"/>
      <c r="K923" s="410"/>
      <c r="L923" s="410"/>
    </row>
    <row r="924" spans="1:12">
      <c r="A924" s="344"/>
      <c r="B924" s="344"/>
      <c r="C924" s="344"/>
      <c r="D924" s="344"/>
      <c r="E924" s="345"/>
      <c r="F924" s="346"/>
      <c r="G924" s="344"/>
      <c r="H924" s="11"/>
      <c r="I924" s="346"/>
      <c r="J924" s="410"/>
      <c r="K924" s="410"/>
      <c r="L924" s="410"/>
    </row>
    <row r="925" spans="1:12">
      <c r="A925" s="344"/>
      <c r="B925" s="344"/>
      <c r="C925" s="344"/>
      <c r="D925" s="344"/>
      <c r="E925" s="345"/>
      <c r="F925" s="346"/>
      <c r="G925" s="344"/>
      <c r="H925" s="11"/>
      <c r="I925" s="346"/>
      <c r="J925" s="410"/>
      <c r="K925" s="410"/>
      <c r="L925" s="410"/>
    </row>
    <row r="926" spans="1:12">
      <c r="A926" s="344"/>
      <c r="B926" s="344"/>
      <c r="C926" s="344"/>
      <c r="D926" s="344"/>
      <c r="E926" s="345"/>
      <c r="F926" s="346"/>
      <c r="G926" s="344"/>
      <c r="H926" s="11"/>
      <c r="I926" s="346"/>
      <c r="J926" s="410"/>
      <c r="K926" s="410"/>
      <c r="L926" s="410"/>
    </row>
    <row r="927" spans="1:12">
      <c r="A927" s="344"/>
      <c r="B927" s="344"/>
      <c r="C927" s="344"/>
      <c r="D927" s="344"/>
      <c r="E927" s="345"/>
      <c r="F927" s="346"/>
      <c r="G927" s="344"/>
      <c r="H927" s="11"/>
      <c r="I927" s="346"/>
      <c r="J927" s="410"/>
      <c r="K927" s="410"/>
      <c r="L927" s="410"/>
    </row>
    <row r="928" spans="1:12">
      <c r="A928" s="344"/>
      <c r="B928" s="344"/>
      <c r="C928" s="344"/>
      <c r="D928" s="344"/>
      <c r="E928" s="345"/>
      <c r="F928" s="346"/>
      <c r="G928" s="344"/>
      <c r="H928" s="11"/>
      <c r="I928" s="346"/>
      <c r="J928" s="410"/>
      <c r="K928" s="410"/>
      <c r="L928" s="410"/>
    </row>
    <row r="929" spans="1:12">
      <c r="A929" s="344"/>
      <c r="B929" s="344"/>
      <c r="C929" s="344"/>
      <c r="D929" s="344"/>
      <c r="E929" s="345"/>
      <c r="F929" s="346"/>
      <c r="G929" s="344"/>
      <c r="H929" s="11"/>
      <c r="I929" s="346"/>
      <c r="J929" s="410"/>
      <c r="K929" s="410"/>
      <c r="L929" s="410"/>
    </row>
    <row r="930" spans="1:12">
      <c r="A930" s="344"/>
      <c r="B930" s="344"/>
      <c r="C930" s="344"/>
      <c r="D930" s="344"/>
      <c r="E930" s="345"/>
      <c r="F930" s="346"/>
      <c r="G930" s="344"/>
      <c r="H930" s="11"/>
      <c r="I930" s="346"/>
      <c r="J930" s="410"/>
      <c r="K930" s="410"/>
      <c r="L930" s="410"/>
    </row>
    <row r="931" spans="1:12">
      <c r="A931" s="344"/>
      <c r="B931" s="344"/>
      <c r="C931" s="344"/>
      <c r="D931" s="344"/>
      <c r="E931" s="345"/>
      <c r="F931" s="346"/>
      <c r="G931" s="344"/>
      <c r="H931" s="11"/>
      <c r="I931" s="346"/>
      <c r="J931" s="410"/>
      <c r="K931" s="410"/>
      <c r="L931" s="410"/>
    </row>
    <row r="932" spans="1:12">
      <c r="A932" s="344"/>
      <c r="B932" s="344"/>
      <c r="C932" s="344"/>
      <c r="D932" s="344"/>
      <c r="E932" s="345"/>
      <c r="F932" s="346"/>
      <c r="G932" s="344"/>
      <c r="H932" s="11"/>
      <c r="I932" s="346"/>
      <c r="J932" s="410"/>
      <c r="K932" s="410"/>
      <c r="L932" s="410"/>
    </row>
    <row r="933" spans="1:12">
      <c r="A933" s="344"/>
      <c r="B933" s="344"/>
      <c r="C933" s="344"/>
      <c r="D933" s="344"/>
      <c r="E933" s="345"/>
      <c r="F933" s="346"/>
      <c r="G933" s="344"/>
      <c r="H933" s="11"/>
      <c r="I933" s="346"/>
      <c r="J933" s="410"/>
      <c r="K933" s="410"/>
      <c r="L933" s="410"/>
    </row>
    <row r="934" spans="1:12">
      <c r="A934" s="344"/>
      <c r="B934" s="344"/>
      <c r="C934" s="344"/>
      <c r="D934" s="344"/>
      <c r="E934" s="345"/>
      <c r="F934" s="346"/>
      <c r="G934" s="344"/>
      <c r="H934" s="11"/>
      <c r="I934" s="346"/>
      <c r="J934" s="410"/>
      <c r="K934" s="410"/>
      <c r="L934" s="410"/>
    </row>
    <row r="935" spans="1:12">
      <c r="A935" s="344"/>
      <c r="B935" s="344"/>
      <c r="C935" s="344"/>
      <c r="D935" s="344"/>
      <c r="E935" s="345"/>
      <c r="F935" s="346"/>
      <c r="G935" s="344"/>
      <c r="H935" s="11"/>
      <c r="I935" s="346"/>
      <c r="J935" s="410"/>
      <c r="K935" s="410"/>
      <c r="L935" s="410"/>
    </row>
    <row r="936" spans="1:12">
      <c r="A936" s="344"/>
      <c r="B936" s="344"/>
      <c r="C936" s="344"/>
      <c r="D936" s="344"/>
      <c r="E936" s="345"/>
      <c r="F936" s="346"/>
      <c r="G936" s="344"/>
      <c r="H936" s="11"/>
      <c r="I936" s="346"/>
      <c r="J936" s="410"/>
      <c r="K936" s="410"/>
      <c r="L936" s="410"/>
    </row>
    <row r="937" spans="1:12">
      <c r="A937" s="344"/>
      <c r="B937" s="344"/>
      <c r="C937" s="344"/>
      <c r="D937" s="344"/>
      <c r="E937" s="345"/>
      <c r="F937" s="346"/>
      <c r="G937" s="344"/>
      <c r="H937" s="11"/>
      <c r="I937" s="346"/>
      <c r="J937" s="410"/>
      <c r="K937" s="410"/>
      <c r="L937" s="410"/>
    </row>
    <row r="938" spans="1:12">
      <c r="A938" s="344"/>
      <c r="B938" s="344"/>
      <c r="C938" s="344"/>
      <c r="D938" s="344"/>
      <c r="E938" s="345"/>
      <c r="F938" s="346"/>
      <c r="G938" s="344"/>
      <c r="H938" s="11"/>
      <c r="I938" s="346"/>
      <c r="J938" s="410"/>
      <c r="K938" s="410"/>
      <c r="L938" s="410"/>
    </row>
    <row r="939" spans="1:12">
      <c r="A939" s="344"/>
      <c r="B939" s="344"/>
      <c r="C939" s="344"/>
      <c r="D939" s="344"/>
      <c r="E939" s="345"/>
      <c r="F939" s="346"/>
      <c r="G939" s="344"/>
      <c r="H939" s="11"/>
      <c r="I939" s="346"/>
      <c r="J939" s="410"/>
      <c r="K939" s="410"/>
      <c r="L939" s="410"/>
    </row>
    <row r="940" spans="1:12">
      <c r="A940" s="344"/>
      <c r="B940" s="344"/>
      <c r="C940" s="344"/>
      <c r="D940" s="344"/>
      <c r="E940" s="345"/>
      <c r="F940" s="346"/>
      <c r="G940" s="344"/>
      <c r="H940" s="11"/>
      <c r="I940" s="346"/>
      <c r="J940" s="410"/>
      <c r="K940" s="410"/>
      <c r="L940" s="410"/>
    </row>
    <row r="941" spans="1:12">
      <c r="A941" s="344"/>
      <c r="B941" s="344"/>
      <c r="C941" s="344"/>
      <c r="D941" s="344"/>
      <c r="E941" s="345"/>
      <c r="F941" s="346"/>
      <c r="G941" s="344"/>
      <c r="H941" s="11"/>
      <c r="I941" s="346"/>
      <c r="J941" s="410"/>
      <c r="K941" s="410"/>
      <c r="L941" s="410"/>
    </row>
    <row r="942" spans="1:12">
      <c r="A942" s="344"/>
      <c r="B942" s="344"/>
      <c r="C942" s="344"/>
      <c r="D942" s="344"/>
      <c r="E942" s="345"/>
      <c r="F942" s="346"/>
      <c r="G942" s="344"/>
      <c r="H942" s="11"/>
      <c r="I942" s="346"/>
      <c r="J942" s="410"/>
      <c r="K942" s="410"/>
      <c r="L942" s="410"/>
    </row>
    <row r="943" spans="1:12">
      <c r="A943" s="344"/>
      <c r="B943" s="344"/>
      <c r="C943" s="344"/>
      <c r="D943" s="344"/>
      <c r="E943" s="345"/>
      <c r="F943" s="346"/>
      <c r="G943" s="344"/>
      <c r="H943" s="11"/>
      <c r="I943" s="346"/>
      <c r="J943" s="410"/>
      <c r="K943" s="410"/>
      <c r="L943" s="410"/>
    </row>
    <row r="944" spans="1:12">
      <c r="A944" s="344"/>
      <c r="B944" s="344"/>
      <c r="C944" s="344"/>
      <c r="D944" s="344"/>
      <c r="E944" s="345"/>
      <c r="F944" s="346"/>
      <c r="G944" s="344"/>
      <c r="H944" s="11"/>
      <c r="I944" s="346"/>
      <c r="J944" s="410"/>
      <c r="K944" s="410"/>
      <c r="L944" s="410"/>
    </row>
    <row r="945" spans="1:12">
      <c r="A945" s="344"/>
      <c r="B945" s="344"/>
      <c r="C945" s="344"/>
      <c r="D945" s="344"/>
      <c r="E945" s="345"/>
      <c r="F945" s="346"/>
      <c r="G945" s="344"/>
      <c r="H945" s="11"/>
      <c r="I945" s="346"/>
      <c r="J945" s="410"/>
      <c r="K945" s="410"/>
      <c r="L945" s="410"/>
    </row>
    <row r="946" spans="1:12">
      <c r="A946" s="344"/>
      <c r="B946" s="344"/>
      <c r="C946" s="344"/>
      <c r="D946" s="344"/>
      <c r="E946" s="345"/>
      <c r="F946" s="346"/>
      <c r="G946" s="344"/>
      <c r="H946" s="11"/>
      <c r="I946" s="346"/>
      <c r="J946" s="410"/>
      <c r="K946" s="410"/>
      <c r="L946" s="410"/>
    </row>
    <row r="947" spans="1:12">
      <c r="A947" s="344"/>
      <c r="B947" s="344"/>
      <c r="C947" s="344"/>
      <c r="D947" s="344"/>
      <c r="E947" s="345"/>
      <c r="F947" s="346"/>
      <c r="G947" s="344"/>
      <c r="H947" s="11"/>
      <c r="I947" s="346"/>
      <c r="J947" s="410"/>
      <c r="K947" s="410"/>
      <c r="L947" s="410"/>
    </row>
    <row r="948" spans="1:12">
      <c r="A948" s="344"/>
      <c r="B948" s="344"/>
      <c r="C948" s="344"/>
      <c r="D948" s="344"/>
      <c r="E948" s="345"/>
      <c r="F948" s="346"/>
      <c r="G948" s="344"/>
      <c r="H948" s="11"/>
      <c r="I948" s="346"/>
      <c r="J948" s="410"/>
      <c r="K948" s="410"/>
      <c r="L948" s="410"/>
    </row>
    <row r="949" spans="1:12">
      <c r="A949" s="344"/>
      <c r="B949" s="344"/>
      <c r="C949" s="344"/>
      <c r="D949" s="344"/>
      <c r="E949" s="345"/>
      <c r="F949" s="346"/>
      <c r="G949" s="344"/>
      <c r="H949" s="11"/>
      <c r="I949" s="346"/>
      <c r="J949" s="410"/>
      <c r="K949" s="410"/>
      <c r="L949" s="410"/>
    </row>
    <row r="950" spans="1:12">
      <c r="A950" s="344"/>
      <c r="B950" s="344"/>
      <c r="C950" s="344"/>
      <c r="D950" s="344"/>
      <c r="E950" s="345"/>
      <c r="F950" s="346"/>
      <c r="G950" s="344"/>
      <c r="H950" s="11"/>
      <c r="I950" s="346"/>
      <c r="J950" s="410"/>
      <c r="K950" s="410"/>
      <c r="L950" s="410"/>
    </row>
    <row r="951" spans="1:12">
      <c r="A951" s="344"/>
      <c r="B951" s="344"/>
      <c r="C951" s="344"/>
      <c r="D951" s="344"/>
      <c r="E951" s="345"/>
      <c r="F951" s="346"/>
      <c r="G951" s="344"/>
      <c r="H951" s="11"/>
      <c r="I951" s="346"/>
      <c r="J951" s="410"/>
      <c r="K951" s="410"/>
      <c r="L951" s="410"/>
    </row>
    <row r="952" spans="1:12">
      <c r="A952" s="344"/>
      <c r="B952" s="344"/>
      <c r="C952" s="344"/>
      <c r="D952" s="344"/>
      <c r="E952" s="345"/>
      <c r="F952" s="346"/>
      <c r="G952" s="344"/>
      <c r="H952" s="11"/>
      <c r="I952" s="346"/>
      <c r="J952" s="410"/>
      <c r="K952" s="410"/>
      <c r="L952" s="410"/>
    </row>
    <row r="953" spans="1:12">
      <c r="A953" s="344"/>
      <c r="B953" s="344"/>
      <c r="C953" s="344"/>
      <c r="D953" s="344"/>
      <c r="E953" s="345"/>
      <c r="F953" s="346"/>
      <c r="G953" s="344"/>
      <c r="H953" s="11"/>
      <c r="I953" s="346"/>
      <c r="J953" s="410"/>
      <c r="K953" s="410"/>
      <c r="L953" s="410"/>
    </row>
    <row r="954" spans="1:12">
      <c r="A954" s="344"/>
      <c r="B954" s="344"/>
      <c r="C954" s="344"/>
      <c r="D954" s="344"/>
      <c r="E954" s="345"/>
      <c r="F954" s="346"/>
      <c r="G954" s="344"/>
      <c r="H954" s="11"/>
      <c r="I954" s="346"/>
      <c r="J954" s="410"/>
      <c r="K954" s="410"/>
      <c r="L954" s="410"/>
    </row>
    <row r="955" spans="1:12">
      <c r="A955" s="344"/>
      <c r="B955" s="344"/>
      <c r="C955" s="344"/>
      <c r="D955" s="344"/>
      <c r="E955" s="345"/>
      <c r="F955" s="346"/>
      <c r="G955" s="344"/>
      <c r="H955" s="11"/>
      <c r="I955" s="346"/>
      <c r="J955" s="410"/>
      <c r="K955" s="410"/>
      <c r="L955" s="410"/>
    </row>
    <row r="956" spans="1:12">
      <c r="A956" s="344"/>
      <c r="B956" s="344"/>
      <c r="C956" s="344"/>
      <c r="D956" s="344"/>
      <c r="E956" s="345"/>
      <c r="F956" s="346"/>
      <c r="G956" s="344"/>
      <c r="H956" s="11"/>
      <c r="I956" s="346"/>
      <c r="J956" s="410"/>
      <c r="K956" s="410"/>
      <c r="L956" s="410"/>
    </row>
    <row r="957" spans="1:12">
      <c r="A957" s="344"/>
      <c r="B957" s="344"/>
      <c r="C957" s="344"/>
      <c r="D957" s="344"/>
      <c r="E957" s="345"/>
      <c r="F957" s="346"/>
      <c r="G957" s="344"/>
      <c r="H957" s="11"/>
      <c r="I957" s="346"/>
      <c r="J957" s="410"/>
      <c r="K957" s="410"/>
      <c r="L957" s="410"/>
    </row>
    <row r="958" spans="1:12">
      <c r="A958" s="344"/>
      <c r="B958" s="344"/>
      <c r="C958" s="344"/>
      <c r="D958" s="344"/>
      <c r="E958" s="345"/>
      <c r="F958" s="346"/>
      <c r="G958" s="344"/>
      <c r="H958" s="11"/>
      <c r="I958" s="346"/>
      <c r="J958" s="410"/>
      <c r="K958" s="410"/>
      <c r="L958" s="410"/>
    </row>
    <row r="959" spans="1:12">
      <c r="A959" s="344"/>
      <c r="B959" s="344"/>
      <c r="C959" s="344"/>
      <c r="D959" s="344"/>
      <c r="E959" s="345"/>
      <c r="F959" s="346"/>
      <c r="G959" s="344"/>
      <c r="H959" s="11"/>
      <c r="I959" s="346"/>
      <c r="J959" s="410"/>
      <c r="K959" s="410"/>
      <c r="L959" s="410"/>
    </row>
    <row r="960" spans="1:12">
      <c r="A960" s="344"/>
      <c r="B960" s="344"/>
      <c r="C960" s="344"/>
      <c r="D960" s="344"/>
      <c r="E960" s="345"/>
      <c r="F960" s="346"/>
      <c r="G960" s="344"/>
      <c r="H960" s="11"/>
      <c r="I960" s="346"/>
      <c r="J960" s="410"/>
      <c r="K960" s="410"/>
      <c r="L960" s="410"/>
    </row>
    <row r="961" spans="1:12">
      <c r="A961" s="344"/>
      <c r="B961" s="344"/>
      <c r="C961" s="344"/>
      <c r="D961" s="344"/>
      <c r="E961" s="345"/>
      <c r="F961" s="346"/>
      <c r="G961" s="344"/>
      <c r="H961" s="11"/>
      <c r="I961" s="346"/>
      <c r="J961" s="410"/>
      <c r="K961" s="410"/>
      <c r="L961" s="410"/>
    </row>
    <row r="962" spans="1:12">
      <c r="A962" s="344"/>
      <c r="B962" s="344"/>
      <c r="C962" s="344"/>
      <c r="D962" s="344"/>
      <c r="E962" s="345"/>
      <c r="F962" s="346"/>
      <c r="G962" s="344"/>
      <c r="H962" s="11"/>
      <c r="I962" s="346"/>
      <c r="J962" s="410"/>
      <c r="K962" s="410"/>
      <c r="L962" s="410"/>
    </row>
    <row r="963" spans="1:12">
      <c r="A963" s="344"/>
      <c r="B963" s="344"/>
      <c r="C963" s="344"/>
      <c r="D963" s="344"/>
      <c r="E963" s="345"/>
      <c r="F963" s="346"/>
      <c r="G963" s="344"/>
      <c r="H963" s="11"/>
      <c r="I963" s="346"/>
      <c r="J963" s="410"/>
      <c r="K963" s="410"/>
      <c r="L963" s="410"/>
    </row>
    <row r="964" spans="1:12">
      <c r="A964" s="344"/>
      <c r="B964" s="344"/>
      <c r="C964" s="344"/>
      <c r="D964" s="344"/>
      <c r="E964" s="345"/>
      <c r="F964" s="346"/>
      <c r="G964" s="344"/>
      <c r="H964" s="11"/>
      <c r="I964" s="346"/>
      <c r="J964" s="410"/>
      <c r="K964" s="410"/>
      <c r="L964" s="410"/>
    </row>
    <row r="965" spans="1:12">
      <c r="A965" s="344"/>
      <c r="B965" s="344"/>
      <c r="C965" s="344"/>
      <c r="D965" s="344"/>
      <c r="E965" s="345"/>
      <c r="F965" s="346"/>
      <c r="G965" s="344"/>
      <c r="H965" s="11"/>
      <c r="I965" s="346"/>
      <c r="J965" s="410"/>
      <c r="K965" s="410"/>
      <c r="L965" s="410"/>
    </row>
    <row r="966" spans="1:12">
      <c r="A966" s="344"/>
      <c r="B966" s="344"/>
      <c r="C966" s="344"/>
      <c r="D966" s="344"/>
      <c r="E966" s="345"/>
      <c r="F966" s="346"/>
      <c r="G966" s="344"/>
      <c r="H966" s="11"/>
      <c r="I966" s="346"/>
      <c r="J966" s="410"/>
      <c r="K966" s="410"/>
      <c r="L966" s="410"/>
    </row>
    <row r="967" spans="1:12">
      <c r="A967" s="344"/>
      <c r="B967" s="344"/>
      <c r="C967" s="344"/>
      <c r="D967" s="344"/>
      <c r="E967" s="345"/>
      <c r="F967" s="346"/>
      <c r="G967" s="344"/>
      <c r="H967" s="11"/>
      <c r="I967" s="346"/>
      <c r="J967" s="410"/>
      <c r="K967" s="410"/>
      <c r="L967" s="410"/>
    </row>
    <row r="968" spans="1:12">
      <c r="A968" s="344"/>
      <c r="B968" s="344"/>
      <c r="C968" s="344"/>
      <c r="D968" s="344"/>
      <c r="E968" s="345"/>
      <c r="F968" s="346"/>
      <c r="G968" s="344"/>
      <c r="H968" s="11"/>
      <c r="I968" s="346"/>
      <c r="J968" s="410"/>
      <c r="K968" s="410"/>
      <c r="L968" s="410"/>
    </row>
    <row r="969" spans="1:12">
      <c r="A969" s="344"/>
      <c r="B969" s="344"/>
      <c r="C969" s="344"/>
      <c r="D969" s="344"/>
      <c r="E969" s="345"/>
      <c r="F969" s="346"/>
      <c r="G969" s="344"/>
      <c r="H969" s="11"/>
      <c r="I969" s="346"/>
      <c r="J969" s="410"/>
      <c r="K969" s="410"/>
      <c r="L969" s="410"/>
    </row>
    <row r="970" spans="1:12">
      <c r="A970" s="344"/>
      <c r="B970" s="344"/>
      <c r="C970" s="344"/>
      <c r="D970" s="344"/>
      <c r="E970" s="345"/>
      <c r="F970" s="346"/>
      <c r="G970" s="344"/>
      <c r="H970" s="11"/>
      <c r="I970" s="346"/>
      <c r="J970" s="410"/>
      <c r="K970" s="410"/>
      <c r="L970" s="410"/>
    </row>
    <row r="971" spans="1:12">
      <c r="A971" s="344"/>
      <c r="B971" s="344"/>
      <c r="C971" s="344"/>
      <c r="D971" s="344"/>
      <c r="E971" s="345"/>
      <c r="F971" s="346"/>
      <c r="G971" s="344"/>
      <c r="H971" s="11"/>
      <c r="I971" s="346"/>
      <c r="J971" s="410"/>
      <c r="K971" s="410"/>
      <c r="L971" s="410"/>
    </row>
    <row r="972" spans="1:12">
      <c r="A972" s="344"/>
      <c r="B972" s="344"/>
      <c r="C972" s="344"/>
      <c r="D972" s="344"/>
      <c r="E972" s="345"/>
      <c r="F972" s="346"/>
      <c r="G972" s="344"/>
      <c r="H972" s="11"/>
      <c r="I972" s="346"/>
      <c r="J972" s="410"/>
      <c r="K972" s="410"/>
      <c r="L972" s="410"/>
    </row>
    <row r="973" spans="1:12">
      <c r="A973" s="344"/>
      <c r="B973" s="344"/>
      <c r="C973" s="344"/>
      <c r="D973" s="344"/>
      <c r="E973" s="345"/>
      <c r="F973" s="346"/>
      <c r="G973" s="344"/>
      <c r="H973" s="11"/>
      <c r="I973" s="346"/>
      <c r="J973" s="410"/>
      <c r="K973" s="410"/>
      <c r="L973" s="410"/>
    </row>
    <row r="974" spans="1:12">
      <c r="A974" s="344"/>
      <c r="B974" s="344"/>
      <c r="C974" s="344"/>
      <c r="D974" s="344"/>
      <c r="E974" s="345"/>
      <c r="F974" s="346"/>
      <c r="G974" s="344"/>
      <c r="H974" s="11"/>
      <c r="I974" s="346"/>
      <c r="J974" s="410"/>
      <c r="K974" s="410"/>
      <c r="L974" s="410"/>
    </row>
    <row r="975" spans="1:12">
      <c r="A975" s="344"/>
      <c r="B975" s="344"/>
      <c r="C975" s="344"/>
      <c r="D975" s="344"/>
      <c r="E975" s="345"/>
      <c r="F975" s="346"/>
      <c r="G975" s="344"/>
      <c r="H975" s="11"/>
      <c r="I975" s="346"/>
      <c r="J975" s="410"/>
      <c r="K975" s="410"/>
      <c r="L975" s="410"/>
    </row>
    <row r="976" spans="1:12">
      <c r="A976" s="344"/>
      <c r="B976" s="344"/>
      <c r="C976" s="344"/>
      <c r="D976" s="344"/>
      <c r="E976" s="345"/>
      <c r="F976" s="346"/>
      <c r="G976" s="344"/>
      <c r="H976" s="11"/>
      <c r="I976" s="346"/>
      <c r="J976" s="410"/>
      <c r="K976" s="410"/>
      <c r="L976" s="410"/>
    </row>
    <row r="977" spans="1:12">
      <c r="A977" s="344"/>
      <c r="B977" s="344"/>
      <c r="C977" s="344"/>
      <c r="D977" s="344"/>
      <c r="E977" s="345"/>
      <c r="F977" s="346"/>
      <c r="G977" s="344"/>
      <c r="H977" s="11"/>
      <c r="I977" s="346"/>
      <c r="J977" s="410"/>
      <c r="K977" s="410"/>
      <c r="L977" s="410"/>
    </row>
    <row r="978" spans="1:12">
      <c r="A978" s="344"/>
      <c r="B978" s="344"/>
      <c r="C978" s="344"/>
      <c r="D978" s="344"/>
      <c r="E978" s="345"/>
      <c r="F978" s="346"/>
      <c r="G978" s="344"/>
      <c r="H978" s="11"/>
      <c r="I978" s="346"/>
      <c r="J978" s="410"/>
      <c r="K978" s="410"/>
      <c r="L978" s="410"/>
    </row>
    <row r="979" spans="1:12">
      <c r="A979" s="344"/>
      <c r="B979" s="344"/>
      <c r="C979" s="344"/>
      <c r="D979" s="344"/>
      <c r="E979" s="345"/>
      <c r="F979" s="346"/>
      <c r="G979" s="344"/>
      <c r="H979" s="11"/>
      <c r="I979" s="346"/>
      <c r="J979" s="410"/>
      <c r="K979" s="410"/>
      <c r="L979" s="410"/>
    </row>
    <row r="980" spans="1:12">
      <c r="A980" s="344"/>
      <c r="B980" s="344"/>
      <c r="C980" s="344"/>
      <c r="D980" s="344"/>
      <c r="E980" s="345"/>
      <c r="F980" s="346"/>
      <c r="G980" s="344"/>
      <c r="H980" s="11"/>
      <c r="I980" s="346"/>
      <c r="J980" s="410"/>
      <c r="K980" s="410"/>
      <c r="L980" s="410"/>
    </row>
    <row r="981" spans="1:12">
      <c r="A981" s="344"/>
      <c r="B981" s="344"/>
      <c r="C981" s="344"/>
      <c r="D981" s="344"/>
      <c r="E981" s="345"/>
      <c r="F981" s="346"/>
      <c r="G981" s="344"/>
      <c r="H981" s="11"/>
      <c r="I981" s="346"/>
      <c r="J981" s="410"/>
      <c r="K981" s="410"/>
      <c r="L981" s="410"/>
    </row>
    <row r="982" spans="1:12">
      <c r="A982" s="344"/>
      <c r="B982" s="344"/>
      <c r="C982" s="344"/>
      <c r="D982" s="344"/>
      <c r="E982" s="345"/>
      <c r="F982" s="346"/>
      <c r="G982" s="344"/>
      <c r="H982" s="11"/>
      <c r="I982" s="346"/>
      <c r="J982" s="410"/>
      <c r="K982" s="410"/>
      <c r="L982" s="410"/>
    </row>
    <row r="983" spans="1:12">
      <c r="A983" s="344"/>
      <c r="B983" s="344"/>
      <c r="C983" s="344"/>
      <c r="D983" s="344"/>
      <c r="E983" s="345"/>
      <c r="F983" s="346"/>
      <c r="G983" s="344"/>
      <c r="H983" s="11"/>
      <c r="I983" s="346"/>
      <c r="J983" s="410"/>
      <c r="K983" s="410"/>
      <c r="L983" s="410"/>
    </row>
    <row r="984" spans="1:12">
      <c r="A984" s="344"/>
      <c r="B984" s="344"/>
      <c r="C984" s="344"/>
      <c r="D984" s="344"/>
      <c r="E984" s="345"/>
      <c r="F984" s="346"/>
      <c r="G984" s="344"/>
      <c r="H984" s="11"/>
      <c r="I984" s="346"/>
      <c r="J984" s="410"/>
      <c r="K984" s="410"/>
      <c r="L984" s="410"/>
    </row>
    <row r="985" spans="1:12">
      <c r="A985" s="344"/>
      <c r="B985" s="344"/>
      <c r="C985" s="344"/>
      <c r="D985" s="344"/>
      <c r="E985" s="345"/>
      <c r="F985" s="346"/>
      <c r="G985" s="344"/>
      <c r="H985" s="11"/>
      <c r="I985" s="346"/>
      <c r="J985" s="410"/>
      <c r="K985" s="410"/>
      <c r="L985" s="410"/>
    </row>
    <row r="986" spans="1:12">
      <c r="A986" s="344"/>
      <c r="B986" s="344"/>
      <c r="C986" s="344"/>
      <c r="D986" s="344"/>
      <c r="E986" s="345"/>
      <c r="F986" s="346"/>
      <c r="G986" s="344"/>
      <c r="H986" s="11"/>
      <c r="I986" s="346"/>
      <c r="J986" s="410"/>
      <c r="K986" s="410"/>
      <c r="L986" s="410"/>
    </row>
    <row r="987" spans="1:12">
      <c r="A987" s="344"/>
      <c r="B987" s="344"/>
      <c r="C987" s="344"/>
      <c r="D987" s="344"/>
      <c r="E987" s="345"/>
      <c r="F987" s="346"/>
      <c r="G987" s="344"/>
      <c r="H987" s="11"/>
      <c r="I987" s="346"/>
      <c r="J987" s="410"/>
      <c r="K987" s="410"/>
      <c r="L987" s="410"/>
    </row>
    <row r="988" spans="1:12">
      <c r="A988" s="344"/>
      <c r="B988" s="344"/>
      <c r="C988" s="344"/>
      <c r="D988" s="344"/>
      <c r="E988" s="345"/>
      <c r="F988" s="346"/>
      <c r="G988" s="344"/>
      <c r="H988" s="11"/>
      <c r="I988" s="346"/>
      <c r="J988" s="410"/>
      <c r="K988" s="410"/>
      <c r="L988" s="410"/>
    </row>
    <row r="989" spans="1:12">
      <c r="A989" s="344"/>
      <c r="B989" s="344"/>
      <c r="C989" s="344"/>
      <c r="D989" s="344"/>
      <c r="E989" s="345"/>
      <c r="F989" s="346"/>
      <c r="G989" s="344"/>
      <c r="H989" s="11"/>
      <c r="I989" s="346"/>
      <c r="J989" s="410"/>
      <c r="K989" s="410"/>
      <c r="L989" s="410"/>
    </row>
    <row r="990" spans="1:12">
      <c r="A990" s="344"/>
      <c r="B990" s="344"/>
      <c r="C990" s="344"/>
      <c r="D990" s="344"/>
      <c r="E990" s="345"/>
      <c r="F990" s="346"/>
      <c r="G990" s="344"/>
      <c r="H990" s="11"/>
      <c r="I990" s="346"/>
      <c r="J990" s="410"/>
      <c r="K990" s="410"/>
      <c r="L990" s="410"/>
    </row>
    <row r="991" spans="1:12">
      <c r="A991" s="344"/>
      <c r="B991" s="344"/>
      <c r="C991" s="344"/>
      <c r="D991" s="344"/>
      <c r="E991" s="345"/>
      <c r="F991" s="346"/>
      <c r="G991" s="344"/>
      <c r="H991" s="11"/>
      <c r="I991" s="346"/>
      <c r="J991" s="410"/>
      <c r="K991" s="410"/>
      <c r="L991" s="410"/>
    </row>
    <row r="992" spans="1:12">
      <c r="A992" s="344"/>
      <c r="B992" s="344"/>
      <c r="C992" s="344"/>
      <c r="D992" s="344"/>
      <c r="E992" s="345"/>
      <c r="F992" s="346"/>
      <c r="G992" s="344"/>
      <c r="H992" s="11"/>
      <c r="I992" s="346"/>
      <c r="J992" s="410"/>
      <c r="K992" s="410"/>
      <c r="L992" s="410"/>
    </row>
    <row r="993" spans="1:12">
      <c r="A993" s="344"/>
      <c r="B993" s="344"/>
      <c r="C993" s="344"/>
      <c r="D993" s="344"/>
      <c r="E993" s="345"/>
      <c r="F993" s="346"/>
      <c r="G993" s="344"/>
      <c r="H993" s="11"/>
      <c r="I993" s="346"/>
      <c r="J993" s="410"/>
      <c r="K993" s="410"/>
      <c r="L993" s="410"/>
    </row>
    <row r="994" spans="1:12">
      <c r="A994" s="344"/>
      <c r="B994" s="344"/>
      <c r="C994" s="344"/>
      <c r="D994" s="344"/>
      <c r="E994" s="345"/>
      <c r="F994" s="346"/>
      <c r="G994" s="344"/>
      <c r="H994" s="11"/>
      <c r="I994" s="346"/>
      <c r="J994" s="410"/>
      <c r="K994" s="410"/>
      <c r="L994" s="410"/>
    </row>
    <row r="995" spans="1:12">
      <c r="A995" s="344"/>
      <c r="B995" s="344"/>
      <c r="C995" s="344"/>
      <c r="D995" s="344"/>
      <c r="E995" s="345"/>
      <c r="F995" s="346"/>
      <c r="G995" s="344"/>
      <c r="H995" s="11"/>
      <c r="I995" s="346"/>
      <c r="J995" s="410"/>
      <c r="K995" s="410"/>
      <c r="L995" s="410"/>
    </row>
    <row r="996" spans="1:12">
      <c r="A996" s="344"/>
      <c r="B996" s="344"/>
      <c r="C996" s="344"/>
      <c r="D996" s="344"/>
      <c r="E996" s="345"/>
      <c r="F996" s="346"/>
      <c r="G996" s="344"/>
      <c r="H996" s="11"/>
      <c r="I996" s="346"/>
      <c r="J996" s="410"/>
      <c r="K996" s="410"/>
      <c r="L996" s="410"/>
    </row>
  </sheetData>
  <autoFilter ref="A3:L260"/>
  <mergeCells count="1">
    <mergeCell ref="I2:L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="73" zoomScaleNormal="73" workbookViewId="0">
      <pane ySplit="1" topLeftCell="A2" activePane="bottomLeft" state="frozen"/>
      <selection pane="bottomLeft" activeCell="L20" sqref="L20"/>
    </sheetView>
  </sheetViews>
  <sheetFormatPr baseColWidth="10" defaultColWidth="15.140625" defaultRowHeight="15" customHeight="1"/>
  <cols>
    <col min="1" max="1" width="5.140625" customWidth="1"/>
    <col min="2" max="2" width="5.7109375" customWidth="1"/>
    <col min="3" max="3" width="5.28515625" customWidth="1"/>
    <col min="4" max="4" width="18.42578125" customWidth="1"/>
    <col min="5" max="5" width="20.85546875" customWidth="1"/>
    <col min="6" max="6" width="7.140625" customWidth="1"/>
    <col min="7" max="7" width="8.5703125" customWidth="1"/>
    <col min="8" max="8" width="5.5703125" customWidth="1"/>
    <col min="9" max="9" width="18" customWidth="1"/>
    <col min="10" max="10" width="20" customWidth="1"/>
    <col min="11" max="11" width="33.7109375" customWidth="1"/>
    <col min="12" max="12" width="34" customWidth="1"/>
    <col min="13" max="18" width="8" customWidth="1"/>
  </cols>
  <sheetData>
    <row r="1" spans="1:18" ht="10.5" customHeight="1">
      <c r="A1" s="342"/>
      <c r="B1" s="342"/>
      <c r="C1" s="343"/>
      <c r="D1" s="344"/>
      <c r="E1" s="345"/>
      <c r="F1" s="346"/>
      <c r="G1" s="344"/>
      <c r="H1" s="347"/>
      <c r="I1" s="348" t="s">
        <v>262</v>
      </c>
      <c r="J1" s="349" t="s">
        <v>263</v>
      </c>
      <c r="K1" s="350" t="s">
        <v>264</v>
      </c>
      <c r="L1" s="350" t="s">
        <v>1</v>
      </c>
    </row>
    <row r="2" spans="1:18" ht="30" customHeight="1">
      <c r="A2" s="344"/>
      <c r="B2" s="344"/>
      <c r="C2" s="344"/>
      <c r="D2" s="344"/>
      <c r="E2" s="345"/>
      <c r="F2" s="346"/>
      <c r="G2" s="344"/>
      <c r="H2" s="11"/>
      <c r="I2" s="669"/>
      <c r="J2" s="670"/>
      <c r="K2" s="670"/>
      <c r="L2" s="670"/>
    </row>
    <row r="3" spans="1:18" ht="24.75" customHeight="1">
      <c r="A3" s="12" t="s">
        <v>3</v>
      </c>
      <c r="B3" s="12" t="s">
        <v>4</v>
      </c>
      <c r="C3" s="12" t="s">
        <v>5</v>
      </c>
      <c r="D3" s="12" t="s">
        <v>6</v>
      </c>
      <c r="E3" s="13" t="s">
        <v>7</v>
      </c>
      <c r="F3" s="12" t="s">
        <v>8</v>
      </c>
      <c r="G3" s="12" t="s">
        <v>9</v>
      </c>
      <c r="H3" s="12" t="s">
        <v>10</v>
      </c>
      <c r="I3" s="351" t="s">
        <v>262</v>
      </c>
      <c r="J3" s="349" t="s">
        <v>263</v>
      </c>
      <c r="K3" s="349" t="s">
        <v>264</v>
      </c>
      <c r="L3" s="12" t="s">
        <v>1</v>
      </c>
      <c r="M3" s="15"/>
      <c r="N3" s="15"/>
      <c r="O3" s="15"/>
      <c r="P3" s="15"/>
      <c r="Q3" s="15"/>
      <c r="R3" s="15"/>
    </row>
    <row r="4" spans="1:18" ht="15.75" customHeight="1">
      <c r="A4" s="352">
        <v>2</v>
      </c>
      <c r="B4" s="352">
        <v>1</v>
      </c>
      <c r="C4" s="352">
        <v>1</v>
      </c>
      <c r="D4" s="352" t="s">
        <v>22</v>
      </c>
      <c r="E4" s="353" t="s">
        <v>23</v>
      </c>
      <c r="F4" s="354" t="s">
        <v>25</v>
      </c>
      <c r="G4" s="355">
        <v>30876</v>
      </c>
      <c r="H4" s="356">
        <v>510</v>
      </c>
      <c r="I4" s="357"/>
      <c r="J4" s="358"/>
      <c r="K4" s="358"/>
      <c r="L4" s="358" t="s">
        <v>26</v>
      </c>
    </row>
    <row r="5" spans="1:18" ht="15.75" customHeight="1">
      <c r="A5" s="352">
        <v>2</v>
      </c>
      <c r="B5" s="352">
        <v>1</v>
      </c>
      <c r="C5" s="352">
        <v>2</v>
      </c>
      <c r="D5" s="352" t="s">
        <v>27</v>
      </c>
      <c r="E5" s="353" t="s">
        <v>28</v>
      </c>
      <c r="F5" s="354" t="s">
        <v>25</v>
      </c>
      <c r="G5" s="355">
        <v>30877</v>
      </c>
      <c r="H5" s="356">
        <v>250</v>
      </c>
      <c r="I5" s="357"/>
      <c r="J5" s="358"/>
      <c r="K5" s="358"/>
      <c r="L5" s="358" t="s">
        <v>26</v>
      </c>
    </row>
    <row r="6" spans="1:18" ht="15.75" customHeight="1">
      <c r="A6" s="352">
        <v>2</v>
      </c>
      <c r="B6" s="352">
        <v>1</v>
      </c>
      <c r="C6" s="352">
        <v>2</v>
      </c>
      <c r="D6" s="352" t="s">
        <v>22</v>
      </c>
      <c r="E6" s="353" t="s">
        <v>23</v>
      </c>
      <c r="F6" s="354" t="s">
        <v>25</v>
      </c>
      <c r="G6" s="355">
        <v>30876</v>
      </c>
      <c r="H6" s="356">
        <v>290</v>
      </c>
      <c r="I6" s="357"/>
      <c r="J6" s="358"/>
      <c r="K6" s="358"/>
      <c r="L6" s="358" t="s">
        <v>26</v>
      </c>
    </row>
    <row r="7" spans="1:18" ht="15.75" customHeight="1">
      <c r="A7" s="359">
        <v>2</v>
      </c>
      <c r="B7" s="359">
        <v>1</v>
      </c>
      <c r="C7" s="359">
        <v>3</v>
      </c>
      <c r="D7" s="359" t="s">
        <v>29</v>
      </c>
      <c r="E7" s="360" t="s">
        <v>30</v>
      </c>
      <c r="F7" s="361" t="s">
        <v>31</v>
      </c>
      <c r="G7" s="362">
        <v>50759</v>
      </c>
      <c r="H7" s="363">
        <v>232</v>
      </c>
      <c r="I7" s="364" t="s">
        <v>266</v>
      </c>
      <c r="J7" s="365">
        <v>1</v>
      </c>
      <c r="K7" s="365" t="s">
        <v>268</v>
      </c>
      <c r="L7" s="366"/>
    </row>
    <row r="8" spans="1:18" ht="15.75" customHeight="1">
      <c r="A8" s="359">
        <v>2</v>
      </c>
      <c r="B8" s="359">
        <v>1</v>
      </c>
      <c r="C8" s="359">
        <v>5</v>
      </c>
      <c r="D8" s="359" t="s">
        <v>32</v>
      </c>
      <c r="E8" s="360" t="s">
        <v>33</v>
      </c>
      <c r="F8" s="361" t="s">
        <v>34</v>
      </c>
      <c r="G8" s="362">
        <v>50616</v>
      </c>
      <c r="H8" s="363">
        <v>468</v>
      </c>
      <c r="I8" s="364" t="s">
        <v>265</v>
      </c>
      <c r="J8" s="365">
        <v>2</v>
      </c>
      <c r="K8" s="365" t="s">
        <v>269</v>
      </c>
      <c r="L8" s="366"/>
    </row>
    <row r="9" spans="1:18" ht="15.75" customHeight="1">
      <c r="A9" s="359">
        <v>2</v>
      </c>
      <c r="B9" s="359">
        <v>1</v>
      </c>
      <c r="C9" s="359">
        <v>8</v>
      </c>
      <c r="D9" s="359" t="s">
        <v>35</v>
      </c>
      <c r="E9" s="360" t="s">
        <v>36</v>
      </c>
      <c r="F9" s="361" t="s">
        <v>31</v>
      </c>
      <c r="G9" s="362">
        <v>50794</v>
      </c>
      <c r="H9" s="363">
        <v>392</v>
      </c>
      <c r="I9" s="364" t="s">
        <v>272</v>
      </c>
      <c r="J9" s="365">
        <v>3</v>
      </c>
      <c r="K9" s="365" t="s">
        <v>273</v>
      </c>
      <c r="L9" s="366"/>
    </row>
    <row r="10" spans="1:18" ht="15.75" customHeight="1">
      <c r="A10" s="359">
        <v>2</v>
      </c>
      <c r="B10" s="359">
        <v>1</v>
      </c>
      <c r="C10" s="359">
        <v>9</v>
      </c>
      <c r="D10" s="359" t="s">
        <v>37</v>
      </c>
      <c r="E10" s="360" t="s">
        <v>38</v>
      </c>
      <c r="F10" s="361" t="s">
        <v>34</v>
      </c>
      <c r="G10" s="362">
        <v>50663</v>
      </c>
      <c r="H10" s="363">
        <v>127</v>
      </c>
      <c r="I10" s="364" t="s">
        <v>265</v>
      </c>
      <c r="J10" s="365">
        <v>2</v>
      </c>
      <c r="K10" s="365" t="s">
        <v>269</v>
      </c>
      <c r="L10" s="366"/>
    </row>
    <row r="11" spans="1:18" ht="15.75" customHeight="1">
      <c r="A11" s="359">
        <v>2</v>
      </c>
      <c r="B11" s="359">
        <v>1</v>
      </c>
      <c r="C11" s="359">
        <v>9</v>
      </c>
      <c r="D11" s="359" t="s">
        <v>39</v>
      </c>
      <c r="E11" s="360" t="s">
        <v>40</v>
      </c>
      <c r="F11" s="361" t="s">
        <v>25</v>
      </c>
      <c r="G11" s="362">
        <v>50530</v>
      </c>
      <c r="H11" s="363">
        <v>48</v>
      </c>
      <c r="I11" s="364" t="s">
        <v>272</v>
      </c>
      <c r="J11" s="365">
        <v>3</v>
      </c>
      <c r="K11" s="365" t="s">
        <v>273</v>
      </c>
      <c r="L11" s="366"/>
    </row>
    <row r="12" spans="1:18" ht="15.75" customHeight="1">
      <c r="A12" s="84">
        <v>2</v>
      </c>
      <c r="B12" s="84">
        <v>1</v>
      </c>
      <c r="C12" s="84">
        <v>9</v>
      </c>
      <c r="D12" s="84" t="s">
        <v>41</v>
      </c>
      <c r="E12" s="367" t="s">
        <v>42</v>
      </c>
      <c r="F12" s="368" t="s">
        <v>25</v>
      </c>
      <c r="G12" s="369">
        <v>50721</v>
      </c>
      <c r="H12" s="370">
        <v>23</v>
      </c>
      <c r="I12" s="371"/>
      <c r="J12" s="372"/>
      <c r="K12" s="372"/>
      <c r="L12" s="372" t="s">
        <v>43</v>
      </c>
    </row>
    <row r="13" spans="1:18" ht="15.75" customHeight="1">
      <c r="A13" s="359">
        <v>2</v>
      </c>
      <c r="B13" s="359">
        <v>1</v>
      </c>
      <c r="C13" s="359">
        <v>11</v>
      </c>
      <c r="D13" s="359" t="s">
        <v>44</v>
      </c>
      <c r="E13" s="360" t="s">
        <v>45</v>
      </c>
      <c r="F13" s="361" t="s">
        <v>31</v>
      </c>
      <c r="G13" s="362">
        <v>50795</v>
      </c>
      <c r="H13" s="363">
        <v>754</v>
      </c>
      <c r="I13" s="364" t="s">
        <v>265</v>
      </c>
      <c r="J13" s="365">
        <v>2</v>
      </c>
      <c r="K13" s="365" t="s">
        <v>274</v>
      </c>
      <c r="L13" s="366"/>
    </row>
    <row r="14" spans="1:18" ht="15.75" customHeight="1">
      <c r="A14" s="359">
        <v>2</v>
      </c>
      <c r="B14" s="359">
        <v>1</v>
      </c>
      <c r="C14" s="359">
        <v>12</v>
      </c>
      <c r="D14" s="359" t="s">
        <v>46</v>
      </c>
      <c r="E14" s="360" t="s">
        <v>47</v>
      </c>
      <c r="F14" s="361" t="s">
        <v>25</v>
      </c>
      <c r="G14" s="362">
        <v>50262</v>
      </c>
      <c r="H14" s="363">
        <v>472</v>
      </c>
      <c r="I14" s="364" t="s">
        <v>265</v>
      </c>
      <c r="J14" s="365">
        <v>2</v>
      </c>
      <c r="K14" s="365" t="s">
        <v>269</v>
      </c>
      <c r="L14" s="366"/>
    </row>
    <row r="15" spans="1:18" ht="15.75" customHeight="1">
      <c r="A15" s="359">
        <v>2</v>
      </c>
      <c r="B15" s="359">
        <v>1</v>
      </c>
      <c r="C15" s="359">
        <v>13</v>
      </c>
      <c r="D15" s="359" t="s">
        <v>32</v>
      </c>
      <c r="E15" s="360" t="s">
        <v>33</v>
      </c>
      <c r="F15" s="361" t="s">
        <v>48</v>
      </c>
      <c r="G15" s="362">
        <v>50267</v>
      </c>
      <c r="H15" s="363">
        <v>442</v>
      </c>
      <c r="I15" s="364" t="s">
        <v>265</v>
      </c>
      <c r="J15" s="365">
        <v>2</v>
      </c>
      <c r="K15" s="365" t="s">
        <v>269</v>
      </c>
      <c r="L15" s="366"/>
    </row>
    <row r="16" spans="1:18" ht="15.75" customHeight="1">
      <c r="A16" s="359">
        <v>2</v>
      </c>
      <c r="B16" s="359">
        <v>1</v>
      </c>
      <c r="C16" s="359">
        <v>13</v>
      </c>
      <c r="D16" s="359" t="s">
        <v>32</v>
      </c>
      <c r="E16" s="360" t="s">
        <v>33</v>
      </c>
      <c r="F16" s="361" t="s">
        <v>34</v>
      </c>
      <c r="G16" s="362">
        <v>50462</v>
      </c>
      <c r="H16" s="363">
        <v>206</v>
      </c>
      <c r="I16" s="364" t="s">
        <v>265</v>
      </c>
      <c r="J16" s="365">
        <v>2</v>
      </c>
      <c r="K16" s="365" t="s">
        <v>269</v>
      </c>
      <c r="L16" s="366"/>
    </row>
    <row r="17" spans="1:26" ht="15.75" customHeight="1">
      <c r="A17" s="359">
        <v>2</v>
      </c>
      <c r="B17" s="359">
        <v>1</v>
      </c>
      <c r="C17" s="359">
        <v>13</v>
      </c>
      <c r="D17" s="359" t="s">
        <v>32</v>
      </c>
      <c r="E17" s="360" t="s">
        <v>33</v>
      </c>
      <c r="F17" s="361" t="s">
        <v>34</v>
      </c>
      <c r="G17" s="362">
        <v>50616</v>
      </c>
      <c r="H17" s="363">
        <v>21</v>
      </c>
      <c r="I17" s="364" t="s">
        <v>265</v>
      </c>
      <c r="J17" s="365">
        <v>2</v>
      </c>
      <c r="K17" s="365" t="s">
        <v>269</v>
      </c>
      <c r="L17" s="366"/>
    </row>
    <row r="18" spans="1:26" ht="15.75" customHeight="1">
      <c r="A18" s="359">
        <v>2</v>
      </c>
      <c r="B18" s="359">
        <v>1</v>
      </c>
      <c r="C18" s="359">
        <v>13</v>
      </c>
      <c r="D18" s="359" t="s">
        <v>32</v>
      </c>
      <c r="E18" s="360" t="s">
        <v>33</v>
      </c>
      <c r="F18" s="361" t="s">
        <v>31</v>
      </c>
      <c r="G18" s="362">
        <v>50184</v>
      </c>
      <c r="H18" s="363">
        <v>39</v>
      </c>
      <c r="I18" s="364" t="s">
        <v>265</v>
      </c>
      <c r="J18" s="365">
        <v>2</v>
      </c>
      <c r="K18" s="365" t="s">
        <v>269</v>
      </c>
      <c r="L18" s="366"/>
    </row>
    <row r="19" spans="1:26" ht="15.75" customHeight="1">
      <c r="A19" s="359">
        <v>2</v>
      </c>
      <c r="B19" s="359">
        <v>1</v>
      </c>
      <c r="C19" s="359">
        <v>13</v>
      </c>
      <c r="D19" s="359" t="s">
        <v>32</v>
      </c>
      <c r="E19" s="360" t="s">
        <v>33</v>
      </c>
      <c r="F19" s="361" t="s">
        <v>34</v>
      </c>
      <c r="G19" s="362">
        <v>50104</v>
      </c>
      <c r="H19" s="363">
        <v>22</v>
      </c>
      <c r="I19" s="364" t="s">
        <v>265</v>
      </c>
      <c r="J19" s="365">
        <v>2</v>
      </c>
      <c r="K19" s="365" t="s">
        <v>269</v>
      </c>
      <c r="L19" s="366"/>
    </row>
    <row r="20" spans="1:26" ht="15.75" customHeight="1">
      <c r="A20" s="359">
        <v>2</v>
      </c>
      <c r="B20" s="359">
        <v>1</v>
      </c>
      <c r="C20" s="359">
        <v>14</v>
      </c>
      <c r="D20" s="359" t="s">
        <v>49</v>
      </c>
      <c r="E20" s="360" t="s">
        <v>50</v>
      </c>
      <c r="F20" s="361" t="s">
        <v>25</v>
      </c>
      <c r="G20" s="362">
        <v>50874</v>
      </c>
      <c r="H20" s="363">
        <v>282</v>
      </c>
      <c r="I20" s="364" t="s">
        <v>272</v>
      </c>
      <c r="J20" s="365">
        <v>3</v>
      </c>
      <c r="K20" s="365" t="s">
        <v>273</v>
      </c>
      <c r="L20" s="366"/>
    </row>
    <row r="21" spans="1:26" ht="15.75" customHeight="1">
      <c r="A21" s="359">
        <v>2</v>
      </c>
      <c r="B21" s="359">
        <v>1</v>
      </c>
      <c r="C21" s="359">
        <v>14</v>
      </c>
      <c r="D21" s="359" t="s">
        <v>51</v>
      </c>
      <c r="E21" s="360" t="s">
        <v>52</v>
      </c>
      <c r="F21" s="361" t="s">
        <v>25</v>
      </c>
      <c r="G21" s="362">
        <v>50875</v>
      </c>
      <c r="H21" s="363">
        <v>348</v>
      </c>
      <c r="I21" s="364" t="s">
        <v>272</v>
      </c>
      <c r="J21" s="365">
        <v>3</v>
      </c>
      <c r="K21" s="365" t="s">
        <v>273</v>
      </c>
      <c r="L21" s="366"/>
    </row>
    <row r="22" spans="1:26" ht="15.75" customHeight="1">
      <c r="A22" s="324">
        <v>2</v>
      </c>
      <c r="B22" s="324">
        <v>1</v>
      </c>
      <c r="C22" s="324">
        <v>14</v>
      </c>
      <c r="D22" s="324" t="s">
        <v>53</v>
      </c>
      <c r="E22" s="373" t="s">
        <v>54</v>
      </c>
      <c r="F22" s="374" t="s">
        <v>25</v>
      </c>
      <c r="G22" s="375">
        <v>50877</v>
      </c>
      <c r="H22" s="376">
        <v>101</v>
      </c>
      <c r="I22" s="377"/>
      <c r="J22" s="378"/>
      <c r="K22" s="378"/>
      <c r="L22" s="378" t="s">
        <v>55</v>
      </c>
    </row>
    <row r="23" spans="1:26" ht="15.75" customHeight="1">
      <c r="A23" s="359">
        <v>2</v>
      </c>
      <c r="B23" s="359">
        <v>1</v>
      </c>
      <c r="C23" s="359">
        <v>15</v>
      </c>
      <c r="D23" s="359" t="s">
        <v>56</v>
      </c>
      <c r="E23" s="360" t="s">
        <v>57</v>
      </c>
      <c r="F23" s="361" t="s">
        <v>34</v>
      </c>
      <c r="G23" s="362">
        <v>50594</v>
      </c>
      <c r="H23" s="363">
        <v>154</v>
      </c>
      <c r="I23" s="364" t="s">
        <v>266</v>
      </c>
      <c r="J23" s="365">
        <v>1</v>
      </c>
      <c r="K23" s="365" t="s">
        <v>276</v>
      </c>
      <c r="L23" s="366"/>
    </row>
    <row r="24" spans="1:26" ht="15.75" customHeight="1">
      <c r="A24" s="359">
        <v>2</v>
      </c>
      <c r="B24" s="359">
        <v>1</v>
      </c>
      <c r="C24" s="359">
        <v>16</v>
      </c>
      <c r="D24" s="359" t="s">
        <v>58</v>
      </c>
      <c r="E24" s="360" t="s">
        <v>59</v>
      </c>
      <c r="F24" s="361" t="s">
        <v>31</v>
      </c>
      <c r="G24" s="362">
        <v>50797</v>
      </c>
      <c r="H24" s="363">
        <v>311</v>
      </c>
      <c r="I24" s="364" t="s">
        <v>277</v>
      </c>
      <c r="J24" s="365">
        <v>2</v>
      </c>
      <c r="K24" s="365" t="s">
        <v>270</v>
      </c>
      <c r="L24" s="366"/>
    </row>
    <row r="25" spans="1:26" ht="15.75" customHeight="1">
      <c r="A25" s="359">
        <v>2</v>
      </c>
      <c r="B25" s="359">
        <v>1</v>
      </c>
      <c r="C25" s="359">
        <v>17</v>
      </c>
      <c r="D25" s="359" t="s">
        <v>60</v>
      </c>
      <c r="E25" s="360" t="s">
        <v>61</v>
      </c>
      <c r="F25" s="361" t="s">
        <v>34</v>
      </c>
      <c r="G25" s="362">
        <v>50467</v>
      </c>
      <c r="H25" s="363">
        <v>426</v>
      </c>
      <c r="I25" s="364" t="s">
        <v>277</v>
      </c>
      <c r="J25" s="365">
        <v>2</v>
      </c>
      <c r="K25" s="365" t="s">
        <v>269</v>
      </c>
      <c r="L25" s="366"/>
    </row>
    <row r="26" spans="1:26" ht="15.75" customHeight="1">
      <c r="A26" s="359">
        <v>2</v>
      </c>
      <c r="B26" s="359">
        <v>1</v>
      </c>
      <c r="C26" s="359">
        <v>18</v>
      </c>
      <c r="D26" s="359" t="s">
        <v>46</v>
      </c>
      <c r="E26" s="360" t="s">
        <v>47</v>
      </c>
      <c r="F26" s="361" t="s">
        <v>25</v>
      </c>
      <c r="G26" s="362">
        <v>50262</v>
      </c>
      <c r="H26" s="363">
        <v>81</v>
      </c>
      <c r="I26" s="364" t="s">
        <v>272</v>
      </c>
      <c r="J26" s="365">
        <v>3</v>
      </c>
      <c r="K26" s="365" t="s">
        <v>273</v>
      </c>
      <c r="L26" s="366"/>
    </row>
    <row r="27" spans="1:26" ht="15.75" customHeight="1">
      <c r="A27" s="359">
        <v>2</v>
      </c>
      <c r="B27" s="359">
        <v>1</v>
      </c>
      <c r="C27" s="359">
        <v>18</v>
      </c>
      <c r="D27" s="359" t="s">
        <v>46</v>
      </c>
      <c r="E27" s="360" t="s">
        <v>47</v>
      </c>
      <c r="F27" s="361" t="s">
        <v>34</v>
      </c>
      <c r="G27" s="362">
        <v>50542</v>
      </c>
      <c r="H27" s="363">
        <v>109</v>
      </c>
      <c r="I27" s="364" t="s">
        <v>272</v>
      </c>
      <c r="J27" s="365">
        <v>3</v>
      </c>
      <c r="K27" s="365" t="s">
        <v>273</v>
      </c>
      <c r="L27" s="366"/>
    </row>
    <row r="28" spans="1:26" ht="15.75" customHeight="1">
      <c r="A28" s="359">
        <v>2</v>
      </c>
      <c r="B28" s="359">
        <v>2</v>
      </c>
      <c r="C28" s="359">
        <v>2</v>
      </c>
      <c r="D28" s="359" t="s">
        <v>62</v>
      </c>
      <c r="E28" s="360" t="s">
        <v>63</v>
      </c>
      <c r="F28" s="361" t="s">
        <v>34</v>
      </c>
      <c r="G28" s="362">
        <v>50752</v>
      </c>
      <c r="H28" s="363">
        <v>89</v>
      </c>
      <c r="I28" s="364" t="s">
        <v>277</v>
      </c>
      <c r="J28" s="365">
        <v>2</v>
      </c>
      <c r="K28" s="365" t="s">
        <v>269</v>
      </c>
      <c r="L28" s="366"/>
    </row>
    <row r="29" spans="1:26" ht="15.75" customHeight="1">
      <c r="A29" s="84">
        <v>2</v>
      </c>
      <c r="B29" s="84">
        <v>2</v>
      </c>
      <c r="C29" s="84">
        <v>2</v>
      </c>
      <c r="D29" s="84" t="s">
        <v>64</v>
      </c>
      <c r="E29" s="367" t="s">
        <v>65</v>
      </c>
      <c r="F29" s="368" t="s">
        <v>31</v>
      </c>
      <c r="G29" s="369">
        <v>30869</v>
      </c>
      <c r="H29" s="370">
        <v>319</v>
      </c>
      <c r="I29" s="371"/>
      <c r="J29" s="372"/>
      <c r="K29" s="372"/>
      <c r="L29" s="372" t="s">
        <v>43</v>
      </c>
    </row>
    <row r="30" spans="1:26" ht="15.75" customHeight="1">
      <c r="A30" s="84">
        <v>2</v>
      </c>
      <c r="B30" s="84">
        <v>2</v>
      </c>
      <c r="C30" s="84">
        <v>2</v>
      </c>
      <c r="D30" s="84" t="s">
        <v>62</v>
      </c>
      <c r="E30" s="367" t="s">
        <v>63</v>
      </c>
      <c r="F30" s="368" t="s">
        <v>34</v>
      </c>
      <c r="G30" s="369">
        <v>50719</v>
      </c>
      <c r="H30" s="370">
        <v>25</v>
      </c>
      <c r="I30" s="368"/>
      <c r="J30" s="372"/>
      <c r="K30" s="372"/>
      <c r="L30" s="372" t="s">
        <v>43</v>
      </c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</row>
    <row r="31" spans="1:26" ht="15.75" customHeight="1">
      <c r="A31" s="359">
        <v>2</v>
      </c>
      <c r="B31" s="359">
        <v>2</v>
      </c>
      <c r="C31" s="359">
        <v>2</v>
      </c>
      <c r="D31" s="359" t="s">
        <v>62</v>
      </c>
      <c r="E31" s="360" t="s">
        <v>63</v>
      </c>
      <c r="F31" s="361" t="s">
        <v>25</v>
      </c>
      <c r="G31" s="362">
        <v>50188</v>
      </c>
      <c r="H31" s="363">
        <v>24</v>
      </c>
      <c r="I31" s="364" t="s">
        <v>265</v>
      </c>
      <c r="J31" s="365">
        <v>2</v>
      </c>
      <c r="K31" s="365" t="s">
        <v>269</v>
      </c>
      <c r="L31" s="366"/>
    </row>
    <row r="32" spans="1:26" ht="15.75" customHeight="1">
      <c r="A32" s="359">
        <v>2</v>
      </c>
      <c r="B32" s="359">
        <v>2</v>
      </c>
      <c r="C32" s="359">
        <v>3</v>
      </c>
      <c r="D32" s="359" t="s">
        <v>66</v>
      </c>
      <c r="E32" s="360" t="s">
        <v>67</v>
      </c>
      <c r="F32" s="361" t="s">
        <v>68</v>
      </c>
      <c r="G32" s="362">
        <v>50632</v>
      </c>
      <c r="H32" s="363">
        <v>220</v>
      </c>
      <c r="I32" s="364" t="s">
        <v>272</v>
      </c>
      <c r="J32" s="365">
        <v>3</v>
      </c>
      <c r="K32" s="365" t="s">
        <v>273</v>
      </c>
      <c r="L32" s="366"/>
    </row>
    <row r="33" spans="1:12" ht="15.75" customHeight="1">
      <c r="A33" s="359">
        <v>2</v>
      </c>
      <c r="B33" s="359">
        <v>2</v>
      </c>
      <c r="C33" s="359">
        <v>3</v>
      </c>
      <c r="D33" s="359" t="s">
        <v>66</v>
      </c>
      <c r="E33" s="360" t="s">
        <v>67</v>
      </c>
      <c r="F33" s="361" t="s">
        <v>34</v>
      </c>
      <c r="G33" s="362">
        <v>50558</v>
      </c>
      <c r="H33" s="363">
        <v>227</v>
      </c>
      <c r="I33" s="364" t="s">
        <v>272</v>
      </c>
      <c r="J33" s="365">
        <v>3</v>
      </c>
      <c r="K33" s="365" t="s">
        <v>273</v>
      </c>
      <c r="L33" s="366"/>
    </row>
    <row r="34" spans="1:12" ht="15.75" customHeight="1">
      <c r="A34" s="359">
        <v>2</v>
      </c>
      <c r="B34" s="359">
        <v>2</v>
      </c>
      <c r="C34" s="359">
        <v>4</v>
      </c>
      <c r="D34" s="359" t="s">
        <v>69</v>
      </c>
      <c r="E34" s="360" t="s">
        <v>70</v>
      </c>
      <c r="F34" s="361" t="s">
        <v>25</v>
      </c>
      <c r="G34" s="362">
        <v>50754</v>
      </c>
      <c r="H34" s="363">
        <v>205</v>
      </c>
      <c r="I34" s="364" t="s">
        <v>265</v>
      </c>
      <c r="J34" s="365">
        <v>2</v>
      </c>
      <c r="K34" s="365" t="s">
        <v>282</v>
      </c>
      <c r="L34" s="366"/>
    </row>
    <row r="35" spans="1:12" ht="15.75" customHeight="1">
      <c r="A35" s="359">
        <v>2</v>
      </c>
      <c r="B35" s="359">
        <v>2</v>
      </c>
      <c r="C35" s="359">
        <v>4</v>
      </c>
      <c r="D35" s="359" t="s">
        <v>69</v>
      </c>
      <c r="E35" s="360" t="s">
        <v>70</v>
      </c>
      <c r="F35" s="361" t="s">
        <v>68</v>
      </c>
      <c r="G35" s="362">
        <v>50820</v>
      </c>
      <c r="H35" s="363">
        <v>9</v>
      </c>
      <c r="I35" s="364" t="s">
        <v>265</v>
      </c>
      <c r="J35" s="365">
        <v>2</v>
      </c>
      <c r="K35" s="365" t="s">
        <v>270</v>
      </c>
      <c r="L35" s="366"/>
    </row>
    <row r="36" spans="1:12" ht="15.75" customHeight="1">
      <c r="A36" s="359">
        <v>2</v>
      </c>
      <c r="B36" s="359">
        <v>2</v>
      </c>
      <c r="C36" s="359">
        <v>5</v>
      </c>
      <c r="D36" s="359" t="s">
        <v>60</v>
      </c>
      <c r="E36" s="360" t="s">
        <v>71</v>
      </c>
      <c r="F36" s="361" t="s">
        <v>31</v>
      </c>
      <c r="G36" s="362">
        <v>50764</v>
      </c>
      <c r="H36" s="363">
        <v>175</v>
      </c>
      <c r="I36" s="364" t="s">
        <v>265</v>
      </c>
      <c r="J36" s="365">
        <v>2</v>
      </c>
      <c r="K36" s="365" t="s">
        <v>269</v>
      </c>
      <c r="L36" s="366"/>
    </row>
    <row r="37" spans="1:12" ht="15.75" customHeight="1">
      <c r="A37" s="359">
        <v>2</v>
      </c>
      <c r="B37" s="359">
        <v>2</v>
      </c>
      <c r="C37" s="359">
        <v>8</v>
      </c>
      <c r="D37" s="359" t="s">
        <v>72</v>
      </c>
      <c r="E37" s="360" t="s">
        <v>73</v>
      </c>
      <c r="F37" s="361" t="s">
        <v>34</v>
      </c>
      <c r="G37" s="362">
        <v>50426</v>
      </c>
      <c r="H37" s="363">
        <v>320</v>
      </c>
      <c r="I37" s="364" t="s">
        <v>272</v>
      </c>
      <c r="J37" s="365">
        <v>3</v>
      </c>
      <c r="K37" s="365" t="s">
        <v>273</v>
      </c>
      <c r="L37" s="366"/>
    </row>
    <row r="38" spans="1:12" ht="15.75" customHeight="1">
      <c r="A38" s="359">
        <v>2</v>
      </c>
      <c r="B38" s="359">
        <v>2</v>
      </c>
      <c r="C38" s="359">
        <v>8</v>
      </c>
      <c r="D38" s="359" t="s">
        <v>72</v>
      </c>
      <c r="E38" s="360" t="s">
        <v>73</v>
      </c>
      <c r="F38" s="361" t="s">
        <v>34</v>
      </c>
      <c r="G38" s="362">
        <v>50760</v>
      </c>
      <c r="H38" s="363">
        <v>140</v>
      </c>
      <c r="I38" s="364" t="s">
        <v>272</v>
      </c>
      <c r="J38" s="365">
        <v>3</v>
      </c>
      <c r="K38" s="365" t="s">
        <v>273</v>
      </c>
      <c r="L38" s="366"/>
    </row>
    <row r="39" spans="1:12" ht="15.75" customHeight="1">
      <c r="A39" s="84">
        <v>2</v>
      </c>
      <c r="B39" s="84">
        <v>2</v>
      </c>
      <c r="C39" s="84">
        <v>9</v>
      </c>
      <c r="D39" s="84" t="s">
        <v>60</v>
      </c>
      <c r="E39" s="367" t="s">
        <v>71</v>
      </c>
      <c r="F39" s="368" t="s">
        <v>31</v>
      </c>
      <c r="G39" s="369">
        <v>50764</v>
      </c>
      <c r="H39" s="370">
        <v>48</v>
      </c>
      <c r="I39" s="368"/>
      <c r="J39" s="372"/>
      <c r="K39" s="372"/>
      <c r="L39" s="380"/>
    </row>
    <row r="40" spans="1:12" ht="15.75" customHeight="1">
      <c r="A40" s="359">
        <v>2</v>
      </c>
      <c r="B40" s="359">
        <v>2</v>
      </c>
      <c r="C40" s="359">
        <v>11</v>
      </c>
      <c r="D40" s="359" t="s">
        <v>74</v>
      </c>
      <c r="E40" s="360" t="s">
        <v>75</v>
      </c>
      <c r="F40" s="361" t="s">
        <v>25</v>
      </c>
      <c r="G40" s="362">
        <v>50736</v>
      </c>
      <c r="H40" s="363">
        <v>354</v>
      </c>
      <c r="I40" s="364" t="s">
        <v>272</v>
      </c>
      <c r="J40" s="365">
        <v>3</v>
      </c>
      <c r="K40" s="365" t="s">
        <v>273</v>
      </c>
      <c r="L40" s="366"/>
    </row>
    <row r="41" spans="1:12" ht="15.75" customHeight="1">
      <c r="A41" s="359">
        <v>2</v>
      </c>
      <c r="B41" s="359">
        <v>2</v>
      </c>
      <c r="C41" s="359">
        <v>11</v>
      </c>
      <c r="D41" s="359" t="s">
        <v>74</v>
      </c>
      <c r="E41" s="360" t="s">
        <v>75</v>
      </c>
      <c r="F41" s="361" t="s">
        <v>34</v>
      </c>
      <c r="G41" s="362">
        <v>50505</v>
      </c>
      <c r="H41" s="363">
        <v>15</v>
      </c>
      <c r="I41" s="364" t="s">
        <v>272</v>
      </c>
      <c r="J41" s="365">
        <v>3</v>
      </c>
      <c r="K41" s="365" t="s">
        <v>273</v>
      </c>
      <c r="L41" s="366"/>
    </row>
    <row r="42" spans="1:12" ht="15.75" customHeight="1">
      <c r="A42" s="359">
        <v>2</v>
      </c>
      <c r="B42" s="359">
        <v>2</v>
      </c>
      <c r="C42" s="359">
        <v>13</v>
      </c>
      <c r="D42" s="359" t="s">
        <v>60</v>
      </c>
      <c r="E42" s="360" t="s">
        <v>61</v>
      </c>
      <c r="F42" s="361" t="s">
        <v>25</v>
      </c>
      <c r="G42" s="362">
        <v>50749</v>
      </c>
      <c r="H42" s="363">
        <v>200</v>
      </c>
      <c r="I42" s="364" t="s">
        <v>265</v>
      </c>
      <c r="J42" s="365">
        <v>2</v>
      </c>
      <c r="K42" s="365" t="s">
        <v>269</v>
      </c>
      <c r="L42" s="381"/>
    </row>
    <row r="43" spans="1:12" ht="15.75" customHeight="1">
      <c r="A43" s="359">
        <v>2</v>
      </c>
      <c r="B43" s="359">
        <v>2</v>
      </c>
      <c r="C43" s="359">
        <v>13</v>
      </c>
      <c r="D43" s="359" t="s">
        <v>76</v>
      </c>
      <c r="E43" s="360" t="s">
        <v>77</v>
      </c>
      <c r="F43" s="361" t="s">
        <v>25</v>
      </c>
      <c r="G43" s="362">
        <v>50748</v>
      </c>
      <c r="H43" s="363">
        <v>296</v>
      </c>
      <c r="I43" s="364" t="s">
        <v>265</v>
      </c>
      <c r="J43" s="365">
        <v>2</v>
      </c>
      <c r="K43" s="365" t="s">
        <v>284</v>
      </c>
      <c r="L43" s="381"/>
    </row>
    <row r="44" spans="1:12" ht="15.75" customHeight="1">
      <c r="A44" s="359">
        <v>2</v>
      </c>
      <c r="B44" s="359">
        <v>2</v>
      </c>
      <c r="C44" s="359">
        <v>18</v>
      </c>
      <c r="D44" s="359" t="s">
        <v>72</v>
      </c>
      <c r="E44" s="360" t="s">
        <v>73</v>
      </c>
      <c r="F44" s="361" t="s">
        <v>25</v>
      </c>
      <c r="G44" s="362">
        <v>50706</v>
      </c>
      <c r="H44" s="363">
        <v>71</v>
      </c>
      <c r="I44" s="364" t="s">
        <v>272</v>
      </c>
      <c r="J44" s="365">
        <v>3</v>
      </c>
      <c r="K44" s="365" t="s">
        <v>273</v>
      </c>
      <c r="L44" s="381"/>
    </row>
    <row r="45" spans="1:12" ht="15.75" customHeight="1">
      <c r="A45" s="359">
        <v>2</v>
      </c>
      <c r="B45" s="359">
        <v>3</v>
      </c>
      <c r="C45" s="359">
        <v>1</v>
      </c>
      <c r="D45" s="359" t="s">
        <v>78</v>
      </c>
      <c r="E45" s="360" t="s">
        <v>79</v>
      </c>
      <c r="F45" s="361" t="s">
        <v>31</v>
      </c>
      <c r="G45" s="362">
        <v>50801</v>
      </c>
      <c r="H45" s="363">
        <v>371</v>
      </c>
      <c r="I45" s="364" t="s">
        <v>265</v>
      </c>
      <c r="J45" s="365">
        <v>2</v>
      </c>
      <c r="K45" s="365" t="s">
        <v>284</v>
      </c>
      <c r="L45" s="381"/>
    </row>
    <row r="46" spans="1:12" ht="15.75" customHeight="1">
      <c r="A46" s="359">
        <v>2</v>
      </c>
      <c r="B46" s="359">
        <v>3</v>
      </c>
      <c r="C46" s="359">
        <v>1</v>
      </c>
      <c r="D46" s="359" t="s">
        <v>78</v>
      </c>
      <c r="E46" s="360" t="s">
        <v>79</v>
      </c>
      <c r="F46" s="361" t="s">
        <v>68</v>
      </c>
      <c r="G46" s="362">
        <v>50814</v>
      </c>
      <c r="H46" s="363">
        <v>218</v>
      </c>
      <c r="I46" s="364" t="s">
        <v>272</v>
      </c>
      <c r="J46" s="365">
        <v>3</v>
      </c>
      <c r="K46" s="365" t="s">
        <v>273</v>
      </c>
      <c r="L46" s="366"/>
    </row>
    <row r="47" spans="1:12" ht="15.75" customHeight="1">
      <c r="A47" s="359">
        <v>2</v>
      </c>
      <c r="B47" s="359">
        <v>3</v>
      </c>
      <c r="C47" s="359">
        <v>1</v>
      </c>
      <c r="D47" s="359" t="s">
        <v>78</v>
      </c>
      <c r="E47" s="360" t="s">
        <v>79</v>
      </c>
      <c r="F47" s="361" t="s">
        <v>25</v>
      </c>
      <c r="G47" s="362">
        <v>50741</v>
      </c>
      <c r="H47" s="363">
        <v>55</v>
      </c>
      <c r="I47" s="364" t="s">
        <v>272</v>
      </c>
      <c r="J47" s="365">
        <v>3</v>
      </c>
      <c r="K47" s="365" t="s">
        <v>273</v>
      </c>
      <c r="L47" s="366"/>
    </row>
    <row r="48" spans="1:12" ht="15.75" customHeight="1">
      <c r="A48" s="359">
        <v>2</v>
      </c>
      <c r="B48" s="359">
        <v>3</v>
      </c>
      <c r="C48" s="359">
        <v>1</v>
      </c>
      <c r="D48" s="359" t="s">
        <v>78</v>
      </c>
      <c r="E48" s="360" t="s">
        <v>79</v>
      </c>
      <c r="F48" s="361" t="s">
        <v>31</v>
      </c>
      <c r="G48" s="362">
        <v>50791</v>
      </c>
      <c r="H48" s="363">
        <v>49</v>
      </c>
      <c r="I48" s="364" t="s">
        <v>272</v>
      </c>
      <c r="J48" s="365">
        <v>3</v>
      </c>
      <c r="K48" s="365" t="s">
        <v>288</v>
      </c>
      <c r="L48" s="366"/>
    </row>
    <row r="49" spans="1:13" ht="15.75" customHeight="1">
      <c r="A49" s="359">
        <v>2</v>
      </c>
      <c r="B49" s="359">
        <v>3</v>
      </c>
      <c r="C49" s="359">
        <v>1</v>
      </c>
      <c r="D49" s="359" t="s">
        <v>78</v>
      </c>
      <c r="E49" s="360" t="s">
        <v>79</v>
      </c>
      <c r="F49" s="361" t="s">
        <v>34</v>
      </c>
      <c r="G49" s="362">
        <v>50850</v>
      </c>
      <c r="H49" s="363">
        <v>46</v>
      </c>
      <c r="I49" s="364" t="s">
        <v>272</v>
      </c>
      <c r="J49" s="365">
        <v>3</v>
      </c>
      <c r="K49" s="365" t="s">
        <v>273</v>
      </c>
      <c r="L49" s="366"/>
    </row>
    <row r="50" spans="1:13" ht="15.75" customHeight="1">
      <c r="A50" s="359">
        <v>2</v>
      </c>
      <c r="B50" s="359">
        <v>3</v>
      </c>
      <c r="C50" s="359">
        <v>2</v>
      </c>
      <c r="D50" s="359" t="s">
        <v>81</v>
      </c>
      <c r="E50" s="360" t="s">
        <v>82</v>
      </c>
      <c r="F50" s="361" t="s">
        <v>25</v>
      </c>
      <c r="G50" s="362">
        <v>50723</v>
      </c>
      <c r="H50" s="363">
        <v>44</v>
      </c>
      <c r="I50" s="364" t="s">
        <v>265</v>
      </c>
      <c r="J50" s="365">
        <v>2</v>
      </c>
      <c r="K50" s="365" t="s">
        <v>269</v>
      </c>
      <c r="L50" s="366"/>
    </row>
    <row r="51" spans="1:13" ht="15.75" customHeight="1">
      <c r="A51" s="359">
        <v>2</v>
      </c>
      <c r="B51" s="359">
        <v>3</v>
      </c>
      <c r="C51" s="359">
        <v>2</v>
      </c>
      <c r="D51" s="359" t="s">
        <v>81</v>
      </c>
      <c r="E51" s="360" t="s">
        <v>82</v>
      </c>
      <c r="F51" s="361" t="s">
        <v>34</v>
      </c>
      <c r="G51" s="362">
        <v>50518</v>
      </c>
      <c r="H51" s="363">
        <v>61</v>
      </c>
      <c r="I51" s="364" t="s">
        <v>265</v>
      </c>
      <c r="J51" s="365">
        <v>2</v>
      </c>
      <c r="K51" s="365" t="s">
        <v>269</v>
      </c>
      <c r="L51" s="366"/>
    </row>
    <row r="52" spans="1:13" ht="15.75" customHeight="1">
      <c r="A52" s="382">
        <v>2</v>
      </c>
      <c r="B52" s="359">
        <v>3</v>
      </c>
      <c r="C52" s="359">
        <v>2</v>
      </c>
      <c r="D52" s="359" t="s">
        <v>85</v>
      </c>
      <c r="E52" s="360" t="s">
        <v>86</v>
      </c>
      <c r="F52" s="361" t="s">
        <v>68</v>
      </c>
      <c r="G52" s="362">
        <v>50832</v>
      </c>
      <c r="H52" s="363">
        <v>251</v>
      </c>
      <c r="I52" s="364" t="s">
        <v>265</v>
      </c>
      <c r="J52" s="365">
        <v>2</v>
      </c>
      <c r="K52" s="365" t="s">
        <v>269</v>
      </c>
      <c r="L52" s="366"/>
    </row>
    <row r="53" spans="1:13" ht="15.75" customHeight="1">
      <c r="A53" s="359">
        <v>2</v>
      </c>
      <c r="B53" s="359">
        <v>3</v>
      </c>
      <c r="C53" s="359">
        <v>2</v>
      </c>
      <c r="D53" s="359" t="s">
        <v>81</v>
      </c>
      <c r="E53" s="360" t="s">
        <v>82</v>
      </c>
      <c r="F53" s="361" t="s">
        <v>34</v>
      </c>
      <c r="G53" s="362">
        <v>50628</v>
      </c>
      <c r="H53" s="363">
        <v>28</v>
      </c>
      <c r="I53" s="364" t="s">
        <v>265</v>
      </c>
      <c r="J53" s="365">
        <v>2</v>
      </c>
      <c r="K53" s="365" t="s">
        <v>269</v>
      </c>
      <c r="L53" s="366"/>
    </row>
    <row r="54" spans="1:13" ht="15.75" customHeight="1">
      <c r="A54" s="359">
        <v>2</v>
      </c>
      <c r="B54" s="359">
        <v>3</v>
      </c>
      <c r="C54" s="359">
        <v>2</v>
      </c>
      <c r="D54" s="359" t="s">
        <v>81</v>
      </c>
      <c r="E54" s="360" t="s">
        <v>82</v>
      </c>
      <c r="F54" s="361" t="s">
        <v>34</v>
      </c>
      <c r="G54" s="362">
        <v>50520</v>
      </c>
      <c r="H54" s="363">
        <v>142</v>
      </c>
      <c r="I54" s="364" t="s">
        <v>265</v>
      </c>
      <c r="J54" s="365">
        <v>2</v>
      </c>
      <c r="K54" s="365" t="s">
        <v>269</v>
      </c>
      <c r="L54" s="366"/>
    </row>
    <row r="55" spans="1:13" ht="15.75" customHeight="1">
      <c r="A55" s="324">
        <v>2</v>
      </c>
      <c r="B55" s="324">
        <v>3</v>
      </c>
      <c r="C55" s="324">
        <v>2</v>
      </c>
      <c r="D55" s="324" t="s">
        <v>81</v>
      </c>
      <c r="E55" s="373" t="s">
        <v>82</v>
      </c>
      <c r="F55" s="374" t="s">
        <v>34</v>
      </c>
      <c r="G55" s="375">
        <v>50483</v>
      </c>
      <c r="H55" s="376">
        <v>3</v>
      </c>
      <c r="I55" s="374"/>
      <c r="J55" s="378"/>
      <c r="K55" s="378"/>
      <c r="L55" s="378" t="s">
        <v>55</v>
      </c>
    </row>
    <row r="56" spans="1:13" ht="15.75" customHeight="1">
      <c r="A56" s="383">
        <v>2</v>
      </c>
      <c r="B56" s="383">
        <v>3</v>
      </c>
      <c r="C56" s="383">
        <v>3</v>
      </c>
      <c r="D56" s="383" t="s">
        <v>72</v>
      </c>
      <c r="E56" s="384" t="s">
        <v>73</v>
      </c>
      <c r="F56" s="385" t="s">
        <v>68</v>
      </c>
      <c r="G56" s="386">
        <v>50618</v>
      </c>
      <c r="H56" s="387">
        <v>96</v>
      </c>
      <c r="I56" s="385" t="s">
        <v>265</v>
      </c>
      <c r="J56" s="388">
        <v>2</v>
      </c>
      <c r="K56" s="388" t="s">
        <v>284</v>
      </c>
      <c r="L56" s="388" t="s">
        <v>87</v>
      </c>
    </row>
    <row r="57" spans="1:13" ht="15.75" customHeight="1">
      <c r="A57" s="359">
        <v>2</v>
      </c>
      <c r="B57" s="359">
        <v>3</v>
      </c>
      <c r="C57" s="359">
        <v>4</v>
      </c>
      <c r="D57" s="359" t="s">
        <v>72</v>
      </c>
      <c r="E57" s="360" t="s">
        <v>73</v>
      </c>
      <c r="F57" s="361" t="s">
        <v>31</v>
      </c>
      <c r="G57" s="362">
        <v>50803</v>
      </c>
      <c r="H57" s="363">
        <v>486</v>
      </c>
      <c r="I57" s="364" t="s">
        <v>265</v>
      </c>
      <c r="J57" s="365">
        <v>2</v>
      </c>
      <c r="K57" s="365" t="s">
        <v>284</v>
      </c>
      <c r="L57" s="366"/>
    </row>
    <row r="58" spans="1:13" ht="15.75" customHeight="1">
      <c r="A58" s="383">
        <v>2</v>
      </c>
      <c r="B58" s="383">
        <v>3</v>
      </c>
      <c r="C58" s="383">
        <v>4</v>
      </c>
      <c r="D58" s="383" t="s">
        <v>72</v>
      </c>
      <c r="E58" s="384" t="s">
        <v>73</v>
      </c>
      <c r="F58" s="385" t="s">
        <v>68</v>
      </c>
      <c r="G58" s="386">
        <v>50618</v>
      </c>
      <c r="H58" s="387">
        <v>49</v>
      </c>
      <c r="I58" s="385" t="s">
        <v>265</v>
      </c>
      <c r="J58" s="388">
        <v>2</v>
      </c>
      <c r="K58" s="388" t="s">
        <v>284</v>
      </c>
      <c r="L58" s="388" t="s">
        <v>87</v>
      </c>
      <c r="M58" s="91"/>
    </row>
    <row r="59" spans="1:13" ht="15.75" customHeight="1">
      <c r="A59" s="359">
        <v>2</v>
      </c>
      <c r="B59" s="359">
        <v>3</v>
      </c>
      <c r="C59" s="359">
        <v>5</v>
      </c>
      <c r="D59" s="359" t="s">
        <v>89</v>
      </c>
      <c r="E59" s="360" t="s">
        <v>90</v>
      </c>
      <c r="F59" s="361" t="s">
        <v>34</v>
      </c>
      <c r="G59" s="362">
        <v>50854</v>
      </c>
      <c r="H59" s="363">
        <v>179</v>
      </c>
      <c r="I59" s="364" t="s">
        <v>265</v>
      </c>
      <c r="J59" s="365">
        <v>2</v>
      </c>
      <c r="K59" s="365" t="s">
        <v>270</v>
      </c>
      <c r="L59" s="366"/>
    </row>
    <row r="60" spans="1:13" ht="15.75" customHeight="1">
      <c r="A60" s="359">
        <v>2</v>
      </c>
      <c r="B60" s="359">
        <v>3</v>
      </c>
      <c r="C60" s="359">
        <v>5</v>
      </c>
      <c r="D60" s="359" t="s">
        <v>89</v>
      </c>
      <c r="E60" s="360" t="s">
        <v>90</v>
      </c>
      <c r="F60" s="361" t="s">
        <v>25</v>
      </c>
      <c r="G60" s="362">
        <v>50846</v>
      </c>
      <c r="H60" s="363">
        <v>114</v>
      </c>
      <c r="I60" s="364" t="s">
        <v>265</v>
      </c>
      <c r="J60" s="365">
        <v>2</v>
      </c>
      <c r="K60" s="365" t="s">
        <v>268</v>
      </c>
      <c r="L60" s="366"/>
    </row>
    <row r="61" spans="1:13" ht="15.75" customHeight="1">
      <c r="A61" s="359">
        <v>2</v>
      </c>
      <c r="B61" s="359">
        <v>3</v>
      </c>
      <c r="C61" s="359">
        <v>6</v>
      </c>
      <c r="D61" s="359" t="s">
        <v>58</v>
      </c>
      <c r="E61" s="360" t="s">
        <v>59</v>
      </c>
      <c r="F61" s="361" t="s">
        <v>68</v>
      </c>
      <c r="G61" s="362">
        <v>50816</v>
      </c>
      <c r="H61" s="363">
        <v>983</v>
      </c>
      <c r="I61" s="364" t="s">
        <v>265</v>
      </c>
      <c r="J61" s="364">
        <v>2</v>
      </c>
      <c r="K61" s="365" t="s">
        <v>268</v>
      </c>
      <c r="L61" s="390"/>
    </row>
    <row r="62" spans="1:13" ht="15.75" customHeight="1">
      <c r="A62" s="359">
        <v>2</v>
      </c>
      <c r="B62" s="359">
        <v>3</v>
      </c>
      <c r="C62" s="359">
        <v>6</v>
      </c>
      <c r="D62" s="359" t="s">
        <v>58</v>
      </c>
      <c r="E62" s="360" t="s">
        <v>59</v>
      </c>
      <c r="F62" s="361" t="s">
        <v>34</v>
      </c>
      <c r="G62" s="362">
        <v>50773</v>
      </c>
      <c r="H62" s="363">
        <v>13</v>
      </c>
      <c r="I62" s="364" t="s">
        <v>265</v>
      </c>
      <c r="J62" s="365">
        <v>2</v>
      </c>
      <c r="K62" s="365" t="s">
        <v>269</v>
      </c>
      <c r="L62" s="366"/>
    </row>
    <row r="63" spans="1:13" ht="15.75" customHeight="1">
      <c r="A63" s="359">
        <v>2</v>
      </c>
      <c r="B63" s="359">
        <v>3</v>
      </c>
      <c r="C63" s="359">
        <v>6</v>
      </c>
      <c r="D63" s="359" t="s">
        <v>91</v>
      </c>
      <c r="E63" s="360" t="s">
        <v>92</v>
      </c>
      <c r="F63" s="361" t="s">
        <v>31</v>
      </c>
      <c r="G63" s="362">
        <v>50784</v>
      </c>
      <c r="H63" s="363">
        <v>32</v>
      </c>
      <c r="I63" s="364" t="s">
        <v>265</v>
      </c>
      <c r="J63" s="365">
        <v>2</v>
      </c>
      <c r="K63" s="365" t="s">
        <v>269</v>
      </c>
      <c r="L63" s="366"/>
    </row>
    <row r="64" spans="1:13" ht="15.75" customHeight="1">
      <c r="A64" s="359">
        <v>2</v>
      </c>
      <c r="B64" s="359">
        <v>3</v>
      </c>
      <c r="C64" s="359">
        <v>7</v>
      </c>
      <c r="D64" s="359" t="s">
        <v>93</v>
      </c>
      <c r="E64" s="360" t="s">
        <v>94</v>
      </c>
      <c r="F64" s="361" t="s">
        <v>34</v>
      </c>
      <c r="G64" s="362">
        <v>50604</v>
      </c>
      <c r="H64" s="363">
        <v>350</v>
      </c>
      <c r="I64" s="364" t="s">
        <v>272</v>
      </c>
      <c r="J64" s="365">
        <v>3</v>
      </c>
      <c r="K64" s="365" t="s">
        <v>273</v>
      </c>
      <c r="L64" s="366"/>
    </row>
    <row r="65" spans="1:12" ht="15.75" customHeight="1">
      <c r="A65" s="324">
        <v>2</v>
      </c>
      <c r="B65" s="324">
        <v>3</v>
      </c>
      <c r="C65" s="324">
        <v>7</v>
      </c>
      <c r="D65" s="324" t="s">
        <v>72</v>
      </c>
      <c r="E65" s="373" t="s">
        <v>73</v>
      </c>
      <c r="F65" s="374" t="s">
        <v>31</v>
      </c>
      <c r="G65" s="375">
        <v>50803</v>
      </c>
      <c r="H65" s="376">
        <v>132</v>
      </c>
      <c r="I65" s="377"/>
      <c r="J65" s="378"/>
      <c r="K65" s="378"/>
      <c r="L65" s="378" t="s">
        <v>55</v>
      </c>
    </row>
    <row r="66" spans="1:12" ht="15.75" customHeight="1">
      <c r="A66" s="359">
        <v>2</v>
      </c>
      <c r="B66" s="359">
        <v>3</v>
      </c>
      <c r="C66" s="359">
        <v>8</v>
      </c>
      <c r="D66" s="359" t="s">
        <v>95</v>
      </c>
      <c r="E66" s="360" t="s">
        <v>96</v>
      </c>
      <c r="F66" s="361" t="s">
        <v>34</v>
      </c>
      <c r="G66" s="362">
        <v>50886</v>
      </c>
      <c r="H66" s="363">
        <v>289</v>
      </c>
      <c r="I66" s="364" t="s">
        <v>272</v>
      </c>
      <c r="J66" s="365">
        <v>3</v>
      </c>
      <c r="K66" s="365" t="s">
        <v>273</v>
      </c>
      <c r="L66" s="366"/>
    </row>
    <row r="67" spans="1:12" ht="15.75" customHeight="1">
      <c r="A67" s="359">
        <v>2</v>
      </c>
      <c r="B67" s="359">
        <v>3</v>
      </c>
      <c r="C67" s="359">
        <v>8</v>
      </c>
      <c r="D67" s="359" t="s">
        <v>74</v>
      </c>
      <c r="E67" s="360" t="s">
        <v>75</v>
      </c>
      <c r="F67" s="361" t="s">
        <v>34</v>
      </c>
      <c r="G67" s="362">
        <v>50887</v>
      </c>
      <c r="H67" s="363">
        <v>179</v>
      </c>
      <c r="I67" s="364" t="s">
        <v>272</v>
      </c>
      <c r="J67" s="365">
        <v>3</v>
      </c>
      <c r="K67" s="365" t="s">
        <v>273</v>
      </c>
      <c r="L67" s="366"/>
    </row>
    <row r="68" spans="1:12" ht="15.75" customHeight="1">
      <c r="A68" s="359">
        <v>2</v>
      </c>
      <c r="B68" s="359">
        <v>3</v>
      </c>
      <c r="C68" s="359">
        <v>9</v>
      </c>
      <c r="D68" s="359" t="s">
        <v>97</v>
      </c>
      <c r="E68" s="360" t="s">
        <v>98</v>
      </c>
      <c r="F68" s="361" t="s">
        <v>68</v>
      </c>
      <c r="G68" s="362">
        <v>50845</v>
      </c>
      <c r="H68" s="363">
        <v>459</v>
      </c>
      <c r="I68" s="364" t="s">
        <v>272</v>
      </c>
      <c r="J68" s="365">
        <v>3</v>
      </c>
      <c r="K68" s="365" t="s">
        <v>273</v>
      </c>
      <c r="L68" s="366"/>
    </row>
    <row r="69" spans="1:12" ht="15.75" customHeight="1">
      <c r="A69" s="84">
        <v>2</v>
      </c>
      <c r="B69" s="84">
        <v>3</v>
      </c>
      <c r="C69" s="84">
        <v>9</v>
      </c>
      <c r="D69" s="84" t="s">
        <v>97</v>
      </c>
      <c r="E69" s="367" t="s">
        <v>98</v>
      </c>
      <c r="F69" s="368" t="s">
        <v>34</v>
      </c>
      <c r="G69" s="369">
        <v>50590</v>
      </c>
      <c r="H69" s="370">
        <v>3</v>
      </c>
      <c r="I69" s="368"/>
      <c r="J69" s="372"/>
      <c r="K69" s="372"/>
      <c r="L69" s="372" t="s">
        <v>43</v>
      </c>
    </row>
    <row r="70" spans="1:12" ht="15.75" customHeight="1">
      <c r="A70" s="359">
        <v>2</v>
      </c>
      <c r="B70" s="359">
        <v>3</v>
      </c>
      <c r="C70" s="359">
        <v>9</v>
      </c>
      <c r="D70" s="359" t="s">
        <v>99</v>
      </c>
      <c r="E70" s="391"/>
      <c r="F70" s="361" t="s">
        <v>25</v>
      </c>
      <c r="G70" s="362">
        <v>50848</v>
      </c>
      <c r="H70" s="363">
        <v>217</v>
      </c>
      <c r="I70" s="364" t="s">
        <v>272</v>
      </c>
      <c r="J70" s="365">
        <v>3</v>
      </c>
      <c r="K70" s="365" t="s">
        <v>273</v>
      </c>
      <c r="L70" s="366"/>
    </row>
    <row r="71" spans="1:12" ht="15.75" customHeight="1">
      <c r="A71" s="324">
        <v>2</v>
      </c>
      <c r="B71" s="324">
        <v>3</v>
      </c>
      <c r="C71" s="324">
        <v>9</v>
      </c>
      <c r="D71" s="324" t="s">
        <v>100</v>
      </c>
      <c r="E71" s="373" t="s">
        <v>101</v>
      </c>
      <c r="F71" s="374" t="s">
        <v>68</v>
      </c>
      <c r="G71" s="375">
        <v>50645</v>
      </c>
      <c r="H71" s="376">
        <v>102</v>
      </c>
      <c r="I71" s="377"/>
      <c r="J71" s="378"/>
      <c r="K71" s="378"/>
      <c r="L71" s="378" t="s">
        <v>55</v>
      </c>
    </row>
    <row r="72" spans="1:12" ht="15.75" customHeight="1">
      <c r="A72" s="359">
        <v>2</v>
      </c>
      <c r="B72" s="359">
        <v>3</v>
      </c>
      <c r="C72" s="359">
        <v>9</v>
      </c>
      <c r="D72" s="359" t="s">
        <v>100</v>
      </c>
      <c r="E72" s="360" t="s">
        <v>101</v>
      </c>
      <c r="F72" s="361" t="s">
        <v>25</v>
      </c>
      <c r="G72" s="362">
        <v>50746</v>
      </c>
      <c r="H72" s="363">
        <v>53</v>
      </c>
      <c r="I72" s="364" t="s">
        <v>265</v>
      </c>
      <c r="J72" s="365">
        <v>2</v>
      </c>
      <c r="K72" s="365" t="s">
        <v>269</v>
      </c>
      <c r="L72" s="366"/>
    </row>
    <row r="73" spans="1:12" ht="15.75" customHeight="1">
      <c r="A73" s="359">
        <v>2</v>
      </c>
      <c r="B73" s="359">
        <v>3</v>
      </c>
      <c r="C73" s="359">
        <v>9</v>
      </c>
      <c r="D73" s="359" t="s">
        <v>100</v>
      </c>
      <c r="E73" s="360" t="s">
        <v>101</v>
      </c>
      <c r="F73" s="361" t="s">
        <v>31</v>
      </c>
      <c r="G73" s="362">
        <v>50804</v>
      </c>
      <c r="H73" s="363">
        <v>29</v>
      </c>
      <c r="I73" s="364" t="s">
        <v>265</v>
      </c>
      <c r="J73" s="365">
        <v>2</v>
      </c>
      <c r="K73" s="365" t="s">
        <v>269</v>
      </c>
      <c r="L73" s="366"/>
    </row>
    <row r="74" spans="1:12" ht="15.75" customHeight="1">
      <c r="A74" s="359">
        <v>2</v>
      </c>
      <c r="B74" s="359">
        <v>3</v>
      </c>
      <c r="C74" s="359">
        <v>11</v>
      </c>
      <c r="D74" s="359" t="s">
        <v>102</v>
      </c>
      <c r="E74" s="360" t="s">
        <v>103</v>
      </c>
      <c r="F74" s="361" t="s">
        <v>31</v>
      </c>
      <c r="G74" s="362">
        <v>50821</v>
      </c>
      <c r="H74" s="363">
        <v>369</v>
      </c>
      <c r="I74" s="364" t="s">
        <v>272</v>
      </c>
      <c r="J74" s="365">
        <v>3</v>
      </c>
      <c r="K74" s="365" t="s">
        <v>273</v>
      </c>
      <c r="L74" s="366"/>
    </row>
    <row r="75" spans="1:12" ht="15.75" customHeight="1">
      <c r="A75" s="324">
        <v>2</v>
      </c>
      <c r="B75" s="324">
        <v>3</v>
      </c>
      <c r="C75" s="324">
        <v>11</v>
      </c>
      <c r="D75" s="324" t="s">
        <v>102</v>
      </c>
      <c r="E75" s="373" t="s">
        <v>103</v>
      </c>
      <c r="F75" s="374" t="s">
        <v>34</v>
      </c>
      <c r="G75" s="375">
        <v>50415</v>
      </c>
      <c r="H75" s="376">
        <v>4</v>
      </c>
      <c r="I75" s="377"/>
      <c r="J75" s="378"/>
      <c r="K75" s="378"/>
      <c r="L75" s="378" t="s">
        <v>55</v>
      </c>
    </row>
    <row r="76" spans="1:12" ht="15.75" customHeight="1">
      <c r="A76" s="359">
        <v>2</v>
      </c>
      <c r="B76" s="359">
        <v>3</v>
      </c>
      <c r="C76" s="359">
        <v>11</v>
      </c>
      <c r="D76" s="359" t="s">
        <v>102</v>
      </c>
      <c r="E76" s="360" t="s">
        <v>104</v>
      </c>
      <c r="F76" s="361" t="s">
        <v>68</v>
      </c>
      <c r="G76" s="362">
        <v>50658</v>
      </c>
      <c r="H76" s="363">
        <v>136</v>
      </c>
      <c r="I76" s="364" t="s">
        <v>272</v>
      </c>
      <c r="J76" s="365">
        <v>3</v>
      </c>
      <c r="K76" s="365" t="s">
        <v>273</v>
      </c>
      <c r="L76" s="366"/>
    </row>
    <row r="77" spans="1:12" ht="15.75" customHeight="1">
      <c r="A77" s="359">
        <v>2</v>
      </c>
      <c r="B77" s="359">
        <v>3</v>
      </c>
      <c r="C77" s="359">
        <v>12</v>
      </c>
      <c r="D77" s="359" t="s">
        <v>102</v>
      </c>
      <c r="E77" s="360" t="s">
        <v>103</v>
      </c>
      <c r="F77" s="361" t="s">
        <v>68</v>
      </c>
      <c r="G77" s="362">
        <v>50817</v>
      </c>
      <c r="H77" s="363">
        <v>1429</v>
      </c>
      <c r="I77" s="364" t="s">
        <v>272</v>
      </c>
      <c r="J77" s="365">
        <v>3</v>
      </c>
      <c r="K77" s="365" t="s">
        <v>273</v>
      </c>
      <c r="L77" s="366"/>
    </row>
    <row r="78" spans="1:12" ht="15.75" customHeight="1">
      <c r="A78" s="359">
        <v>2</v>
      </c>
      <c r="B78" s="359">
        <v>3</v>
      </c>
      <c r="C78" s="359">
        <v>13</v>
      </c>
      <c r="D78" s="359" t="s">
        <v>105</v>
      </c>
      <c r="E78" s="360" t="s">
        <v>106</v>
      </c>
      <c r="F78" s="361" t="s">
        <v>25</v>
      </c>
      <c r="G78" s="362">
        <v>50859</v>
      </c>
      <c r="H78" s="363">
        <v>349</v>
      </c>
      <c r="I78" s="364" t="s">
        <v>272</v>
      </c>
      <c r="J78" s="365">
        <v>3</v>
      </c>
      <c r="K78" s="365" t="s">
        <v>273</v>
      </c>
      <c r="L78" s="366"/>
    </row>
    <row r="79" spans="1:12" ht="15.75" customHeight="1">
      <c r="A79" s="359">
        <v>2</v>
      </c>
      <c r="B79" s="359">
        <v>3</v>
      </c>
      <c r="C79" s="359">
        <v>13</v>
      </c>
      <c r="D79" s="359" t="s">
        <v>105</v>
      </c>
      <c r="E79" s="360" t="s">
        <v>106</v>
      </c>
      <c r="F79" s="361" t="s">
        <v>25</v>
      </c>
      <c r="G79" s="362">
        <v>50735</v>
      </c>
      <c r="H79" s="363">
        <v>22</v>
      </c>
      <c r="I79" s="364" t="s">
        <v>272</v>
      </c>
      <c r="J79" s="365">
        <v>3</v>
      </c>
      <c r="K79" s="365" t="s">
        <v>273</v>
      </c>
      <c r="L79" s="366"/>
    </row>
    <row r="80" spans="1:12" ht="15.75" customHeight="1">
      <c r="A80" s="359">
        <v>2</v>
      </c>
      <c r="B80" s="359">
        <v>3</v>
      </c>
      <c r="C80" s="359">
        <v>13</v>
      </c>
      <c r="D80" s="359" t="s">
        <v>105</v>
      </c>
      <c r="E80" s="360" t="s">
        <v>106</v>
      </c>
      <c r="F80" s="361" t="s">
        <v>25</v>
      </c>
      <c r="G80" s="362">
        <v>50756</v>
      </c>
      <c r="H80" s="363">
        <v>37</v>
      </c>
      <c r="I80" s="364" t="s">
        <v>272</v>
      </c>
      <c r="J80" s="365">
        <v>3</v>
      </c>
      <c r="K80" s="365" t="s">
        <v>273</v>
      </c>
      <c r="L80" s="366"/>
    </row>
    <row r="81" spans="1:18" ht="15.75" customHeight="1">
      <c r="A81" s="359">
        <v>2</v>
      </c>
      <c r="B81" s="359">
        <v>3</v>
      </c>
      <c r="C81" s="359">
        <v>13</v>
      </c>
      <c r="D81" s="359" t="s">
        <v>105</v>
      </c>
      <c r="E81" s="360" t="s">
        <v>106</v>
      </c>
      <c r="F81" s="361" t="s">
        <v>68</v>
      </c>
      <c r="G81" s="362">
        <v>50836</v>
      </c>
      <c r="H81" s="363">
        <v>172</v>
      </c>
      <c r="I81" s="364" t="s">
        <v>272</v>
      </c>
      <c r="J81" s="365">
        <v>3</v>
      </c>
      <c r="K81" s="365" t="s">
        <v>273</v>
      </c>
      <c r="L81" s="366"/>
    </row>
    <row r="82" spans="1:18" ht="15.75" customHeight="1">
      <c r="A82" s="359">
        <v>2</v>
      </c>
      <c r="B82" s="359">
        <v>3</v>
      </c>
      <c r="C82" s="359">
        <v>14</v>
      </c>
      <c r="D82" s="359" t="s">
        <v>107</v>
      </c>
      <c r="E82" s="360" t="s">
        <v>108</v>
      </c>
      <c r="F82" s="361" t="s">
        <v>25</v>
      </c>
      <c r="G82" s="362">
        <v>50847</v>
      </c>
      <c r="H82" s="363">
        <v>371</v>
      </c>
      <c r="I82" s="364" t="s">
        <v>272</v>
      </c>
      <c r="J82" s="365">
        <v>3</v>
      </c>
      <c r="K82" s="365" t="s">
        <v>273</v>
      </c>
      <c r="L82" s="366"/>
    </row>
    <row r="83" spans="1:18" ht="15.75" customHeight="1">
      <c r="A83" s="359">
        <v>2</v>
      </c>
      <c r="B83" s="359">
        <v>3</v>
      </c>
      <c r="C83" s="359">
        <v>14</v>
      </c>
      <c r="D83" s="359" t="s">
        <v>107</v>
      </c>
      <c r="E83" s="360" t="s">
        <v>108</v>
      </c>
      <c r="F83" s="361" t="s">
        <v>109</v>
      </c>
      <c r="G83" s="362">
        <v>50743</v>
      </c>
      <c r="H83" s="363">
        <v>88</v>
      </c>
      <c r="I83" s="364" t="s">
        <v>272</v>
      </c>
      <c r="J83" s="365">
        <v>3</v>
      </c>
      <c r="K83" s="365" t="s">
        <v>273</v>
      </c>
      <c r="L83" s="366"/>
    </row>
    <row r="84" spans="1:18" ht="15.75" customHeight="1">
      <c r="A84" s="359">
        <v>2</v>
      </c>
      <c r="B84" s="359">
        <v>3</v>
      </c>
      <c r="C84" s="359">
        <v>17</v>
      </c>
      <c r="D84" s="359" t="s">
        <v>60</v>
      </c>
      <c r="E84" s="360" t="s">
        <v>71</v>
      </c>
      <c r="F84" s="361" t="s">
        <v>25</v>
      </c>
      <c r="G84" s="362">
        <v>50747</v>
      </c>
      <c r="H84" s="363">
        <v>1</v>
      </c>
      <c r="I84" s="364" t="s">
        <v>265</v>
      </c>
      <c r="J84" s="365">
        <v>2</v>
      </c>
      <c r="K84" s="365" t="s">
        <v>280</v>
      </c>
      <c r="L84" s="366"/>
    </row>
    <row r="85" spans="1:18" ht="15.75" customHeight="1">
      <c r="A85" s="101">
        <v>2</v>
      </c>
      <c r="B85" s="101">
        <v>3</v>
      </c>
      <c r="C85" s="101">
        <v>17</v>
      </c>
      <c r="D85" s="101" t="s">
        <v>60</v>
      </c>
      <c r="E85" s="104" t="s">
        <v>61</v>
      </c>
      <c r="F85" s="392" t="s">
        <v>25</v>
      </c>
      <c r="G85" s="107">
        <v>50733</v>
      </c>
      <c r="H85" s="110">
        <v>114</v>
      </c>
      <c r="I85" s="392" t="s">
        <v>265</v>
      </c>
      <c r="J85" s="393">
        <v>2</v>
      </c>
      <c r="K85" s="393" t="s">
        <v>280</v>
      </c>
      <c r="L85" s="393" t="s">
        <v>111</v>
      </c>
      <c r="M85" s="90"/>
      <c r="N85" s="90"/>
      <c r="O85" s="90"/>
      <c r="P85" s="90"/>
      <c r="Q85" s="90"/>
      <c r="R85" s="90"/>
    </row>
    <row r="86" spans="1:18" ht="15.75" customHeight="1">
      <c r="A86" s="359">
        <v>2</v>
      </c>
      <c r="B86" s="359">
        <v>3</v>
      </c>
      <c r="C86" s="359">
        <v>17</v>
      </c>
      <c r="D86" s="359" t="s">
        <v>60</v>
      </c>
      <c r="E86" s="360" t="s">
        <v>61</v>
      </c>
      <c r="F86" s="361" t="s">
        <v>68</v>
      </c>
      <c r="G86" s="362">
        <v>50636</v>
      </c>
      <c r="H86" s="363">
        <v>36</v>
      </c>
      <c r="I86" s="364" t="s">
        <v>265</v>
      </c>
      <c r="J86" s="365">
        <v>2</v>
      </c>
      <c r="K86" s="365" t="s">
        <v>293</v>
      </c>
      <c r="L86" s="366"/>
    </row>
    <row r="87" spans="1:18" ht="15.75" customHeight="1">
      <c r="A87" s="84">
        <v>2</v>
      </c>
      <c r="B87" s="84">
        <v>3</v>
      </c>
      <c r="C87" s="84">
        <v>17</v>
      </c>
      <c r="D87" s="84" t="s">
        <v>60</v>
      </c>
      <c r="E87" s="367" t="s">
        <v>61</v>
      </c>
      <c r="F87" s="368" t="s">
        <v>68</v>
      </c>
      <c r="G87" s="369">
        <v>50668</v>
      </c>
      <c r="H87" s="370">
        <v>34</v>
      </c>
      <c r="I87" s="371"/>
      <c r="J87" s="372"/>
      <c r="K87" s="372"/>
      <c r="L87" s="372" t="s">
        <v>43</v>
      </c>
    </row>
    <row r="88" spans="1:18" ht="15.75" customHeight="1">
      <c r="A88" s="359">
        <v>2</v>
      </c>
      <c r="B88" s="359">
        <v>3</v>
      </c>
      <c r="C88" s="359">
        <v>17</v>
      </c>
      <c r="D88" s="359" t="s">
        <v>60</v>
      </c>
      <c r="E88" s="360" t="s">
        <v>61</v>
      </c>
      <c r="F88" s="361" t="s">
        <v>68</v>
      </c>
      <c r="G88" s="362">
        <v>50626</v>
      </c>
      <c r="H88" s="363">
        <v>8</v>
      </c>
      <c r="I88" s="364" t="s">
        <v>265</v>
      </c>
      <c r="J88" s="365">
        <v>2</v>
      </c>
      <c r="K88" s="365" t="s">
        <v>280</v>
      </c>
      <c r="L88" s="366"/>
    </row>
    <row r="89" spans="1:18" ht="15.75" customHeight="1">
      <c r="A89" s="359">
        <v>2</v>
      </c>
      <c r="B89" s="359">
        <v>3</v>
      </c>
      <c r="C89" s="359">
        <v>17</v>
      </c>
      <c r="D89" s="359" t="s">
        <v>60</v>
      </c>
      <c r="E89" s="360" t="s">
        <v>61</v>
      </c>
      <c r="F89" s="361" t="s">
        <v>34</v>
      </c>
      <c r="G89" s="362">
        <v>50595</v>
      </c>
      <c r="H89" s="363">
        <v>45</v>
      </c>
      <c r="I89" s="364" t="s">
        <v>272</v>
      </c>
      <c r="J89" s="365">
        <v>3</v>
      </c>
      <c r="K89" s="365" t="s">
        <v>273</v>
      </c>
      <c r="L89" s="366"/>
    </row>
    <row r="90" spans="1:18" ht="15.75" customHeight="1">
      <c r="A90" s="359">
        <v>2</v>
      </c>
      <c r="B90" s="359">
        <v>3</v>
      </c>
      <c r="C90" s="359">
        <v>17</v>
      </c>
      <c r="D90" s="359" t="s">
        <v>60</v>
      </c>
      <c r="E90" s="360" t="s">
        <v>61</v>
      </c>
      <c r="F90" s="361" t="s">
        <v>68</v>
      </c>
      <c r="G90" s="362">
        <v>50818</v>
      </c>
      <c r="H90" s="363">
        <v>67</v>
      </c>
      <c r="I90" s="364" t="s">
        <v>265</v>
      </c>
      <c r="J90" s="365">
        <v>2</v>
      </c>
      <c r="K90" s="365" t="s">
        <v>270</v>
      </c>
      <c r="L90" s="366"/>
    </row>
    <row r="91" spans="1:18" ht="15.75" customHeight="1">
      <c r="A91" s="359">
        <v>2</v>
      </c>
      <c r="B91" s="359">
        <v>3</v>
      </c>
      <c r="C91" s="359">
        <v>17</v>
      </c>
      <c r="D91" s="359" t="s">
        <v>60</v>
      </c>
      <c r="E91" s="360" t="s">
        <v>61</v>
      </c>
      <c r="F91" s="361" t="s">
        <v>31</v>
      </c>
      <c r="G91" s="362">
        <v>50810</v>
      </c>
      <c r="H91" s="363">
        <v>127</v>
      </c>
      <c r="I91" s="364" t="s">
        <v>265</v>
      </c>
      <c r="J91" s="365">
        <v>2</v>
      </c>
      <c r="K91" s="365" t="s">
        <v>295</v>
      </c>
      <c r="L91" s="366"/>
    </row>
    <row r="92" spans="1:18" ht="15.75" customHeight="1">
      <c r="A92" s="359">
        <v>2</v>
      </c>
      <c r="B92" s="359">
        <v>3</v>
      </c>
      <c r="C92" s="359">
        <v>17</v>
      </c>
      <c r="D92" s="359" t="s">
        <v>60</v>
      </c>
      <c r="E92" s="360" t="s">
        <v>61</v>
      </c>
      <c r="F92" s="361" t="s">
        <v>25</v>
      </c>
      <c r="G92" s="362">
        <v>50749</v>
      </c>
      <c r="H92" s="363">
        <v>29</v>
      </c>
      <c r="I92" s="364" t="s">
        <v>265</v>
      </c>
      <c r="J92" s="365">
        <v>2</v>
      </c>
      <c r="K92" s="365" t="s">
        <v>270</v>
      </c>
      <c r="L92" s="366"/>
    </row>
    <row r="93" spans="1:18" ht="15.75" customHeight="1">
      <c r="A93" s="359">
        <v>2</v>
      </c>
      <c r="B93" s="359">
        <v>3</v>
      </c>
      <c r="C93" s="359">
        <v>18</v>
      </c>
      <c r="D93" s="359" t="s">
        <v>112</v>
      </c>
      <c r="E93" s="360" t="s">
        <v>113</v>
      </c>
      <c r="F93" s="361" t="s">
        <v>25</v>
      </c>
      <c r="G93" s="362">
        <v>50758</v>
      </c>
      <c r="H93" s="363">
        <v>246</v>
      </c>
      <c r="I93" s="364" t="s">
        <v>272</v>
      </c>
      <c r="J93" s="365">
        <v>3</v>
      </c>
      <c r="K93" s="365" t="s">
        <v>273</v>
      </c>
      <c r="L93" s="366"/>
    </row>
    <row r="94" spans="1:18" ht="15.75" customHeight="1">
      <c r="A94" s="359">
        <v>2</v>
      </c>
      <c r="B94" s="359">
        <v>3</v>
      </c>
      <c r="C94" s="359">
        <v>18</v>
      </c>
      <c r="D94" s="359" t="s">
        <v>114</v>
      </c>
      <c r="E94" s="360" t="s">
        <v>115</v>
      </c>
      <c r="F94" s="361" t="s">
        <v>25</v>
      </c>
      <c r="G94" s="362">
        <v>50858</v>
      </c>
      <c r="H94" s="363">
        <v>98</v>
      </c>
      <c r="I94" s="364" t="s">
        <v>272</v>
      </c>
      <c r="J94" s="365">
        <v>3</v>
      </c>
      <c r="K94" s="365" t="s">
        <v>273</v>
      </c>
      <c r="L94" s="366"/>
    </row>
    <row r="95" spans="1:18" ht="15.75" customHeight="1">
      <c r="A95" s="359">
        <v>2</v>
      </c>
      <c r="B95" s="359">
        <v>3</v>
      </c>
      <c r="C95" s="359">
        <v>18</v>
      </c>
      <c r="D95" s="359" t="s">
        <v>112</v>
      </c>
      <c r="E95" s="360" t="s">
        <v>113</v>
      </c>
      <c r="F95" s="361" t="s">
        <v>25</v>
      </c>
      <c r="G95" s="362">
        <v>50812</v>
      </c>
      <c r="H95" s="363">
        <v>29</v>
      </c>
      <c r="I95" s="364" t="s">
        <v>272</v>
      </c>
      <c r="J95" s="365">
        <v>3</v>
      </c>
      <c r="K95" s="365" t="s">
        <v>273</v>
      </c>
      <c r="L95" s="366"/>
    </row>
    <row r="96" spans="1:18" ht="15.75" customHeight="1">
      <c r="A96" s="84">
        <v>2</v>
      </c>
      <c r="B96" s="84">
        <v>3</v>
      </c>
      <c r="C96" s="84">
        <v>18</v>
      </c>
      <c r="D96" s="84" t="s">
        <v>112</v>
      </c>
      <c r="E96" s="367" t="s">
        <v>113</v>
      </c>
      <c r="F96" s="368" t="s">
        <v>116</v>
      </c>
      <c r="G96" s="369">
        <v>50065</v>
      </c>
      <c r="H96" s="370">
        <v>10</v>
      </c>
      <c r="I96" s="371"/>
      <c r="J96" s="372"/>
      <c r="K96" s="372"/>
      <c r="L96" s="372" t="s">
        <v>43</v>
      </c>
    </row>
    <row r="97" spans="1:18" ht="15.75" customHeight="1">
      <c r="A97" s="359">
        <v>2</v>
      </c>
      <c r="B97" s="359">
        <v>3</v>
      </c>
      <c r="C97" s="359">
        <v>18</v>
      </c>
      <c r="D97" s="359" t="s">
        <v>114</v>
      </c>
      <c r="E97" s="360" t="s">
        <v>115</v>
      </c>
      <c r="F97" s="361" t="s">
        <v>117</v>
      </c>
      <c r="G97" s="362">
        <v>50535</v>
      </c>
      <c r="H97" s="363">
        <v>24</v>
      </c>
      <c r="I97" s="364" t="s">
        <v>272</v>
      </c>
      <c r="J97" s="365">
        <v>3</v>
      </c>
      <c r="K97" s="365" t="s">
        <v>273</v>
      </c>
      <c r="L97" s="365" t="s">
        <v>296</v>
      </c>
    </row>
    <row r="98" spans="1:18" ht="15.75" customHeight="1">
      <c r="A98" s="359">
        <v>2</v>
      </c>
      <c r="B98" s="359">
        <v>3</v>
      </c>
      <c r="C98" s="359">
        <v>19</v>
      </c>
      <c r="D98" s="359" t="s">
        <v>32</v>
      </c>
      <c r="E98" s="360" t="s">
        <v>33</v>
      </c>
      <c r="F98" s="361" t="s">
        <v>34</v>
      </c>
      <c r="G98" s="362">
        <v>50563</v>
      </c>
      <c r="H98" s="363">
        <v>338</v>
      </c>
      <c r="I98" s="364" t="s">
        <v>272</v>
      </c>
      <c r="J98" s="365">
        <v>3</v>
      </c>
      <c r="K98" s="365" t="s">
        <v>273</v>
      </c>
      <c r="L98" s="366"/>
    </row>
    <row r="99" spans="1:18" ht="15.75" customHeight="1">
      <c r="A99" s="116">
        <v>2</v>
      </c>
      <c r="B99" s="116">
        <v>3</v>
      </c>
      <c r="C99" s="116">
        <v>19</v>
      </c>
      <c r="D99" s="116" t="s">
        <v>112</v>
      </c>
      <c r="E99" s="117" t="s">
        <v>113</v>
      </c>
      <c r="F99" s="394" t="s">
        <v>34</v>
      </c>
      <c r="G99" s="118">
        <v>50688</v>
      </c>
      <c r="H99" s="119">
        <v>113</v>
      </c>
      <c r="I99" s="394" t="s">
        <v>265</v>
      </c>
      <c r="J99" s="395">
        <v>2</v>
      </c>
      <c r="K99" s="395" t="s">
        <v>270</v>
      </c>
      <c r="L99" s="395" t="s">
        <v>118</v>
      </c>
      <c r="M99" s="90"/>
      <c r="N99" s="90"/>
      <c r="O99" s="90"/>
      <c r="P99" s="90"/>
      <c r="Q99" s="90"/>
      <c r="R99" s="90"/>
    </row>
    <row r="100" spans="1:18" ht="15.75" customHeight="1">
      <c r="A100" s="382">
        <v>2</v>
      </c>
      <c r="B100" s="359">
        <v>3</v>
      </c>
      <c r="C100" s="359">
        <v>19</v>
      </c>
      <c r="D100" s="359" t="s">
        <v>112</v>
      </c>
      <c r="E100" s="360" t="s">
        <v>113</v>
      </c>
      <c r="F100" s="361" t="s">
        <v>68</v>
      </c>
      <c r="G100" s="362">
        <v>50146</v>
      </c>
      <c r="H100" s="363">
        <v>9</v>
      </c>
      <c r="I100" s="364" t="s">
        <v>265</v>
      </c>
      <c r="J100" s="365">
        <v>2</v>
      </c>
      <c r="K100" s="365" t="s">
        <v>270</v>
      </c>
      <c r="L100" s="366"/>
    </row>
    <row r="101" spans="1:18" ht="15.75" customHeight="1">
      <c r="A101" s="116">
        <v>2</v>
      </c>
      <c r="B101" s="116">
        <v>3</v>
      </c>
      <c r="C101" s="116">
        <v>19</v>
      </c>
      <c r="D101" s="116" t="s">
        <v>112</v>
      </c>
      <c r="E101" s="117" t="s">
        <v>113</v>
      </c>
      <c r="F101" s="394" t="s">
        <v>25</v>
      </c>
      <c r="G101" s="118">
        <v>50758</v>
      </c>
      <c r="H101" s="119">
        <v>133</v>
      </c>
      <c r="I101" s="396"/>
      <c r="J101" s="395"/>
      <c r="K101" s="395"/>
      <c r="L101" s="395" t="s">
        <v>119</v>
      </c>
      <c r="M101" s="90"/>
      <c r="N101" s="90"/>
      <c r="O101" s="90"/>
      <c r="P101" s="90"/>
      <c r="Q101" s="90"/>
      <c r="R101" s="90"/>
    </row>
    <row r="102" spans="1:18" ht="15.75" customHeight="1">
      <c r="A102" s="359">
        <v>2</v>
      </c>
      <c r="B102" s="359">
        <v>3</v>
      </c>
      <c r="C102" s="359">
        <v>21</v>
      </c>
      <c r="D102" s="359" t="s">
        <v>120</v>
      </c>
      <c r="E102" s="360" t="s">
        <v>121</v>
      </c>
      <c r="F102" s="361" t="s">
        <v>25</v>
      </c>
      <c r="G102" s="362">
        <v>50745</v>
      </c>
      <c r="H102" s="363">
        <v>131</v>
      </c>
      <c r="I102" s="364" t="s">
        <v>272</v>
      </c>
      <c r="J102" s="365">
        <v>3</v>
      </c>
      <c r="K102" s="365" t="s">
        <v>273</v>
      </c>
      <c r="L102" s="366"/>
    </row>
    <row r="103" spans="1:18" ht="15.75" customHeight="1">
      <c r="A103" s="359">
        <v>2</v>
      </c>
      <c r="B103" s="359">
        <v>3</v>
      </c>
      <c r="C103" s="359">
        <v>21</v>
      </c>
      <c r="D103" s="359" t="s">
        <v>120</v>
      </c>
      <c r="E103" s="360" t="s">
        <v>121</v>
      </c>
      <c r="F103" s="361" t="s">
        <v>31</v>
      </c>
      <c r="G103" s="362">
        <v>50718</v>
      </c>
      <c r="H103" s="363">
        <v>168</v>
      </c>
      <c r="I103" s="364" t="s">
        <v>272</v>
      </c>
      <c r="J103" s="365">
        <v>3</v>
      </c>
      <c r="K103" s="365" t="s">
        <v>273</v>
      </c>
      <c r="L103" s="366"/>
    </row>
    <row r="104" spans="1:18" ht="15.75" customHeight="1">
      <c r="A104" s="359">
        <v>2</v>
      </c>
      <c r="B104" s="359">
        <v>3</v>
      </c>
      <c r="C104" s="359">
        <v>21</v>
      </c>
      <c r="D104" s="359" t="s">
        <v>120</v>
      </c>
      <c r="E104" s="360" t="s">
        <v>121</v>
      </c>
      <c r="F104" s="361" t="s">
        <v>25</v>
      </c>
      <c r="G104" s="362">
        <v>50681</v>
      </c>
      <c r="H104" s="363">
        <v>9</v>
      </c>
      <c r="I104" s="364" t="s">
        <v>265</v>
      </c>
      <c r="J104" s="365">
        <v>2</v>
      </c>
      <c r="K104" s="365" t="s">
        <v>270</v>
      </c>
      <c r="L104" s="366"/>
    </row>
    <row r="105" spans="1:18" ht="15.75" customHeight="1">
      <c r="A105" s="359">
        <v>2</v>
      </c>
      <c r="B105" s="359">
        <v>3</v>
      </c>
      <c r="C105" s="359">
        <v>22</v>
      </c>
      <c r="D105" s="359" t="s">
        <v>122</v>
      </c>
      <c r="E105" s="360" t="s">
        <v>123</v>
      </c>
      <c r="F105" s="361" t="s">
        <v>34</v>
      </c>
      <c r="G105" s="362">
        <v>50732</v>
      </c>
      <c r="H105" s="363">
        <v>274</v>
      </c>
      <c r="I105" s="364" t="s">
        <v>272</v>
      </c>
      <c r="J105" s="365">
        <v>3</v>
      </c>
      <c r="K105" s="365" t="s">
        <v>273</v>
      </c>
      <c r="L105" s="366"/>
    </row>
    <row r="106" spans="1:18" ht="15.75" customHeight="1">
      <c r="A106" s="359">
        <v>2</v>
      </c>
      <c r="B106" s="359">
        <v>3</v>
      </c>
      <c r="C106" s="359">
        <v>22</v>
      </c>
      <c r="D106" s="359" t="s">
        <v>122</v>
      </c>
      <c r="E106" s="360" t="s">
        <v>123</v>
      </c>
      <c r="F106" s="361" t="s">
        <v>34</v>
      </c>
      <c r="G106" s="362">
        <v>50545</v>
      </c>
      <c r="H106" s="363">
        <v>13</v>
      </c>
      <c r="I106" s="364" t="s">
        <v>272</v>
      </c>
      <c r="J106" s="365">
        <v>3</v>
      </c>
      <c r="K106" s="365" t="s">
        <v>273</v>
      </c>
      <c r="L106" s="365" t="s">
        <v>296</v>
      </c>
    </row>
    <row r="107" spans="1:18" ht="15.75" customHeight="1">
      <c r="A107" s="359">
        <v>2</v>
      </c>
      <c r="B107" s="359">
        <v>3</v>
      </c>
      <c r="C107" s="359">
        <v>22</v>
      </c>
      <c r="D107" s="359" t="s">
        <v>122</v>
      </c>
      <c r="E107" s="360" t="s">
        <v>123</v>
      </c>
      <c r="F107" s="361" t="s">
        <v>25</v>
      </c>
      <c r="G107" s="362">
        <v>50833</v>
      </c>
      <c r="H107" s="363">
        <v>204</v>
      </c>
      <c r="I107" s="364" t="s">
        <v>265</v>
      </c>
      <c r="J107" s="365">
        <v>2</v>
      </c>
      <c r="K107" s="365" t="s">
        <v>270</v>
      </c>
      <c r="L107" s="366"/>
    </row>
    <row r="108" spans="1:18" ht="15.75" customHeight="1">
      <c r="A108" s="359">
        <v>2</v>
      </c>
      <c r="B108" s="359">
        <v>3</v>
      </c>
      <c r="C108" s="359">
        <v>22</v>
      </c>
      <c r="D108" s="359" t="s">
        <v>122</v>
      </c>
      <c r="E108" s="360" t="s">
        <v>123</v>
      </c>
      <c r="F108" s="361" t="s">
        <v>25</v>
      </c>
      <c r="G108" s="362">
        <v>50725</v>
      </c>
      <c r="H108" s="363">
        <v>62</v>
      </c>
      <c r="I108" s="364" t="s">
        <v>272</v>
      </c>
      <c r="J108" s="365">
        <v>3</v>
      </c>
      <c r="K108" s="365" t="s">
        <v>273</v>
      </c>
      <c r="L108" s="366"/>
    </row>
    <row r="109" spans="1:18" ht="15.75" customHeight="1">
      <c r="A109" s="359">
        <v>2</v>
      </c>
      <c r="B109" s="359">
        <v>4</v>
      </c>
      <c r="C109" s="359">
        <v>2</v>
      </c>
      <c r="D109" s="359" t="s">
        <v>124</v>
      </c>
      <c r="E109" s="360" t="s">
        <v>125</v>
      </c>
      <c r="F109" s="361" t="s">
        <v>31</v>
      </c>
      <c r="G109" s="362">
        <v>50761</v>
      </c>
      <c r="H109" s="363">
        <v>250</v>
      </c>
      <c r="I109" s="364" t="s">
        <v>272</v>
      </c>
      <c r="J109" s="365">
        <v>3</v>
      </c>
      <c r="K109" s="365" t="s">
        <v>273</v>
      </c>
      <c r="L109" s="365" t="s">
        <v>298</v>
      </c>
    </row>
    <row r="110" spans="1:18" ht="15.75" customHeight="1">
      <c r="A110" s="359">
        <v>2</v>
      </c>
      <c r="B110" s="359">
        <v>4</v>
      </c>
      <c r="C110" s="359">
        <v>2</v>
      </c>
      <c r="D110" s="359" t="s">
        <v>124</v>
      </c>
      <c r="E110" s="360" t="s">
        <v>125</v>
      </c>
      <c r="F110" s="361" t="s">
        <v>25</v>
      </c>
      <c r="G110" s="362">
        <v>50113</v>
      </c>
      <c r="H110" s="363">
        <v>172</v>
      </c>
      <c r="I110" s="364" t="s">
        <v>265</v>
      </c>
      <c r="J110" s="365">
        <v>2</v>
      </c>
      <c r="K110" s="365" t="s">
        <v>269</v>
      </c>
      <c r="L110" s="366"/>
    </row>
    <row r="111" spans="1:18" ht="15.75" customHeight="1">
      <c r="A111" s="84">
        <v>2</v>
      </c>
      <c r="B111" s="84">
        <v>4</v>
      </c>
      <c r="C111" s="84">
        <v>2</v>
      </c>
      <c r="D111" s="84" t="s">
        <v>124</v>
      </c>
      <c r="E111" s="367" t="s">
        <v>125</v>
      </c>
      <c r="F111" s="368" t="s">
        <v>25</v>
      </c>
      <c r="G111" s="369">
        <v>50659</v>
      </c>
      <c r="H111" s="370">
        <v>63</v>
      </c>
      <c r="I111" s="371"/>
      <c r="J111" s="372"/>
      <c r="K111" s="372"/>
      <c r="L111" s="372" t="s">
        <v>43</v>
      </c>
    </row>
    <row r="112" spans="1:18" ht="15.75" customHeight="1">
      <c r="A112" s="128">
        <v>2</v>
      </c>
      <c r="B112" s="128">
        <v>4</v>
      </c>
      <c r="C112" s="128">
        <v>2</v>
      </c>
      <c r="D112" s="128" t="s">
        <v>126</v>
      </c>
      <c r="E112" s="130" t="s">
        <v>127</v>
      </c>
      <c r="F112" s="163" t="s">
        <v>25</v>
      </c>
      <c r="G112" s="131">
        <v>50767</v>
      </c>
      <c r="H112" s="132">
        <v>145</v>
      </c>
      <c r="I112" s="163" t="s">
        <v>272</v>
      </c>
      <c r="J112" s="397">
        <v>3</v>
      </c>
      <c r="K112" s="397" t="s">
        <v>273</v>
      </c>
      <c r="L112" s="397" t="s">
        <v>128</v>
      </c>
      <c r="M112" s="137"/>
      <c r="N112" s="137"/>
      <c r="O112" s="137"/>
      <c r="P112" s="137"/>
      <c r="Q112" s="137"/>
      <c r="R112" s="137"/>
    </row>
    <row r="113" spans="1:18" ht="15.75" customHeight="1">
      <c r="A113" s="359">
        <v>2</v>
      </c>
      <c r="B113" s="359">
        <v>4</v>
      </c>
      <c r="C113" s="359">
        <v>3</v>
      </c>
      <c r="D113" s="359" t="s">
        <v>60</v>
      </c>
      <c r="E113" s="360" t="s">
        <v>61</v>
      </c>
      <c r="F113" s="361" t="s">
        <v>31</v>
      </c>
      <c r="G113" s="362">
        <v>50810</v>
      </c>
      <c r="H113" s="363">
        <v>482</v>
      </c>
      <c r="I113" s="364" t="s">
        <v>265</v>
      </c>
      <c r="J113" s="365">
        <v>2</v>
      </c>
      <c r="K113" s="365" t="s">
        <v>270</v>
      </c>
      <c r="L113" s="366"/>
    </row>
    <row r="114" spans="1:18" ht="15.75" customHeight="1">
      <c r="A114" s="359">
        <v>2</v>
      </c>
      <c r="B114" s="359">
        <v>4</v>
      </c>
      <c r="C114" s="359">
        <v>4</v>
      </c>
      <c r="D114" s="359" t="s">
        <v>129</v>
      </c>
      <c r="E114" s="360" t="s">
        <v>130</v>
      </c>
      <c r="F114" s="361" t="s">
        <v>31</v>
      </c>
      <c r="G114" s="362">
        <v>50827</v>
      </c>
      <c r="H114" s="363">
        <v>654</v>
      </c>
      <c r="I114" s="364" t="s">
        <v>272</v>
      </c>
      <c r="J114" s="365">
        <v>3</v>
      </c>
      <c r="K114" s="365" t="s">
        <v>273</v>
      </c>
      <c r="L114" s="366"/>
    </row>
    <row r="115" spans="1:18" ht="15.75" customHeight="1">
      <c r="A115" s="128">
        <v>2</v>
      </c>
      <c r="B115" s="128">
        <v>4</v>
      </c>
      <c r="C115" s="128">
        <v>4</v>
      </c>
      <c r="D115" s="128" t="s">
        <v>60</v>
      </c>
      <c r="E115" s="130" t="s">
        <v>61</v>
      </c>
      <c r="F115" s="163" t="s">
        <v>31</v>
      </c>
      <c r="G115" s="131">
        <v>50860</v>
      </c>
      <c r="H115" s="132">
        <v>214</v>
      </c>
      <c r="I115" s="163" t="s">
        <v>272</v>
      </c>
      <c r="J115" s="397">
        <v>3</v>
      </c>
      <c r="K115" s="397" t="s">
        <v>273</v>
      </c>
      <c r="L115" s="397" t="s">
        <v>131</v>
      </c>
      <c r="M115" s="137"/>
      <c r="N115" s="137"/>
      <c r="O115" s="137"/>
      <c r="P115" s="137"/>
      <c r="Q115" s="137"/>
      <c r="R115" s="137"/>
    </row>
    <row r="116" spans="1:18" ht="15.75" customHeight="1">
      <c r="A116" s="359">
        <v>2</v>
      </c>
      <c r="B116" s="359">
        <v>4</v>
      </c>
      <c r="C116" s="359">
        <v>5</v>
      </c>
      <c r="D116" s="359" t="s">
        <v>56</v>
      </c>
      <c r="E116" s="360" t="s">
        <v>57</v>
      </c>
      <c r="F116" s="361" t="s">
        <v>31</v>
      </c>
      <c r="G116" s="362">
        <v>50712</v>
      </c>
      <c r="H116" s="363">
        <v>621</v>
      </c>
      <c r="I116" s="364" t="s">
        <v>265</v>
      </c>
      <c r="J116" s="365">
        <v>2</v>
      </c>
      <c r="K116" s="365" t="s">
        <v>269</v>
      </c>
      <c r="L116" s="366"/>
    </row>
    <row r="117" spans="1:18" ht="15.75" customHeight="1">
      <c r="A117" s="359">
        <v>2</v>
      </c>
      <c r="B117" s="359">
        <v>4</v>
      </c>
      <c r="C117" s="359">
        <v>6</v>
      </c>
      <c r="D117" s="359" t="s">
        <v>132</v>
      </c>
      <c r="E117" s="360" t="s">
        <v>133</v>
      </c>
      <c r="F117" s="361" t="s">
        <v>109</v>
      </c>
      <c r="G117" s="362">
        <v>50716</v>
      </c>
      <c r="H117" s="363">
        <v>82</v>
      </c>
      <c r="I117" s="364" t="s">
        <v>272</v>
      </c>
      <c r="J117" s="365">
        <v>3</v>
      </c>
      <c r="K117" s="365" t="s">
        <v>273</v>
      </c>
      <c r="L117" s="366"/>
    </row>
    <row r="118" spans="1:18" ht="15.75" customHeight="1">
      <c r="A118" s="359">
        <v>2</v>
      </c>
      <c r="B118" s="359">
        <v>4</v>
      </c>
      <c r="C118" s="359">
        <v>6</v>
      </c>
      <c r="D118" s="359" t="s">
        <v>132</v>
      </c>
      <c r="E118" s="360" t="s">
        <v>133</v>
      </c>
      <c r="F118" s="361" t="s">
        <v>109</v>
      </c>
      <c r="G118" s="362">
        <v>50789</v>
      </c>
      <c r="H118" s="363">
        <v>327</v>
      </c>
      <c r="I118" s="364" t="s">
        <v>272</v>
      </c>
      <c r="J118" s="365">
        <v>3</v>
      </c>
      <c r="K118" s="365" t="s">
        <v>273</v>
      </c>
      <c r="L118" s="366"/>
    </row>
    <row r="119" spans="1:18" ht="15.75" customHeight="1">
      <c r="A119" s="359">
        <v>2</v>
      </c>
      <c r="B119" s="359">
        <v>4</v>
      </c>
      <c r="C119" s="359">
        <v>6</v>
      </c>
      <c r="D119" s="359" t="s">
        <v>132</v>
      </c>
      <c r="E119" s="360" t="s">
        <v>133</v>
      </c>
      <c r="F119" s="361" t="s">
        <v>34</v>
      </c>
      <c r="G119" s="362">
        <v>50710</v>
      </c>
      <c r="H119" s="363">
        <v>15</v>
      </c>
      <c r="I119" s="364" t="s">
        <v>272</v>
      </c>
      <c r="J119" s="365">
        <v>3</v>
      </c>
      <c r="K119" s="365" t="s">
        <v>273</v>
      </c>
      <c r="L119" s="365" t="s">
        <v>305</v>
      </c>
    </row>
    <row r="120" spans="1:18" ht="15.75" customHeight="1">
      <c r="A120" s="359">
        <v>2</v>
      </c>
      <c r="B120" s="359">
        <v>4</v>
      </c>
      <c r="C120" s="359">
        <v>7</v>
      </c>
      <c r="D120" s="359" t="s">
        <v>134</v>
      </c>
      <c r="E120" s="360" t="s">
        <v>135</v>
      </c>
      <c r="F120" s="361" t="s">
        <v>25</v>
      </c>
      <c r="G120" s="362">
        <v>50268</v>
      </c>
      <c r="H120" s="363">
        <v>411</v>
      </c>
      <c r="I120" s="364" t="s">
        <v>272</v>
      </c>
      <c r="J120" s="365">
        <v>3</v>
      </c>
      <c r="K120" s="365" t="s">
        <v>273</v>
      </c>
      <c r="L120" s="365" t="s">
        <v>298</v>
      </c>
    </row>
    <row r="121" spans="1:18" ht="15.75" customHeight="1">
      <c r="A121" s="324">
        <v>2</v>
      </c>
      <c r="B121" s="324">
        <v>4</v>
      </c>
      <c r="C121" s="324">
        <v>7</v>
      </c>
      <c r="D121" s="324" t="s">
        <v>134</v>
      </c>
      <c r="E121" s="373" t="s">
        <v>135</v>
      </c>
      <c r="F121" s="374" t="s">
        <v>68</v>
      </c>
      <c r="G121" s="375">
        <v>50169</v>
      </c>
      <c r="H121" s="376">
        <v>10</v>
      </c>
      <c r="I121" s="398"/>
      <c r="J121" s="399"/>
      <c r="K121" s="399"/>
      <c r="L121" s="378" t="s">
        <v>55</v>
      </c>
    </row>
    <row r="122" spans="1:18" ht="15.75" customHeight="1">
      <c r="A122" s="359">
        <v>2</v>
      </c>
      <c r="B122" s="359">
        <v>4</v>
      </c>
      <c r="C122" s="359">
        <v>9</v>
      </c>
      <c r="D122" s="359" t="s">
        <v>136</v>
      </c>
      <c r="E122" s="360" t="s">
        <v>137</v>
      </c>
      <c r="F122" s="361" t="s">
        <v>68</v>
      </c>
      <c r="G122" s="362">
        <v>50830</v>
      </c>
      <c r="H122" s="363">
        <v>329</v>
      </c>
      <c r="I122" s="364" t="s">
        <v>265</v>
      </c>
      <c r="J122" s="365">
        <v>2</v>
      </c>
      <c r="K122" s="365" t="s">
        <v>270</v>
      </c>
      <c r="L122" s="366"/>
    </row>
    <row r="123" spans="1:18" ht="15.75" customHeight="1">
      <c r="A123" s="359">
        <v>2</v>
      </c>
      <c r="B123" s="359">
        <v>4</v>
      </c>
      <c r="C123" s="359">
        <v>9</v>
      </c>
      <c r="D123" s="359" t="s">
        <v>136</v>
      </c>
      <c r="E123" s="360" t="s">
        <v>137</v>
      </c>
      <c r="F123" s="361" t="s">
        <v>25</v>
      </c>
      <c r="G123" s="362">
        <v>50757</v>
      </c>
      <c r="H123" s="363">
        <v>10</v>
      </c>
      <c r="I123" s="364" t="s">
        <v>272</v>
      </c>
      <c r="J123" s="365">
        <v>3</v>
      </c>
      <c r="K123" s="365" t="s">
        <v>273</v>
      </c>
      <c r="L123" s="366"/>
    </row>
    <row r="124" spans="1:18" ht="15.75" customHeight="1">
      <c r="A124" s="359">
        <v>2</v>
      </c>
      <c r="B124" s="359">
        <v>4</v>
      </c>
      <c r="C124" s="359">
        <v>10</v>
      </c>
      <c r="D124" s="359" t="s">
        <v>138</v>
      </c>
      <c r="E124" s="360" t="s">
        <v>139</v>
      </c>
      <c r="F124" s="361" t="s">
        <v>68</v>
      </c>
      <c r="G124" s="362">
        <v>50828</v>
      </c>
      <c r="H124" s="363">
        <v>954</v>
      </c>
      <c r="I124" s="364" t="s">
        <v>272</v>
      </c>
      <c r="J124" s="365">
        <v>3</v>
      </c>
      <c r="K124" s="365" t="s">
        <v>273</v>
      </c>
      <c r="L124" s="366"/>
    </row>
    <row r="125" spans="1:18" ht="15.75" customHeight="1">
      <c r="A125" s="359">
        <v>2</v>
      </c>
      <c r="B125" s="359">
        <v>4</v>
      </c>
      <c r="C125" s="359">
        <v>10</v>
      </c>
      <c r="D125" s="359" t="s">
        <v>140</v>
      </c>
      <c r="E125" s="360" t="s">
        <v>141</v>
      </c>
      <c r="F125" s="361" t="s">
        <v>25</v>
      </c>
      <c r="G125" s="362">
        <v>50763</v>
      </c>
      <c r="H125" s="363">
        <v>19</v>
      </c>
      <c r="I125" s="364" t="s">
        <v>272</v>
      </c>
      <c r="J125" s="365">
        <v>3</v>
      </c>
      <c r="K125" s="365" t="s">
        <v>273</v>
      </c>
      <c r="L125" s="366"/>
    </row>
    <row r="126" spans="1:18" ht="15.75" customHeight="1">
      <c r="A126" s="359">
        <v>2</v>
      </c>
      <c r="B126" s="359">
        <v>4</v>
      </c>
      <c r="C126" s="359">
        <v>10</v>
      </c>
      <c r="D126" s="359" t="s">
        <v>138</v>
      </c>
      <c r="E126" s="360" t="s">
        <v>139</v>
      </c>
      <c r="F126" s="361" t="s">
        <v>68</v>
      </c>
      <c r="G126" s="362">
        <v>50295</v>
      </c>
      <c r="H126" s="363">
        <v>11</v>
      </c>
      <c r="I126" s="364" t="s">
        <v>272</v>
      </c>
      <c r="J126" s="365">
        <v>3</v>
      </c>
      <c r="K126" s="365" t="s">
        <v>273</v>
      </c>
      <c r="L126" s="366"/>
    </row>
    <row r="127" spans="1:18" ht="15.75" customHeight="1">
      <c r="A127" s="359">
        <v>2</v>
      </c>
      <c r="B127" s="359">
        <v>4</v>
      </c>
      <c r="C127" s="359">
        <v>10</v>
      </c>
      <c r="D127" s="359" t="s">
        <v>140</v>
      </c>
      <c r="E127" s="360" t="s">
        <v>141</v>
      </c>
      <c r="F127" s="361" t="s">
        <v>68</v>
      </c>
      <c r="G127" s="362">
        <v>50638</v>
      </c>
      <c r="H127" s="363">
        <v>52</v>
      </c>
      <c r="I127" s="364" t="s">
        <v>272</v>
      </c>
      <c r="J127" s="365">
        <v>3</v>
      </c>
      <c r="K127" s="365" t="s">
        <v>273</v>
      </c>
      <c r="L127" s="366"/>
    </row>
    <row r="128" spans="1:18" ht="15.75" customHeight="1">
      <c r="A128" s="359">
        <v>2</v>
      </c>
      <c r="B128" s="359">
        <v>4</v>
      </c>
      <c r="C128" s="359">
        <v>10</v>
      </c>
      <c r="D128" s="359" t="s">
        <v>138</v>
      </c>
      <c r="E128" s="360" t="s">
        <v>139</v>
      </c>
      <c r="F128" s="361" t="s">
        <v>25</v>
      </c>
      <c r="G128" s="362">
        <v>50750</v>
      </c>
      <c r="H128" s="363">
        <v>82</v>
      </c>
      <c r="I128" s="364" t="s">
        <v>272</v>
      </c>
      <c r="J128" s="365">
        <v>3</v>
      </c>
      <c r="K128" s="365" t="s">
        <v>273</v>
      </c>
      <c r="L128" s="366"/>
    </row>
    <row r="129" spans="1:12" ht="15.75" customHeight="1">
      <c r="A129" s="84">
        <v>2</v>
      </c>
      <c r="B129" s="84">
        <v>4</v>
      </c>
      <c r="C129" s="84">
        <v>11</v>
      </c>
      <c r="D129" s="84" t="s">
        <v>142</v>
      </c>
      <c r="E129" s="367" t="s">
        <v>143</v>
      </c>
      <c r="F129" s="368" t="s">
        <v>144</v>
      </c>
      <c r="G129" s="369">
        <v>50769</v>
      </c>
      <c r="H129" s="370">
        <v>2</v>
      </c>
      <c r="I129" s="371"/>
      <c r="J129" s="372"/>
      <c r="K129" s="372"/>
      <c r="L129" s="372" t="s">
        <v>43</v>
      </c>
    </row>
    <row r="130" spans="1:12" ht="15.75" customHeight="1">
      <c r="A130" s="359">
        <v>2</v>
      </c>
      <c r="B130" s="359">
        <v>4</v>
      </c>
      <c r="C130" s="359">
        <v>13</v>
      </c>
      <c r="D130" s="359" t="s">
        <v>32</v>
      </c>
      <c r="E130" s="360" t="s">
        <v>33</v>
      </c>
      <c r="F130" s="361" t="s">
        <v>68</v>
      </c>
      <c r="G130" s="362">
        <v>50819</v>
      </c>
      <c r="H130" s="363">
        <v>1285</v>
      </c>
      <c r="I130" s="364" t="s">
        <v>265</v>
      </c>
      <c r="J130" s="365">
        <v>2</v>
      </c>
      <c r="K130" s="365" t="s">
        <v>269</v>
      </c>
      <c r="L130" s="366"/>
    </row>
    <row r="131" spans="1:12" ht="15.75" customHeight="1">
      <c r="A131" s="359">
        <v>2</v>
      </c>
      <c r="B131" s="359">
        <v>4</v>
      </c>
      <c r="C131" s="359">
        <v>14</v>
      </c>
      <c r="D131" s="359" t="s">
        <v>145</v>
      </c>
      <c r="E131" s="360" t="s">
        <v>146</v>
      </c>
      <c r="F131" s="361" t="s">
        <v>31</v>
      </c>
      <c r="G131" s="362">
        <v>50809</v>
      </c>
      <c r="H131" s="363">
        <v>664</v>
      </c>
      <c r="I131" s="364" t="s">
        <v>265</v>
      </c>
      <c r="J131" s="365">
        <v>2</v>
      </c>
      <c r="K131" s="365" t="s">
        <v>268</v>
      </c>
      <c r="L131" s="366"/>
    </row>
    <row r="132" spans="1:12" ht="15.75" customHeight="1">
      <c r="A132" s="84">
        <v>2</v>
      </c>
      <c r="B132" s="84">
        <v>4</v>
      </c>
      <c r="C132" s="84">
        <v>15</v>
      </c>
      <c r="D132" s="84" t="s">
        <v>147</v>
      </c>
      <c r="E132" s="367" t="s">
        <v>148</v>
      </c>
      <c r="F132" s="368" t="s">
        <v>25</v>
      </c>
      <c r="G132" s="369">
        <v>50376</v>
      </c>
      <c r="H132" s="370">
        <v>6</v>
      </c>
      <c r="I132" s="371"/>
      <c r="J132" s="372"/>
      <c r="K132" s="372"/>
      <c r="L132" s="372" t="s">
        <v>43</v>
      </c>
    </row>
    <row r="133" spans="1:12" ht="15.75" customHeight="1">
      <c r="A133" s="359">
        <v>2</v>
      </c>
      <c r="B133" s="359">
        <v>4</v>
      </c>
      <c r="C133" s="359">
        <v>15</v>
      </c>
      <c r="D133" s="359" t="s">
        <v>149</v>
      </c>
      <c r="E133" s="360" t="s">
        <v>150</v>
      </c>
      <c r="F133" s="361" t="s">
        <v>31</v>
      </c>
      <c r="G133" s="362">
        <v>50815</v>
      </c>
      <c r="H133" s="363">
        <v>81</v>
      </c>
      <c r="I133" s="364" t="s">
        <v>265</v>
      </c>
      <c r="J133" s="365">
        <v>2</v>
      </c>
      <c r="K133" s="365" t="s">
        <v>269</v>
      </c>
      <c r="L133" s="366"/>
    </row>
    <row r="134" spans="1:12" ht="15.75" customHeight="1">
      <c r="A134" s="359">
        <v>2</v>
      </c>
      <c r="B134" s="359">
        <v>4</v>
      </c>
      <c r="C134" s="359">
        <v>15</v>
      </c>
      <c r="D134" s="359" t="s">
        <v>145</v>
      </c>
      <c r="E134" s="360" t="s">
        <v>146</v>
      </c>
      <c r="F134" s="361" t="s">
        <v>31</v>
      </c>
      <c r="G134" s="362">
        <v>50711</v>
      </c>
      <c r="H134" s="363">
        <v>100</v>
      </c>
      <c r="I134" s="364" t="s">
        <v>265</v>
      </c>
      <c r="J134" s="365">
        <v>2</v>
      </c>
      <c r="K134" s="365" t="s">
        <v>269</v>
      </c>
      <c r="L134" s="366"/>
    </row>
    <row r="135" spans="1:12" ht="15.75" customHeight="1">
      <c r="A135" s="359">
        <v>2</v>
      </c>
      <c r="B135" s="359">
        <v>4</v>
      </c>
      <c r="C135" s="359">
        <v>15</v>
      </c>
      <c r="D135" s="359" t="s">
        <v>145</v>
      </c>
      <c r="E135" s="360" t="s">
        <v>146</v>
      </c>
      <c r="F135" s="361" t="s">
        <v>68</v>
      </c>
      <c r="G135" s="362">
        <v>50701</v>
      </c>
      <c r="H135" s="363">
        <v>70</v>
      </c>
      <c r="I135" s="364" t="s">
        <v>265</v>
      </c>
      <c r="J135" s="365">
        <v>2</v>
      </c>
      <c r="K135" s="365" t="s">
        <v>269</v>
      </c>
      <c r="L135" s="366"/>
    </row>
    <row r="136" spans="1:12" ht="15.75" customHeight="1">
      <c r="A136" s="359">
        <v>2</v>
      </c>
      <c r="B136" s="359">
        <v>4</v>
      </c>
      <c r="C136" s="359">
        <v>15</v>
      </c>
      <c r="D136" s="359" t="s">
        <v>151</v>
      </c>
      <c r="E136" s="360" t="s">
        <v>152</v>
      </c>
      <c r="F136" s="361" t="s">
        <v>144</v>
      </c>
      <c r="G136" s="362">
        <v>50776</v>
      </c>
      <c r="H136" s="363">
        <v>28</v>
      </c>
      <c r="I136" s="364" t="s">
        <v>272</v>
      </c>
      <c r="J136" s="365">
        <v>3</v>
      </c>
      <c r="K136" s="365" t="s">
        <v>273</v>
      </c>
      <c r="L136" s="366"/>
    </row>
    <row r="137" spans="1:12" ht="15.75" customHeight="1">
      <c r="A137" s="84">
        <v>2</v>
      </c>
      <c r="B137" s="84">
        <v>4</v>
      </c>
      <c r="C137" s="84">
        <v>15</v>
      </c>
      <c r="D137" s="84" t="s">
        <v>151</v>
      </c>
      <c r="E137" s="367" t="s">
        <v>152</v>
      </c>
      <c r="F137" s="368" t="s">
        <v>31</v>
      </c>
      <c r="G137" s="369">
        <v>50811</v>
      </c>
      <c r="H137" s="370">
        <v>4</v>
      </c>
      <c r="I137" s="400"/>
      <c r="J137" s="401"/>
      <c r="K137" s="401"/>
      <c r="L137" s="372" t="s">
        <v>43</v>
      </c>
    </row>
    <row r="138" spans="1:12" ht="15.75" customHeight="1">
      <c r="A138" s="359">
        <v>2</v>
      </c>
      <c r="B138" s="359">
        <v>4</v>
      </c>
      <c r="C138" s="359">
        <v>15</v>
      </c>
      <c r="D138" s="359" t="s">
        <v>153</v>
      </c>
      <c r="E138" s="360" t="s">
        <v>154</v>
      </c>
      <c r="F138" s="361" t="s">
        <v>155</v>
      </c>
      <c r="G138" s="362">
        <v>50851</v>
      </c>
      <c r="H138" s="363">
        <v>15</v>
      </c>
      <c r="I138" s="364" t="s">
        <v>272</v>
      </c>
      <c r="J138" s="365">
        <v>3</v>
      </c>
      <c r="K138" s="365" t="s">
        <v>273</v>
      </c>
      <c r="L138" s="366"/>
    </row>
    <row r="139" spans="1:12" ht="15.75" customHeight="1">
      <c r="A139" s="359">
        <v>2</v>
      </c>
      <c r="B139" s="359">
        <v>4</v>
      </c>
      <c r="C139" s="359">
        <v>15</v>
      </c>
      <c r="D139" s="359" t="s">
        <v>156</v>
      </c>
      <c r="E139" s="360" t="s">
        <v>157</v>
      </c>
      <c r="F139" s="361" t="s">
        <v>31</v>
      </c>
      <c r="G139" s="362">
        <v>50805</v>
      </c>
      <c r="H139" s="363">
        <v>15</v>
      </c>
      <c r="I139" s="364" t="s">
        <v>272</v>
      </c>
      <c r="J139" s="365">
        <v>3</v>
      </c>
      <c r="K139" s="365" t="s">
        <v>273</v>
      </c>
      <c r="L139" s="366"/>
    </row>
    <row r="140" spans="1:12" ht="15.75" customHeight="1">
      <c r="A140" s="359">
        <v>2</v>
      </c>
      <c r="B140" s="359">
        <v>4</v>
      </c>
      <c r="C140" s="359">
        <v>15</v>
      </c>
      <c r="D140" s="359" t="s">
        <v>158</v>
      </c>
      <c r="E140" s="360" t="s">
        <v>159</v>
      </c>
      <c r="F140" s="361" t="s">
        <v>31</v>
      </c>
      <c r="G140" s="362">
        <v>50849</v>
      </c>
      <c r="H140" s="363">
        <v>27</v>
      </c>
      <c r="I140" s="364" t="s">
        <v>272</v>
      </c>
      <c r="J140" s="365">
        <v>3</v>
      </c>
      <c r="K140" s="365" t="s">
        <v>273</v>
      </c>
      <c r="L140" s="366"/>
    </row>
    <row r="141" spans="1:12" ht="15.75" customHeight="1">
      <c r="A141" s="359">
        <v>2</v>
      </c>
      <c r="B141" s="359">
        <v>4</v>
      </c>
      <c r="C141" s="359">
        <v>15</v>
      </c>
      <c r="D141" s="359" t="s">
        <v>160</v>
      </c>
      <c r="E141" s="360" t="s">
        <v>161</v>
      </c>
      <c r="F141" s="361" t="s">
        <v>34</v>
      </c>
      <c r="G141" s="362">
        <v>50707</v>
      </c>
      <c r="H141" s="363">
        <v>30</v>
      </c>
      <c r="I141" s="364" t="s">
        <v>265</v>
      </c>
      <c r="J141" s="365">
        <v>2</v>
      </c>
      <c r="K141" s="365" t="s">
        <v>270</v>
      </c>
      <c r="L141" s="366"/>
    </row>
    <row r="142" spans="1:12" ht="15.75" customHeight="1">
      <c r="A142" s="359">
        <v>2</v>
      </c>
      <c r="B142" s="359">
        <v>4</v>
      </c>
      <c r="C142" s="359">
        <v>15</v>
      </c>
      <c r="D142" s="359" t="s">
        <v>162</v>
      </c>
      <c r="E142" s="360" t="s">
        <v>163</v>
      </c>
      <c r="F142" s="361" t="s">
        <v>34</v>
      </c>
      <c r="G142" s="362">
        <v>50840</v>
      </c>
      <c r="H142" s="363">
        <v>1</v>
      </c>
      <c r="I142" s="364" t="s">
        <v>272</v>
      </c>
      <c r="J142" s="365">
        <v>3</v>
      </c>
      <c r="K142" s="365" t="s">
        <v>273</v>
      </c>
      <c r="L142" s="366"/>
    </row>
    <row r="143" spans="1:12" ht="15.75" customHeight="1">
      <c r="A143" s="324">
        <v>2</v>
      </c>
      <c r="B143" s="324">
        <v>4</v>
      </c>
      <c r="C143" s="324">
        <v>15</v>
      </c>
      <c r="D143" s="324" t="s">
        <v>164</v>
      </c>
      <c r="E143" s="373" t="s">
        <v>165</v>
      </c>
      <c r="F143" s="374" t="s">
        <v>166</v>
      </c>
      <c r="G143" s="375">
        <v>50775</v>
      </c>
      <c r="H143" s="376">
        <v>1</v>
      </c>
      <c r="I143" s="377"/>
      <c r="J143" s="378"/>
      <c r="K143" s="378"/>
      <c r="L143" s="378" t="s">
        <v>55</v>
      </c>
    </row>
    <row r="144" spans="1:12" ht="15.75" customHeight="1">
      <c r="A144" s="84">
        <v>2</v>
      </c>
      <c r="B144" s="84">
        <v>4</v>
      </c>
      <c r="C144" s="84">
        <v>15</v>
      </c>
      <c r="D144" s="84" t="s">
        <v>149</v>
      </c>
      <c r="E144" s="367" t="s">
        <v>150</v>
      </c>
      <c r="F144" s="368" t="s">
        <v>68</v>
      </c>
      <c r="G144" s="369">
        <v>50669</v>
      </c>
      <c r="H144" s="370">
        <v>4</v>
      </c>
      <c r="I144" s="371"/>
      <c r="J144" s="372"/>
      <c r="K144" s="372"/>
      <c r="L144" s="372" t="s">
        <v>43</v>
      </c>
    </row>
    <row r="145" spans="1:12" ht="15.75" customHeight="1">
      <c r="A145" s="84">
        <v>2</v>
      </c>
      <c r="B145" s="84">
        <v>4</v>
      </c>
      <c r="C145" s="84">
        <v>15</v>
      </c>
      <c r="D145" s="84" t="s">
        <v>149</v>
      </c>
      <c r="E145" s="367" t="s">
        <v>150</v>
      </c>
      <c r="F145" s="368" t="s">
        <v>34</v>
      </c>
      <c r="G145" s="369">
        <v>50433</v>
      </c>
      <c r="H145" s="370">
        <v>3</v>
      </c>
      <c r="I145" s="371"/>
      <c r="J145" s="372"/>
      <c r="K145" s="372"/>
      <c r="L145" s="372" t="s">
        <v>43</v>
      </c>
    </row>
    <row r="146" spans="1:12" ht="15.75" customHeight="1">
      <c r="A146" s="359">
        <v>2</v>
      </c>
      <c r="B146" s="359">
        <v>4</v>
      </c>
      <c r="C146" s="359">
        <v>16</v>
      </c>
      <c r="D146" s="359" t="s">
        <v>167</v>
      </c>
      <c r="E146" s="360" t="s">
        <v>168</v>
      </c>
      <c r="F146" s="361" t="s">
        <v>31</v>
      </c>
      <c r="G146" s="362">
        <v>50865</v>
      </c>
      <c r="H146" s="363">
        <v>628</v>
      </c>
      <c r="I146" s="364" t="s">
        <v>272</v>
      </c>
      <c r="J146" s="365">
        <v>3</v>
      </c>
      <c r="K146" s="365" t="s">
        <v>273</v>
      </c>
      <c r="L146" s="366"/>
    </row>
    <row r="147" spans="1:12" ht="15.75" customHeight="1">
      <c r="A147" s="359">
        <v>2</v>
      </c>
      <c r="B147" s="359">
        <v>4</v>
      </c>
      <c r="C147" s="359">
        <v>16</v>
      </c>
      <c r="D147" s="359" t="s">
        <v>145</v>
      </c>
      <c r="E147" s="360" t="s">
        <v>146</v>
      </c>
      <c r="F147" s="361" t="s">
        <v>31</v>
      </c>
      <c r="G147" s="362">
        <v>50866</v>
      </c>
      <c r="H147" s="363">
        <v>86</v>
      </c>
      <c r="I147" s="364" t="s">
        <v>272</v>
      </c>
      <c r="J147" s="365">
        <v>3</v>
      </c>
      <c r="K147" s="365" t="s">
        <v>273</v>
      </c>
      <c r="L147" s="366"/>
    </row>
    <row r="148" spans="1:12" ht="15.75" customHeight="1">
      <c r="A148" s="382">
        <v>2</v>
      </c>
      <c r="B148" s="359">
        <v>4</v>
      </c>
      <c r="C148" s="359">
        <v>17</v>
      </c>
      <c r="D148" s="359" t="s">
        <v>169</v>
      </c>
      <c r="E148" s="360" t="s">
        <v>170</v>
      </c>
      <c r="F148" s="361" t="s">
        <v>34</v>
      </c>
      <c r="G148" s="362">
        <v>50596</v>
      </c>
      <c r="H148" s="363">
        <v>110</v>
      </c>
      <c r="I148" s="364" t="s">
        <v>272</v>
      </c>
      <c r="J148" s="365">
        <v>3</v>
      </c>
      <c r="K148" s="365" t="s">
        <v>273</v>
      </c>
      <c r="L148" s="366"/>
    </row>
    <row r="149" spans="1:12" ht="15.75" customHeight="1">
      <c r="A149" s="359">
        <v>2</v>
      </c>
      <c r="B149" s="359">
        <v>4</v>
      </c>
      <c r="C149" s="359">
        <v>17</v>
      </c>
      <c r="D149" s="359" t="s">
        <v>169</v>
      </c>
      <c r="E149" s="360" t="s">
        <v>170</v>
      </c>
      <c r="F149" s="361" t="s">
        <v>34</v>
      </c>
      <c r="G149" s="362">
        <v>50571</v>
      </c>
      <c r="H149" s="363">
        <v>223</v>
      </c>
      <c r="I149" s="364" t="s">
        <v>272</v>
      </c>
      <c r="J149" s="365">
        <v>3</v>
      </c>
      <c r="K149" s="365" t="s">
        <v>273</v>
      </c>
      <c r="L149" s="366"/>
    </row>
    <row r="150" spans="1:12" ht="15.75" customHeight="1">
      <c r="A150" s="359">
        <v>2</v>
      </c>
      <c r="B150" s="359">
        <v>4</v>
      </c>
      <c r="C150" s="359">
        <v>18</v>
      </c>
      <c r="D150" s="359" t="s">
        <v>171</v>
      </c>
      <c r="E150" s="360" t="s">
        <v>172</v>
      </c>
      <c r="F150" s="361" t="s">
        <v>25</v>
      </c>
      <c r="G150" s="362">
        <v>50831</v>
      </c>
      <c r="H150" s="363">
        <v>249</v>
      </c>
      <c r="I150" s="364" t="s">
        <v>272</v>
      </c>
      <c r="J150" s="365">
        <v>3</v>
      </c>
      <c r="K150" s="365" t="s">
        <v>273</v>
      </c>
      <c r="L150" s="366"/>
    </row>
    <row r="151" spans="1:12" ht="15.75" customHeight="1">
      <c r="A151" s="359">
        <v>2</v>
      </c>
      <c r="B151" s="359">
        <v>4</v>
      </c>
      <c r="C151" s="359">
        <v>19</v>
      </c>
      <c r="D151" s="359" t="s">
        <v>107</v>
      </c>
      <c r="E151" s="360" t="s">
        <v>108</v>
      </c>
      <c r="F151" s="361" t="s">
        <v>31</v>
      </c>
      <c r="G151" s="362">
        <v>50862</v>
      </c>
      <c r="H151" s="363">
        <v>714</v>
      </c>
      <c r="I151" s="364" t="s">
        <v>272</v>
      </c>
      <c r="J151" s="365">
        <v>3</v>
      </c>
      <c r="K151" s="365" t="s">
        <v>273</v>
      </c>
      <c r="L151" s="366"/>
    </row>
    <row r="152" spans="1:12" ht="15.75" customHeight="1">
      <c r="A152" s="359">
        <v>2</v>
      </c>
      <c r="B152" s="359">
        <v>4</v>
      </c>
      <c r="C152" s="359">
        <v>20</v>
      </c>
      <c r="D152" s="359" t="s">
        <v>173</v>
      </c>
      <c r="E152" s="360" t="s">
        <v>174</v>
      </c>
      <c r="F152" s="361" t="s">
        <v>25</v>
      </c>
      <c r="G152" s="362">
        <v>50678</v>
      </c>
      <c r="H152" s="363">
        <v>4</v>
      </c>
      <c r="I152" s="364" t="s">
        <v>272</v>
      </c>
      <c r="J152" s="365">
        <v>3</v>
      </c>
      <c r="K152" s="365" t="s">
        <v>273</v>
      </c>
      <c r="L152" s="366"/>
    </row>
    <row r="153" spans="1:12" ht="15.75" customHeight="1">
      <c r="A153" s="359">
        <v>2</v>
      </c>
      <c r="B153" s="359">
        <v>4</v>
      </c>
      <c r="C153" s="359">
        <v>20</v>
      </c>
      <c r="D153" s="359" t="s">
        <v>175</v>
      </c>
      <c r="E153" s="360" t="s">
        <v>176</v>
      </c>
      <c r="F153" s="361" t="s">
        <v>31</v>
      </c>
      <c r="G153" s="362">
        <v>50867</v>
      </c>
      <c r="H153" s="363">
        <v>303</v>
      </c>
      <c r="I153" s="364" t="s">
        <v>266</v>
      </c>
      <c r="J153" s="365">
        <v>1</v>
      </c>
      <c r="K153" s="365" t="s">
        <v>314</v>
      </c>
      <c r="L153" s="366"/>
    </row>
    <row r="154" spans="1:12" ht="15.75" customHeight="1">
      <c r="A154" s="359">
        <v>2</v>
      </c>
      <c r="B154" s="359">
        <v>4</v>
      </c>
      <c r="C154" s="359">
        <v>21</v>
      </c>
      <c r="D154" s="359" t="s">
        <v>177</v>
      </c>
      <c r="E154" s="360" t="s">
        <v>178</v>
      </c>
      <c r="F154" s="361" t="s">
        <v>31</v>
      </c>
      <c r="G154" s="362">
        <v>50861</v>
      </c>
      <c r="H154" s="363">
        <v>714</v>
      </c>
      <c r="I154" s="364" t="s">
        <v>265</v>
      </c>
      <c r="J154" s="365">
        <v>2</v>
      </c>
      <c r="K154" s="365" t="s">
        <v>315</v>
      </c>
      <c r="L154" s="366"/>
    </row>
    <row r="155" spans="1:12" ht="15.75" customHeight="1">
      <c r="A155" s="359">
        <v>2</v>
      </c>
      <c r="B155" s="359">
        <v>4</v>
      </c>
      <c r="C155" s="359">
        <v>22</v>
      </c>
      <c r="D155" s="359" t="s">
        <v>179</v>
      </c>
      <c r="E155" s="360" t="s">
        <v>180</v>
      </c>
      <c r="F155" s="361" t="s">
        <v>31</v>
      </c>
      <c r="G155" s="362">
        <v>50843</v>
      </c>
      <c r="H155" s="363">
        <v>330</v>
      </c>
      <c r="I155" s="364" t="s">
        <v>265</v>
      </c>
      <c r="J155" s="365">
        <v>2</v>
      </c>
      <c r="K155" s="365" t="s">
        <v>270</v>
      </c>
      <c r="L155" s="366"/>
    </row>
    <row r="156" spans="1:12" ht="15.75" customHeight="1">
      <c r="A156" s="359">
        <v>2</v>
      </c>
      <c r="B156" s="359">
        <v>5</v>
      </c>
      <c r="C156" s="359">
        <v>1</v>
      </c>
      <c r="D156" s="359" t="s">
        <v>95</v>
      </c>
      <c r="E156" s="360" t="s">
        <v>96</v>
      </c>
      <c r="F156" s="361" t="s">
        <v>68</v>
      </c>
      <c r="G156" s="362">
        <v>50620</v>
      </c>
      <c r="H156" s="363">
        <v>260</v>
      </c>
      <c r="I156" s="364" t="s">
        <v>265</v>
      </c>
      <c r="J156" s="365">
        <v>2</v>
      </c>
      <c r="K156" s="365" t="s">
        <v>316</v>
      </c>
      <c r="L156" s="366"/>
    </row>
    <row r="157" spans="1:12" ht="15.75" customHeight="1">
      <c r="A157" s="359">
        <v>2</v>
      </c>
      <c r="B157" s="359">
        <v>5</v>
      </c>
      <c r="C157" s="359">
        <v>1</v>
      </c>
      <c r="D157" s="359" t="s">
        <v>181</v>
      </c>
      <c r="E157" s="360" t="s">
        <v>182</v>
      </c>
      <c r="F157" s="361" t="s">
        <v>31</v>
      </c>
      <c r="G157" s="362">
        <v>50782</v>
      </c>
      <c r="H157" s="363">
        <v>162</v>
      </c>
      <c r="I157" s="364" t="s">
        <v>265</v>
      </c>
      <c r="J157" s="365">
        <v>2</v>
      </c>
      <c r="K157" s="365" t="s">
        <v>284</v>
      </c>
      <c r="L157" s="366"/>
    </row>
    <row r="158" spans="1:12" ht="15.75" customHeight="1">
      <c r="A158" s="359">
        <v>2</v>
      </c>
      <c r="B158" s="359">
        <v>5</v>
      </c>
      <c r="C158" s="359">
        <v>2</v>
      </c>
      <c r="D158" s="359" t="s">
        <v>56</v>
      </c>
      <c r="E158" s="360" t="s">
        <v>57</v>
      </c>
      <c r="F158" s="361" t="s">
        <v>68</v>
      </c>
      <c r="G158" s="362">
        <v>50664</v>
      </c>
      <c r="H158" s="363">
        <v>125</v>
      </c>
      <c r="I158" s="364" t="s">
        <v>265</v>
      </c>
      <c r="J158" s="365">
        <v>2</v>
      </c>
      <c r="K158" s="365" t="s">
        <v>284</v>
      </c>
      <c r="L158" s="366"/>
    </row>
    <row r="159" spans="1:12" ht="15.75" customHeight="1">
      <c r="A159" s="359">
        <v>2</v>
      </c>
      <c r="B159" s="359">
        <v>5</v>
      </c>
      <c r="C159" s="359">
        <v>3</v>
      </c>
      <c r="D159" s="359" t="s">
        <v>37</v>
      </c>
      <c r="E159" s="360" t="s">
        <v>38</v>
      </c>
      <c r="F159" s="361" t="s">
        <v>31</v>
      </c>
      <c r="G159" s="362">
        <v>50785</v>
      </c>
      <c r="H159" s="363">
        <v>128</v>
      </c>
      <c r="I159" s="364" t="s">
        <v>265</v>
      </c>
      <c r="J159" s="365">
        <v>2</v>
      </c>
      <c r="K159" s="365" t="s">
        <v>301</v>
      </c>
      <c r="L159" s="366"/>
    </row>
    <row r="160" spans="1:12" ht="15.75" customHeight="1">
      <c r="A160" s="359">
        <v>2</v>
      </c>
      <c r="B160" s="359">
        <v>5</v>
      </c>
      <c r="C160" s="359">
        <v>4</v>
      </c>
      <c r="D160" s="359" t="s">
        <v>35</v>
      </c>
      <c r="E160" s="360" t="s">
        <v>36</v>
      </c>
      <c r="F160" s="361" t="s">
        <v>31</v>
      </c>
      <c r="G160" s="362">
        <v>50806</v>
      </c>
      <c r="H160" s="363">
        <v>284</v>
      </c>
      <c r="I160" s="364" t="s">
        <v>272</v>
      </c>
      <c r="J160" s="365">
        <v>3</v>
      </c>
      <c r="K160" s="365" t="s">
        <v>273</v>
      </c>
      <c r="L160" s="366"/>
    </row>
    <row r="161" spans="1:18" ht="15.75" customHeight="1">
      <c r="A161" s="359">
        <v>2</v>
      </c>
      <c r="B161" s="359">
        <v>5</v>
      </c>
      <c r="C161" s="359">
        <v>4</v>
      </c>
      <c r="D161" s="359" t="s">
        <v>35</v>
      </c>
      <c r="E161" s="360" t="s">
        <v>36</v>
      </c>
      <c r="F161" s="361" t="s">
        <v>68</v>
      </c>
      <c r="G161" s="362">
        <v>50829</v>
      </c>
      <c r="H161" s="363">
        <v>418</v>
      </c>
      <c r="I161" s="364" t="s">
        <v>272</v>
      </c>
      <c r="J161" s="365">
        <v>3</v>
      </c>
      <c r="K161" s="365" t="s">
        <v>273</v>
      </c>
      <c r="L161" s="366"/>
    </row>
    <row r="162" spans="1:18" ht="15.75" customHeight="1">
      <c r="A162" s="359">
        <v>2</v>
      </c>
      <c r="B162" s="359">
        <v>5</v>
      </c>
      <c r="C162" s="359">
        <v>5</v>
      </c>
      <c r="D162" s="359" t="s">
        <v>183</v>
      </c>
      <c r="E162" s="360" t="s">
        <v>184</v>
      </c>
      <c r="F162" s="361" t="s">
        <v>31</v>
      </c>
      <c r="G162" s="362">
        <v>50808</v>
      </c>
      <c r="H162" s="363">
        <v>363</v>
      </c>
      <c r="I162" s="364" t="s">
        <v>272</v>
      </c>
      <c r="J162" s="365">
        <v>3</v>
      </c>
      <c r="K162" s="365" t="s">
        <v>273</v>
      </c>
      <c r="L162" s="366"/>
    </row>
    <row r="163" spans="1:18" ht="15.75" customHeight="1">
      <c r="A163" s="359">
        <v>2</v>
      </c>
      <c r="B163" s="359">
        <v>5</v>
      </c>
      <c r="C163" s="359">
        <v>5</v>
      </c>
      <c r="D163" s="359" t="s">
        <v>183</v>
      </c>
      <c r="E163" s="360" t="s">
        <v>184</v>
      </c>
      <c r="F163" s="361" t="s">
        <v>25</v>
      </c>
      <c r="G163" s="362">
        <v>50774</v>
      </c>
      <c r="H163" s="363">
        <v>2</v>
      </c>
      <c r="I163" s="364" t="s">
        <v>265</v>
      </c>
      <c r="J163" s="365">
        <v>2</v>
      </c>
      <c r="K163" s="365" t="s">
        <v>318</v>
      </c>
      <c r="L163" s="366"/>
    </row>
    <row r="164" spans="1:18" ht="15.75" customHeight="1">
      <c r="A164" s="359">
        <v>2</v>
      </c>
      <c r="B164" s="359">
        <v>5</v>
      </c>
      <c r="C164" s="359">
        <v>6</v>
      </c>
      <c r="D164" s="359" t="s">
        <v>49</v>
      </c>
      <c r="E164" s="360" t="s">
        <v>50</v>
      </c>
      <c r="F164" s="361" t="s">
        <v>68</v>
      </c>
      <c r="G164" s="362">
        <v>50838</v>
      </c>
      <c r="H164" s="363">
        <v>1374</v>
      </c>
      <c r="I164" s="364" t="s">
        <v>272</v>
      </c>
      <c r="J164" s="365">
        <v>3</v>
      </c>
      <c r="K164" s="365" t="s">
        <v>273</v>
      </c>
      <c r="L164" s="366"/>
    </row>
    <row r="165" spans="1:18" ht="15.75" customHeight="1">
      <c r="A165" s="359">
        <v>2</v>
      </c>
      <c r="B165" s="359">
        <v>5</v>
      </c>
      <c r="C165" s="359">
        <v>7</v>
      </c>
      <c r="D165" s="359" t="s">
        <v>185</v>
      </c>
      <c r="E165" s="360" t="s">
        <v>186</v>
      </c>
      <c r="F165" s="361" t="s">
        <v>31</v>
      </c>
      <c r="G165" s="362">
        <v>50844</v>
      </c>
      <c r="H165" s="363">
        <v>515</v>
      </c>
      <c r="I165" s="364" t="s">
        <v>272</v>
      </c>
      <c r="J165" s="365">
        <v>3</v>
      </c>
      <c r="K165" s="365" t="s">
        <v>273</v>
      </c>
      <c r="L165" s="366"/>
    </row>
    <row r="166" spans="1:18" ht="15.75" customHeight="1">
      <c r="A166" s="359">
        <v>2</v>
      </c>
      <c r="B166" s="359">
        <v>5</v>
      </c>
      <c r="C166" s="359">
        <v>8</v>
      </c>
      <c r="D166" s="359" t="s">
        <v>187</v>
      </c>
      <c r="E166" s="360" t="s">
        <v>188</v>
      </c>
      <c r="F166" s="361" t="s">
        <v>68</v>
      </c>
      <c r="G166" s="362">
        <v>50881</v>
      </c>
      <c r="H166" s="363">
        <v>738</v>
      </c>
      <c r="I166" s="364" t="s">
        <v>272</v>
      </c>
      <c r="J166" s="365">
        <v>3</v>
      </c>
      <c r="K166" s="365" t="s">
        <v>273</v>
      </c>
      <c r="L166" s="366"/>
    </row>
    <row r="167" spans="1:18" ht="15.75" customHeight="1">
      <c r="A167" s="359">
        <v>2</v>
      </c>
      <c r="B167" s="359">
        <v>5</v>
      </c>
      <c r="C167" s="359">
        <v>8</v>
      </c>
      <c r="D167" s="359" t="s">
        <v>102</v>
      </c>
      <c r="E167" s="360" t="s">
        <v>103</v>
      </c>
      <c r="F167" s="361" t="s">
        <v>68</v>
      </c>
      <c r="G167" s="362">
        <v>50882</v>
      </c>
      <c r="H167" s="363">
        <v>549</v>
      </c>
      <c r="I167" s="364" t="s">
        <v>272</v>
      </c>
      <c r="J167" s="365">
        <v>3</v>
      </c>
      <c r="K167" s="365" t="s">
        <v>273</v>
      </c>
      <c r="L167" s="366"/>
    </row>
    <row r="168" spans="1:18" ht="15.75" customHeight="1">
      <c r="A168" s="359">
        <v>2</v>
      </c>
      <c r="B168" s="359">
        <v>5</v>
      </c>
      <c r="C168" s="359">
        <v>9</v>
      </c>
      <c r="D168" s="359" t="s">
        <v>189</v>
      </c>
      <c r="E168" s="360" t="s">
        <v>190</v>
      </c>
      <c r="F168" s="361" t="s">
        <v>31</v>
      </c>
      <c r="G168" s="362">
        <v>50798</v>
      </c>
      <c r="H168" s="363">
        <v>182</v>
      </c>
      <c r="I168" s="364" t="s">
        <v>272</v>
      </c>
      <c r="J168" s="365">
        <v>3</v>
      </c>
      <c r="K168" s="365" t="s">
        <v>273</v>
      </c>
      <c r="L168" s="366"/>
    </row>
    <row r="169" spans="1:18" ht="15.75" customHeight="1">
      <c r="A169" s="359">
        <v>2</v>
      </c>
      <c r="B169" s="359">
        <v>5</v>
      </c>
      <c r="C169" s="359">
        <v>9</v>
      </c>
      <c r="D169" s="359" t="s">
        <v>189</v>
      </c>
      <c r="E169" s="360" t="s">
        <v>190</v>
      </c>
      <c r="F169" s="361" t="s">
        <v>31</v>
      </c>
      <c r="G169" s="362">
        <v>50856</v>
      </c>
      <c r="H169" s="363">
        <v>162</v>
      </c>
      <c r="I169" s="364" t="s">
        <v>272</v>
      </c>
      <c r="J169" s="365">
        <v>3</v>
      </c>
      <c r="K169" s="365" t="s">
        <v>273</v>
      </c>
      <c r="L169" s="365" t="s">
        <v>320</v>
      </c>
    </row>
    <row r="170" spans="1:18" ht="15.75" customHeight="1">
      <c r="A170" s="359">
        <v>2</v>
      </c>
      <c r="B170" s="359">
        <v>5</v>
      </c>
      <c r="C170" s="359">
        <v>9</v>
      </c>
      <c r="D170" s="359" t="s">
        <v>189</v>
      </c>
      <c r="E170" s="360" t="s">
        <v>190</v>
      </c>
      <c r="F170" s="361" t="s">
        <v>68</v>
      </c>
      <c r="G170" s="362">
        <v>50698</v>
      </c>
      <c r="H170" s="363">
        <v>87</v>
      </c>
      <c r="I170" s="364" t="s">
        <v>272</v>
      </c>
      <c r="J170" s="365">
        <v>3</v>
      </c>
      <c r="K170" s="365" t="s">
        <v>273</v>
      </c>
      <c r="L170" s="366"/>
    </row>
    <row r="171" spans="1:18" ht="15.75" customHeight="1">
      <c r="A171" s="84">
        <v>2</v>
      </c>
      <c r="B171" s="84">
        <v>5</v>
      </c>
      <c r="C171" s="84">
        <v>10</v>
      </c>
      <c r="D171" s="84" t="s">
        <v>112</v>
      </c>
      <c r="E171" s="367" t="s">
        <v>113</v>
      </c>
      <c r="F171" s="368" t="s">
        <v>31</v>
      </c>
      <c r="G171" s="369">
        <v>50538</v>
      </c>
      <c r="H171" s="402"/>
      <c r="I171" s="371"/>
      <c r="J171" s="372"/>
      <c r="K171" s="372"/>
      <c r="L171" s="372" t="s">
        <v>43</v>
      </c>
    </row>
    <row r="172" spans="1:18" ht="15.75" customHeight="1">
      <c r="A172" s="359">
        <v>2</v>
      </c>
      <c r="B172" s="359">
        <v>5</v>
      </c>
      <c r="C172" s="359">
        <v>10</v>
      </c>
      <c r="D172" s="359" t="s">
        <v>191</v>
      </c>
      <c r="E172" s="360" t="s">
        <v>192</v>
      </c>
      <c r="F172" s="361" t="s">
        <v>68</v>
      </c>
      <c r="G172" s="362">
        <v>50837</v>
      </c>
      <c r="H172" s="363">
        <v>330</v>
      </c>
      <c r="I172" s="364" t="s">
        <v>272</v>
      </c>
      <c r="J172" s="365">
        <v>3</v>
      </c>
      <c r="K172" s="365" t="s">
        <v>273</v>
      </c>
      <c r="L172" s="366"/>
    </row>
    <row r="173" spans="1:18" ht="15.75" customHeight="1">
      <c r="A173" s="153">
        <v>2</v>
      </c>
      <c r="B173" s="153">
        <v>5</v>
      </c>
      <c r="C173" s="153">
        <v>12</v>
      </c>
      <c r="D173" s="153" t="s">
        <v>49</v>
      </c>
      <c r="E173" s="155" t="s">
        <v>50</v>
      </c>
      <c r="F173" s="403" t="s">
        <v>31</v>
      </c>
      <c r="G173" s="156">
        <v>50566</v>
      </c>
      <c r="H173" s="157">
        <v>90</v>
      </c>
      <c r="I173" s="403" t="s">
        <v>265</v>
      </c>
      <c r="J173" s="397">
        <v>2</v>
      </c>
      <c r="K173" s="397" t="s">
        <v>270</v>
      </c>
      <c r="L173" s="397" t="s">
        <v>193</v>
      </c>
      <c r="M173" s="90"/>
      <c r="N173" s="90"/>
      <c r="O173" s="90"/>
      <c r="P173" s="90"/>
      <c r="Q173" s="90"/>
      <c r="R173" s="90"/>
    </row>
    <row r="174" spans="1:18" ht="15.75" customHeight="1">
      <c r="A174" s="359">
        <v>2</v>
      </c>
      <c r="B174" s="359">
        <v>5</v>
      </c>
      <c r="C174" s="359">
        <v>12</v>
      </c>
      <c r="D174" s="359" t="s">
        <v>49</v>
      </c>
      <c r="E174" s="360" t="s">
        <v>50</v>
      </c>
      <c r="F174" s="361" t="s">
        <v>34</v>
      </c>
      <c r="G174" s="362">
        <v>50476</v>
      </c>
      <c r="H174" s="363">
        <v>192</v>
      </c>
      <c r="I174" s="364" t="s">
        <v>265</v>
      </c>
      <c r="J174" s="365">
        <v>2</v>
      </c>
      <c r="K174" s="365" t="s">
        <v>270</v>
      </c>
      <c r="L174" s="366"/>
    </row>
    <row r="175" spans="1:18" ht="15.75" customHeight="1">
      <c r="A175" s="359">
        <v>2</v>
      </c>
      <c r="B175" s="359">
        <v>5</v>
      </c>
      <c r="C175" s="359">
        <v>12</v>
      </c>
      <c r="D175" s="359" t="s">
        <v>49</v>
      </c>
      <c r="E175" s="360" t="s">
        <v>194</v>
      </c>
      <c r="F175" s="361" t="s">
        <v>34</v>
      </c>
      <c r="G175" s="362">
        <v>50634</v>
      </c>
      <c r="H175" s="363">
        <v>74</v>
      </c>
      <c r="I175" s="364" t="s">
        <v>265</v>
      </c>
      <c r="J175" s="365">
        <v>2</v>
      </c>
      <c r="K175" s="365" t="s">
        <v>270</v>
      </c>
      <c r="L175" s="366"/>
    </row>
    <row r="176" spans="1:18" ht="15.75" customHeight="1">
      <c r="A176" s="359">
        <v>2</v>
      </c>
      <c r="B176" s="359">
        <v>5</v>
      </c>
      <c r="C176" s="359">
        <v>12</v>
      </c>
      <c r="D176" s="359" t="s">
        <v>49</v>
      </c>
      <c r="E176" s="360" t="s">
        <v>50</v>
      </c>
      <c r="F176" s="361" t="s">
        <v>68</v>
      </c>
      <c r="G176" s="362">
        <v>50633</v>
      </c>
      <c r="H176" s="363">
        <v>158</v>
      </c>
      <c r="I176" s="364" t="s">
        <v>265</v>
      </c>
      <c r="J176" s="365">
        <v>2</v>
      </c>
      <c r="K176" s="365" t="s">
        <v>270</v>
      </c>
      <c r="L176" s="366"/>
    </row>
    <row r="177" spans="1:12" ht="15.75" customHeight="1">
      <c r="A177" s="359">
        <v>2</v>
      </c>
      <c r="B177" s="359">
        <v>5</v>
      </c>
      <c r="C177" s="359">
        <v>13</v>
      </c>
      <c r="D177" s="359" t="s">
        <v>37</v>
      </c>
      <c r="E177" s="360" t="s">
        <v>38</v>
      </c>
      <c r="F177" s="361" t="s">
        <v>25</v>
      </c>
      <c r="G177" s="362">
        <v>50342</v>
      </c>
      <c r="H177" s="363">
        <v>3</v>
      </c>
      <c r="I177" s="364" t="s">
        <v>272</v>
      </c>
      <c r="J177" s="365">
        <v>3</v>
      </c>
      <c r="K177" s="365" t="s">
        <v>273</v>
      </c>
      <c r="L177" s="366"/>
    </row>
    <row r="178" spans="1:12" ht="15.75" customHeight="1">
      <c r="A178" s="359">
        <v>2</v>
      </c>
      <c r="B178" s="359">
        <v>5</v>
      </c>
      <c r="C178" s="359">
        <v>13</v>
      </c>
      <c r="D178" s="359" t="s">
        <v>37</v>
      </c>
      <c r="E178" s="360" t="s">
        <v>38</v>
      </c>
      <c r="F178" s="361" t="s">
        <v>31</v>
      </c>
      <c r="G178" s="362">
        <v>50785</v>
      </c>
      <c r="H178" s="363">
        <v>131</v>
      </c>
      <c r="I178" s="364" t="s">
        <v>272</v>
      </c>
      <c r="J178" s="365">
        <v>3</v>
      </c>
      <c r="K178" s="365" t="s">
        <v>273</v>
      </c>
      <c r="L178" s="366"/>
    </row>
    <row r="179" spans="1:12" ht="15.75" customHeight="1">
      <c r="A179" s="359">
        <v>2</v>
      </c>
      <c r="B179" s="359">
        <v>5</v>
      </c>
      <c r="C179" s="359">
        <v>13</v>
      </c>
      <c r="D179" s="359" t="s">
        <v>37</v>
      </c>
      <c r="E179" s="360" t="s">
        <v>38</v>
      </c>
      <c r="F179" s="361" t="s">
        <v>25</v>
      </c>
      <c r="G179" s="362">
        <v>50694</v>
      </c>
      <c r="H179" s="363">
        <v>161</v>
      </c>
      <c r="I179" s="364" t="s">
        <v>272</v>
      </c>
      <c r="J179" s="365">
        <v>3</v>
      </c>
      <c r="K179" s="365" t="s">
        <v>273</v>
      </c>
      <c r="L179" s="366"/>
    </row>
    <row r="180" spans="1:12" ht="15.75" customHeight="1">
      <c r="A180" s="359">
        <v>2</v>
      </c>
      <c r="B180" s="359">
        <v>5</v>
      </c>
      <c r="C180" s="359">
        <v>13</v>
      </c>
      <c r="D180" s="359" t="s">
        <v>37</v>
      </c>
      <c r="E180" s="360" t="s">
        <v>38</v>
      </c>
      <c r="F180" s="361" t="s">
        <v>68</v>
      </c>
      <c r="G180" s="362">
        <v>50600</v>
      </c>
      <c r="H180" s="363">
        <v>36</v>
      </c>
      <c r="I180" s="364" t="s">
        <v>272</v>
      </c>
      <c r="J180" s="365">
        <v>3</v>
      </c>
      <c r="K180" s="365" t="s">
        <v>273</v>
      </c>
      <c r="L180" s="366"/>
    </row>
    <row r="181" spans="1:12" ht="15.75" customHeight="1">
      <c r="A181" s="359">
        <v>2</v>
      </c>
      <c r="B181" s="359">
        <v>5</v>
      </c>
      <c r="C181" s="359">
        <v>13</v>
      </c>
      <c r="D181" s="359" t="s">
        <v>37</v>
      </c>
      <c r="E181" s="360" t="s">
        <v>38</v>
      </c>
      <c r="F181" s="361" t="s">
        <v>34</v>
      </c>
      <c r="G181" s="362">
        <v>50663</v>
      </c>
      <c r="H181" s="363">
        <v>14</v>
      </c>
      <c r="I181" s="364" t="s">
        <v>272</v>
      </c>
      <c r="J181" s="365">
        <v>3</v>
      </c>
      <c r="K181" s="365" t="s">
        <v>273</v>
      </c>
      <c r="L181" s="366"/>
    </row>
    <row r="182" spans="1:12" ht="15.75" customHeight="1">
      <c r="A182" s="359">
        <v>2</v>
      </c>
      <c r="B182" s="359">
        <v>5</v>
      </c>
      <c r="C182" s="359">
        <v>13</v>
      </c>
      <c r="D182" s="359" t="s">
        <v>37</v>
      </c>
      <c r="E182" s="360" t="s">
        <v>38</v>
      </c>
      <c r="F182" s="361" t="s">
        <v>68</v>
      </c>
      <c r="G182" s="362">
        <v>50696</v>
      </c>
      <c r="H182" s="363">
        <v>45</v>
      </c>
      <c r="I182" s="364" t="s">
        <v>272</v>
      </c>
      <c r="J182" s="365">
        <v>3</v>
      </c>
      <c r="K182" s="365" t="s">
        <v>273</v>
      </c>
      <c r="L182" s="366"/>
    </row>
    <row r="183" spans="1:12" ht="15.75" customHeight="1">
      <c r="A183" s="359">
        <v>2</v>
      </c>
      <c r="B183" s="359">
        <v>6</v>
      </c>
      <c r="C183" s="359">
        <v>1</v>
      </c>
      <c r="D183" s="359" t="s">
        <v>195</v>
      </c>
      <c r="E183" s="360" t="s">
        <v>196</v>
      </c>
      <c r="F183" s="361" t="s">
        <v>34</v>
      </c>
      <c r="G183" s="362">
        <v>50703</v>
      </c>
      <c r="H183" s="363">
        <v>190</v>
      </c>
      <c r="I183" s="364" t="s">
        <v>272</v>
      </c>
      <c r="J183" s="365">
        <v>3</v>
      </c>
      <c r="K183" s="365" t="s">
        <v>273</v>
      </c>
      <c r="L183" s="366"/>
    </row>
    <row r="184" spans="1:12" ht="15.75" customHeight="1">
      <c r="A184" s="359">
        <v>2</v>
      </c>
      <c r="B184" s="359">
        <v>6</v>
      </c>
      <c r="C184" s="359">
        <v>2</v>
      </c>
      <c r="D184" s="359" t="s">
        <v>197</v>
      </c>
      <c r="E184" s="360" t="s">
        <v>198</v>
      </c>
      <c r="F184" s="361" t="s">
        <v>25</v>
      </c>
      <c r="G184" s="362">
        <v>50771</v>
      </c>
      <c r="H184" s="363">
        <v>9</v>
      </c>
      <c r="I184" s="364" t="s">
        <v>272</v>
      </c>
      <c r="J184" s="365">
        <v>3</v>
      </c>
      <c r="K184" s="365" t="s">
        <v>273</v>
      </c>
      <c r="L184" s="366"/>
    </row>
    <row r="185" spans="1:12" ht="15.75" customHeight="1">
      <c r="A185" s="359">
        <v>2</v>
      </c>
      <c r="B185" s="359">
        <v>6</v>
      </c>
      <c r="C185" s="359">
        <v>2</v>
      </c>
      <c r="D185" s="359" t="s">
        <v>37</v>
      </c>
      <c r="E185" s="360" t="s">
        <v>38</v>
      </c>
      <c r="F185" s="361" t="s">
        <v>34</v>
      </c>
      <c r="G185" s="362">
        <v>50622</v>
      </c>
      <c r="H185" s="363">
        <v>47</v>
      </c>
      <c r="I185" s="364" t="s">
        <v>265</v>
      </c>
      <c r="J185" s="365">
        <v>2</v>
      </c>
      <c r="K185" s="365" t="s">
        <v>269</v>
      </c>
      <c r="L185" s="366"/>
    </row>
    <row r="186" spans="1:12" ht="15.75" customHeight="1">
      <c r="A186" s="324">
        <v>2</v>
      </c>
      <c r="B186" s="324">
        <v>6</v>
      </c>
      <c r="C186" s="324">
        <v>2</v>
      </c>
      <c r="D186" s="324" t="s">
        <v>37</v>
      </c>
      <c r="E186" s="373" t="s">
        <v>38</v>
      </c>
      <c r="F186" s="374" t="s">
        <v>25</v>
      </c>
      <c r="G186" s="375">
        <v>50694</v>
      </c>
      <c r="H186" s="376">
        <v>81</v>
      </c>
      <c r="I186" s="377"/>
      <c r="J186" s="378"/>
      <c r="K186" s="378"/>
      <c r="L186" s="378" t="s">
        <v>55</v>
      </c>
    </row>
    <row r="187" spans="1:12" ht="15.75" customHeight="1">
      <c r="A187" s="324">
        <v>2</v>
      </c>
      <c r="B187" s="324">
        <v>6</v>
      </c>
      <c r="C187" s="324">
        <v>2</v>
      </c>
      <c r="D187" s="324" t="s">
        <v>199</v>
      </c>
      <c r="E187" s="373" t="s">
        <v>200</v>
      </c>
      <c r="F187" s="374" t="s">
        <v>34</v>
      </c>
      <c r="G187" s="375">
        <v>50603</v>
      </c>
      <c r="H187" s="376">
        <v>65</v>
      </c>
      <c r="I187" s="377"/>
      <c r="J187" s="378"/>
      <c r="K187" s="378"/>
      <c r="L187" s="378" t="s">
        <v>55</v>
      </c>
    </row>
    <row r="188" spans="1:12" ht="15.75" customHeight="1">
      <c r="A188" s="324">
        <v>2</v>
      </c>
      <c r="B188" s="324">
        <v>6</v>
      </c>
      <c r="C188" s="324">
        <v>2</v>
      </c>
      <c r="D188" s="324" t="s">
        <v>199</v>
      </c>
      <c r="E188" s="373" t="s">
        <v>200</v>
      </c>
      <c r="F188" s="374" t="s">
        <v>34</v>
      </c>
      <c r="G188" s="375">
        <v>50656</v>
      </c>
      <c r="H188" s="376">
        <v>23</v>
      </c>
      <c r="I188" s="377"/>
      <c r="J188" s="378"/>
      <c r="K188" s="378"/>
      <c r="L188" s="378" t="s">
        <v>55</v>
      </c>
    </row>
    <row r="189" spans="1:12" ht="15.75" customHeight="1">
      <c r="A189" s="359">
        <v>2</v>
      </c>
      <c r="B189" s="359">
        <v>6</v>
      </c>
      <c r="C189" s="359">
        <v>3</v>
      </c>
      <c r="D189" s="359" t="s">
        <v>201</v>
      </c>
      <c r="E189" s="360" t="s">
        <v>202</v>
      </c>
      <c r="F189" s="361" t="s">
        <v>34</v>
      </c>
      <c r="G189" s="362">
        <v>50601</v>
      </c>
      <c r="H189" s="363">
        <v>146</v>
      </c>
      <c r="I189" s="364" t="s">
        <v>272</v>
      </c>
      <c r="J189" s="365">
        <v>3</v>
      </c>
      <c r="K189" s="365" t="s">
        <v>273</v>
      </c>
      <c r="L189" s="366"/>
    </row>
    <row r="190" spans="1:12" ht="15.75" customHeight="1">
      <c r="A190" s="359">
        <v>2</v>
      </c>
      <c r="B190" s="359">
        <v>6</v>
      </c>
      <c r="C190" s="359">
        <v>3</v>
      </c>
      <c r="D190" s="359" t="s">
        <v>201</v>
      </c>
      <c r="E190" s="360" t="s">
        <v>202</v>
      </c>
      <c r="F190" s="361" t="s">
        <v>25</v>
      </c>
      <c r="G190" s="362">
        <v>50525</v>
      </c>
      <c r="H190" s="363">
        <v>42</v>
      </c>
      <c r="I190" s="364" t="s">
        <v>272</v>
      </c>
      <c r="J190" s="365">
        <v>3</v>
      </c>
      <c r="K190" s="365" t="s">
        <v>273</v>
      </c>
      <c r="L190" s="366"/>
    </row>
    <row r="191" spans="1:12" ht="15.75" customHeight="1">
      <c r="A191" s="359">
        <v>2</v>
      </c>
      <c r="B191" s="359">
        <v>6</v>
      </c>
      <c r="C191" s="359">
        <v>3</v>
      </c>
      <c r="D191" s="359" t="s">
        <v>199</v>
      </c>
      <c r="E191" s="360" t="s">
        <v>200</v>
      </c>
      <c r="F191" s="361" t="s">
        <v>34</v>
      </c>
      <c r="G191" s="362">
        <v>50603</v>
      </c>
      <c r="H191" s="363">
        <v>32</v>
      </c>
      <c r="I191" s="364" t="s">
        <v>272</v>
      </c>
      <c r="J191" s="365">
        <v>3</v>
      </c>
      <c r="K191" s="365" t="s">
        <v>273</v>
      </c>
      <c r="L191" s="366"/>
    </row>
    <row r="192" spans="1:12" ht="15.75" customHeight="1">
      <c r="A192" s="359">
        <v>2</v>
      </c>
      <c r="B192" s="359">
        <v>6</v>
      </c>
      <c r="C192" s="359">
        <v>4</v>
      </c>
      <c r="D192" s="359" t="s">
        <v>203</v>
      </c>
      <c r="E192" s="360" t="s">
        <v>204</v>
      </c>
      <c r="F192" s="361" t="s">
        <v>68</v>
      </c>
      <c r="G192" s="362">
        <v>50835</v>
      </c>
      <c r="H192" s="363">
        <v>580</v>
      </c>
      <c r="I192" s="364" t="s">
        <v>265</v>
      </c>
      <c r="J192" s="365">
        <v>2</v>
      </c>
      <c r="K192" s="365" t="s">
        <v>268</v>
      </c>
      <c r="L192" s="366"/>
    </row>
    <row r="193" spans="1:12" ht="15.75" customHeight="1">
      <c r="A193" s="359">
        <v>2</v>
      </c>
      <c r="B193" s="359">
        <v>6</v>
      </c>
      <c r="C193" s="359">
        <v>5</v>
      </c>
      <c r="D193" s="359" t="s">
        <v>203</v>
      </c>
      <c r="E193" s="360" t="s">
        <v>204</v>
      </c>
      <c r="F193" s="361" t="s">
        <v>68</v>
      </c>
      <c r="G193" s="362">
        <v>50835</v>
      </c>
      <c r="H193" s="363">
        <v>308</v>
      </c>
      <c r="I193" s="364" t="s">
        <v>265</v>
      </c>
      <c r="J193" s="365">
        <v>2</v>
      </c>
      <c r="K193" s="365" t="s">
        <v>268</v>
      </c>
      <c r="L193" s="366"/>
    </row>
    <row r="194" spans="1:12" ht="15.75" customHeight="1">
      <c r="A194" s="359">
        <v>2</v>
      </c>
      <c r="B194" s="359">
        <v>6</v>
      </c>
      <c r="C194" s="359">
        <v>5</v>
      </c>
      <c r="D194" s="359" t="s">
        <v>167</v>
      </c>
      <c r="E194" s="360" t="s">
        <v>168</v>
      </c>
      <c r="F194" s="361" t="s">
        <v>25</v>
      </c>
      <c r="G194" s="362">
        <v>50744</v>
      </c>
      <c r="H194" s="363">
        <v>1</v>
      </c>
      <c r="I194" s="364" t="s">
        <v>272</v>
      </c>
      <c r="J194" s="365">
        <v>3</v>
      </c>
      <c r="K194" s="365" t="s">
        <v>326</v>
      </c>
      <c r="L194" s="366"/>
    </row>
    <row r="195" spans="1:12" ht="15.75" customHeight="1">
      <c r="A195" s="359">
        <v>2</v>
      </c>
      <c r="B195" s="359">
        <v>7</v>
      </c>
      <c r="C195" s="359">
        <v>1</v>
      </c>
      <c r="D195" s="359" t="s">
        <v>177</v>
      </c>
      <c r="E195" s="360" t="s">
        <v>178</v>
      </c>
      <c r="F195" s="361" t="s">
        <v>68</v>
      </c>
      <c r="G195" s="362">
        <v>50852</v>
      </c>
      <c r="H195" s="363">
        <v>256</v>
      </c>
      <c r="I195" s="364" t="s">
        <v>272</v>
      </c>
      <c r="J195" s="365">
        <v>3</v>
      </c>
      <c r="K195" s="365" t="s">
        <v>326</v>
      </c>
      <c r="L195" s="366"/>
    </row>
    <row r="196" spans="1:12" ht="15.75" customHeight="1">
      <c r="A196" s="382">
        <v>2</v>
      </c>
      <c r="B196" s="359">
        <v>7</v>
      </c>
      <c r="C196" s="359">
        <v>2</v>
      </c>
      <c r="D196" s="359" t="s">
        <v>205</v>
      </c>
      <c r="E196" s="360" t="s">
        <v>206</v>
      </c>
      <c r="F196" s="361" t="s">
        <v>34</v>
      </c>
      <c r="G196" s="362">
        <v>50853</v>
      </c>
      <c r="H196" s="363">
        <v>642</v>
      </c>
      <c r="I196" s="364" t="s">
        <v>265</v>
      </c>
      <c r="J196" s="365">
        <v>2</v>
      </c>
      <c r="K196" s="365" t="s">
        <v>270</v>
      </c>
      <c r="L196" s="366"/>
    </row>
    <row r="197" spans="1:12" ht="15.75" customHeight="1">
      <c r="A197" s="359">
        <v>2</v>
      </c>
      <c r="B197" s="359">
        <v>7</v>
      </c>
      <c r="C197" s="359">
        <v>3</v>
      </c>
      <c r="D197" s="359" t="s">
        <v>208</v>
      </c>
      <c r="E197" s="360" t="s">
        <v>209</v>
      </c>
      <c r="F197" s="361" t="s">
        <v>68</v>
      </c>
      <c r="G197" s="362">
        <v>50635</v>
      </c>
      <c r="H197" s="363">
        <v>311</v>
      </c>
      <c r="I197" s="364" t="s">
        <v>272</v>
      </c>
      <c r="J197" s="365">
        <v>3</v>
      </c>
      <c r="K197" s="365" t="s">
        <v>273</v>
      </c>
      <c r="L197" s="366"/>
    </row>
    <row r="198" spans="1:12" ht="15.75" customHeight="1">
      <c r="A198" s="359">
        <v>2</v>
      </c>
      <c r="B198" s="359">
        <v>7</v>
      </c>
      <c r="C198" s="359">
        <v>3</v>
      </c>
      <c r="D198" s="359" t="s">
        <v>81</v>
      </c>
      <c r="E198" s="360" t="s">
        <v>82</v>
      </c>
      <c r="F198" s="361" t="s">
        <v>34</v>
      </c>
      <c r="G198" s="362">
        <v>50555</v>
      </c>
      <c r="H198" s="363">
        <v>5</v>
      </c>
      <c r="I198" s="364" t="s">
        <v>272</v>
      </c>
      <c r="J198" s="365">
        <v>3</v>
      </c>
      <c r="K198" s="365" t="s">
        <v>273</v>
      </c>
      <c r="L198" s="366"/>
    </row>
    <row r="199" spans="1:12" ht="15.75" customHeight="1">
      <c r="A199" s="359">
        <v>2</v>
      </c>
      <c r="B199" s="359">
        <v>7</v>
      </c>
      <c r="C199" s="359">
        <v>3</v>
      </c>
      <c r="D199" s="359" t="s">
        <v>208</v>
      </c>
      <c r="E199" s="360" t="s">
        <v>209</v>
      </c>
      <c r="F199" s="361" t="s">
        <v>34</v>
      </c>
      <c r="G199" s="362">
        <v>50617</v>
      </c>
      <c r="H199" s="363">
        <v>75</v>
      </c>
      <c r="I199" s="364" t="s">
        <v>272</v>
      </c>
      <c r="J199" s="365">
        <v>3</v>
      </c>
      <c r="K199" s="365" t="s">
        <v>273</v>
      </c>
      <c r="L199" s="366"/>
    </row>
    <row r="200" spans="1:12" ht="15.75" customHeight="1">
      <c r="A200" s="324">
        <v>2</v>
      </c>
      <c r="B200" s="324">
        <v>7</v>
      </c>
      <c r="C200" s="324">
        <v>4</v>
      </c>
      <c r="D200" s="324" t="s">
        <v>210</v>
      </c>
      <c r="E200" s="373" t="s">
        <v>211</v>
      </c>
      <c r="F200" s="374" t="s">
        <v>34</v>
      </c>
      <c r="G200" s="375">
        <v>50578</v>
      </c>
      <c r="H200" s="376">
        <v>4</v>
      </c>
      <c r="I200" s="377"/>
      <c r="J200" s="378"/>
      <c r="K200" s="378"/>
      <c r="L200" s="378" t="s">
        <v>55</v>
      </c>
    </row>
    <row r="201" spans="1:12" ht="15.75" customHeight="1">
      <c r="A201" s="324">
        <v>2</v>
      </c>
      <c r="B201" s="324">
        <v>7</v>
      </c>
      <c r="C201" s="324">
        <v>4</v>
      </c>
      <c r="D201" s="324" t="s">
        <v>212</v>
      </c>
      <c r="E201" s="373" t="s">
        <v>213</v>
      </c>
      <c r="F201" s="374" t="s">
        <v>34</v>
      </c>
      <c r="G201" s="375">
        <v>50579</v>
      </c>
      <c r="H201" s="376">
        <v>1</v>
      </c>
      <c r="I201" s="377"/>
      <c r="J201" s="378"/>
      <c r="K201" s="378"/>
      <c r="L201" s="378" t="s">
        <v>55</v>
      </c>
    </row>
    <row r="202" spans="1:12" ht="15.75" customHeight="1">
      <c r="A202" s="359">
        <v>2</v>
      </c>
      <c r="B202" s="359">
        <v>7</v>
      </c>
      <c r="C202" s="359">
        <v>4</v>
      </c>
      <c r="D202" s="359" t="s">
        <v>214</v>
      </c>
      <c r="E202" s="360" t="s">
        <v>215</v>
      </c>
      <c r="F202" s="361" t="s">
        <v>34</v>
      </c>
      <c r="G202" s="362">
        <v>50580</v>
      </c>
      <c r="H202" s="363">
        <v>25</v>
      </c>
      <c r="I202" s="364" t="s">
        <v>272</v>
      </c>
      <c r="J202" s="365">
        <v>3</v>
      </c>
      <c r="K202" s="365" t="s">
        <v>273</v>
      </c>
      <c r="L202" s="366"/>
    </row>
    <row r="203" spans="1:12" ht="15.75" customHeight="1">
      <c r="A203" s="359">
        <v>2</v>
      </c>
      <c r="B203" s="359">
        <v>7</v>
      </c>
      <c r="C203" s="359">
        <v>4</v>
      </c>
      <c r="D203" s="359" t="s">
        <v>216</v>
      </c>
      <c r="E203" s="360" t="s">
        <v>217</v>
      </c>
      <c r="F203" s="361" t="s">
        <v>34</v>
      </c>
      <c r="G203" s="362">
        <v>50584</v>
      </c>
      <c r="H203" s="363">
        <v>92</v>
      </c>
      <c r="I203" s="364" t="s">
        <v>265</v>
      </c>
      <c r="J203" s="365">
        <v>2</v>
      </c>
      <c r="K203" s="365" t="s">
        <v>317</v>
      </c>
      <c r="L203" s="366"/>
    </row>
    <row r="204" spans="1:12" ht="15.75" customHeight="1">
      <c r="A204" s="359">
        <v>2</v>
      </c>
      <c r="B204" s="359">
        <v>7</v>
      </c>
      <c r="C204" s="359">
        <v>4</v>
      </c>
      <c r="D204" s="359" t="s">
        <v>218</v>
      </c>
      <c r="E204" s="360" t="s">
        <v>219</v>
      </c>
      <c r="F204" s="361" t="s">
        <v>34</v>
      </c>
      <c r="G204" s="362">
        <v>50547</v>
      </c>
      <c r="H204" s="363">
        <v>73</v>
      </c>
      <c r="I204" s="364" t="s">
        <v>265</v>
      </c>
      <c r="J204" s="365">
        <v>2</v>
      </c>
      <c r="K204" s="365" t="s">
        <v>269</v>
      </c>
      <c r="L204" s="366"/>
    </row>
    <row r="205" spans="1:12" ht="15.75" customHeight="1">
      <c r="A205" s="359">
        <v>2</v>
      </c>
      <c r="B205" s="359">
        <v>7</v>
      </c>
      <c r="C205" s="359">
        <v>4</v>
      </c>
      <c r="D205" s="359" t="s">
        <v>218</v>
      </c>
      <c r="E205" s="360" t="s">
        <v>219</v>
      </c>
      <c r="F205" s="361" t="s">
        <v>25</v>
      </c>
      <c r="G205" s="362">
        <v>50389</v>
      </c>
      <c r="H205" s="363">
        <v>14</v>
      </c>
      <c r="I205" s="364" t="s">
        <v>265</v>
      </c>
      <c r="J205" s="365">
        <v>2</v>
      </c>
      <c r="K205" s="365" t="s">
        <v>269</v>
      </c>
      <c r="L205" s="366"/>
    </row>
    <row r="206" spans="1:12" ht="15.75" customHeight="1">
      <c r="A206" s="359">
        <v>2</v>
      </c>
      <c r="B206" s="359">
        <v>7</v>
      </c>
      <c r="C206" s="359">
        <v>4</v>
      </c>
      <c r="D206" s="359" t="s">
        <v>218</v>
      </c>
      <c r="E206" s="360" t="s">
        <v>219</v>
      </c>
      <c r="F206" s="361" t="s">
        <v>25</v>
      </c>
      <c r="G206" s="362">
        <v>50676</v>
      </c>
      <c r="H206" s="363">
        <v>3</v>
      </c>
      <c r="I206" s="364" t="s">
        <v>265</v>
      </c>
      <c r="J206" s="365">
        <v>2</v>
      </c>
      <c r="K206" s="365" t="s">
        <v>269</v>
      </c>
      <c r="L206" s="366"/>
    </row>
    <row r="207" spans="1:12" ht="15.75" customHeight="1">
      <c r="A207" s="359">
        <v>2</v>
      </c>
      <c r="B207" s="359">
        <v>7</v>
      </c>
      <c r="C207" s="359">
        <v>5</v>
      </c>
      <c r="D207" s="359" t="s">
        <v>160</v>
      </c>
      <c r="E207" s="360" t="s">
        <v>161</v>
      </c>
      <c r="F207" s="361" t="s">
        <v>25</v>
      </c>
      <c r="G207" s="362">
        <v>50863</v>
      </c>
      <c r="H207" s="363">
        <v>168</v>
      </c>
      <c r="I207" s="364" t="s">
        <v>265</v>
      </c>
      <c r="J207" s="365">
        <v>2</v>
      </c>
      <c r="K207" s="365" t="s">
        <v>270</v>
      </c>
      <c r="L207" s="366"/>
    </row>
    <row r="208" spans="1:12" ht="15.75" customHeight="1">
      <c r="A208" s="359">
        <v>2</v>
      </c>
      <c r="B208" s="359">
        <v>7</v>
      </c>
      <c r="C208" s="359">
        <v>5</v>
      </c>
      <c r="D208" s="359" t="s">
        <v>189</v>
      </c>
      <c r="E208" s="360" t="s">
        <v>190</v>
      </c>
      <c r="F208" s="361" t="s">
        <v>25</v>
      </c>
      <c r="G208" s="362">
        <v>50864</v>
      </c>
      <c r="H208" s="363">
        <v>279</v>
      </c>
      <c r="I208" s="364" t="s">
        <v>265</v>
      </c>
      <c r="J208" s="365">
        <v>2</v>
      </c>
      <c r="K208" s="365" t="s">
        <v>270</v>
      </c>
      <c r="L208" s="366"/>
    </row>
    <row r="209" spans="1:18" ht="15.75" customHeight="1">
      <c r="A209" s="359">
        <v>2</v>
      </c>
      <c r="B209" s="359">
        <v>7</v>
      </c>
      <c r="C209" s="359">
        <v>6</v>
      </c>
      <c r="D209" s="359" t="s">
        <v>100</v>
      </c>
      <c r="E209" s="360" t="s">
        <v>101</v>
      </c>
      <c r="F209" s="361" t="s">
        <v>31</v>
      </c>
      <c r="G209" s="362">
        <v>50692</v>
      </c>
      <c r="H209" s="363">
        <v>462</v>
      </c>
      <c r="I209" s="364" t="s">
        <v>265</v>
      </c>
      <c r="J209" s="365">
        <v>2</v>
      </c>
      <c r="K209" s="365" t="s">
        <v>327</v>
      </c>
      <c r="L209" s="366"/>
    </row>
    <row r="210" spans="1:18" ht="15.75" customHeight="1">
      <c r="A210" s="359">
        <v>2</v>
      </c>
      <c r="B210" s="359">
        <v>7</v>
      </c>
      <c r="C210" s="359">
        <v>7</v>
      </c>
      <c r="D210" s="359" t="s">
        <v>58</v>
      </c>
      <c r="E210" s="360" t="s">
        <v>59</v>
      </c>
      <c r="F210" s="361" t="s">
        <v>25</v>
      </c>
      <c r="G210" s="362">
        <v>50868</v>
      </c>
      <c r="H210" s="363">
        <v>416</v>
      </c>
      <c r="I210" s="364" t="s">
        <v>265</v>
      </c>
      <c r="J210" s="365">
        <v>2</v>
      </c>
      <c r="K210" s="365" t="s">
        <v>270</v>
      </c>
      <c r="L210" s="366"/>
    </row>
    <row r="211" spans="1:18" ht="15.75" customHeight="1">
      <c r="A211" s="159">
        <v>2</v>
      </c>
      <c r="B211" s="159">
        <v>7</v>
      </c>
      <c r="C211" s="159">
        <v>7</v>
      </c>
      <c r="D211" s="165" t="s">
        <v>97</v>
      </c>
      <c r="E211" s="166" t="s">
        <v>220</v>
      </c>
      <c r="F211" s="403" t="s">
        <v>25</v>
      </c>
      <c r="G211" s="156">
        <v>50869</v>
      </c>
      <c r="H211" s="404">
        <v>214</v>
      </c>
      <c r="I211" s="403" t="s">
        <v>272</v>
      </c>
      <c r="J211" s="397">
        <v>3</v>
      </c>
      <c r="K211" s="397" t="s">
        <v>273</v>
      </c>
      <c r="L211" s="397" t="s">
        <v>221</v>
      </c>
      <c r="M211" s="170"/>
      <c r="N211" s="170"/>
      <c r="O211" s="170"/>
      <c r="P211" s="170"/>
      <c r="Q211" s="170"/>
      <c r="R211" s="170"/>
    </row>
    <row r="212" spans="1:18" ht="15.75" customHeight="1">
      <c r="A212" s="359">
        <v>2</v>
      </c>
      <c r="B212" s="359">
        <v>7</v>
      </c>
      <c r="C212" s="359">
        <v>9</v>
      </c>
      <c r="D212" s="359" t="s">
        <v>222</v>
      </c>
      <c r="E212" s="360" t="s">
        <v>223</v>
      </c>
      <c r="F212" s="361" t="s">
        <v>25</v>
      </c>
      <c r="G212" s="362">
        <v>50870</v>
      </c>
      <c r="H212" s="363">
        <v>93</v>
      </c>
      <c r="I212" s="364" t="s">
        <v>272</v>
      </c>
      <c r="J212" s="365">
        <v>3</v>
      </c>
      <c r="K212" s="365" t="s">
        <v>273</v>
      </c>
      <c r="L212" s="366"/>
    </row>
    <row r="213" spans="1:18" ht="15.75" customHeight="1">
      <c r="A213" s="359">
        <v>2</v>
      </c>
      <c r="B213" s="359">
        <v>7</v>
      </c>
      <c r="C213" s="359">
        <v>9</v>
      </c>
      <c r="D213" s="359" t="s">
        <v>138</v>
      </c>
      <c r="E213" s="360" t="s">
        <v>139</v>
      </c>
      <c r="F213" s="361" t="s">
        <v>25</v>
      </c>
      <c r="G213" s="362">
        <v>50871</v>
      </c>
      <c r="H213" s="363">
        <v>433</v>
      </c>
      <c r="I213" s="364" t="s">
        <v>272</v>
      </c>
      <c r="J213" s="365">
        <v>3</v>
      </c>
      <c r="K213" s="365" t="s">
        <v>273</v>
      </c>
      <c r="L213" s="366"/>
    </row>
    <row r="214" spans="1:18" ht="15.75" customHeight="1">
      <c r="A214" s="159">
        <v>2</v>
      </c>
      <c r="B214" s="159">
        <v>7</v>
      </c>
      <c r="C214" s="159">
        <v>11</v>
      </c>
      <c r="D214" s="165" t="s">
        <v>224</v>
      </c>
      <c r="E214" s="166" t="s">
        <v>225</v>
      </c>
      <c r="F214" s="403" t="s">
        <v>25</v>
      </c>
      <c r="G214" s="156">
        <v>50872</v>
      </c>
      <c r="H214" s="404">
        <v>200</v>
      </c>
      <c r="I214" s="403" t="s">
        <v>272</v>
      </c>
      <c r="J214" s="397">
        <v>3</v>
      </c>
      <c r="K214" s="397" t="s">
        <v>273</v>
      </c>
      <c r="L214" s="397" t="s">
        <v>221</v>
      </c>
      <c r="M214" s="170"/>
      <c r="N214" s="170"/>
      <c r="O214" s="170"/>
      <c r="P214" s="170"/>
      <c r="Q214" s="170"/>
      <c r="R214" s="170"/>
    </row>
    <row r="215" spans="1:18" ht="15.75" customHeight="1">
      <c r="A215" s="324">
        <v>2</v>
      </c>
      <c r="B215" s="324">
        <v>7</v>
      </c>
      <c r="C215" s="324">
        <v>11</v>
      </c>
      <c r="D215" s="324" t="s">
        <v>212</v>
      </c>
      <c r="E215" s="373" t="s">
        <v>213</v>
      </c>
      <c r="F215" s="374" t="s">
        <v>25</v>
      </c>
      <c r="G215" s="375">
        <v>50873</v>
      </c>
      <c r="H215" s="376">
        <v>186</v>
      </c>
      <c r="I215" s="377"/>
      <c r="J215" s="378"/>
      <c r="K215" s="378"/>
      <c r="L215" s="378" t="s">
        <v>55</v>
      </c>
    </row>
    <row r="216" spans="1:18" ht="15.75" customHeight="1">
      <c r="A216" s="359">
        <v>2</v>
      </c>
      <c r="B216" s="359">
        <v>7</v>
      </c>
      <c r="C216" s="359">
        <v>11</v>
      </c>
      <c r="D216" s="359" t="s">
        <v>74</v>
      </c>
      <c r="E216" s="360" t="s">
        <v>75</v>
      </c>
      <c r="F216" s="361" t="s">
        <v>25</v>
      </c>
      <c r="G216" s="362">
        <v>50885</v>
      </c>
      <c r="H216" s="363">
        <v>222</v>
      </c>
      <c r="I216" s="364" t="s">
        <v>272</v>
      </c>
      <c r="J216" s="365">
        <v>3</v>
      </c>
      <c r="K216" s="365" t="s">
        <v>273</v>
      </c>
      <c r="L216" s="366"/>
    </row>
    <row r="217" spans="1:18" ht="15.75" customHeight="1">
      <c r="A217" s="359">
        <v>2</v>
      </c>
      <c r="B217" s="359">
        <v>7</v>
      </c>
      <c r="C217" s="359">
        <v>12</v>
      </c>
      <c r="D217" s="359" t="s">
        <v>226</v>
      </c>
      <c r="E217" s="360" t="s">
        <v>227</v>
      </c>
      <c r="F217" s="361" t="s">
        <v>34</v>
      </c>
      <c r="G217" s="362">
        <v>50662</v>
      </c>
      <c r="H217" s="363">
        <v>31</v>
      </c>
      <c r="I217" s="364" t="s">
        <v>272</v>
      </c>
      <c r="J217" s="365">
        <v>3</v>
      </c>
      <c r="K217" s="365" t="s">
        <v>273</v>
      </c>
      <c r="L217" s="366"/>
    </row>
    <row r="218" spans="1:18" ht="15.75" customHeight="1">
      <c r="A218" s="359">
        <v>2</v>
      </c>
      <c r="B218" s="359">
        <v>7</v>
      </c>
      <c r="C218" s="359">
        <v>12</v>
      </c>
      <c r="D218" s="359" t="s">
        <v>212</v>
      </c>
      <c r="E218" s="360" t="s">
        <v>213</v>
      </c>
      <c r="F218" s="361" t="s">
        <v>48</v>
      </c>
      <c r="G218" s="362">
        <v>10995</v>
      </c>
      <c r="H218" s="363">
        <v>170</v>
      </c>
      <c r="I218" s="364" t="s">
        <v>272</v>
      </c>
      <c r="J218" s="365">
        <v>3</v>
      </c>
      <c r="K218" s="365" t="s">
        <v>273</v>
      </c>
      <c r="L218" s="366"/>
    </row>
    <row r="219" spans="1:18" ht="15.75" customHeight="1">
      <c r="A219" s="359">
        <v>2</v>
      </c>
      <c r="B219" s="359">
        <v>7</v>
      </c>
      <c r="C219" s="359">
        <v>13</v>
      </c>
      <c r="D219" s="359" t="s">
        <v>66</v>
      </c>
      <c r="E219" s="360" t="s">
        <v>67</v>
      </c>
      <c r="F219" s="361" t="s">
        <v>31</v>
      </c>
      <c r="G219" s="362">
        <v>50323</v>
      </c>
      <c r="H219" s="363">
        <v>143</v>
      </c>
      <c r="I219" s="364" t="s">
        <v>272</v>
      </c>
      <c r="J219" s="365">
        <v>3</v>
      </c>
      <c r="K219" s="365" t="s">
        <v>273</v>
      </c>
      <c r="L219" s="366"/>
    </row>
    <row r="220" spans="1:18" ht="15.75" customHeight="1">
      <c r="A220" s="359">
        <v>2</v>
      </c>
      <c r="B220" s="359">
        <v>7</v>
      </c>
      <c r="C220" s="359">
        <v>13</v>
      </c>
      <c r="D220" s="359" t="s">
        <v>66</v>
      </c>
      <c r="E220" s="360" t="s">
        <v>67</v>
      </c>
      <c r="F220" s="361" t="s">
        <v>31</v>
      </c>
      <c r="G220" s="362">
        <v>50726</v>
      </c>
      <c r="H220" s="363">
        <v>166</v>
      </c>
      <c r="I220" s="364" t="s">
        <v>272</v>
      </c>
      <c r="J220" s="365">
        <v>3</v>
      </c>
      <c r="K220" s="365" t="s">
        <v>273</v>
      </c>
      <c r="L220" s="366"/>
    </row>
    <row r="221" spans="1:18" ht="15.75" customHeight="1">
      <c r="A221" s="359">
        <v>2</v>
      </c>
      <c r="B221" s="359">
        <v>7</v>
      </c>
      <c r="C221" s="359">
        <v>13</v>
      </c>
      <c r="D221" s="359" t="s">
        <v>66</v>
      </c>
      <c r="E221" s="360" t="s">
        <v>67</v>
      </c>
      <c r="F221" s="361" t="s">
        <v>34</v>
      </c>
      <c r="G221" s="362">
        <v>50087</v>
      </c>
      <c r="H221" s="363">
        <v>132</v>
      </c>
      <c r="I221" s="364" t="s">
        <v>265</v>
      </c>
      <c r="J221" s="365">
        <v>2</v>
      </c>
      <c r="K221" s="365" t="s">
        <v>284</v>
      </c>
      <c r="L221" s="366"/>
    </row>
    <row r="222" spans="1:18" ht="15.75" customHeight="1">
      <c r="A222" s="359">
        <v>2</v>
      </c>
      <c r="B222" s="359">
        <v>7</v>
      </c>
      <c r="C222" s="359">
        <v>13</v>
      </c>
      <c r="D222" s="359" t="s">
        <v>66</v>
      </c>
      <c r="E222" s="360" t="s">
        <v>67</v>
      </c>
      <c r="F222" s="361" t="s">
        <v>31</v>
      </c>
      <c r="G222" s="362">
        <v>50724</v>
      </c>
      <c r="H222" s="363">
        <v>224</v>
      </c>
      <c r="I222" s="364" t="s">
        <v>272</v>
      </c>
      <c r="J222" s="365">
        <v>3</v>
      </c>
      <c r="K222" s="365" t="s">
        <v>329</v>
      </c>
      <c r="L222" s="366"/>
    </row>
    <row r="223" spans="1:18" ht="15.75" customHeight="1">
      <c r="A223" s="324">
        <v>2</v>
      </c>
      <c r="B223" s="324">
        <v>7</v>
      </c>
      <c r="C223" s="324">
        <v>14</v>
      </c>
      <c r="D223" s="324" t="s">
        <v>228</v>
      </c>
      <c r="E223" s="373" t="s">
        <v>229</v>
      </c>
      <c r="F223" s="374" t="s">
        <v>25</v>
      </c>
      <c r="G223" s="375">
        <v>50855</v>
      </c>
      <c r="H223" s="376">
        <v>26</v>
      </c>
      <c r="I223" s="398"/>
      <c r="J223" s="399"/>
      <c r="K223" s="399"/>
      <c r="L223" s="378" t="s">
        <v>55</v>
      </c>
    </row>
    <row r="224" spans="1:18" ht="15.75" customHeight="1">
      <c r="A224" s="359">
        <v>2</v>
      </c>
      <c r="B224" s="359">
        <v>7</v>
      </c>
      <c r="C224" s="359">
        <v>16</v>
      </c>
      <c r="D224" s="359" t="s">
        <v>138</v>
      </c>
      <c r="E224" s="360" t="s">
        <v>139</v>
      </c>
      <c r="F224" s="361" t="s">
        <v>25</v>
      </c>
      <c r="G224" s="362">
        <v>50879</v>
      </c>
      <c r="H224" s="363">
        <v>477</v>
      </c>
      <c r="I224" s="364" t="s">
        <v>272</v>
      </c>
      <c r="J224" s="365">
        <v>3</v>
      </c>
      <c r="K224" s="365" t="s">
        <v>273</v>
      </c>
      <c r="L224" s="366"/>
    </row>
    <row r="225" spans="1:12" ht="15.75" customHeight="1">
      <c r="A225" s="359">
        <v>2</v>
      </c>
      <c r="B225" s="359">
        <v>7</v>
      </c>
      <c r="C225" s="359">
        <v>16</v>
      </c>
      <c r="D225" s="359" t="s">
        <v>122</v>
      </c>
      <c r="E225" s="360" t="s">
        <v>123</v>
      </c>
      <c r="F225" s="361" t="s">
        <v>25</v>
      </c>
      <c r="G225" s="362">
        <v>50888</v>
      </c>
      <c r="H225" s="363">
        <v>135</v>
      </c>
      <c r="I225" s="364" t="s">
        <v>272</v>
      </c>
      <c r="J225" s="365">
        <v>3</v>
      </c>
      <c r="K225" s="365" t="s">
        <v>273</v>
      </c>
      <c r="L225" s="366"/>
    </row>
    <row r="226" spans="1:12" ht="15.75" customHeight="1">
      <c r="A226" s="359">
        <v>2</v>
      </c>
      <c r="B226" s="359">
        <v>7</v>
      </c>
      <c r="C226" s="359">
        <v>17</v>
      </c>
      <c r="D226" s="359" t="s">
        <v>66</v>
      </c>
      <c r="E226" s="360" t="s">
        <v>67</v>
      </c>
      <c r="F226" s="361" t="s">
        <v>34</v>
      </c>
      <c r="G226" s="362">
        <v>50459</v>
      </c>
      <c r="H226" s="363">
        <v>126</v>
      </c>
      <c r="I226" s="364" t="s">
        <v>272</v>
      </c>
      <c r="J226" s="365">
        <v>3</v>
      </c>
      <c r="K226" s="365" t="s">
        <v>273</v>
      </c>
      <c r="L226" s="366"/>
    </row>
    <row r="227" spans="1:12" ht="15.75" customHeight="1">
      <c r="A227" s="359">
        <v>2</v>
      </c>
      <c r="B227" s="359">
        <v>7</v>
      </c>
      <c r="C227" s="359">
        <v>17</v>
      </c>
      <c r="D227" s="359" t="s">
        <v>66</v>
      </c>
      <c r="E227" s="360" t="s">
        <v>67</v>
      </c>
      <c r="F227" s="361" t="s">
        <v>34</v>
      </c>
      <c r="G227" s="362">
        <v>50602</v>
      </c>
      <c r="H227" s="363">
        <v>42</v>
      </c>
      <c r="I227" s="364" t="s">
        <v>265</v>
      </c>
      <c r="J227" s="365">
        <v>2</v>
      </c>
      <c r="K227" s="365" t="s">
        <v>317</v>
      </c>
      <c r="L227" s="366"/>
    </row>
    <row r="228" spans="1:12" ht="15.75" customHeight="1">
      <c r="A228" s="359">
        <v>2</v>
      </c>
      <c r="B228" s="359">
        <v>7</v>
      </c>
      <c r="C228" s="359">
        <v>18</v>
      </c>
      <c r="D228" s="359" t="s">
        <v>230</v>
      </c>
      <c r="E228" s="360" t="s">
        <v>231</v>
      </c>
      <c r="F228" s="361" t="s">
        <v>48</v>
      </c>
      <c r="G228" s="362">
        <v>50206</v>
      </c>
      <c r="H228" s="363">
        <v>73</v>
      </c>
      <c r="I228" s="364" t="s">
        <v>272</v>
      </c>
      <c r="J228" s="365">
        <v>3</v>
      </c>
      <c r="K228" s="365" t="s">
        <v>273</v>
      </c>
      <c r="L228" s="366"/>
    </row>
    <row r="229" spans="1:12" ht="15.75" customHeight="1">
      <c r="A229" s="359">
        <v>2</v>
      </c>
      <c r="B229" s="359">
        <v>7</v>
      </c>
      <c r="C229" s="359">
        <v>18</v>
      </c>
      <c r="D229" s="359" t="s">
        <v>232</v>
      </c>
      <c r="E229" s="391"/>
      <c r="F229" s="361" t="s">
        <v>68</v>
      </c>
      <c r="G229" s="362">
        <v>50779</v>
      </c>
      <c r="H229" s="363">
        <v>91</v>
      </c>
      <c r="I229" s="364" t="s">
        <v>272</v>
      </c>
      <c r="J229" s="365">
        <v>3</v>
      </c>
      <c r="K229" s="365" t="s">
        <v>273</v>
      </c>
      <c r="L229" s="366"/>
    </row>
    <row r="230" spans="1:12" ht="15.75" customHeight="1">
      <c r="A230" s="359">
        <v>2</v>
      </c>
      <c r="B230" s="359">
        <v>8</v>
      </c>
      <c r="C230" s="359">
        <v>2</v>
      </c>
      <c r="D230" s="359" t="s">
        <v>233</v>
      </c>
      <c r="E230" s="360" t="s">
        <v>234</v>
      </c>
      <c r="F230" s="361" t="s">
        <v>48</v>
      </c>
      <c r="G230" s="362">
        <v>50778</v>
      </c>
      <c r="H230" s="363">
        <v>118</v>
      </c>
      <c r="I230" s="364" t="s">
        <v>265</v>
      </c>
      <c r="J230" s="365">
        <v>2</v>
      </c>
      <c r="K230" s="365" t="s">
        <v>269</v>
      </c>
      <c r="L230" s="366"/>
    </row>
    <row r="231" spans="1:12" ht="15.75" customHeight="1">
      <c r="A231" s="359">
        <v>2</v>
      </c>
      <c r="B231" s="359">
        <v>8</v>
      </c>
      <c r="C231" s="359">
        <v>2</v>
      </c>
      <c r="D231" s="359" t="s">
        <v>233</v>
      </c>
      <c r="E231" s="360" t="s">
        <v>234</v>
      </c>
      <c r="F231" s="361" t="s">
        <v>34</v>
      </c>
      <c r="G231" s="362">
        <v>50587</v>
      </c>
      <c r="H231" s="363">
        <v>47</v>
      </c>
      <c r="I231" s="364" t="s">
        <v>272</v>
      </c>
      <c r="J231" s="365">
        <v>3</v>
      </c>
      <c r="K231" s="365" t="s">
        <v>273</v>
      </c>
      <c r="L231" s="366"/>
    </row>
    <row r="232" spans="1:12" ht="15.75" customHeight="1">
      <c r="A232" s="359">
        <v>2</v>
      </c>
      <c r="B232" s="359">
        <v>8</v>
      </c>
      <c r="C232" s="359">
        <v>3</v>
      </c>
      <c r="D232" s="359" t="s">
        <v>134</v>
      </c>
      <c r="E232" s="360" t="s">
        <v>135</v>
      </c>
      <c r="F232" s="361" t="s">
        <v>25</v>
      </c>
      <c r="G232" s="362">
        <v>50268</v>
      </c>
      <c r="H232" s="363">
        <v>210</v>
      </c>
      <c r="I232" s="364" t="s">
        <v>272</v>
      </c>
      <c r="J232" s="365">
        <v>3</v>
      </c>
      <c r="K232" s="365" t="s">
        <v>273</v>
      </c>
      <c r="L232" s="366"/>
    </row>
    <row r="233" spans="1:12" ht="15.75" customHeight="1">
      <c r="A233" s="359">
        <v>2</v>
      </c>
      <c r="B233" s="359">
        <v>8</v>
      </c>
      <c r="C233" s="359">
        <v>4</v>
      </c>
      <c r="D233" s="359" t="s">
        <v>132</v>
      </c>
      <c r="E233" s="360" t="s">
        <v>133</v>
      </c>
      <c r="F233" s="361" t="s">
        <v>68</v>
      </c>
      <c r="G233" s="362">
        <v>50454</v>
      </c>
      <c r="H233" s="363">
        <v>273</v>
      </c>
      <c r="I233" s="364" t="s">
        <v>272</v>
      </c>
      <c r="J233" s="365">
        <v>3</v>
      </c>
      <c r="K233" s="365" t="s">
        <v>273</v>
      </c>
      <c r="L233" s="366"/>
    </row>
    <row r="234" spans="1:12" ht="15.75" customHeight="1">
      <c r="A234" s="359">
        <v>2</v>
      </c>
      <c r="B234" s="359">
        <v>8</v>
      </c>
      <c r="C234" s="359">
        <v>4</v>
      </c>
      <c r="D234" s="359" t="s">
        <v>132</v>
      </c>
      <c r="E234" s="360" t="s">
        <v>133</v>
      </c>
      <c r="F234" s="361" t="s">
        <v>34</v>
      </c>
      <c r="G234" s="362">
        <v>50570</v>
      </c>
      <c r="H234" s="363">
        <v>226</v>
      </c>
      <c r="I234" s="364" t="s">
        <v>272</v>
      </c>
      <c r="J234" s="365">
        <v>3</v>
      </c>
      <c r="K234" s="365" t="s">
        <v>273</v>
      </c>
      <c r="L234" s="366"/>
    </row>
    <row r="235" spans="1:12" ht="15.75" customHeight="1">
      <c r="A235" s="359">
        <v>2</v>
      </c>
      <c r="B235" s="359">
        <v>8</v>
      </c>
      <c r="C235" s="359">
        <v>5</v>
      </c>
      <c r="D235" s="359" t="s">
        <v>142</v>
      </c>
      <c r="E235" s="360" t="s">
        <v>143</v>
      </c>
      <c r="F235" s="361" t="s">
        <v>31</v>
      </c>
      <c r="G235" s="362">
        <v>50824</v>
      </c>
      <c r="H235" s="363">
        <v>67</v>
      </c>
      <c r="I235" s="364" t="s">
        <v>272</v>
      </c>
      <c r="J235" s="365">
        <v>3</v>
      </c>
      <c r="K235" s="365" t="s">
        <v>273</v>
      </c>
      <c r="L235" s="366"/>
    </row>
    <row r="236" spans="1:12" ht="15.75" customHeight="1">
      <c r="A236" s="359">
        <v>2</v>
      </c>
      <c r="B236" s="359">
        <v>8</v>
      </c>
      <c r="C236" s="359">
        <v>5</v>
      </c>
      <c r="D236" s="359" t="s">
        <v>142</v>
      </c>
      <c r="E236" s="360" t="s">
        <v>143</v>
      </c>
      <c r="F236" s="361" t="s">
        <v>25</v>
      </c>
      <c r="G236" s="362">
        <v>50766</v>
      </c>
      <c r="H236" s="363">
        <v>26</v>
      </c>
      <c r="I236" s="364" t="s">
        <v>266</v>
      </c>
      <c r="J236" s="365">
        <v>1</v>
      </c>
      <c r="K236" s="365" t="s">
        <v>330</v>
      </c>
      <c r="L236" s="366"/>
    </row>
    <row r="237" spans="1:12" ht="15.75" customHeight="1">
      <c r="A237" s="359">
        <v>2</v>
      </c>
      <c r="B237" s="359">
        <v>8</v>
      </c>
      <c r="C237" s="359">
        <v>6</v>
      </c>
      <c r="D237" s="359" t="s">
        <v>37</v>
      </c>
      <c r="E237" s="360" t="s">
        <v>38</v>
      </c>
      <c r="F237" s="361" t="s">
        <v>31</v>
      </c>
      <c r="G237" s="362">
        <v>50826</v>
      </c>
      <c r="H237" s="363">
        <v>185</v>
      </c>
      <c r="I237" s="364" t="s">
        <v>272</v>
      </c>
      <c r="J237" s="365">
        <v>3</v>
      </c>
      <c r="K237" s="365" t="s">
        <v>273</v>
      </c>
      <c r="L237" s="366"/>
    </row>
    <row r="238" spans="1:12" ht="15.75" customHeight="1">
      <c r="A238" s="359">
        <v>2</v>
      </c>
      <c r="B238" s="359">
        <v>8</v>
      </c>
      <c r="C238" s="359">
        <v>6</v>
      </c>
      <c r="D238" s="359" t="s">
        <v>58</v>
      </c>
      <c r="E238" s="360" t="s">
        <v>59</v>
      </c>
      <c r="F238" s="361" t="s">
        <v>31</v>
      </c>
      <c r="G238" s="362">
        <v>50839</v>
      </c>
      <c r="H238" s="363">
        <v>215</v>
      </c>
      <c r="I238" s="364" t="s">
        <v>272</v>
      </c>
      <c r="J238" s="365">
        <v>3</v>
      </c>
      <c r="K238" s="365" t="s">
        <v>273</v>
      </c>
      <c r="L238" s="366"/>
    </row>
    <row r="239" spans="1:12" ht="15.75" customHeight="1">
      <c r="A239" s="359">
        <v>2</v>
      </c>
      <c r="B239" s="359">
        <v>8</v>
      </c>
      <c r="C239" s="359">
        <v>6</v>
      </c>
      <c r="D239" s="359" t="s">
        <v>173</v>
      </c>
      <c r="E239" s="360" t="s">
        <v>174</v>
      </c>
      <c r="F239" s="361" t="s">
        <v>31</v>
      </c>
      <c r="G239" s="362">
        <v>50825</v>
      </c>
      <c r="H239" s="363">
        <v>132</v>
      </c>
      <c r="I239" s="411" t="s">
        <v>265</v>
      </c>
      <c r="J239" s="413">
        <v>2</v>
      </c>
      <c r="K239" s="413" t="s">
        <v>269</v>
      </c>
      <c r="L239" s="366"/>
    </row>
    <row r="240" spans="1:12" ht="15.75" customHeight="1">
      <c r="A240" s="359">
        <v>2</v>
      </c>
      <c r="B240" s="359">
        <v>8</v>
      </c>
      <c r="C240" s="359">
        <v>7</v>
      </c>
      <c r="D240" s="359" t="s">
        <v>171</v>
      </c>
      <c r="E240" s="360" t="s">
        <v>172</v>
      </c>
      <c r="F240" s="361" t="s">
        <v>25</v>
      </c>
      <c r="G240" s="362">
        <v>50878</v>
      </c>
      <c r="H240" s="363">
        <v>396</v>
      </c>
      <c r="I240" s="411" t="s">
        <v>272</v>
      </c>
      <c r="J240" s="413">
        <v>3</v>
      </c>
      <c r="K240" s="413" t="s">
        <v>273</v>
      </c>
      <c r="L240" s="366"/>
    </row>
    <row r="241" spans="1:12" ht="15.75" customHeight="1">
      <c r="A241" s="84">
        <v>2</v>
      </c>
      <c r="B241" s="84">
        <v>8</v>
      </c>
      <c r="C241" s="84">
        <v>8</v>
      </c>
      <c r="D241" s="84" t="s">
        <v>235</v>
      </c>
      <c r="E241" s="367" t="s">
        <v>236</v>
      </c>
      <c r="F241" s="368" t="s">
        <v>34</v>
      </c>
      <c r="G241" s="369">
        <v>50569</v>
      </c>
      <c r="H241" s="370">
        <v>7</v>
      </c>
      <c r="I241" s="368"/>
      <c r="J241" s="372"/>
      <c r="K241" s="372"/>
      <c r="L241" s="372" t="s">
        <v>43</v>
      </c>
    </row>
    <row r="242" spans="1:12" ht="15.75" customHeight="1">
      <c r="A242" s="359">
        <v>2</v>
      </c>
      <c r="B242" s="359">
        <v>8</v>
      </c>
      <c r="C242" s="359">
        <v>8</v>
      </c>
      <c r="D242" s="359" t="s">
        <v>85</v>
      </c>
      <c r="E242" s="360" t="s">
        <v>86</v>
      </c>
      <c r="F242" s="361" t="s">
        <v>31</v>
      </c>
      <c r="G242" s="362">
        <v>50796</v>
      </c>
      <c r="H242" s="363">
        <v>256</v>
      </c>
      <c r="I242" s="411" t="s">
        <v>272</v>
      </c>
      <c r="J242" s="413">
        <v>3</v>
      </c>
      <c r="K242" s="413" t="s">
        <v>273</v>
      </c>
      <c r="L242" s="366"/>
    </row>
    <row r="243" spans="1:12" ht="15.75" customHeight="1">
      <c r="A243" s="359">
        <v>2</v>
      </c>
      <c r="B243" s="359">
        <v>8</v>
      </c>
      <c r="C243" s="359">
        <v>10</v>
      </c>
      <c r="D243" s="359" t="s">
        <v>169</v>
      </c>
      <c r="E243" s="360" t="s">
        <v>170</v>
      </c>
      <c r="F243" s="361" t="s">
        <v>25</v>
      </c>
      <c r="G243" s="362">
        <v>50883</v>
      </c>
      <c r="H243" s="363">
        <v>158</v>
      </c>
      <c r="I243" s="411" t="s">
        <v>272</v>
      </c>
      <c r="J243" s="413">
        <v>3</v>
      </c>
      <c r="K243" s="413" t="s">
        <v>273</v>
      </c>
      <c r="L243" s="366"/>
    </row>
    <row r="244" spans="1:12" ht="15.75" customHeight="1">
      <c r="A244" s="382">
        <v>2</v>
      </c>
      <c r="B244" s="359">
        <v>8</v>
      </c>
      <c r="C244" s="359">
        <v>10</v>
      </c>
      <c r="D244" s="359" t="s">
        <v>218</v>
      </c>
      <c r="E244" s="360" t="s">
        <v>219</v>
      </c>
      <c r="F244" s="361" t="s">
        <v>25</v>
      </c>
      <c r="G244" s="362">
        <v>50884</v>
      </c>
      <c r="H244" s="363">
        <v>262</v>
      </c>
      <c r="I244" s="411" t="s">
        <v>272</v>
      </c>
      <c r="J244" s="413">
        <v>3</v>
      </c>
      <c r="K244" s="413" t="s">
        <v>273</v>
      </c>
      <c r="L244" s="366"/>
    </row>
    <row r="245" spans="1:12" ht="15.75" customHeight="1">
      <c r="A245" s="359">
        <v>2</v>
      </c>
      <c r="B245" s="359">
        <v>8</v>
      </c>
      <c r="C245" s="359">
        <v>11</v>
      </c>
      <c r="D245" s="359" t="s">
        <v>237</v>
      </c>
      <c r="E245" s="360" t="s">
        <v>238</v>
      </c>
      <c r="F245" s="361" t="s">
        <v>25</v>
      </c>
      <c r="G245" s="362">
        <v>50751</v>
      </c>
      <c r="H245" s="363">
        <v>239</v>
      </c>
      <c r="I245" s="364" t="s">
        <v>265</v>
      </c>
      <c r="J245" s="365">
        <v>2</v>
      </c>
      <c r="K245" s="365" t="s">
        <v>270</v>
      </c>
      <c r="L245" s="366"/>
    </row>
    <row r="246" spans="1:12" ht="15.75" customHeight="1">
      <c r="A246" s="359">
        <v>2</v>
      </c>
      <c r="B246" s="359">
        <v>8</v>
      </c>
      <c r="C246" s="359">
        <v>11</v>
      </c>
      <c r="D246" s="359" t="s">
        <v>237</v>
      </c>
      <c r="E246" s="360" t="s">
        <v>238</v>
      </c>
      <c r="F246" s="361" t="s">
        <v>68</v>
      </c>
      <c r="G246" s="362">
        <v>50737</v>
      </c>
      <c r="H246" s="363">
        <v>31</v>
      </c>
      <c r="I246" s="364" t="s">
        <v>265</v>
      </c>
      <c r="J246" s="365">
        <v>2</v>
      </c>
      <c r="K246" s="365" t="s">
        <v>270</v>
      </c>
      <c r="L246" s="366"/>
    </row>
    <row r="247" spans="1:12" ht="15.75" customHeight="1">
      <c r="A247" s="324">
        <v>2</v>
      </c>
      <c r="B247" s="324">
        <v>8</v>
      </c>
      <c r="C247" s="324">
        <v>11</v>
      </c>
      <c r="D247" s="324" t="s">
        <v>237</v>
      </c>
      <c r="E247" s="373" t="s">
        <v>238</v>
      </c>
      <c r="F247" s="374" t="s">
        <v>34</v>
      </c>
      <c r="G247" s="375">
        <v>50543</v>
      </c>
      <c r="H247" s="376">
        <v>38</v>
      </c>
      <c r="I247" s="377"/>
      <c r="J247" s="378"/>
      <c r="K247" s="378"/>
      <c r="L247" s="378" t="s">
        <v>55</v>
      </c>
    </row>
    <row r="248" spans="1:12" ht="15.75" customHeight="1">
      <c r="A248" s="359">
        <v>2</v>
      </c>
      <c r="B248" s="359">
        <v>8</v>
      </c>
      <c r="C248" s="359">
        <v>11</v>
      </c>
      <c r="D248" s="359" t="s">
        <v>237</v>
      </c>
      <c r="E248" s="360" t="s">
        <v>238</v>
      </c>
      <c r="F248" s="361" t="s">
        <v>34</v>
      </c>
      <c r="G248" s="362">
        <v>50738</v>
      </c>
      <c r="H248" s="363">
        <v>54</v>
      </c>
      <c r="I248" s="364" t="s">
        <v>266</v>
      </c>
      <c r="J248" s="365">
        <v>1</v>
      </c>
      <c r="K248" s="365" t="s">
        <v>332</v>
      </c>
      <c r="L248" s="366"/>
    </row>
    <row r="249" spans="1:12" ht="15.75" customHeight="1">
      <c r="A249" s="359">
        <v>2</v>
      </c>
      <c r="B249" s="359">
        <v>8</v>
      </c>
      <c r="C249" s="359">
        <v>11</v>
      </c>
      <c r="D249" s="359" t="s">
        <v>237</v>
      </c>
      <c r="E249" s="360" t="s">
        <v>238</v>
      </c>
      <c r="F249" s="361" t="s">
        <v>68</v>
      </c>
      <c r="G249" s="362">
        <v>50644</v>
      </c>
      <c r="H249" s="363">
        <v>14</v>
      </c>
      <c r="I249" s="364" t="s">
        <v>266</v>
      </c>
      <c r="J249" s="365">
        <v>1</v>
      </c>
      <c r="K249" s="365" t="s">
        <v>332</v>
      </c>
      <c r="L249" s="366"/>
    </row>
    <row r="250" spans="1:12" ht="15.75" customHeight="1">
      <c r="A250" s="84">
        <v>2</v>
      </c>
      <c r="B250" s="84">
        <v>8</v>
      </c>
      <c r="C250" s="84">
        <v>11</v>
      </c>
      <c r="D250" s="84" t="s">
        <v>237</v>
      </c>
      <c r="E250" s="367" t="s">
        <v>238</v>
      </c>
      <c r="F250" s="368" t="s">
        <v>25</v>
      </c>
      <c r="G250" s="369">
        <v>50275</v>
      </c>
      <c r="H250" s="370">
        <v>24</v>
      </c>
      <c r="I250" s="371"/>
      <c r="J250" s="372"/>
      <c r="K250" s="372"/>
      <c r="L250" s="372" t="s">
        <v>43</v>
      </c>
    </row>
    <row r="251" spans="1:12" ht="15.75" customHeight="1">
      <c r="A251" s="84">
        <v>2</v>
      </c>
      <c r="B251" s="84">
        <v>8</v>
      </c>
      <c r="C251" s="84">
        <v>11</v>
      </c>
      <c r="D251" s="84" t="s">
        <v>237</v>
      </c>
      <c r="E251" s="367" t="s">
        <v>238</v>
      </c>
      <c r="F251" s="368" t="s">
        <v>34</v>
      </c>
      <c r="G251" s="369">
        <v>50709</v>
      </c>
      <c r="H251" s="370">
        <v>31</v>
      </c>
      <c r="I251" s="371"/>
      <c r="J251" s="372"/>
      <c r="K251" s="372"/>
      <c r="L251" s="372" t="s">
        <v>43</v>
      </c>
    </row>
    <row r="252" spans="1:12" ht="15.75" customHeight="1">
      <c r="A252" s="352">
        <v>2</v>
      </c>
      <c r="B252" s="352">
        <v>8</v>
      </c>
      <c r="C252" s="352">
        <v>12</v>
      </c>
      <c r="D252" s="352" t="s">
        <v>239</v>
      </c>
      <c r="E252" s="353" t="s">
        <v>240</v>
      </c>
      <c r="F252" s="354" t="s">
        <v>25</v>
      </c>
      <c r="G252" s="355">
        <v>30885</v>
      </c>
      <c r="H252" s="356">
        <v>408</v>
      </c>
      <c r="I252" s="357"/>
      <c r="J252" s="358"/>
      <c r="K252" s="358"/>
      <c r="L252" s="358" t="s">
        <v>26</v>
      </c>
    </row>
    <row r="253" spans="1:12" ht="15.75" customHeight="1">
      <c r="A253" s="359">
        <v>2</v>
      </c>
      <c r="B253" s="359">
        <v>8</v>
      </c>
      <c r="C253" s="359">
        <v>13</v>
      </c>
      <c r="D253" s="359" t="s">
        <v>134</v>
      </c>
      <c r="E253" s="360" t="s">
        <v>135</v>
      </c>
      <c r="F253" s="361" t="s">
        <v>25</v>
      </c>
      <c r="G253" s="362">
        <v>50142</v>
      </c>
      <c r="H253" s="363">
        <v>224</v>
      </c>
      <c r="I253" s="364" t="s">
        <v>272</v>
      </c>
      <c r="J253" s="365">
        <v>3</v>
      </c>
      <c r="K253" s="365" t="s">
        <v>273</v>
      </c>
      <c r="L253" s="366"/>
    </row>
    <row r="254" spans="1:12" ht="15.75" customHeight="1">
      <c r="A254" s="359">
        <v>2</v>
      </c>
      <c r="B254" s="359">
        <v>8</v>
      </c>
      <c r="C254" s="359">
        <v>13</v>
      </c>
      <c r="D254" s="359" t="s">
        <v>136</v>
      </c>
      <c r="E254" s="360" t="s">
        <v>137</v>
      </c>
      <c r="F254" s="361" t="s">
        <v>25</v>
      </c>
      <c r="G254" s="362">
        <v>50857</v>
      </c>
      <c r="H254" s="363">
        <v>106</v>
      </c>
      <c r="I254" s="364" t="s">
        <v>265</v>
      </c>
      <c r="J254" s="365">
        <v>2</v>
      </c>
      <c r="K254" s="365" t="s">
        <v>333</v>
      </c>
      <c r="L254" s="366"/>
    </row>
    <row r="255" spans="1:12" ht="15.75" customHeight="1">
      <c r="A255" s="359">
        <v>2</v>
      </c>
      <c r="B255" s="359">
        <v>8</v>
      </c>
      <c r="C255" s="359">
        <v>14</v>
      </c>
      <c r="D255" s="359" t="s">
        <v>241</v>
      </c>
      <c r="E255" s="360" t="s">
        <v>242</v>
      </c>
      <c r="F255" s="361" t="s">
        <v>25</v>
      </c>
      <c r="G255" s="362">
        <v>50876</v>
      </c>
      <c r="H255" s="363">
        <v>420</v>
      </c>
      <c r="I255" s="364" t="s">
        <v>272</v>
      </c>
      <c r="J255" s="365">
        <v>3</v>
      </c>
      <c r="K255" s="365" t="s">
        <v>273</v>
      </c>
      <c r="L255" s="366"/>
    </row>
    <row r="256" spans="1:12" ht="15.75" customHeight="1">
      <c r="A256" s="359">
        <v>2</v>
      </c>
      <c r="B256" s="359">
        <v>8</v>
      </c>
      <c r="C256" s="359">
        <v>15</v>
      </c>
      <c r="D256" s="359" t="s">
        <v>203</v>
      </c>
      <c r="E256" s="360" t="s">
        <v>204</v>
      </c>
      <c r="F256" s="361" t="s">
        <v>31</v>
      </c>
      <c r="G256" s="362">
        <v>50841</v>
      </c>
      <c r="H256" s="363">
        <v>390</v>
      </c>
      <c r="I256" s="364" t="s">
        <v>265</v>
      </c>
      <c r="J256" s="365">
        <v>2</v>
      </c>
      <c r="K256" s="365" t="s">
        <v>268</v>
      </c>
      <c r="L256" s="366"/>
    </row>
    <row r="257" spans="1:12" ht="15.75" customHeight="1">
      <c r="A257" s="359">
        <v>2</v>
      </c>
      <c r="B257" s="359">
        <v>8</v>
      </c>
      <c r="C257" s="359">
        <v>15</v>
      </c>
      <c r="D257" s="359" t="s">
        <v>203</v>
      </c>
      <c r="E257" s="360" t="s">
        <v>204</v>
      </c>
      <c r="F257" s="361" t="s">
        <v>25</v>
      </c>
      <c r="G257" s="362">
        <v>50657</v>
      </c>
      <c r="H257" s="363">
        <v>8</v>
      </c>
      <c r="I257" s="364" t="s">
        <v>265</v>
      </c>
      <c r="J257" s="365">
        <v>2</v>
      </c>
      <c r="K257" s="365" t="s">
        <v>268</v>
      </c>
      <c r="L257" s="366"/>
    </row>
    <row r="258" spans="1:12" ht="15.75" customHeight="1">
      <c r="A258" s="359">
        <v>2</v>
      </c>
      <c r="B258" s="359">
        <v>8</v>
      </c>
      <c r="C258" s="359">
        <v>15</v>
      </c>
      <c r="D258" s="359" t="s">
        <v>203</v>
      </c>
      <c r="E258" s="360" t="s">
        <v>204</v>
      </c>
      <c r="F258" s="361" t="s">
        <v>31</v>
      </c>
      <c r="G258" s="362">
        <v>50777</v>
      </c>
      <c r="H258" s="363">
        <v>9</v>
      </c>
      <c r="I258" s="364" t="s">
        <v>265</v>
      </c>
      <c r="J258" s="365">
        <v>2</v>
      </c>
      <c r="K258" s="365" t="s">
        <v>268</v>
      </c>
      <c r="L258" s="366"/>
    </row>
    <row r="259" spans="1:12" ht="15.75" customHeight="1">
      <c r="A259" s="359">
        <v>2</v>
      </c>
      <c r="B259" s="359">
        <v>8</v>
      </c>
      <c r="C259" s="359">
        <v>15</v>
      </c>
      <c r="D259" s="359" t="s">
        <v>203</v>
      </c>
      <c r="E259" s="360" t="s">
        <v>204</v>
      </c>
      <c r="F259" s="361" t="s">
        <v>31</v>
      </c>
      <c r="G259" s="362">
        <v>50799</v>
      </c>
      <c r="H259" s="363">
        <v>7</v>
      </c>
      <c r="I259" s="364" t="s">
        <v>265</v>
      </c>
      <c r="J259" s="365">
        <v>2</v>
      </c>
      <c r="K259" s="365" t="s">
        <v>268</v>
      </c>
      <c r="L259" s="366"/>
    </row>
    <row r="260" spans="1:12" ht="15.75" customHeight="1">
      <c r="A260" s="84">
        <v>2</v>
      </c>
      <c r="B260" s="84">
        <v>12</v>
      </c>
      <c r="C260" s="84">
        <v>22</v>
      </c>
      <c r="D260" s="84" t="s">
        <v>243</v>
      </c>
      <c r="E260" s="367" t="s">
        <v>244</v>
      </c>
      <c r="F260" s="368" t="s">
        <v>109</v>
      </c>
      <c r="G260" s="369">
        <v>30655</v>
      </c>
      <c r="H260" s="370">
        <v>6</v>
      </c>
      <c r="I260" s="371"/>
      <c r="J260" s="372"/>
      <c r="K260" s="372"/>
      <c r="L260" s="372" t="s">
        <v>43</v>
      </c>
    </row>
    <row r="261" spans="1:12" ht="15.75" customHeight="1">
      <c r="A261" s="407"/>
      <c r="B261" s="407"/>
      <c r="C261" s="407"/>
      <c r="D261" s="407"/>
      <c r="E261" s="408"/>
      <c r="F261" s="390"/>
      <c r="G261" s="407"/>
      <c r="H261" s="409"/>
      <c r="I261" s="390"/>
      <c r="J261" s="366"/>
      <c r="K261" s="366"/>
      <c r="L261" s="366"/>
    </row>
    <row r="262" spans="1:12" ht="15.75" customHeight="1">
      <c r="A262" s="344"/>
      <c r="B262" s="344"/>
      <c r="C262" s="344"/>
      <c r="D262" s="344"/>
      <c r="E262" s="345"/>
      <c r="F262" s="346"/>
      <c r="G262" s="344"/>
      <c r="H262" s="11"/>
      <c r="I262" s="346"/>
      <c r="J262" s="410"/>
      <c r="K262" s="410"/>
      <c r="L262" s="410"/>
    </row>
    <row r="263" spans="1:12">
      <c r="A263" s="412" t="s">
        <v>245</v>
      </c>
      <c r="B263" s="344"/>
      <c r="C263" s="344"/>
      <c r="D263" s="344"/>
      <c r="E263" s="345"/>
      <c r="F263" s="346"/>
      <c r="G263" s="344"/>
      <c r="H263" s="11"/>
      <c r="I263" s="346"/>
      <c r="J263" s="410"/>
      <c r="K263" s="410"/>
      <c r="L263" s="410"/>
    </row>
    <row r="264" spans="1:12">
      <c r="A264" s="344"/>
      <c r="B264" s="344"/>
      <c r="C264" s="344"/>
      <c r="D264" s="344"/>
      <c r="E264" s="345"/>
      <c r="F264" s="346"/>
      <c r="G264" s="344"/>
      <c r="H264" s="11"/>
      <c r="I264" s="346"/>
      <c r="J264" s="410"/>
      <c r="K264" s="410"/>
      <c r="L264" s="410"/>
    </row>
    <row r="265" spans="1:12">
      <c r="A265" s="344"/>
      <c r="B265" s="344"/>
      <c r="C265" s="344"/>
      <c r="D265" s="344"/>
      <c r="E265" s="345"/>
      <c r="F265" s="346"/>
      <c r="G265" s="344"/>
      <c r="H265" s="11"/>
      <c r="I265" s="346"/>
      <c r="J265" s="410"/>
      <c r="K265" s="410"/>
      <c r="L265" s="410"/>
    </row>
    <row r="266" spans="1:12">
      <c r="A266" s="344"/>
      <c r="B266" s="344"/>
      <c r="C266" s="344"/>
      <c r="D266" s="344"/>
      <c r="E266" s="345"/>
      <c r="F266" s="346"/>
      <c r="G266" s="344"/>
      <c r="H266" s="11"/>
      <c r="I266" s="346"/>
      <c r="J266" s="410"/>
      <c r="K266" s="410"/>
      <c r="L266" s="410"/>
    </row>
    <row r="267" spans="1:12">
      <c r="A267" s="344"/>
      <c r="B267" s="344"/>
      <c r="C267" s="344"/>
      <c r="D267" s="344"/>
      <c r="E267" s="345"/>
      <c r="F267" s="346"/>
      <c r="G267" s="344"/>
      <c r="H267" s="11"/>
      <c r="I267" s="346"/>
      <c r="J267" s="410"/>
      <c r="K267" s="410"/>
      <c r="L267" s="410"/>
    </row>
    <row r="268" spans="1:12">
      <c r="A268" s="344"/>
      <c r="B268" s="344"/>
      <c r="C268" s="344"/>
      <c r="D268" s="344"/>
      <c r="E268" s="345"/>
      <c r="F268" s="346"/>
      <c r="G268" s="344"/>
      <c r="H268" s="11"/>
      <c r="I268" s="346"/>
      <c r="J268" s="410"/>
      <c r="K268" s="410"/>
      <c r="L268" s="410"/>
    </row>
    <row r="269" spans="1:12">
      <c r="A269" s="344"/>
      <c r="B269" s="344"/>
      <c r="C269" s="344"/>
      <c r="D269" s="344"/>
      <c r="E269" s="345"/>
      <c r="F269" s="346"/>
      <c r="G269" s="344"/>
      <c r="H269" s="11"/>
      <c r="I269" s="346"/>
      <c r="J269" s="410"/>
      <c r="K269" s="410"/>
      <c r="L269" s="410"/>
    </row>
    <row r="270" spans="1:12">
      <c r="A270" s="344"/>
      <c r="B270" s="344"/>
      <c r="C270" s="344"/>
      <c r="D270" s="344"/>
      <c r="E270" s="345"/>
      <c r="F270" s="346"/>
      <c r="G270" s="344"/>
      <c r="H270" s="11"/>
      <c r="I270" s="346"/>
      <c r="J270" s="410"/>
      <c r="K270" s="410"/>
      <c r="L270" s="410"/>
    </row>
    <row r="271" spans="1:12">
      <c r="A271" s="344"/>
      <c r="B271" s="344"/>
      <c r="C271" s="344"/>
      <c r="D271" s="344"/>
      <c r="E271" s="345"/>
      <c r="F271" s="346"/>
      <c r="G271" s="344"/>
      <c r="H271" s="11"/>
      <c r="I271" s="346"/>
      <c r="J271" s="410"/>
      <c r="K271" s="410"/>
      <c r="L271" s="410"/>
    </row>
    <row r="272" spans="1:12">
      <c r="A272" s="344"/>
      <c r="B272" s="344"/>
      <c r="C272" s="344"/>
      <c r="D272" s="344"/>
      <c r="E272" s="345"/>
      <c r="F272" s="346"/>
      <c r="G272" s="344"/>
      <c r="H272" s="11"/>
      <c r="I272" s="346"/>
      <c r="J272" s="410"/>
      <c r="K272" s="410"/>
      <c r="L272" s="410"/>
    </row>
    <row r="273" spans="1:12">
      <c r="A273" s="344"/>
      <c r="B273" s="344"/>
      <c r="C273" s="344"/>
      <c r="D273" s="344"/>
      <c r="E273" s="345"/>
      <c r="F273" s="346"/>
      <c r="G273" s="344"/>
      <c r="H273" s="11"/>
      <c r="I273" s="346"/>
      <c r="J273" s="410"/>
      <c r="K273" s="410"/>
      <c r="L273" s="410"/>
    </row>
    <row r="274" spans="1:12">
      <c r="A274" s="344"/>
      <c r="B274" s="344"/>
      <c r="C274" s="344"/>
      <c r="D274" s="344"/>
      <c r="E274" s="345"/>
      <c r="F274" s="346"/>
      <c r="G274" s="344"/>
      <c r="H274" s="11"/>
      <c r="I274" s="346"/>
      <c r="J274" s="410"/>
      <c r="K274" s="410"/>
      <c r="L274" s="410"/>
    </row>
    <row r="275" spans="1:12">
      <c r="A275" s="344"/>
      <c r="B275" s="344"/>
      <c r="C275" s="344"/>
      <c r="D275" s="344"/>
      <c r="E275" s="345"/>
      <c r="F275" s="346"/>
      <c r="G275" s="344"/>
      <c r="H275" s="11"/>
      <c r="I275" s="346"/>
      <c r="J275" s="410"/>
      <c r="K275" s="410"/>
      <c r="L275" s="410"/>
    </row>
    <row r="276" spans="1:12">
      <c r="A276" s="344"/>
      <c r="B276" s="344"/>
      <c r="C276" s="344"/>
      <c r="D276" s="344"/>
      <c r="E276" s="345"/>
      <c r="F276" s="346"/>
      <c r="G276" s="344"/>
      <c r="H276" s="11"/>
      <c r="I276" s="346"/>
      <c r="J276" s="410"/>
      <c r="K276" s="410"/>
      <c r="L276" s="410"/>
    </row>
    <row r="277" spans="1:12">
      <c r="A277" s="344"/>
      <c r="B277" s="344"/>
      <c r="C277" s="344"/>
      <c r="D277" s="344"/>
      <c r="E277" s="345"/>
      <c r="F277" s="346"/>
      <c r="G277" s="344"/>
      <c r="H277" s="11"/>
      <c r="I277" s="346"/>
      <c r="J277" s="410"/>
      <c r="K277" s="410"/>
      <c r="L277" s="410"/>
    </row>
    <row r="278" spans="1:12">
      <c r="A278" s="344"/>
      <c r="B278" s="344"/>
      <c r="C278" s="344"/>
      <c r="D278" s="344"/>
      <c r="E278" s="345"/>
      <c r="F278" s="346"/>
      <c r="G278" s="344"/>
      <c r="H278" s="11"/>
      <c r="I278" s="346"/>
      <c r="J278" s="410"/>
      <c r="K278" s="410"/>
      <c r="L278" s="410"/>
    </row>
    <row r="279" spans="1:12">
      <c r="A279" s="344"/>
      <c r="B279" s="344"/>
      <c r="C279" s="344"/>
      <c r="D279" s="344"/>
      <c r="E279" s="345"/>
      <c r="F279" s="346"/>
      <c r="G279" s="344"/>
      <c r="H279" s="11"/>
      <c r="I279" s="346"/>
      <c r="J279" s="410"/>
      <c r="K279" s="410"/>
      <c r="L279" s="410"/>
    </row>
    <row r="280" spans="1:12">
      <c r="A280" s="344"/>
      <c r="B280" s="344"/>
      <c r="C280" s="344"/>
      <c r="D280" s="344"/>
      <c r="E280" s="345"/>
      <c r="F280" s="346"/>
      <c r="G280" s="344"/>
      <c r="H280" s="11"/>
      <c r="I280" s="346"/>
      <c r="J280" s="410"/>
      <c r="K280" s="410"/>
      <c r="L280" s="410"/>
    </row>
    <row r="281" spans="1:12">
      <c r="A281" s="344"/>
      <c r="B281" s="344"/>
      <c r="C281" s="344"/>
      <c r="D281" s="344"/>
      <c r="E281" s="345"/>
      <c r="F281" s="346"/>
      <c r="G281" s="344"/>
      <c r="H281" s="11"/>
      <c r="I281" s="346"/>
      <c r="J281" s="410"/>
      <c r="K281" s="410"/>
      <c r="L281" s="410"/>
    </row>
    <row r="282" spans="1:12">
      <c r="A282" s="344"/>
      <c r="B282" s="344"/>
      <c r="C282" s="344"/>
      <c r="D282" s="344"/>
      <c r="E282" s="345"/>
      <c r="F282" s="346"/>
      <c r="G282" s="344"/>
      <c r="H282" s="11"/>
      <c r="I282" s="346"/>
      <c r="J282" s="410"/>
      <c r="K282" s="410"/>
      <c r="L282" s="410"/>
    </row>
    <row r="283" spans="1:12">
      <c r="A283" s="344"/>
      <c r="B283" s="344"/>
      <c r="C283" s="344"/>
      <c r="D283" s="344"/>
      <c r="E283" s="345"/>
      <c r="F283" s="346"/>
      <c r="G283" s="344"/>
      <c r="H283" s="11"/>
      <c r="I283" s="346"/>
      <c r="J283" s="410"/>
      <c r="K283" s="410"/>
      <c r="L283" s="410"/>
    </row>
    <row r="284" spans="1:12">
      <c r="A284" s="344"/>
      <c r="B284" s="344"/>
      <c r="C284" s="344"/>
      <c r="D284" s="344"/>
      <c r="E284" s="345"/>
      <c r="F284" s="346"/>
      <c r="G284" s="344"/>
      <c r="H284" s="11"/>
      <c r="I284" s="346"/>
      <c r="J284" s="410"/>
      <c r="K284" s="410"/>
      <c r="L284" s="410"/>
    </row>
    <row r="285" spans="1:12">
      <c r="A285" s="344"/>
      <c r="B285" s="344"/>
      <c r="C285" s="344"/>
      <c r="D285" s="344"/>
      <c r="E285" s="345"/>
      <c r="F285" s="346"/>
      <c r="G285" s="344"/>
      <c r="H285" s="11"/>
      <c r="I285" s="346"/>
      <c r="J285" s="410"/>
      <c r="K285" s="410"/>
      <c r="L285" s="410"/>
    </row>
    <row r="286" spans="1:12">
      <c r="A286" s="344"/>
      <c r="B286" s="344"/>
      <c r="C286" s="344"/>
      <c r="D286" s="344"/>
      <c r="E286" s="345"/>
      <c r="F286" s="346"/>
      <c r="G286" s="344"/>
      <c r="H286" s="11"/>
      <c r="I286" s="346"/>
      <c r="J286" s="410"/>
      <c r="K286" s="410"/>
      <c r="L286" s="410"/>
    </row>
    <row r="287" spans="1:12">
      <c r="A287" s="344"/>
      <c r="B287" s="344"/>
      <c r="C287" s="344"/>
      <c r="D287" s="344"/>
      <c r="E287" s="345"/>
      <c r="F287" s="346"/>
      <c r="G287" s="344"/>
      <c r="H287" s="11"/>
      <c r="I287" s="346"/>
      <c r="J287" s="410"/>
      <c r="K287" s="410"/>
      <c r="L287" s="410"/>
    </row>
    <row r="288" spans="1:12">
      <c r="A288" s="344"/>
      <c r="B288" s="344"/>
      <c r="C288" s="344"/>
      <c r="D288" s="344"/>
      <c r="E288" s="345"/>
      <c r="F288" s="346"/>
      <c r="G288" s="344"/>
      <c r="H288" s="11"/>
      <c r="I288" s="346"/>
      <c r="J288" s="410"/>
      <c r="K288" s="410"/>
      <c r="L288" s="410"/>
    </row>
    <row r="289" spans="1:12">
      <c r="A289" s="344"/>
      <c r="B289" s="344"/>
      <c r="C289" s="344"/>
      <c r="D289" s="344"/>
      <c r="E289" s="345"/>
      <c r="F289" s="346"/>
      <c r="G289" s="344"/>
      <c r="H289" s="11"/>
      <c r="I289" s="346"/>
      <c r="J289" s="410"/>
      <c r="K289" s="410"/>
      <c r="L289" s="410"/>
    </row>
    <row r="290" spans="1:12">
      <c r="A290" s="344"/>
      <c r="B290" s="344"/>
      <c r="C290" s="344"/>
      <c r="D290" s="344"/>
      <c r="E290" s="345"/>
      <c r="F290" s="346"/>
      <c r="G290" s="344"/>
      <c r="H290" s="11"/>
      <c r="I290" s="346"/>
      <c r="J290" s="410"/>
      <c r="K290" s="410"/>
      <c r="L290" s="410"/>
    </row>
    <row r="291" spans="1:12">
      <c r="A291" s="344"/>
      <c r="B291" s="344"/>
      <c r="C291" s="344"/>
      <c r="D291" s="344"/>
      <c r="E291" s="345"/>
      <c r="F291" s="346"/>
      <c r="G291" s="344"/>
      <c r="H291" s="11"/>
      <c r="I291" s="346"/>
      <c r="J291" s="410"/>
      <c r="K291" s="410"/>
      <c r="L291" s="410"/>
    </row>
    <row r="292" spans="1:12">
      <c r="A292" s="344"/>
      <c r="B292" s="344"/>
      <c r="C292" s="344"/>
      <c r="D292" s="344"/>
      <c r="E292" s="345"/>
      <c r="F292" s="346"/>
      <c r="G292" s="344"/>
      <c r="H292" s="11"/>
      <c r="I292" s="346"/>
      <c r="J292" s="410"/>
      <c r="K292" s="410"/>
      <c r="L292" s="410"/>
    </row>
    <row r="293" spans="1:12">
      <c r="A293" s="344"/>
      <c r="B293" s="344"/>
      <c r="C293" s="344"/>
      <c r="D293" s="344"/>
      <c r="E293" s="345"/>
      <c r="F293" s="346"/>
      <c r="G293" s="344"/>
      <c r="H293" s="11"/>
      <c r="I293" s="346"/>
      <c r="J293" s="410"/>
      <c r="K293" s="410"/>
      <c r="L293" s="410"/>
    </row>
    <row r="294" spans="1:12">
      <c r="A294" s="344"/>
      <c r="B294" s="344"/>
      <c r="C294" s="344"/>
      <c r="D294" s="344"/>
      <c r="E294" s="345"/>
      <c r="F294" s="346"/>
      <c r="G294" s="344"/>
      <c r="H294" s="11"/>
      <c r="I294" s="346"/>
      <c r="J294" s="410"/>
      <c r="K294" s="410"/>
      <c r="L294" s="410"/>
    </row>
    <row r="295" spans="1:12">
      <c r="A295" s="344"/>
      <c r="B295" s="344"/>
      <c r="C295" s="344"/>
      <c r="D295" s="344"/>
      <c r="E295" s="345"/>
      <c r="F295" s="346"/>
      <c r="G295" s="344"/>
      <c r="H295" s="11"/>
      <c r="I295" s="346"/>
      <c r="J295" s="410"/>
      <c r="K295" s="410"/>
      <c r="L295" s="410"/>
    </row>
    <row r="296" spans="1:12">
      <c r="A296" s="344"/>
      <c r="B296" s="344"/>
      <c r="C296" s="344"/>
      <c r="D296" s="344"/>
      <c r="E296" s="345"/>
      <c r="F296" s="346"/>
      <c r="G296" s="344"/>
      <c r="H296" s="11"/>
      <c r="I296" s="346"/>
      <c r="J296" s="410"/>
      <c r="K296" s="410"/>
      <c r="L296" s="410"/>
    </row>
    <row r="297" spans="1:12">
      <c r="A297" s="344"/>
      <c r="B297" s="344"/>
      <c r="C297" s="344"/>
      <c r="D297" s="344"/>
      <c r="E297" s="345"/>
      <c r="F297" s="346"/>
      <c r="G297" s="344"/>
      <c r="H297" s="11"/>
      <c r="I297" s="346"/>
      <c r="J297" s="410"/>
      <c r="K297" s="410"/>
      <c r="L297" s="410"/>
    </row>
    <row r="298" spans="1:12">
      <c r="A298" s="344"/>
      <c r="B298" s="344"/>
      <c r="C298" s="344"/>
      <c r="D298" s="344"/>
      <c r="E298" s="345"/>
      <c r="F298" s="346"/>
      <c r="G298" s="344"/>
      <c r="H298" s="11"/>
      <c r="I298" s="346"/>
      <c r="J298" s="410"/>
      <c r="K298" s="410"/>
      <c r="L298" s="410"/>
    </row>
    <row r="299" spans="1:12">
      <c r="A299" s="344"/>
      <c r="B299" s="344"/>
      <c r="C299" s="344"/>
      <c r="D299" s="344"/>
      <c r="E299" s="345"/>
      <c r="F299" s="346"/>
      <c r="G299" s="344"/>
      <c r="H299" s="11"/>
      <c r="I299" s="346"/>
      <c r="J299" s="410"/>
      <c r="K299" s="410"/>
      <c r="L299" s="410"/>
    </row>
    <row r="300" spans="1:12">
      <c r="A300" s="344"/>
      <c r="B300" s="344"/>
      <c r="C300" s="344"/>
      <c r="D300" s="344"/>
      <c r="E300" s="345"/>
      <c r="F300" s="346"/>
      <c r="G300" s="344"/>
      <c r="H300" s="11"/>
      <c r="I300" s="346"/>
      <c r="J300" s="410"/>
      <c r="K300" s="410"/>
      <c r="L300" s="410"/>
    </row>
    <row r="301" spans="1:12">
      <c r="A301" s="344"/>
      <c r="B301" s="344"/>
      <c r="C301" s="344"/>
      <c r="D301" s="344"/>
      <c r="E301" s="345"/>
      <c r="F301" s="346"/>
      <c r="G301" s="344"/>
      <c r="H301" s="11"/>
      <c r="I301" s="346"/>
      <c r="J301" s="410"/>
      <c r="K301" s="410"/>
      <c r="L301" s="410"/>
    </row>
    <row r="302" spans="1:12">
      <c r="A302" s="344"/>
      <c r="B302" s="344"/>
      <c r="C302" s="344"/>
      <c r="D302" s="344"/>
      <c r="E302" s="345"/>
      <c r="F302" s="346"/>
      <c r="G302" s="344"/>
      <c r="H302" s="11"/>
      <c r="I302" s="346"/>
      <c r="J302" s="410"/>
      <c r="K302" s="410"/>
      <c r="L302" s="410"/>
    </row>
    <row r="303" spans="1:12">
      <c r="A303" s="344"/>
      <c r="B303" s="344"/>
      <c r="C303" s="344"/>
      <c r="D303" s="344"/>
      <c r="E303" s="345"/>
      <c r="F303" s="346"/>
      <c r="G303" s="344"/>
      <c r="H303" s="11"/>
      <c r="I303" s="346"/>
      <c r="J303" s="410"/>
      <c r="K303" s="410"/>
      <c r="L303" s="410"/>
    </row>
    <row r="304" spans="1:12">
      <c r="A304" s="344"/>
      <c r="B304" s="344"/>
      <c r="C304" s="344"/>
      <c r="D304" s="344"/>
      <c r="E304" s="345"/>
      <c r="F304" s="346"/>
      <c r="G304" s="344"/>
      <c r="H304" s="11"/>
      <c r="I304" s="346"/>
      <c r="J304" s="410"/>
      <c r="K304" s="410"/>
      <c r="L304" s="410"/>
    </row>
    <row r="305" spans="1:12">
      <c r="A305" s="344"/>
      <c r="B305" s="344"/>
      <c r="C305" s="344"/>
      <c r="D305" s="344"/>
      <c r="E305" s="345"/>
      <c r="F305" s="346"/>
      <c r="G305" s="344"/>
      <c r="H305" s="11"/>
      <c r="I305" s="346"/>
      <c r="J305" s="410"/>
      <c r="K305" s="410"/>
      <c r="L305" s="410"/>
    </row>
    <row r="306" spans="1:12">
      <c r="A306" s="344"/>
      <c r="B306" s="344"/>
      <c r="C306" s="344"/>
      <c r="D306" s="344"/>
      <c r="E306" s="345"/>
      <c r="F306" s="346"/>
      <c r="G306" s="344"/>
      <c r="H306" s="11"/>
      <c r="I306" s="346"/>
      <c r="J306" s="410"/>
      <c r="K306" s="410"/>
      <c r="L306" s="410"/>
    </row>
    <row r="307" spans="1:12">
      <c r="A307" s="344"/>
      <c r="B307" s="344"/>
      <c r="C307" s="344"/>
      <c r="D307" s="344"/>
      <c r="E307" s="345"/>
      <c r="F307" s="346"/>
      <c r="G307" s="344"/>
      <c r="H307" s="11"/>
      <c r="I307" s="346"/>
      <c r="J307" s="410"/>
      <c r="K307" s="410"/>
      <c r="L307" s="410"/>
    </row>
    <row r="308" spans="1:12">
      <c r="A308" s="344"/>
      <c r="B308" s="344"/>
      <c r="C308" s="344"/>
      <c r="D308" s="344"/>
      <c r="E308" s="345"/>
      <c r="F308" s="346"/>
      <c r="G308" s="344"/>
      <c r="H308" s="11"/>
      <c r="I308" s="346"/>
      <c r="J308" s="410"/>
      <c r="K308" s="410"/>
      <c r="L308" s="410"/>
    </row>
    <row r="309" spans="1:12">
      <c r="A309" s="344"/>
      <c r="B309" s="344"/>
      <c r="C309" s="344"/>
      <c r="D309" s="344"/>
      <c r="E309" s="345"/>
      <c r="F309" s="346"/>
      <c r="G309" s="344"/>
      <c r="H309" s="11"/>
      <c r="I309" s="346"/>
      <c r="J309" s="410"/>
      <c r="K309" s="410"/>
      <c r="L309" s="410"/>
    </row>
    <row r="310" spans="1:12">
      <c r="A310" s="344"/>
      <c r="B310" s="344"/>
      <c r="C310" s="344"/>
      <c r="D310" s="344"/>
      <c r="E310" s="345"/>
      <c r="F310" s="346"/>
      <c r="G310" s="344"/>
      <c r="H310" s="11"/>
      <c r="I310" s="346"/>
      <c r="J310" s="410"/>
      <c r="K310" s="410"/>
      <c r="L310" s="410"/>
    </row>
    <row r="311" spans="1:12">
      <c r="A311" s="344"/>
      <c r="B311" s="344"/>
      <c r="C311" s="344"/>
      <c r="D311" s="344"/>
      <c r="E311" s="345"/>
      <c r="F311" s="346"/>
      <c r="G311" s="344"/>
      <c r="H311" s="11"/>
      <c r="I311" s="346"/>
      <c r="J311" s="410"/>
      <c r="K311" s="410"/>
      <c r="L311" s="410"/>
    </row>
    <row r="312" spans="1:12">
      <c r="A312" s="344"/>
      <c r="B312" s="344"/>
      <c r="C312" s="344"/>
      <c r="D312" s="344"/>
      <c r="E312" s="345"/>
      <c r="F312" s="346"/>
      <c r="G312" s="344"/>
      <c r="H312" s="11"/>
      <c r="I312" s="346"/>
      <c r="J312" s="410"/>
      <c r="K312" s="410"/>
      <c r="L312" s="410"/>
    </row>
    <row r="313" spans="1:12">
      <c r="A313" s="344"/>
      <c r="B313" s="344"/>
      <c r="C313" s="344"/>
      <c r="D313" s="344"/>
      <c r="E313" s="345"/>
      <c r="F313" s="346"/>
      <c r="G313" s="344"/>
      <c r="H313" s="11"/>
      <c r="I313" s="346"/>
      <c r="J313" s="410"/>
      <c r="K313" s="410"/>
      <c r="L313" s="410"/>
    </row>
    <row r="314" spans="1:12">
      <c r="A314" s="344"/>
      <c r="B314" s="344"/>
      <c r="C314" s="344"/>
      <c r="D314" s="344"/>
      <c r="E314" s="345"/>
      <c r="F314" s="346"/>
      <c r="G314" s="344"/>
      <c r="H314" s="11"/>
      <c r="I314" s="346"/>
      <c r="J314" s="410"/>
      <c r="K314" s="410"/>
      <c r="L314" s="410"/>
    </row>
    <row r="315" spans="1:12">
      <c r="A315" s="344"/>
      <c r="B315" s="344"/>
      <c r="C315" s="344"/>
      <c r="D315" s="344"/>
      <c r="E315" s="345"/>
      <c r="F315" s="346"/>
      <c r="G315" s="344"/>
      <c r="H315" s="11"/>
      <c r="I315" s="346"/>
      <c r="J315" s="410"/>
      <c r="K315" s="410"/>
      <c r="L315" s="410"/>
    </row>
    <row r="316" spans="1:12">
      <c r="A316" s="344"/>
      <c r="B316" s="344"/>
      <c r="C316" s="344"/>
      <c r="D316" s="344"/>
      <c r="E316" s="345"/>
      <c r="F316" s="346"/>
      <c r="G316" s="344"/>
      <c r="H316" s="11"/>
      <c r="I316" s="346"/>
      <c r="J316" s="410"/>
      <c r="K316" s="410"/>
      <c r="L316" s="410"/>
    </row>
    <row r="317" spans="1:12">
      <c r="A317" s="344"/>
      <c r="B317" s="344"/>
      <c r="C317" s="344"/>
      <c r="D317" s="344"/>
      <c r="E317" s="345"/>
      <c r="F317" s="346"/>
      <c r="G317" s="344"/>
      <c r="H317" s="11"/>
      <c r="I317" s="346"/>
      <c r="J317" s="410"/>
      <c r="K317" s="410"/>
      <c r="L317" s="410"/>
    </row>
    <row r="318" spans="1:12">
      <c r="A318" s="344"/>
      <c r="B318" s="344"/>
      <c r="C318" s="344"/>
      <c r="D318" s="344"/>
      <c r="E318" s="345"/>
      <c r="F318" s="346"/>
      <c r="G318" s="344"/>
      <c r="H318" s="11"/>
      <c r="I318" s="346"/>
      <c r="J318" s="410"/>
      <c r="K318" s="410"/>
      <c r="L318" s="410"/>
    </row>
    <row r="319" spans="1:12">
      <c r="A319" s="344"/>
      <c r="B319" s="344"/>
      <c r="C319" s="344"/>
      <c r="D319" s="344"/>
      <c r="E319" s="345"/>
      <c r="F319" s="346"/>
      <c r="G319" s="344"/>
      <c r="H319" s="11"/>
      <c r="I319" s="346"/>
      <c r="J319" s="410"/>
      <c r="K319" s="410"/>
      <c r="L319" s="410"/>
    </row>
    <row r="320" spans="1:12">
      <c r="A320" s="344"/>
      <c r="B320" s="344"/>
      <c r="C320" s="344"/>
      <c r="D320" s="344"/>
      <c r="E320" s="345"/>
      <c r="F320" s="346"/>
      <c r="G320" s="344"/>
      <c r="H320" s="11"/>
      <c r="I320" s="346"/>
      <c r="J320" s="410"/>
      <c r="K320" s="410"/>
      <c r="L320" s="410"/>
    </row>
    <row r="321" spans="1:12">
      <c r="A321" s="344"/>
      <c r="B321" s="344"/>
      <c r="C321" s="344"/>
      <c r="D321" s="344"/>
      <c r="E321" s="345"/>
      <c r="F321" s="346"/>
      <c r="G321" s="344"/>
      <c r="H321" s="11"/>
      <c r="I321" s="346"/>
      <c r="J321" s="410"/>
      <c r="K321" s="410"/>
      <c r="L321" s="410"/>
    </row>
    <row r="322" spans="1:12">
      <c r="A322" s="344"/>
      <c r="B322" s="344"/>
      <c r="C322" s="344"/>
      <c r="D322" s="344"/>
      <c r="E322" s="345"/>
      <c r="F322" s="346"/>
      <c r="G322" s="344"/>
      <c r="H322" s="11"/>
      <c r="I322" s="346"/>
      <c r="J322" s="410"/>
      <c r="K322" s="410"/>
      <c r="L322" s="410"/>
    </row>
    <row r="323" spans="1:12">
      <c r="A323" s="344"/>
      <c r="B323" s="344"/>
      <c r="C323" s="344"/>
      <c r="D323" s="344"/>
      <c r="E323" s="345"/>
      <c r="F323" s="346"/>
      <c r="G323" s="344"/>
      <c r="H323" s="11"/>
      <c r="I323" s="346"/>
      <c r="J323" s="410"/>
      <c r="K323" s="410"/>
      <c r="L323" s="410"/>
    </row>
    <row r="324" spans="1:12">
      <c r="A324" s="344"/>
      <c r="B324" s="344"/>
      <c r="C324" s="344"/>
      <c r="D324" s="344"/>
      <c r="E324" s="345"/>
      <c r="F324" s="346"/>
      <c r="G324" s="344"/>
      <c r="H324" s="11"/>
      <c r="I324" s="346"/>
      <c r="J324" s="410"/>
      <c r="K324" s="410"/>
      <c r="L324" s="410"/>
    </row>
    <row r="325" spans="1:12">
      <c r="A325" s="344"/>
      <c r="B325" s="344"/>
      <c r="C325" s="344"/>
      <c r="D325" s="344"/>
      <c r="E325" s="345"/>
      <c r="F325" s="346"/>
      <c r="G325" s="344"/>
      <c r="H325" s="11"/>
      <c r="I325" s="346"/>
      <c r="J325" s="410"/>
      <c r="K325" s="410"/>
      <c r="L325" s="410"/>
    </row>
    <row r="326" spans="1:12">
      <c r="A326" s="344"/>
      <c r="B326" s="344"/>
      <c r="C326" s="344"/>
      <c r="D326" s="344"/>
      <c r="E326" s="345"/>
      <c r="F326" s="346"/>
      <c r="G326" s="344"/>
      <c r="H326" s="11"/>
      <c r="I326" s="346"/>
      <c r="J326" s="410"/>
      <c r="K326" s="410"/>
      <c r="L326" s="410"/>
    </row>
    <row r="327" spans="1:12">
      <c r="A327" s="344"/>
      <c r="B327" s="344"/>
      <c r="C327" s="344"/>
      <c r="D327" s="344"/>
      <c r="E327" s="345"/>
      <c r="F327" s="346"/>
      <c r="G327" s="344"/>
      <c r="H327" s="11"/>
      <c r="I327" s="346"/>
      <c r="J327" s="410"/>
      <c r="K327" s="410"/>
      <c r="L327" s="410"/>
    </row>
    <row r="328" spans="1:12">
      <c r="A328" s="344"/>
      <c r="B328" s="344"/>
      <c r="C328" s="344"/>
      <c r="D328" s="344"/>
      <c r="E328" s="345"/>
      <c r="F328" s="346"/>
      <c r="G328" s="344"/>
      <c r="H328" s="11"/>
      <c r="I328" s="346"/>
      <c r="J328" s="410"/>
      <c r="K328" s="410"/>
      <c r="L328" s="410"/>
    </row>
    <row r="329" spans="1:12">
      <c r="A329" s="344"/>
      <c r="B329" s="344"/>
      <c r="C329" s="344"/>
      <c r="D329" s="344"/>
      <c r="E329" s="345"/>
      <c r="F329" s="346"/>
      <c r="G329" s="344"/>
      <c r="H329" s="11"/>
      <c r="I329" s="346"/>
      <c r="J329" s="410"/>
      <c r="K329" s="410"/>
      <c r="L329" s="410"/>
    </row>
    <row r="330" spans="1:12">
      <c r="A330" s="344"/>
      <c r="B330" s="344"/>
      <c r="C330" s="344"/>
      <c r="D330" s="344"/>
      <c r="E330" s="345"/>
      <c r="F330" s="346"/>
      <c r="G330" s="344"/>
      <c r="H330" s="11"/>
      <c r="I330" s="346"/>
      <c r="J330" s="410"/>
      <c r="K330" s="410"/>
      <c r="L330" s="410"/>
    </row>
    <row r="331" spans="1:12">
      <c r="A331" s="344"/>
      <c r="B331" s="344"/>
      <c r="C331" s="344"/>
      <c r="D331" s="344"/>
      <c r="E331" s="345"/>
      <c r="F331" s="346"/>
      <c r="G331" s="344"/>
      <c r="H331" s="11"/>
      <c r="I331" s="346"/>
      <c r="J331" s="410"/>
      <c r="K331" s="410"/>
      <c r="L331" s="410"/>
    </row>
    <row r="332" spans="1:12">
      <c r="A332" s="344"/>
      <c r="B332" s="344"/>
      <c r="C332" s="344"/>
      <c r="D332" s="344"/>
      <c r="E332" s="345"/>
      <c r="F332" s="346"/>
      <c r="G332" s="344"/>
      <c r="H332" s="11"/>
      <c r="I332" s="346"/>
      <c r="J332" s="410"/>
      <c r="K332" s="410"/>
      <c r="L332" s="410"/>
    </row>
    <row r="333" spans="1:12">
      <c r="A333" s="344"/>
      <c r="B333" s="344"/>
      <c r="C333" s="344"/>
      <c r="D333" s="344"/>
      <c r="E333" s="345"/>
      <c r="F333" s="346"/>
      <c r="G333" s="344"/>
      <c r="H333" s="11"/>
      <c r="I333" s="346"/>
      <c r="J333" s="410"/>
      <c r="K333" s="410"/>
      <c r="L333" s="410"/>
    </row>
    <row r="334" spans="1:12">
      <c r="A334" s="344"/>
      <c r="B334" s="344"/>
      <c r="C334" s="344"/>
      <c r="D334" s="344"/>
      <c r="E334" s="345"/>
      <c r="F334" s="346"/>
      <c r="G334" s="344"/>
      <c r="H334" s="11"/>
      <c r="I334" s="346"/>
      <c r="J334" s="410"/>
      <c r="K334" s="410"/>
      <c r="L334" s="410"/>
    </row>
    <row r="335" spans="1:12">
      <c r="A335" s="344"/>
      <c r="B335" s="344"/>
      <c r="C335" s="344"/>
      <c r="D335" s="344"/>
      <c r="E335" s="345"/>
      <c r="F335" s="346"/>
      <c r="G335" s="344"/>
      <c r="H335" s="11"/>
      <c r="I335" s="346"/>
      <c r="J335" s="410"/>
      <c r="K335" s="410"/>
      <c r="L335" s="410"/>
    </row>
    <row r="336" spans="1:12">
      <c r="A336" s="344"/>
      <c r="B336" s="344"/>
      <c r="C336" s="344"/>
      <c r="D336" s="344"/>
      <c r="E336" s="345"/>
      <c r="F336" s="346"/>
      <c r="G336" s="344"/>
      <c r="H336" s="11"/>
      <c r="I336" s="346"/>
      <c r="J336" s="410"/>
      <c r="K336" s="410"/>
      <c r="L336" s="410"/>
    </row>
    <row r="337" spans="1:12">
      <c r="A337" s="344"/>
      <c r="B337" s="344"/>
      <c r="C337" s="344"/>
      <c r="D337" s="344"/>
      <c r="E337" s="345"/>
      <c r="F337" s="346"/>
      <c r="G337" s="344"/>
      <c r="H337" s="11"/>
      <c r="I337" s="346"/>
      <c r="J337" s="410"/>
      <c r="K337" s="410"/>
      <c r="L337" s="410"/>
    </row>
    <row r="338" spans="1:12">
      <c r="A338" s="344"/>
      <c r="B338" s="344"/>
      <c r="C338" s="344"/>
      <c r="D338" s="344"/>
      <c r="E338" s="345"/>
      <c r="F338" s="346"/>
      <c r="G338" s="344"/>
      <c r="H338" s="11"/>
      <c r="I338" s="346"/>
      <c r="J338" s="410"/>
      <c r="K338" s="410"/>
      <c r="L338" s="410"/>
    </row>
    <row r="339" spans="1:12">
      <c r="A339" s="344"/>
      <c r="B339" s="344"/>
      <c r="C339" s="344"/>
      <c r="D339" s="344"/>
      <c r="E339" s="345"/>
      <c r="F339" s="346"/>
      <c r="G339" s="344"/>
      <c r="H339" s="11"/>
      <c r="I339" s="346"/>
      <c r="J339" s="410"/>
      <c r="K339" s="410"/>
      <c r="L339" s="410"/>
    </row>
    <row r="340" spans="1:12">
      <c r="A340" s="344"/>
      <c r="B340" s="344"/>
      <c r="C340" s="344"/>
      <c r="D340" s="344"/>
      <c r="E340" s="345"/>
      <c r="F340" s="346"/>
      <c r="G340" s="344"/>
      <c r="H340" s="11"/>
      <c r="I340" s="346"/>
      <c r="J340" s="410"/>
      <c r="K340" s="410"/>
      <c r="L340" s="410"/>
    </row>
    <row r="341" spans="1:12">
      <c r="A341" s="344"/>
      <c r="B341" s="344"/>
      <c r="C341" s="344"/>
      <c r="D341" s="344"/>
      <c r="E341" s="345"/>
      <c r="F341" s="346"/>
      <c r="G341" s="344"/>
      <c r="H341" s="11"/>
      <c r="I341" s="346"/>
      <c r="J341" s="410"/>
      <c r="K341" s="410"/>
      <c r="L341" s="410"/>
    </row>
    <row r="342" spans="1:12">
      <c r="A342" s="344"/>
      <c r="B342" s="344"/>
      <c r="C342" s="344"/>
      <c r="D342" s="344"/>
      <c r="E342" s="345"/>
      <c r="F342" s="346"/>
      <c r="G342" s="344"/>
      <c r="H342" s="11"/>
      <c r="I342" s="346"/>
      <c r="J342" s="410"/>
      <c r="K342" s="410"/>
      <c r="L342" s="410"/>
    </row>
    <row r="343" spans="1:12">
      <c r="A343" s="344"/>
      <c r="B343" s="344"/>
      <c r="C343" s="344"/>
      <c r="D343" s="344"/>
      <c r="E343" s="345"/>
      <c r="F343" s="346"/>
      <c r="G343" s="344"/>
      <c r="H343" s="11"/>
      <c r="I343" s="346"/>
      <c r="J343" s="410"/>
      <c r="K343" s="410"/>
      <c r="L343" s="410"/>
    </row>
    <row r="344" spans="1:12">
      <c r="A344" s="344"/>
      <c r="B344" s="344"/>
      <c r="C344" s="344"/>
      <c r="D344" s="344"/>
      <c r="E344" s="345"/>
      <c r="F344" s="346"/>
      <c r="G344" s="344"/>
      <c r="H344" s="11"/>
      <c r="I344" s="346"/>
      <c r="J344" s="410"/>
      <c r="K344" s="410"/>
      <c r="L344" s="410"/>
    </row>
    <row r="345" spans="1:12">
      <c r="A345" s="344"/>
      <c r="B345" s="344"/>
      <c r="C345" s="344"/>
      <c r="D345" s="344"/>
      <c r="E345" s="345"/>
      <c r="F345" s="346"/>
      <c r="G345" s="344"/>
      <c r="H345" s="11"/>
      <c r="I345" s="346"/>
      <c r="J345" s="410"/>
      <c r="K345" s="410"/>
      <c r="L345" s="410"/>
    </row>
    <row r="346" spans="1:12">
      <c r="A346" s="344"/>
      <c r="B346" s="344"/>
      <c r="C346" s="344"/>
      <c r="D346" s="344"/>
      <c r="E346" s="345"/>
      <c r="F346" s="346"/>
      <c r="G346" s="344"/>
      <c r="H346" s="11"/>
      <c r="I346" s="346"/>
      <c r="J346" s="410"/>
      <c r="K346" s="410"/>
      <c r="L346" s="410"/>
    </row>
    <row r="347" spans="1:12">
      <c r="A347" s="344"/>
      <c r="B347" s="344"/>
      <c r="C347" s="344"/>
      <c r="D347" s="344"/>
      <c r="E347" s="345"/>
      <c r="F347" s="346"/>
      <c r="G347" s="344"/>
      <c r="H347" s="11"/>
      <c r="I347" s="346"/>
      <c r="J347" s="410"/>
      <c r="K347" s="410"/>
      <c r="L347" s="410"/>
    </row>
    <row r="348" spans="1:12">
      <c r="A348" s="344"/>
      <c r="B348" s="344"/>
      <c r="C348" s="344"/>
      <c r="D348" s="344"/>
      <c r="E348" s="345"/>
      <c r="F348" s="346"/>
      <c r="G348" s="344"/>
      <c r="H348" s="11"/>
      <c r="I348" s="346"/>
      <c r="J348" s="410"/>
      <c r="K348" s="410"/>
      <c r="L348" s="410"/>
    </row>
    <row r="349" spans="1:12">
      <c r="A349" s="344"/>
      <c r="B349" s="344"/>
      <c r="C349" s="344"/>
      <c r="D349" s="344"/>
      <c r="E349" s="345"/>
      <c r="F349" s="346"/>
      <c r="G349" s="344"/>
      <c r="H349" s="11"/>
      <c r="I349" s="346"/>
      <c r="J349" s="410"/>
      <c r="K349" s="410"/>
      <c r="L349" s="410"/>
    </row>
    <row r="350" spans="1:12">
      <c r="A350" s="344"/>
      <c r="B350" s="344"/>
      <c r="C350" s="344"/>
      <c r="D350" s="344"/>
      <c r="E350" s="345"/>
      <c r="F350" s="346"/>
      <c r="G350" s="344"/>
      <c r="H350" s="11"/>
      <c r="I350" s="346"/>
      <c r="J350" s="410"/>
      <c r="K350" s="410"/>
      <c r="L350" s="410"/>
    </row>
    <row r="351" spans="1:12">
      <c r="A351" s="344"/>
      <c r="B351" s="344"/>
      <c r="C351" s="344"/>
      <c r="D351" s="344"/>
      <c r="E351" s="345"/>
      <c r="F351" s="346"/>
      <c r="G351" s="344"/>
      <c r="H351" s="11"/>
      <c r="I351" s="346"/>
      <c r="J351" s="410"/>
      <c r="K351" s="410"/>
      <c r="L351" s="410"/>
    </row>
    <row r="352" spans="1:12">
      <c r="A352" s="344"/>
      <c r="B352" s="344"/>
      <c r="C352" s="344"/>
      <c r="D352" s="344"/>
      <c r="E352" s="345"/>
      <c r="F352" s="346"/>
      <c r="G352" s="344"/>
      <c r="H352" s="11"/>
      <c r="I352" s="346"/>
      <c r="J352" s="410"/>
      <c r="K352" s="410"/>
      <c r="L352" s="410"/>
    </row>
    <row r="353" spans="1:12">
      <c r="A353" s="344"/>
      <c r="B353" s="344"/>
      <c r="C353" s="344"/>
      <c r="D353" s="344"/>
      <c r="E353" s="345"/>
      <c r="F353" s="346"/>
      <c r="G353" s="344"/>
      <c r="H353" s="11"/>
      <c r="I353" s="346"/>
      <c r="J353" s="410"/>
      <c r="K353" s="410"/>
      <c r="L353" s="410"/>
    </row>
    <row r="354" spans="1:12">
      <c r="A354" s="344"/>
      <c r="B354" s="344"/>
      <c r="C354" s="344"/>
      <c r="D354" s="344"/>
      <c r="E354" s="345"/>
      <c r="F354" s="346"/>
      <c r="G354" s="344"/>
      <c r="H354" s="11"/>
      <c r="I354" s="346"/>
      <c r="J354" s="410"/>
      <c r="K354" s="410"/>
      <c r="L354" s="410"/>
    </row>
    <row r="355" spans="1:12">
      <c r="A355" s="344"/>
      <c r="B355" s="344"/>
      <c r="C355" s="344"/>
      <c r="D355" s="344"/>
      <c r="E355" s="345"/>
      <c r="F355" s="346"/>
      <c r="G355" s="344"/>
      <c r="H355" s="11"/>
      <c r="I355" s="346"/>
      <c r="J355" s="410"/>
      <c r="K355" s="410"/>
      <c r="L355" s="410"/>
    </row>
    <row r="356" spans="1:12">
      <c r="A356" s="344"/>
      <c r="B356" s="344"/>
      <c r="C356" s="344"/>
      <c r="D356" s="344"/>
      <c r="E356" s="345"/>
      <c r="F356" s="346"/>
      <c r="G356" s="344"/>
      <c r="H356" s="11"/>
      <c r="I356" s="346"/>
      <c r="J356" s="410"/>
      <c r="K356" s="410"/>
      <c r="L356" s="410"/>
    </row>
    <row r="357" spans="1:12">
      <c r="A357" s="344"/>
      <c r="B357" s="344"/>
      <c r="C357" s="344"/>
      <c r="D357" s="344"/>
      <c r="E357" s="345"/>
      <c r="F357" s="346"/>
      <c r="G357" s="344"/>
      <c r="H357" s="11"/>
      <c r="I357" s="346"/>
      <c r="J357" s="410"/>
      <c r="K357" s="410"/>
      <c r="L357" s="410"/>
    </row>
    <row r="358" spans="1:12">
      <c r="A358" s="344"/>
      <c r="B358" s="344"/>
      <c r="C358" s="344"/>
      <c r="D358" s="344"/>
      <c r="E358" s="345"/>
      <c r="F358" s="346"/>
      <c r="G358" s="344"/>
      <c r="H358" s="11"/>
      <c r="I358" s="346"/>
      <c r="J358" s="410"/>
      <c r="K358" s="410"/>
      <c r="L358" s="410"/>
    </row>
    <row r="359" spans="1:12">
      <c r="A359" s="344"/>
      <c r="B359" s="344"/>
      <c r="C359" s="344"/>
      <c r="D359" s="344"/>
      <c r="E359" s="345"/>
      <c r="F359" s="346"/>
      <c r="G359" s="344"/>
      <c r="H359" s="11"/>
      <c r="I359" s="346"/>
      <c r="J359" s="410"/>
      <c r="K359" s="410"/>
      <c r="L359" s="410"/>
    </row>
    <row r="360" spans="1:12">
      <c r="A360" s="344"/>
      <c r="B360" s="344"/>
      <c r="C360" s="344"/>
      <c r="D360" s="344"/>
      <c r="E360" s="345"/>
      <c r="F360" s="346"/>
      <c r="G360" s="344"/>
      <c r="H360" s="11"/>
      <c r="I360" s="346"/>
      <c r="J360" s="410"/>
      <c r="K360" s="410"/>
      <c r="L360" s="410"/>
    </row>
    <row r="361" spans="1:12">
      <c r="A361" s="344"/>
      <c r="B361" s="344"/>
      <c r="C361" s="344"/>
      <c r="D361" s="344"/>
      <c r="E361" s="345"/>
      <c r="F361" s="346"/>
      <c r="G361" s="344"/>
      <c r="H361" s="11"/>
      <c r="I361" s="346"/>
      <c r="J361" s="410"/>
      <c r="K361" s="410"/>
      <c r="L361" s="410"/>
    </row>
    <row r="362" spans="1:12">
      <c r="A362" s="344"/>
      <c r="B362" s="344"/>
      <c r="C362" s="344"/>
      <c r="D362" s="344"/>
      <c r="E362" s="345"/>
      <c r="F362" s="346"/>
      <c r="G362" s="344"/>
      <c r="H362" s="11"/>
      <c r="I362" s="346"/>
      <c r="J362" s="410"/>
      <c r="K362" s="410"/>
      <c r="L362" s="410"/>
    </row>
    <row r="363" spans="1:12">
      <c r="A363" s="344"/>
      <c r="B363" s="344"/>
      <c r="C363" s="344"/>
      <c r="D363" s="344"/>
      <c r="E363" s="345"/>
      <c r="F363" s="346"/>
      <c r="G363" s="344"/>
      <c r="H363" s="11"/>
      <c r="I363" s="346"/>
      <c r="J363" s="410"/>
      <c r="K363" s="410"/>
      <c r="L363" s="410"/>
    </row>
    <row r="364" spans="1:12">
      <c r="A364" s="344"/>
      <c r="B364" s="344"/>
      <c r="C364" s="344"/>
      <c r="D364" s="344"/>
      <c r="E364" s="345"/>
      <c r="F364" s="346"/>
      <c r="G364" s="344"/>
      <c r="H364" s="11"/>
      <c r="I364" s="346"/>
      <c r="J364" s="410"/>
      <c r="K364" s="410"/>
      <c r="L364" s="410"/>
    </row>
    <row r="365" spans="1:12">
      <c r="A365" s="344"/>
      <c r="B365" s="344"/>
      <c r="C365" s="344"/>
      <c r="D365" s="344"/>
      <c r="E365" s="345"/>
      <c r="F365" s="346"/>
      <c r="G365" s="344"/>
      <c r="H365" s="11"/>
      <c r="I365" s="346"/>
      <c r="J365" s="410"/>
      <c r="K365" s="410"/>
      <c r="L365" s="410"/>
    </row>
    <row r="366" spans="1:12">
      <c r="A366" s="344"/>
      <c r="B366" s="344"/>
      <c r="C366" s="344"/>
      <c r="D366" s="344"/>
      <c r="E366" s="345"/>
      <c r="F366" s="346"/>
      <c r="G366" s="344"/>
      <c r="H366" s="11"/>
      <c r="I366" s="346"/>
      <c r="J366" s="410"/>
      <c r="K366" s="410"/>
      <c r="L366" s="410"/>
    </row>
    <row r="367" spans="1:12">
      <c r="A367" s="344"/>
      <c r="B367" s="344"/>
      <c r="C367" s="344"/>
      <c r="D367" s="344"/>
      <c r="E367" s="345"/>
      <c r="F367" s="346"/>
      <c r="G367" s="344"/>
      <c r="H367" s="11"/>
      <c r="I367" s="346"/>
      <c r="J367" s="410"/>
      <c r="K367" s="410"/>
      <c r="L367" s="410"/>
    </row>
    <row r="368" spans="1:12">
      <c r="A368" s="344"/>
      <c r="B368" s="344"/>
      <c r="C368" s="344"/>
      <c r="D368" s="344"/>
      <c r="E368" s="345"/>
      <c r="F368" s="346"/>
      <c r="G368" s="344"/>
      <c r="H368" s="11"/>
      <c r="I368" s="346"/>
      <c r="J368" s="410"/>
      <c r="K368" s="410"/>
      <c r="L368" s="410"/>
    </row>
    <row r="369" spans="1:12">
      <c r="A369" s="344"/>
      <c r="B369" s="344"/>
      <c r="C369" s="344"/>
      <c r="D369" s="344"/>
      <c r="E369" s="345"/>
      <c r="F369" s="346"/>
      <c r="G369" s="344"/>
      <c r="H369" s="11"/>
      <c r="I369" s="346"/>
      <c r="J369" s="410"/>
      <c r="K369" s="410"/>
      <c r="L369" s="410"/>
    </row>
    <row r="370" spans="1:12">
      <c r="A370" s="344"/>
      <c r="B370" s="344"/>
      <c r="C370" s="344"/>
      <c r="D370" s="344"/>
      <c r="E370" s="345"/>
      <c r="F370" s="346"/>
      <c r="G370" s="344"/>
      <c r="H370" s="11"/>
      <c r="I370" s="346"/>
      <c r="J370" s="410"/>
      <c r="K370" s="410"/>
      <c r="L370" s="410"/>
    </row>
    <row r="371" spans="1:12">
      <c r="A371" s="344"/>
      <c r="B371" s="344"/>
      <c r="C371" s="344"/>
      <c r="D371" s="344"/>
      <c r="E371" s="345"/>
      <c r="F371" s="346"/>
      <c r="G371" s="344"/>
      <c r="H371" s="11"/>
      <c r="I371" s="346"/>
      <c r="J371" s="410"/>
      <c r="K371" s="410"/>
      <c r="L371" s="410"/>
    </row>
    <row r="372" spans="1:12">
      <c r="A372" s="344"/>
      <c r="B372" s="344"/>
      <c r="C372" s="344"/>
      <c r="D372" s="344"/>
      <c r="E372" s="345"/>
      <c r="F372" s="346"/>
      <c r="G372" s="344"/>
      <c r="H372" s="11"/>
      <c r="I372" s="346"/>
      <c r="J372" s="410"/>
      <c r="K372" s="410"/>
      <c r="L372" s="410"/>
    </row>
    <row r="373" spans="1:12">
      <c r="A373" s="344"/>
      <c r="B373" s="344"/>
      <c r="C373" s="344"/>
      <c r="D373" s="344"/>
      <c r="E373" s="345"/>
      <c r="F373" s="346"/>
      <c r="G373" s="344"/>
      <c r="H373" s="11"/>
      <c r="I373" s="346"/>
      <c r="J373" s="410"/>
      <c r="K373" s="410"/>
      <c r="L373" s="410"/>
    </row>
    <row r="374" spans="1:12">
      <c r="A374" s="344"/>
      <c r="B374" s="344"/>
      <c r="C374" s="344"/>
      <c r="D374" s="344"/>
      <c r="E374" s="345"/>
      <c r="F374" s="346"/>
      <c r="G374" s="344"/>
      <c r="H374" s="11"/>
      <c r="I374" s="346"/>
      <c r="J374" s="410"/>
      <c r="K374" s="410"/>
      <c r="L374" s="410"/>
    </row>
    <row r="375" spans="1:12">
      <c r="A375" s="344"/>
      <c r="B375" s="344"/>
      <c r="C375" s="344"/>
      <c r="D375" s="344"/>
      <c r="E375" s="345"/>
      <c r="F375" s="346"/>
      <c r="G375" s="344"/>
      <c r="H375" s="11"/>
      <c r="I375" s="346"/>
      <c r="J375" s="410"/>
      <c r="K375" s="410"/>
      <c r="L375" s="410"/>
    </row>
    <row r="376" spans="1:12">
      <c r="A376" s="344"/>
      <c r="B376" s="344"/>
      <c r="C376" s="344"/>
      <c r="D376" s="344"/>
      <c r="E376" s="345"/>
      <c r="F376" s="346"/>
      <c r="G376" s="344"/>
      <c r="H376" s="11"/>
      <c r="I376" s="346"/>
      <c r="J376" s="410"/>
      <c r="K376" s="410"/>
      <c r="L376" s="410"/>
    </row>
    <row r="377" spans="1:12">
      <c r="A377" s="344"/>
      <c r="B377" s="344"/>
      <c r="C377" s="344"/>
      <c r="D377" s="344"/>
      <c r="E377" s="345"/>
      <c r="F377" s="346"/>
      <c r="G377" s="344"/>
      <c r="H377" s="11"/>
      <c r="I377" s="346"/>
      <c r="J377" s="410"/>
      <c r="K377" s="410"/>
      <c r="L377" s="410"/>
    </row>
    <row r="378" spans="1:12">
      <c r="A378" s="344"/>
      <c r="B378" s="344"/>
      <c r="C378" s="344"/>
      <c r="D378" s="344"/>
      <c r="E378" s="345"/>
      <c r="F378" s="346"/>
      <c r="G378" s="344"/>
      <c r="H378" s="11"/>
      <c r="I378" s="346"/>
      <c r="J378" s="410"/>
      <c r="K378" s="410"/>
      <c r="L378" s="410"/>
    </row>
    <row r="379" spans="1:12">
      <c r="A379" s="344"/>
      <c r="B379" s="344"/>
      <c r="C379" s="344"/>
      <c r="D379" s="344"/>
      <c r="E379" s="345"/>
      <c r="F379" s="346"/>
      <c r="G379" s="344"/>
      <c r="H379" s="11"/>
      <c r="I379" s="346"/>
      <c r="J379" s="410"/>
      <c r="K379" s="410"/>
      <c r="L379" s="410"/>
    </row>
    <row r="380" spans="1:12">
      <c r="A380" s="344"/>
      <c r="B380" s="344"/>
      <c r="C380" s="344"/>
      <c r="D380" s="344"/>
      <c r="E380" s="345"/>
      <c r="F380" s="346"/>
      <c r="G380" s="344"/>
      <c r="H380" s="11"/>
      <c r="I380" s="346"/>
      <c r="J380" s="410"/>
      <c r="K380" s="410"/>
      <c r="L380" s="410"/>
    </row>
    <row r="381" spans="1:12">
      <c r="A381" s="344"/>
      <c r="B381" s="344"/>
      <c r="C381" s="344"/>
      <c r="D381" s="344"/>
      <c r="E381" s="345"/>
      <c r="F381" s="346"/>
      <c r="G381" s="344"/>
      <c r="H381" s="11"/>
      <c r="I381" s="346"/>
      <c r="J381" s="410"/>
      <c r="K381" s="410"/>
      <c r="L381" s="410"/>
    </row>
    <row r="382" spans="1:12">
      <c r="A382" s="344"/>
      <c r="B382" s="344"/>
      <c r="C382" s="344"/>
      <c r="D382" s="344"/>
      <c r="E382" s="345"/>
      <c r="F382" s="346"/>
      <c r="G382" s="344"/>
      <c r="H382" s="11"/>
      <c r="I382" s="346"/>
      <c r="J382" s="410"/>
      <c r="K382" s="410"/>
      <c r="L382" s="410"/>
    </row>
    <row r="383" spans="1:12">
      <c r="A383" s="344"/>
      <c r="B383" s="344"/>
      <c r="C383" s="344"/>
      <c r="D383" s="344"/>
      <c r="E383" s="345"/>
      <c r="F383" s="346"/>
      <c r="G383" s="344"/>
      <c r="H383" s="11"/>
      <c r="I383" s="346"/>
      <c r="J383" s="410"/>
      <c r="K383" s="410"/>
      <c r="L383" s="410"/>
    </row>
    <row r="384" spans="1:12">
      <c r="A384" s="344"/>
      <c r="B384" s="344"/>
      <c r="C384" s="344"/>
      <c r="D384" s="344"/>
      <c r="E384" s="345"/>
      <c r="F384" s="346"/>
      <c r="G384" s="344"/>
      <c r="H384" s="11"/>
      <c r="I384" s="346"/>
      <c r="J384" s="410"/>
      <c r="K384" s="410"/>
      <c r="L384" s="410"/>
    </row>
    <row r="385" spans="1:12">
      <c r="A385" s="344"/>
      <c r="B385" s="344"/>
      <c r="C385" s="344"/>
      <c r="D385" s="344"/>
      <c r="E385" s="345"/>
      <c r="F385" s="346"/>
      <c r="G385" s="344"/>
      <c r="H385" s="11"/>
      <c r="I385" s="346"/>
      <c r="J385" s="410"/>
      <c r="K385" s="410"/>
      <c r="L385" s="410"/>
    </row>
    <row r="386" spans="1:12">
      <c r="A386" s="344"/>
      <c r="B386" s="344"/>
      <c r="C386" s="344"/>
      <c r="D386" s="344"/>
      <c r="E386" s="345"/>
      <c r="F386" s="346"/>
      <c r="G386" s="344"/>
      <c r="H386" s="11"/>
      <c r="I386" s="346"/>
      <c r="J386" s="410"/>
      <c r="K386" s="410"/>
      <c r="L386" s="410"/>
    </row>
    <row r="387" spans="1:12">
      <c r="A387" s="344"/>
      <c r="B387" s="344"/>
      <c r="C387" s="344"/>
      <c r="D387" s="344"/>
      <c r="E387" s="345"/>
      <c r="F387" s="346"/>
      <c r="G387" s="344"/>
      <c r="H387" s="11"/>
      <c r="I387" s="346"/>
      <c r="J387" s="410"/>
      <c r="K387" s="410"/>
      <c r="L387" s="410"/>
    </row>
    <row r="388" spans="1:12">
      <c r="A388" s="344"/>
      <c r="B388" s="344"/>
      <c r="C388" s="344"/>
      <c r="D388" s="344"/>
      <c r="E388" s="345"/>
      <c r="F388" s="346"/>
      <c r="G388" s="344"/>
      <c r="H388" s="11"/>
      <c r="I388" s="346"/>
      <c r="J388" s="410"/>
      <c r="K388" s="410"/>
      <c r="L388" s="410"/>
    </row>
    <row r="389" spans="1:12">
      <c r="A389" s="344"/>
      <c r="B389" s="344"/>
      <c r="C389" s="344"/>
      <c r="D389" s="344"/>
      <c r="E389" s="345"/>
      <c r="F389" s="346"/>
      <c r="G389" s="344"/>
      <c r="H389" s="11"/>
      <c r="I389" s="346"/>
      <c r="J389" s="410"/>
      <c r="K389" s="410"/>
      <c r="L389" s="410"/>
    </row>
    <row r="390" spans="1:12">
      <c r="A390" s="344"/>
      <c r="B390" s="344"/>
      <c r="C390" s="344"/>
      <c r="D390" s="344"/>
      <c r="E390" s="345"/>
      <c r="F390" s="346"/>
      <c r="G390" s="344"/>
      <c r="H390" s="11"/>
      <c r="I390" s="346"/>
      <c r="J390" s="410"/>
      <c r="K390" s="410"/>
      <c r="L390" s="410"/>
    </row>
    <row r="391" spans="1:12">
      <c r="A391" s="344"/>
      <c r="B391" s="344"/>
      <c r="C391" s="344"/>
      <c r="D391" s="344"/>
      <c r="E391" s="345"/>
      <c r="F391" s="346"/>
      <c r="G391" s="344"/>
      <c r="H391" s="11"/>
      <c r="I391" s="346"/>
      <c r="J391" s="410"/>
      <c r="K391" s="410"/>
      <c r="L391" s="410"/>
    </row>
    <row r="392" spans="1:12">
      <c r="A392" s="344"/>
      <c r="B392" s="344"/>
      <c r="C392" s="344"/>
      <c r="D392" s="344"/>
      <c r="E392" s="345"/>
      <c r="F392" s="346"/>
      <c r="G392" s="344"/>
      <c r="H392" s="11"/>
      <c r="I392" s="346"/>
      <c r="J392" s="410"/>
      <c r="K392" s="410"/>
      <c r="L392" s="410"/>
    </row>
    <row r="393" spans="1:12">
      <c r="A393" s="344"/>
      <c r="B393" s="344"/>
      <c r="C393" s="344"/>
      <c r="D393" s="344"/>
      <c r="E393" s="345"/>
      <c r="F393" s="346"/>
      <c r="G393" s="344"/>
      <c r="H393" s="11"/>
      <c r="I393" s="346"/>
      <c r="J393" s="410"/>
      <c r="K393" s="410"/>
      <c r="L393" s="410"/>
    </row>
    <row r="394" spans="1:12">
      <c r="A394" s="344"/>
      <c r="B394" s="344"/>
      <c r="C394" s="344"/>
      <c r="D394" s="344"/>
      <c r="E394" s="345"/>
      <c r="F394" s="346"/>
      <c r="G394" s="344"/>
      <c r="H394" s="11"/>
      <c r="I394" s="346"/>
      <c r="J394" s="410"/>
      <c r="K394" s="410"/>
      <c r="L394" s="410"/>
    </row>
    <row r="395" spans="1:12">
      <c r="A395" s="344"/>
      <c r="B395" s="344"/>
      <c r="C395" s="344"/>
      <c r="D395" s="344"/>
      <c r="E395" s="345"/>
      <c r="F395" s="346"/>
      <c r="G395" s="344"/>
      <c r="H395" s="11"/>
      <c r="I395" s="346"/>
      <c r="J395" s="410"/>
      <c r="K395" s="410"/>
      <c r="L395" s="410"/>
    </row>
    <row r="396" spans="1:12">
      <c r="A396" s="344"/>
      <c r="B396" s="344"/>
      <c r="C396" s="344"/>
      <c r="D396" s="344"/>
      <c r="E396" s="345"/>
      <c r="F396" s="346"/>
      <c r="G396" s="344"/>
      <c r="H396" s="11"/>
      <c r="I396" s="346"/>
      <c r="J396" s="410"/>
      <c r="K396" s="410"/>
      <c r="L396" s="410"/>
    </row>
    <row r="397" spans="1:12">
      <c r="A397" s="344"/>
      <c r="B397" s="344"/>
      <c r="C397" s="344"/>
      <c r="D397" s="344"/>
      <c r="E397" s="345"/>
      <c r="F397" s="346"/>
      <c r="G397" s="344"/>
      <c r="H397" s="11"/>
      <c r="I397" s="346"/>
      <c r="J397" s="410"/>
      <c r="K397" s="410"/>
      <c r="L397" s="410"/>
    </row>
    <row r="398" spans="1:12">
      <c r="A398" s="344"/>
      <c r="B398" s="344"/>
      <c r="C398" s="344"/>
      <c r="D398" s="344"/>
      <c r="E398" s="345"/>
      <c r="F398" s="346"/>
      <c r="G398" s="344"/>
      <c r="H398" s="11"/>
      <c r="I398" s="346"/>
      <c r="J398" s="410"/>
      <c r="K398" s="410"/>
      <c r="L398" s="410"/>
    </row>
    <row r="399" spans="1:12">
      <c r="A399" s="344"/>
      <c r="B399" s="344"/>
      <c r="C399" s="344"/>
      <c r="D399" s="344"/>
      <c r="E399" s="345"/>
      <c r="F399" s="346"/>
      <c r="G399" s="344"/>
      <c r="H399" s="11"/>
      <c r="I399" s="346"/>
      <c r="J399" s="410"/>
      <c r="K399" s="410"/>
      <c r="L399" s="410"/>
    </row>
    <row r="400" spans="1:12">
      <c r="A400" s="344"/>
      <c r="B400" s="344"/>
      <c r="C400" s="344"/>
      <c r="D400" s="344"/>
      <c r="E400" s="345"/>
      <c r="F400" s="346"/>
      <c r="G400" s="344"/>
      <c r="H400" s="11"/>
      <c r="I400" s="346"/>
      <c r="J400" s="410"/>
      <c r="K400" s="410"/>
      <c r="L400" s="410"/>
    </row>
    <row r="401" spans="1:12">
      <c r="A401" s="344"/>
      <c r="B401" s="344"/>
      <c r="C401" s="344"/>
      <c r="D401" s="344"/>
      <c r="E401" s="345"/>
      <c r="F401" s="346"/>
      <c r="G401" s="344"/>
      <c r="H401" s="11"/>
      <c r="I401" s="346"/>
      <c r="J401" s="410"/>
      <c r="K401" s="410"/>
      <c r="L401" s="410"/>
    </row>
    <row r="402" spans="1:12">
      <c r="A402" s="344"/>
      <c r="B402" s="344"/>
      <c r="C402" s="344"/>
      <c r="D402" s="344"/>
      <c r="E402" s="345"/>
      <c r="F402" s="346"/>
      <c r="G402" s="344"/>
      <c r="H402" s="11"/>
      <c r="I402" s="346"/>
      <c r="J402" s="410"/>
      <c r="K402" s="410"/>
      <c r="L402" s="410"/>
    </row>
    <row r="403" spans="1:12">
      <c r="A403" s="344"/>
      <c r="B403" s="344"/>
      <c r="C403" s="344"/>
      <c r="D403" s="344"/>
      <c r="E403" s="345"/>
      <c r="F403" s="346"/>
      <c r="G403" s="344"/>
      <c r="H403" s="11"/>
      <c r="I403" s="346"/>
      <c r="J403" s="410"/>
      <c r="K403" s="410"/>
      <c r="L403" s="410"/>
    </row>
    <row r="404" spans="1:12">
      <c r="A404" s="344"/>
      <c r="B404" s="344"/>
      <c r="C404" s="344"/>
      <c r="D404" s="344"/>
      <c r="E404" s="345"/>
      <c r="F404" s="346"/>
      <c r="G404" s="344"/>
      <c r="H404" s="11"/>
      <c r="I404" s="346"/>
      <c r="J404" s="410"/>
      <c r="K404" s="410"/>
      <c r="L404" s="410"/>
    </row>
    <row r="405" spans="1:12">
      <c r="A405" s="344"/>
      <c r="B405" s="344"/>
      <c r="C405" s="344"/>
      <c r="D405" s="344"/>
      <c r="E405" s="345"/>
      <c r="F405" s="346"/>
      <c r="G405" s="344"/>
      <c r="H405" s="11"/>
      <c r="I405" s="346"/>
      <c r="J405" s="410"/>
      <c r="K405" s="410"/>
      <c r="L405" s="410"/>
    </row>
    <row r="406" spans="1:12">
      <c r="A406" s="344"/>
      <c r="B406" s="344"/>
      <c r="C406" s="344"/>
      <c r="D406" s="344"/>
      <c r="E406" s="345"/>
      <c r="F406" s="346"/>
      <c r="G406" s="344"/>
      <c r="H406" s="11"/>
      <c r="I406" s="346"/>
      <c r="J406" s="410"/>
      <c r="K406" s="410"/>
      <c r="L406" s="410"/>
    </row>
    <row r="407" spans="1:12">
      <c r="A407" s="344"/>
      <c r="B407" s="344"/>
      <c r="C407" s="344"/>
      <c r="D407" s="344"/>
      <c r="E407" s="345"/>
      <c r="F407" s="346"/>
      <c r="G407" s="344"/>
      <c r="H407" s="11"/>
      <c r="I407" s="346"/>
      <c r="J407" s="410"/>
      <c r="K407" s="410"/>
      <c r="L407" s="410"/>
    </row>
    <row r="408" spans="1:12">
      <c r="A408" s="344"/>
      <c r="B408" s="344"/>
      <c r="C408" s="344"/>
      <c r="D408" s="344"/>
      <c r="E408" s="345"/>
      <c r="F408" s="346"/>
      <c r="G408" s="344"/>
      <c r="H408" s="11"/>
      <c r="I408" s="346"/>
      <c r="J408" s="410"/>
      <c r="K408" s="410"/>
      <c r="L408" s="410"/>
    </row>
    <row r="409" spans="1:12">
      <c r="A409" s="344"/>
      <c r="B409" s="344"/>
      <c r="C409" s="344"/>
      <c r="D409" s="344"/>
      <c r="E409" s="345"/>
      <c r="F409" s="346"/>
      <c r="G409" s="344"/>
      <c r="H409" s="11"/>
      <c r="I409" s="346"/>
      <c r="J409" s="410"/>
      <c r="K409" s="410"/>
      <c r="L409" s="410"/>
    </row>
    <row r="410" spans="1:12">
      <c r="A410" s="344"/>
      <c r="B410" s="344"/>
      <c r="C410" s="344"/>
      <c r="D410" s="344"/>
      <c r="E410" s="345"/>
      <c r="F410" s="346"/>
      <c r="G410" s="344"/>
      <c r="H410" s="11"/>
      <c r="I410" s="346"/>
      <c r="J410" s="410"/>
      <c r="K410" s="410"/>
      <c r="L410" s="410"/>
    </row>
    <row r="411" spans="1:12">
      <c r="A411" s="344"/>
      <c r="B411" s="344"/>
      <c r="C411" s="344"/>
      <c r="D411" s="344"/>
      <c r="E411" s="345"/>
      <c r="F411" s="346"/>
      <c r="G411" s="344"/>
      <c r="H411" s="11"/>
      <c r="I411" s="346"/>
      <c r="J411" s="410"/>
      <c r="K411" s="410"/>
      <c r="L411" s="410"/>
    </row>
    <row r="412" spans="1:12">
      <c r="A412" s="344"/>
      <c r="B412" s="344"/>
      <c r="C412" s="344"/>
      <c r="D412" s="344"/>
      <c r="E412" s="345"/>
      <c r="F412" s="346"/>
      <c r="G412" s="344"/>
      <c r="H412" s="11"/>
      <c r="I412" s="346"/>
      <c r="J412" s="410"/>
      <c r="K412" s="410"/>
      <c r="L412" s="410"/>
    </row>
    <row r="413" spans="1:12">
      <c r="A413" s="344"/>
      <c r="B413" s="344"/>
      <c r="C413" s="344"/>
      <c r="D413" s="344"/>
      <c r="E413" s="345"/>
      <c r="F413" s="346"/>
      <c r="G413" s="344"/>
      <c r="H413" s="11"/>
      <c r="I413" s="346"/>
      <c r="J413" s="410"/>
      <c r="K413" s="410"/>
      <c r="L413" s="410"/>
    </row>
    <row r="414" spans="1:12">
      <c r="A414" s="344"/>
      <c r="B414" s="344"/>
      <c r="C414" s="344"/>
      <c r="D414" s="344"/>
      <c r="E414" s="345"/>
      <c r="F414" s="346"/>
      <c r="G414" s="344"/>
      <c r="H414" s="11"/>
      <c r="I414" s="346"/>
      <c r="J414" s="410"/>
      <c r="K414" s="410"/>
      <c r="L414" s="410"/>
    </row>
    <row r="415" spans="1:12">
      <c r="A415" s="344"/>
      <c r="B415" s="344"/>
      <c r="C415" s="344"/>
      <c r="D415" s="344"/>
      <c r="E415" s="345"/>
      <c r="F415" s="346"/>
      <c r="G415" s="344"/>
      <c r="H415" s="11"/>
      <c r="I415" s="346"/>
      <c r="J415" s="410"/>
      <c r="K415" s="410"/>
      <c r="L415" s="410"/>
    </row>
    <row r="416" spans="1:12">
      <c r="A416" s="344"/>
      <c r="B416" s="344"/>
      <c r="C416" s="344"/>
      <c r="D416" s="344"/>
      <c r="E416" s="345"/>
      <c r="F416" s="346"/>
      <c r="G416" s="344"/>
      <c r="H416" s="11"/>
      <c r="I416" s="346"/>
      <c r="J416" s="410"/>
      <c r="K416" s="410"/>
      <c r="L416" s="410"/>
    </row>
    <row r="417" spans="1:12">
      <c r="A417" s="344"/>
      <c r="B417" s="344"/>
      <c r="C417" s="344"/>
      <c r="D417" s="344"/>
      <c r="E417" s="345"/>
      <c r="F417" s="346"/>
      <c r="G417" s="344"/>
      <c r="H417" s="11"/>
      <c r="I417" s="346"/>
      <c r="J417" s="410"/>
      <c r="K417" s="410"/>
      <c r="L417" s="410"/>
    </row>
    <row r="418" spans="1:12">
      <c r="A418" s="344"/>
      <c r="B418" s="344"/>
      <c r="C418" s="344"/>
      <c r="D418" s="344"/>
      <c r="E418" s="345"/>
      <c r="F418" s="346"/>
      <c r="G418" s="344"/>
      <c r="H418" s="11"/>
      <c r="I418" s="346"/>
      <c r="J418" s="410"/>
      <c r="K418" s="410"/>
      <c r="L418" s="410"/>
    </row>
    <row r="419" spans="1:12">
      <c r="A419" s="344"/>
      <c r="B419" s="344"/>
      <c r="C419" s="344"/>
      <c r="D419" s="344"/>
      <c r="E419" s="345"/>
      <c r="F419" s="346"/>
      <c r="G419" s="344"/>
      <c r="H419" s="11"/>
      <c r="I419" s="346"/>
      <c r="J419" s="410"/>
      <c r="K419" s="410"/>
      <c r="L419" s="410"/>
    </row>
    <row r="420" spans="1:12">
      <c r="A420" s="344"/>
      <c r="B420" s="344"/>
      <c r="C420" s="344"/>
      <c r="D420" s="344"/>
      <c r="E420" s="345"/>
      <c r="F420" s="346"/>
      <c r="G420" s="344"/>
      <c r="H420" s="11"/>
      <c r="I420" s="346"/>
      <c r="J420" s="410"/>
      <c r="K420" s="410"/>
      <c r="L420" s="410"/>
    </row>
    <row r="421" spans="1:12">
      <c r="A421" s="344"/>
      <c r="B421" s="344"/>
      <c r="C421" s="344"/>
      <c r="D421" s="344"/>
      <c r="E421" s="345"/>
      <c r="F421" s="346"/>
      <c r="G421" s="344"/>
      <c r="H421" s="11"/>
      <c r="I421" s="346"/>
      <c r="J421" s="410"/>
      <c r="K421" s="410"/>
      <c r="L421" s="410"/>
    </row>
    <row r="422" spans="1:12">
      <c r="A422" s="344"/>
      <c r="B422" s="344"/>
      <c r="C422" s="344"/>
      <c r="D422" s="344"/>
      <c r="E422" s="345"/>
      <c r="F422" s="346"/>
      <c r="G422" s="344"/>
      <c r="H422" s="11"/>
      <c r="I422" s="346"/>
      <c r="J422" s="410"/>
      <c r="K422" s="410"/>
      <c r="L422" s="410"/>
    </row>
    <row r="423" spans="1:12">
      <c r="A423" s="344"/>
      <c r="B423" s="344"/>
      <c r="C423" s="344"/>
      <c r="D423" s="344"/>
      <c r="E423" s="345"/>
      <c r="F423" s="346"/>
      <c r="G423" s="344"/>
      <c r="H423" s="11"/>
      <c r="I423" s="346"/>
      <c r="J423" s="410"/>
      <c r="K423" s="410"/>
      <c r="L423" s="410"/>
    </row>
    <row r="424" spans="1:12">
      <c r="A424" s="344"/>
      <c r="B424" s="344"/>
      <c r="C424" s="344"/>
      <c r="D424" s="344"/>
      <c r="E424" s="345"/>
      <c r="F424" s="346"/>
      <c r="G424" s="344"/>
      <c r="H424" s="11"/>
      <c r="I424" s="346"/>
      <c r="J424" s="410"/>
      <c r="K424" s="410"/>
      <c r="L424" s="410"/>
    </row>
    <row r="425" spans="1:12">
      <c r="A425" s="344"/>
      <c r="B425" s="344"/>
      <c r="C425" s="344"/>
      <c r="D425" s="344"/>
      <c r="E425" s="345"/>
      <c r="F425" s="346"/>
      <c r="G425" s="344"/>
      <c r="H425" s="11"/>
      <c r="I425" s="346"/>
      <c r="J425" s="410"/>
      <c r="K425" s="410"/>
      <c r="L425" s="410"/>
    </row>
    <row r="426" spans="1:12">
      <c r="A426" s="344"/>
      <c r="B426" s="344"/>
      <c r="C426" s="344"/>
      <c r="D426" s="344"/>
      <c r="E426" s="345"/>
      <c r="F426" s="346"/>
      <c r="G426" s="344"/>
      <c r="H426" s="11"/>
      <c r="I426" s="346"/>
      <c r="J426" s="410"/>
      <c r="K426" s="410"/>
      <c r="L426" s="410"/>
    </row>
    <row r="427" spans="1:12">
      <c r="A427" s="344"/>
      <c r="B427" s="344"/>
      <c r="C427" s="344"/>
      <c r="D427" s="344"/>
      <c r="E427" s="345"/>
      <c r="F427" s="346"/>
      <c r="G427" s="344"/>
      <c r="H427" s="11"/>
      <c r="I427" s="346"/>
      <c r="J427" s="410"/>
      <c r="K427" s="410"/>
      <c r="L427" s="410"/>
    </row>
    <row r="428" spans="1:12">
      <c r="A428" s="344"/>
      <c r="B428" s="344"/>
      <c r="C428" s="344"/>
      <c r="D428" s="344"/>
      <c r="E428" s="345"/>
      <c r="F428" s="346"/>
      <c r="G428" s="344"/>
      <c r="H428" s="11"/>
      <c r="I428" s="346"/>
      <c r="J428" s="410"/>
      <c r="K428" s="410"/>
      <c r="L428" s="410"/>
    </row>
    <row r="429" spans="1:12">
      <c r="A429" s="344"/>
      <c r="B429" s="344"/>
      <c r="C429" s="344"/>
      <c r="D429" s="344"/>
      <c r="E429" s="345"/>
      <c r="F429" s="346"/>
      <c r="G429" s="344"/>
      <c r="H429" s="11"/>
      <c r="I429" s="346"/>
      <c r="J429" s="410"/>
      <c r="K429" s="410"/>
      <c r="L429" s="410"/>
    </row>
    <row r="430" spans="1:12">
      <c r="A430" s="344"/>
      <c r="B430" s="344"/>
      <c r="C430" s="344"/>
      <c r="D430" s="344"/>
      <c r="E430" s="345"/>
      <c r="F430" s="346"/>
      <c r="G430" s="344"/>
      <c r="H430" s="11"/>
      <c r="I430" s="346"/>
      <c r="J430" s="410"/>
      <c r="K430" s="410"/>
      <c r="L430" s="410"/>
    </row>
    <row r="431" spans="1:12">
      <c r="A431" s="344"/>
      <c r="B431" s="344"/>
      <c r="C431" s="344"/>
      <c r="D431" s="344"/>
      <c r="E431" s="345"/>
      <c r="F431" s="346"/>
      <c r="G431" s="344"/>
      <c r="H431" s="11"/>
      <c r="I431" s="346"/>
      <c r="J431" s="410"/>
      <c r="K431" s="410"/>
      <c r="L431" s="410"/>
    </row>
    <row r="432" spans="1:12">
      <c r="A432" s="344"/>
      <c r="B432" s="344"/>
      <c r="C432" s="344"/>
      <c r="D432" s="344"/>
      <c r="E432" s="345"/>
      <c r="F432" s="346"/>
      <c r="G432" s="344"/>
      <c r="H432" s="11"/>
      <c r="I432" s="346"/>
      <c r="J432" s="410"/>
      <c r="K432" s="410"/>
      <c r="L432" s="410"/>
    </row>
    <row r="433" spans="1:12">
      <c r="A433" s="344"/>
      <c r="B433" s="344"/>
      <c r="C433" s="344"/>
      <c r="D433" s="344"/>
      <c r="E433" s="345"/>
      <c r="F433" s="346"/>
      <c r="G433" s="344"/>
      <c r="H433" s="11"/>
      <c r="I433" s="346"/>
      <c r="J433" s="410"/>
      <c r="K433" s="410"/>
      <c r="L433" s="410"/>
    </row>
    <row r="434" spans="1:12">
      <c r="A434" s="344"/>
      <c r="B434" s="344"/>
      <c r="C434" s="344"/>
      <c r="D434" s="344"/>
      <c r="E434" s="345"/>
      <c r="F434" s="346"/>
      <c r="G434" s="344"/>
      <c r="H434" s="11"/>
      <c r="I434" s="346"/>
      <c r="J434" s="410"/>
      <c r="K434" s="410"/>
      <c r="L434" s="410"/>
    </row>
    <row r="435" spans="1:12">
      <c r="A435" s="344"/>
      <c r="B435" s="344"/>
      <c r="C435" s="344"/>
      <c r="D435" s="344"/>
      <c r="E435" s="345"/>
      <c r="F435" s="346"/>
      <c r="G435" s="344"/>
      <c r="H435" s="11"/>
      <c r="I435" s="346"/>
      <c r="J435" s="410"/>
      <c r="K435" s="410"/>
      <c r="L435" s="410"/>
    </row>
    <row r="436" spans="1:12">
      <c r="A436" s="344"/>
      <c r="B436" s="344"/>
      <c r="C436" s="344"/>
      <c r="D436" s="344"/>
      <c r="E436" s="345"/>
      <c r="F436" s="346"/>
      <c r="G436" s="344"/>
      <c r="H436" s="11"/>
      <c r="I436" s="346"/>
      <c r="J436" s="410"/>
      <c r="K436" s="410"/>
      <c r="L436" s="410"/>
    </row>
    <row r="437" spans="1:12">
      <c r="A437" s="344"/>
      <c r="B437" s="344"/>
      <c r="C437" s="344"/>
      <c r="D437" s="344"/>
      <c r="E437" s="345"/>
      <c r="F437" s="346"/>
      <c r="G437" s="344"/>
      <c r="H437" s="11"/>
      <c r="I437" s="346"/>
      <c r="J437" s="410"/>
      <c r="K437" s="410"/>
      <c r="L437" s="410"/>
    </row>
    <row r="438" spans="1:12">
      <c r="A438" s="344"/>
      <c r="B438" s="344"/>
      <c r="C438" s="344"/>
      <c r="D438" s="344"/>
      <c r="E438" s="345"/>
      <c r="F438" s="346"/>
      <c r="G438" s="344"/>
      <c r="H438" s="11"/>
      <c r="I438" s="346"/>
      <c r="J438" s="410"/>
      <c r="K438" s="410"/>
      <c r="L438" s="410"/>
    </row>
    <row r="439" spans="1:12">
      <c r="A439" s="344"/>
      <c r="B439" s="344"/>
      <c r="C439" s="344"/>
      <c r="D439" s="344"/>
      <c r="E439" s="345"/>
      <c r="F439" s="346"/>
      <c r="G439" s="344"/>
      <c r="H439" s="11"/>
      <c r="I439" s="346"/>
      <c r="J439" s="410"/>
      <c r="K439" s="410"/>
      <c r="L439" s="410"/>
    </row>
    <row r="440" spans="1:12">
      <c r="A440" s="344"/>
      <c r="B440" s="344"/>
      <c r="C440" s="344"/>
      <c r="D440" s="344"/>
      <c r="E440" s="345"/>
      <c r="F440" s="346"/>
      <c r="G440" s="344"/>
      <c r="H440" s="11"/>
      <c r="I440" s="346"/>
      <c r="J440" s="410"/>
      <c r="K440" s="410"/>
      <c r="L440" s="410"/>
    </row>
    <row r="441" spans="1:12">
      <c r="A441" s="344"/>
      <c r="B441" s="344"/>
      <c r="C441" s="344"/>
      <c r="D441" s="344"/>
      <c r="E441" s="345"/>
      <c r="F441" s="346"/>
      <c r="G441" s="344"/>
      <c r="H441" s="11"/>
      <c r="I441" s="346"/>
      <c r="J441" s="410"/>
      <c r="K441" s="410"/>
      <c r="L441" s="410"/>
    </row>
    <row r="442" spans="1:12">
      <c r="A442" s="344"/>
      <c r="B442" s="344"/>
      <c r="C442" s="344"/>
      <c r="D442" s="344"/>
      <c r="E442" s="345"/>
      <c r="F442" s="346"/>
      <c r="G442" s="344"/>
      <c r="H442" s="11"/>
      <c r="I442" s="346"/>
      <c r="J442" s="410"/>
      <c r="K442" s="410"/>
      <c r="L442" s="410"/>
    </row>
    <row r="443" spans="1:12">
      <c r="A443" s="344"/>
      <c r="B443" s="344"/>
      <c r="C443" s="344"/>
      <c r="D443" s="344"/>
      <c r="E443" s="345"/>
      <c r="F443" s="346"/>
      <c r="G443" s="344"/>
      <c r="H443" s="11"/>
      <c r="I443" s="346"/>
      <c r="J443" s="410"/>
      <c r="K443" s="410"/>
      <c r="L443" s="410"/>
    </row>
    <row r="444" spans="1:12">
      <c r="A444" s="344"/>
      <c r="B444" s="344"/>
      <c r="C444" s="344"/>
      <c r="D444" s="344"/>
      <c r="E444" s="345"/>
      <c r="F444" s="346"/>
      <c r="G444" s="344"/>
      <c r="H444" s="11"/>
      <c r="I444" s="346"/>
      <c r="J444" s="410"/>
      <c r="K444" s="410"/>
      <c r="L444" s="410"/>
    </row>
    <row r="445" spans="1:12">
      <c r="A445" s="344"/>
      <c r="B445" s="344"/>
      <c r="C445" s="344"/>
      <c r="D445" s="344"/>
      <c r="E445" s="345"/>
      <c r="F445" s="346"/>
      <c r="G445" s="344"/>
      <c r="H445" s="11"/>
      <c r="I445" s="346"/>
      <c r="J445" s="410"/>
      <c r="K445" s="410"/>
      <c r="L445" s="410"/>
    </row>
    <row r="446" spans="1:12">
      <c r="A446" s="344"/>
      <c r="B446" s="344"/>
      <c r="C446" s="344"/>
      <c r="D446" s="344"/>
      <c r="E446" s="345"/>
      <c r="F446" s="346"/>
      <c r="G446" s="344"/>
      <c r="H446" s="11"/>
      <c r="I446" s="346"/>
      <c r="J446" s="410"/>
      <c r="K446" s="410"/>
      <c r="L446" s="410"/>
    </row>
    <row r="447" spans="1:12">
      <c r="A447" s="344"/>
      <c r="B447" s="344"/>
      <c r="C447" s="344"/>
      <c r="D447" s="344"/>
      <c r="E447" s="345"/>
      <c r="F447" s="346"/>
      <c r="G447" s="344"/>
      <c r="H447" s="11"/>
      <c r="I447" s="346"/>
      <c r="J447" s="410"/>
      <c r="K447" s="410"/>
      <c r="L447" s="410"/>
    </row>
    <row r="448" spans="1:12">
      <c r="A448" s="344"/>
      <c r="B448" s="344"/>
      <c r="C448" s="344"/>
      <c r="D448" s="344"/>
      <c r="E448" s="345"/>
      <c r="F448" s="346"/>
      <c r="G448" s="344"/>
      <c r="H448" s="11"/>
      <c r="I448" s="346"/>
      <c r="J448" s="410"/>
      <c r="K448" s="410"/>
      <c r="L448" s="410"/>
    </row>
    <row r="449" spans="1:12">
      <c r="A449" s="344"/>
      <c r="B449" s="344"/>
      <c r="C449" s="344"/>
      <c r="D449" s="344"/>
      <c r="E449" s="345"/>
      <c r="F449" s="346"/>
      <c r="G449" s="344"/>
      <c r="H449" s="11"/>
      <c r="I449" s="346"/>
      <c r="J449" s="410"/>
      <c r="K449" s="410"/>
      <c r="L449" s="410"/>
    </row>
    <row r="450" spans="1:12">
      <c r="A450" s="344"/>
      <c r="B450" s="344"/>
      <c r="C450" s="344"/>
      <c r="D450" s="344"/>
      <c r="E450" s="345"/>
      <c r="F450" s="346"/>
      <c r="G450" s="344"/>
      <c r="H450" s="11"/>
      <c r="I450" s="346"/>
      <c r="J450" s="410"/>
      <c r="K450" s="410"/>
      <c r="L450" s="410"/>
    </row>
    <row r="451" spans="1:12">
      <c r="A451" s="344"/>
      <c r="B451" s="344"/>
      <c r="C451" s="344"/>
      <c r="D451" s="344"/>
      <c r="E451" s="345"/>
      <c r="F451" s="346"/>
      <c r="G451" s="344"/>
      <c r="H451" s="11"/>
      <c r="I451" s="346"/>
      <c r="J451" s="410"/>
      <c r="K451" s="410"/>
      <c r="L451" s="410"/>
    </row>
    <row r="452" spans="1:12">
      <c r="A452" s="344"/>
      <c r="B452" s="344"/>
      <c r="C452" s="344"/>
      <c r="D452" s="344"/>
      <c r="E452" s="345"/>
      <c r="F452" s="346"/>
      <c r="G452" s="344"/>
      <c r="H452" s="11"/>
      <c r="I452" s="346"/>
      <c r="J452" s="410"/>
      <c r="K452" s="410"/>
      <c r="L452" s="410"/>
    </row>
    <row r="453" spans="1:12">
      <c r="A453" s="344"/>
      <c r="B453" s="344"/>
      <c r="C453" s="344"/>
      <c r="D453" s="344"/>
      <c r="E453" s="345"/>
      <c r="F453" s="346"/>
      <c r="G453" s="344"/>
      <c r="H453" s="11"/>
      <c r="I453" s="346"/>
      <c r="J453" s="410"/>
      <c r="K453" s="410"/>
      <c r="L453" s="410"/>
    </row>
    <row r="454" spans="1:12">
      <c r="A454" s="344"/>
      <c r="B454" s="344"/>
      <c r="C454" s="344"/>
      <c r="D454" s="344"/>
      <c r="E454" s="345"/>
      <c r="F454" s="346"/>
      <c r="G454" s="344"/>
      <c r="H454" s="11"/>
      <c r="I454" s="346"/>
      <c r="J454" s="410"/>
      <c r="K454" s="410"/>
      <c r="L454" s="410"/>
    </row>
    <row r="455" spans="1:12">
      <c r="A455" s="344"/>
      <c r="B455" s="344"/>
      <c r="C455" s="344"/>
      <c r="D455" s="344"/>
      <c r="E455" s="345"/>
      <c r="F455" s="346"/>
      <c r="G455" s="344"/>
      <c r="H455" s="11"/>
      <c r="I455" s="346"/>
      <c r="J455" s="410"/>
      <c r="K455" s="410"/>
      <c r="L455" s="410"/>
    </row>
    <row r="456" spans="1:12">
      <c r="A456" s="344"/>
      <c r="B456" s="344"/>
      <c r="C456" s="344"/>
      <c r="D456" s="344"/>
      <c r="E456" s="345"/>
      <c r="F456" s="346"/>
      <c r="G456" s="344"/>
      <c r="H456" s="11"/>
      <c r="I456" s="346"/>
      <c r="J456" s="410"/>
      <c r="K456" s="410"/>
      <c r="L456" s="410"/>
    </row>
    <row r="457" spans="1:12">
      <c r="A457" s="344"/>
      <c r="B457" s="344"/>
      <c r="C457" s="344"/>
      <c r="D457" s="344"/>
      <c r="E457" s="345"/>
      <c r="F457" s="346"/>
      <c r="G457" s="344"/>
      <c r="H457" s="11"/>
      <c r="I457" s="346"/>
      <c r="J457" s="410"/>
      <c r="K457" s="410"/>
      <c r="L457" s="410"/>
    </row>
    <row r="458" spans="1:12">
      <c r="A458" s="344"/>
      <c r="B458" s="344"/>
      <c r="C458" s="344"/>
      <c r="D458" s="344"/>
      <c r="E458" s="345"/>
      <c r="F458" s="346"/>
      <c r="G458" s="344"/>
      <c r="H458" s="11"/>
      <c r="I458" s="346"/>
      <c r="J458" s="410"/>
      <c r="K458" s="410"/>
      <c r="L458" s="410"/>
    </row>
    <row r="459" spans="1:12">
      <c r="A459" s="344"/>
      <c r="B459" s="344"/>
      <c r="C459" s="344"/>
      <c r="D459" s="344"/>
      <c r="E459" s="345"/>
      <c r="F459" s="346"/>
      <c r="G459" s="344"/>
      <c r="H459" s="11"/>
      <c r="I459" s="346"/>
      <c r="J459" s="410"/>
      <c r="K459" s="410"/>
      <c r="L459" s="410"/>
    </row>
    <row r="460" spans="1:12">
      <c r="A460" s="344"/>
      <c r="B460" s="344"/>
      <c r="C460" s="344"/>
      <c r="D460" s="344"/>
      <c r="E460" s="345"/>
      <c r="F460" s="346"/>
      <c r="G460" s="344"/>
      <c r="H460" s="11"/>
      <c r="I460" s="346"/>
      <c r="J460" s="410"/>
      <c r="K460" s="410"/>
      <c r="L460" s="410"/>
    </row>
    <row r="461" spans="1:12">
      <c r="A461" s="344"/>
      <c r="B461" s="344"/>
      <c r="C461" s="344"/>
      <c r="D461" s="344"/>
      <c r="E461" s="345"/>
      <c r="F461" s="346"/>
      <c r="G461" s="344"/>
      <c r="H461" s="11"/>
      <c r="I461" s="346"/>
      <c r="J461" s="410"/>
      <c r="K461" s="410"/>
      <c r="L461" s="410"/>
    </row>
    <row r="462" spans="1:12">
      <c r="A462" s="344"/>
      <c r="B462" s="344"/>
      <c r="C462" s="344"/>
      <c r="D462" s="344"/>
      <c r="E462" s="345"/>
      <c r="F462" s="346"/>
      <c r="G462" s="344"/>
      <c r="H462" s="11"/>
      <c r="I462" s="346"/>
      <c r="J462" s="410"/>
      <c r="K462" s="410"/>
      <c r="L462" s="410"/>
    </row>
    <row r="463" spans="1:12">
      <c r="A463" s="344"/>
      <c r="B463" s="344"/>
      <c r="C463" s="344"/>
      <c r="D463" s="344"/>
      <c r="E463" s="345"/>
      <c r="F463" s="346"/>
      <c r="G463" s="344"/>
      <c r="H463" s="11"/>
      <c r="I463" s="346"/>
      <c r="J463" s="410"/>
      <c r="K463" s="410"/>
      <c r="L463" s="410"/>
    </row>
    <row r="464" spans="1:12">
      <c r="A464" s="344"/>
      <c r="B464" s="344"/>
      <c r="C464" s="344"/>
      <c r="D464" s="344"/>
      <c r="E464" s="345"/>
      <c r="F464" s="346"/>
      <c r="G464" s="344"/>
      <c r="H464" s="11"/>
      <c r="I464" s="346"/>
      <c r="J464" s="410"/>
      <c r="K464" s="410"/>
      <c r="L464" s="410"/>
    </row>
    <row r="465" spans="1:12">
      <c r="A465" s="344"/>
      <c r="B465" s="344"/>
      <c r="C465" s="344"/>
      <c r="D465" s="344"/>
      <c r="E465" s="345"/>
      <c r="F465" s="346"/>
      <c r="G465" s="344"/>
      <c r="H465" s="11"/>
      <c r="I465" s="346"/>
      <c r="J465" s="410"/>
      <c r="K465" s="410"/>
      <c r="L465" s="410"/>
    </row>
    <row r="466" spans="1:12">
      <c r="A466" s="344"/>
      <c r="B466" s="344"/>
      <c r="C466" s="344"/>
      <c r="D466" s="344"/>
      <c r="E466" s="345"/>
      <c r="F466" s="346"/>
      <c r="G466" s="344"/>
      <c r="H466" s="11"/>
      <c r="I466" s="346"/>
      <c r="J466" s="410"/>
      <c r="K466" s="410"/>
      <c r="L466" s="410"/>
    </row>
    <row r="467" spans="1:12">
      <c r="A467" s="344"/>
      <c r="B467" s="344"/>
      <c r="C467" s="344"/>
      <c r="D467" s="344"/>
      <c r="E467" s="345"/>
      <c r="F467" s="346"/>
      <c r="G467" s="344"/>
      <c r="H467" s="11"/>
      <c r="I467" s="346"/>
      <c r="J467" s="410"/>
      <c r="K467" s="410"/>
      <c r="L467" s="410"/>
    </row>
    <row r="468" spans="1:12">
      <c r="A468" s="344"/>
      <c r="B468" s="344"/>
      <c r="C468" s="344"/>
      <c r="D468" s="344"/>
      <c r="E468" s="345"/>
      <c r="F468" s="346"/>
      <c r="G468" s="344"/>
      <c r="H468" s="11"/>
      <c r="I468" s="346"/>
      <c r="J468" s="410"/>
      <c r="K468" s="410"/>
      <c r="L468" s="410"/>
    </row>
    <row r="469" spans="1:12">
      <c r="A469" s="344"/>
      <c r="B469" s="344"/>
      <c r="C469" s="344"/>
      <c r="D469" s="344"/>
      <c r="E469" s="345"/>
      <c r="F469" s="346"/>
      <c r="G469" s="344"/>
      <c r="H469" s="11"/>
      <c r="I469" s="346"/>
      <c r="J469" s="410"/>
      <c r="K469" s="410"/>
      <c r="L469" s="410"/>
    </row>
    <row r="470" spans="1:12">
      <c r="A470" s="344"/>
      <c r="B470" s="344"/>
      <c r="C470" s="344"/>
      <c r="D470" s="344"/>
      <c r="E470" s="345"/>
      <c r="F470" s="346"/>
      <c r="G470" s="344"/>
      <c r="H470" s="11"/>
      <c r="I470" s="346"/>
      <c r="J470" s="410"/>
      <c r="K470" s="410"/>
      <c r="L470" s="410"/>
    </row>
    <row r="471" spans="1:12">
      <c r="A471" s="344"/>
      <c r="B471" s="344"/>
      <c r="C471" s="344"/>
      <c r="D471" s="344"/>
      <c r="E471" s="345"/>
      <c r="F471" s="346"/>
      <c r="G471" s="344"/>
      <c r="H471" s="11"/>
      <c r="I471" s="346"/>
      <c r="J471" s="410"/>
      <c r="K471" s="410"/>
      <c r="L471" s="410"/>
    </row>
    <row r="472" spans="1:12">
      <c r="A472" s="344"/>
      <c r="B472" s="344"/>
      <c r="C472" s="344"/>
      <c r="D472" s="344"/>
      <c r="E472" s="345"/>
      <c r="F472" s="346"/>
      <c r="G472" s="344"/>
      <c r="H472" s="11"/>
      <c r="I472" s="346"/>
      <c r="J472" s="410"/>
      <c r="K472" s="410"/>
      <c r="L472" s="410"/>
    </row>
    <row r="473" spans="1:12">
      <c r="A473" s="344"/>
      <c r="B473" s="344"/>
      <c r="C473" s="344"/>
      <c r="D473" s="344"/>
      <c r="E473" s="345"/>
      <c r="F473" s="346"/>
      <c r="G473" s="344"/>
      <c r="H473" s="11"/>
      <c r="I473" s="346"/>
      <c r="J473" s="410"/>
      <c r="K473" s="410"/>
      <c r="L473" s="410"/>
    </row>
    <row r="474" spans="1:12">
      <c r="A474" s="344"/>
      <c r="B474" s="344"/>
      <c r="C474" s="344"/>
      <c r="D474" s="344"/>
      <c r="E474" s="345"/>
      <c r="F474" s="346"/>
      <c r="G474" s="344"/>
      <c r="H474" s="11"/>
      <c r="I474" s="346"/>
      <c r="J474" s="410"/>
      <c r="K474" s="410"/>
      <c r="L474" s="410"/>
    </row>
    <row r="475" spans="1:12">
      <c r="A475" s="344"/>
      <c r="B475" s="344"/>
      <c r="C475" s="344"/>
      <c r="D475" s="344"/>
      <c r="E475" s="345"/>
      <c r="F475" s="346"/>
      <c r="G475" s="344"/>
      <c r="H475" s="11"/>
      <c r="I475" s="346"/>
      <c r="J475" s="410"/>
      <c r="K475" s="410"/>
      <c r="L475" s="410"/>
    </row>
    <row r="476" spans="1:12">
      <c r="A476" s="344"/>
      <c r="B476" s="344"/>
      <c r="C476" s="344"/>
      <c r="D476" s="344"/>
      <c r="E476" s="345"/>
      <c r="F476" s="346"/>
      <c r="G476" s="344"/>
      <c r="H476" s="11"/>
      <c r="I476" s="346"/>
      <c r="J476" s="410"/>
      <c r="K476" s="410"/>
      <c r="L476" s="410"/>
    </row>
    <row r="477" spans="1:12">
      <c r="A477" s="344"/>
      <c r="B477" s="344"/>
      <c r="C477" s="344"/>
      <c r="D477" s="344"/>
      <c r="E477" s="345"/>
      <c r="F477" s="346"/>
      <c r="G477" s="344"/>
      <c r="H477" s="11"/>
      <c r="I477" s="346"/>
      <c r="J477" s="410"/>
      <c r="K477" s="410"/>
      <c r="L477" s="410"/>
    </row>
    <row r="478" spans="1:12">
      <c r="A478" s="344"/>
      <c r="B478" s="344"/>
      <c r="C478" s="344"/>
      <c r="D478" s="344"/>
      <c r="E478" s="345"/>
      <c r="F478" s="346"/>
      <c r="G478" s="344"/>
      <c r="H478" s="11"/>
      <c r="I478" s="346"/>
      <c r="J478" s="410"/>
      <c r="K478" s="410"/>
      <c r="L478" s="410"/>
    </row>
    <row r="479" spans="1:12">
      <c r="A479" s="344"/>
      <c r="B479" s="344"/>
      <c r="C479" s="344"/>
      <c r="D479" s="344"/>
      <c r="E479" s="345"/>
      <c r="F479" s="346"/>
      <c r="G479" s="344"/>
      <c r="H479" s="11"/>
      <c r="I479" s="346"/>
      <c r="J479" s="410"/>
      <c r="K479" s="410"/>
      <c r="L479" s="410"/>
    </row>
    <row r="480" spans="1:12">
      <c r="A480" s="344"/>
      <c r="B480" s="344"/>
      <c r="C480" s="344"/>
      <c r="D480" s="344"/>
      <c r="E480" s="345"/>
      <c r="F480" s="346"/>
      <c r="G480" s="344"/>
      <c r="H480" s="11"/>
      <c r="I480" s="346"/>
      <c r="J480" s="410"/>
      <c r="K480" s="410"/>
      <c r="L480" s="410"/>
    </row>
    <row r="481" spans="1:12">
      <c r="A481" s="344"/>
      <c r="B481" s="344"/>
      <c r="C481" s="344"/>
      <c r="D481" s="344"/>
      <c r="E481" s="345"/>
      <c r="F481" s="346"/>
      <c r="G481" s="344"/>
      <c r="H481" s="11"/>
      <c r="I481" s="346"/>
      <c r="J481" s="410"/>
      <c r="K481" s="410"/>
      <c r="L481" s="410"/>
    </row>
    <row r="482" spans="1:12">
      <c r="A482" s="344"/>
      <c r="B482" s="344"/>
      <c r="C482" s="344"/>
      <c r="D482" s="344"/>
      <c r="E482" s="345"/>
      <c r="F482" s="346"/>
      <c r="G482" s="344"/>
      <c r="H482" s="11"/>
      <c r="I482" s="346"/>
      <c r="J482" s="410"/>
      <c r="K482" s="410"/>
      <c r="L482" s="410"/>
    </row>
    <row r="483" spans="1:12">
      <c r="A483" s="344"/>
      <c r="B483" s="344"/>
      <c r="C483" s="344"/>
      <c r="D483" s="344"/>
      <c r="E483" s="345"/>
      <c r="F483" s="346"/>
      <c r="G483" s="344"/>
      <c r="H483" s="11"/>
      <c r="I483" s="346"/>
      <c r="J483" s="410"/>
      <c r="K483" s="410"/>
      <c r="L483" s="410"/>
    </row>
    <row r="484" spans="1:12">
      <c r="A484" s="344"/>
      <c r="B484" s="344"/>
      <c r="C484" s="344"/>
      <c r="D484" s="344"/>
      <c r="E484" s="345"/>
      <c r="F484" s="346"/>
      <c r="G484" s="344"/>
      <c r="H484" s="11"/>
      <c r="I484" s="346"/>
      <c r="J484" s="410"/>
      <c r="K484" s="410"/>
      <c r="L484" s="410"/>
    </row>
    <row r="485" spans="1:12">
      <c r="A485" s="344"/>
      <c r="B485" s="344"/>
      <c r="C485" s="344"/>
      <c r="D485" s="344"/>
      <c r="E485" s="345"/>
      <c r="F485" s="346"/>
      <c r="G485" s="344"/>
      <c r="H485" s="11"/>
      <c r="I485" s="346"/>
      <c r="J485" s="410"/>
      <c r="K485" s="410"/>
      <c r="L485" s="410"/>
    </row>
    <row r="486" spans="1:12">
      <c r="A486" s="344"/>
      <c r="B486" s="344"/>
      <c r="C486" s="344"/>
      <c r="D486" s="344"/>
      <c r="E486" s="345"/>
      <c r="F486" s="346"/>
      <c r="G486" s="344"/>
      <c r="H486" s="11"/>
      <c r="I486" s="346"/>
      <c r="J486" s="410"/>
      <c r="K486" s="410"/>
      <c r="L486" s="410"/>
    </row>
    <row r="487" spans="1:12">
      <c r="A487" s="344"/>
      <c r="B487" s="344"/>
      <c r="C487" s="344"/>
      <c r="D487" s="344"/>
      <c r="E487" s="345"/>
      <c r="F487" s="346"/>
      <c r="G487" s="344"/>
      <c r="H487" s="11"/>
      <c r="I487" s="346"/>
      <c r="J487" s="410"/>
      <c r="K487" s="410"/>
      <c r="L487" s="410"/>
    </row>
    <row r="488" spans="1:12">
      <c r="A488" s="344"/>
      <c r="B488" s="344"/>
      <c r="C488" s="344"/>
      <c r="D488" s="344"/>
      <c r="E488" s="345"/>
      <c r="F488" s="346"/>
      <c r="G488" s="344"/>
      <c r="H488" s="11"/>
      <c r="I488" s="346"/>
      <c r="J488" s="410"/>
      <c r="K488" s="410"/>
      <c r="L488" s="410"/>
    </row>
    <row r="489" spans="1:12">
      <c r="A489" s="344"/>
      <c r="B489" s="344"/>
      <c r="C489" s="344"/>
      <c r="D489" s="344"/>
      <c r="E489" s="345"/>
      <c r="F489" s="346"/>
      <c r="G489" s="344"/>
      <c r="H489" s="11"/>
      <c r="I489" s="346"/>
      <c r="J489" s="410"/>
      <c r="K489" s="410"/>
      <c r="L489" s="410"/>
    </row>
    <row r="490" spans="1:12">
      <c r="A490" s="344"/>
      <c r="B490" s="344"/>
      <c r="C490" s="344"/>
      <c r="D490" s="344"/>
      <c r="E490" s="345"/>
      <c r="F490" s="346"/>
      <c r="G490" s="344"/>
      <c r="H490" s="11"/>
      <c r="I490" s="346"/>
      <c r="J490" s="410"/>
      <c r="K490" s="410"/>
      <c r="L490" s="410"/>
    </row>
    <row r="491" spans="1:12">
      <c r="A491" s="344"/>
      <c r="B491" s="344"/>
      <c r="C491" s="344"/>
      <c r="D491" s="344"/>
      <c r="E491" s="345"/>
      <c r="F491" s="346"/>
      <c r="G491" s="344"/>
      <c r="H491" s="11"/>
      <c r="I491" s="346"/>
      <c r="J491" s="410"/>
      <c r="K491" s="410"/>
      <c r="L491" s="410"/>
    </row>
    <row r="492" spans="1:12">
      <c r="A492" s="344"/>
      <c r="B492" s="344"/>
      <c r="C492" s="344"/>
      <c r="D492" s="344"/>
      <c r="E492" s="345"/>
      <c r="F492" s="346"/>
      <c r="G492" s="344"/>
      <c r="H492" s="11"/>
      <c r="I492" s="346"/>
      <c r="J492" s="410"/>
      <c r="K492" s="410"/>
      <c r="L492" s="410"/>
    </row>
    <row r="493" spans="1:12">
      <c r="A493" s="344"/>
      <c r="B493" s="344"/>
      <c r="C493" s="344"/>
      <c r="D493" s="344"/>
      <c r="E493" s="345"/>
      <c r="F493" s="346"/>
      <c r="G493" s="344"/>
      <c r="H493" s="11"/>
      <c r="I493" s="346"/>
      <c r="J493" s="410"/>
      <c r="K493" s="410"/>
      <c r="L493" s="410"/>
    </row>
    <row r="494" spans="1:12">
      <c r="A494" s="344"/>
      <c r="B494" s="344"/>
      <c r="C494" s="344"/>
      <c r="D494" s="344"/>
      <c r="E494" s="345"/>
      <c r="F494" s="346"/>
      <c r="G494" s="344"/>
      <c r="H494" s="11"/>
      <c r="I494" s="346"/>
      <c r="J494" s="410"/>
      <c r="K494" s="410"/>
      <c r="L494" s="410"/>
    </row>
    <row r="495" spans="1:12">
      <c r="A495" s="344"/>
      <c r="B495" s="344"/>
      <c r="C495" s="344"/>
      <c r="D495" s="344"/>
      <c r="E495" s="345"/>
      <c r="F495" s="346"/>
      <c r="G495" s="344"/>
      <c r="H495" s="11"/>
      <c r="I495" s="346"/>
      <c r="J495" s="410"/>
      <c r="K495" s="410"/>
      <c r="L495" s="410"/>
    </row>
    <row r="496" spans="1:12">
      <c r="A496" s="344"/>
      <c r="B496" s="344"/>
      <c r="C496" s="344"/>
      <c r="D496" s="344"/>
      <c r="E496" s="345"/>
      <c r="F496" s="346"/>
      <c r="G496" s="344"/>
      <c r="H496" s="11"/>
      <c r="I496" s="346"/>
      <c r="J496" s="410"/>
      <c r="K496" s="410"/>
      <c r="L496" s="410"/>
    </row>
    <row r="497" spans="1:12">
      <c r="A497" s="344"/>
      <c r="B497" s="344"/>
      <c r="C497" s="344"/>
      <c r="D497" s="344"/>
      <c r="E497" s="345"/>
      <c r="F497" s="346"/>
      <c r="G497" s="344"/>
      <c r="H497" s="11"/>
      <c r="I497" s="346"/>
      <c r="J497" s="410"/>
      <c r="K497" s="410"/>
      <c r="L497" s="410"/>
    </row>
    <row r="498" spans="1:12">
      <c r="A498" s="344"/>
      <c r="B498" s="344"/>
      <c r="C498" s="344"/>
      <c r="D498" s="344"/>
      <c r="E498" s="345"/>
      <c r="F498" s="346"/>
      <c r="G498" s="344"/>
      <c r="H498" s="11"/>
      <c r="I498" s="346"/>
      <c r="J498" s="410"/>
      <c r="K498" s="410"/>
      <c r="L498" s="410"/>
    </row>
    <row r="499" spans="1:12">
      <c r="A499" s="344"/>
      <c r="B499" s="344"/>
      <c r="C499" s="344"/>
      <c r="D499" s="344"/>
      <c r="E499" s="345"/>
      <c r="F499" s="346"/>
      <c r="G499" s="344"/>
      <c r="H499" s="11"/>
      <c r="I499" s="346"/>
      <c r="J499" s="410"/>
      <c r="K499" s="410"/>
      <c r="L499" s="410"/>
    </row>
    <row r="500" spans="1:12">
      <c r="A500" s="344"/>
      <c r="B500" s="344"/>
      <c r="C500" s="344"/>
      <c r="D500" s="344"/>
      <c r="E500" s="345"/>
      <c r="F500" s="346"/>
      <c r="G500" s="344"/>
      <c r="H500" s="11"/>
      <c r="I500" s="346"/>
      <c r="J500" s="410"/>
      <c r="K500" s="410"/>
      <c r="L500" s="410"/>
    </row>
    <row r="501" spans="1:12">
      <c r="A501" s="344"/>
      <c r="B501" s="344"/>
      <c r="C501" s="344"/>
      <c r="D501" s="344"/>
      <c r="E501" s="345"/>
      <c r="F501" s="346"/>
      <c r="G501" s="344"/>
      <c r="H501" s="11"/>
      <c r="I501" s="346"/>
      <c r="J501" s="410"/>
      <c r="K501" s="410"/>
      <c r="L501" s="410"/>
    </row>
    <row r="502" spans="1:12">
      <c r="A502" s="344"/>
      <c r="B502" s="344"/>
      <c r="C502" s="344"/>
      <c r="D502" s="344"/>
      <c r="E502" s="345"/>
      <c r="F502" s="346"/>
      <c r="G502" s="344"/>
      <c r="H502" s="11"/>
      <c r="I502" s="346"/>
      <c r="J502" s="410"/>
      <c r="K502" s="410"/>
      <c r="L502" s="410"/>
    </row>
    <row r="503" spans="1:12">
      <c r="A503" s="344"/>
      <c r="B503" s="344"/>
      <c r="C503" s="344"/>
      <c r="D503" s="344"/>
      <c r="E503" s="345"/>
      <c r="F503" s="346"/>
      <c r="G503" s="344"/>
      <c r="H503" s="11"/>
      <c r="I503" s="346"/>
      <c r="J503" s="410"/>
      <c r="K503" s="410"/>
      <c r="L503" s="410"/>
    </row>
    <row r="504" spans="1:12">
      <c r="A504" s="344"/>
      <c r="B504" s="344"/>
      <c r="C504" s="344"/>
      <c r="D504" s="344"/>
      <c r="E504" s="345"/>
      <c r="F504" s="346"/>
      <c r="G504" s="344"/>
      <c r="H504" s="11"/>
      <c r="I504" s="346"/>
      <c r="J504" s="410"/>
      <c r="K504" s="410"/>
      <c r="L504" s="410"/>
    </row>
    <row r="505" spans="1:12">
      <c r="A505" s="344"/>
      <c r="B505" s="344"/>
      <c r="C505" s="344"/>
      <c r="D505" s="344"/>
      <c r="E505" s="345"/>
      <c r="F505" s="346"/>
      <c r="G505" s="344"/>
      <c r="H505" s="11"/>
      <c r="I505" s="346"/>
      <c r="J505" s="410"/>
      <c r="K505" s="410"/>
      <c r="L505" s="410"/>
    </row>
    <row r="506" spans="1:12">
      <c r="A506" s="344"/>
      <c r="B506" s="344"/>
      <c r="C506" s="344"/>
      <c r="D506" s="344"/>
      <c r="E506" s="345"/>
      <c r="F506" s="346"/>
      <c r="G506" s="344"/>
      <c r="H506" s="11"/>
      <c r="I506" s="346"/>
      <c r="J506" s="410"/>
      <c r="K506" s="410"/>
      <c r="L506" s="410"/>
    </row>
    <row r="507" spans="1:12">
      <c r="A507" s="344"/>
      <c r="B507" s="344"/>
      <c r="C507" s="344"/>
      <c r="D507" s="344"/>
      <c r="E507" s="345"/>
      <c r="F507" s="346"/>
      <c r="G507" s="344"/>
      <c r="H507" s="11"/>
      <c r="I507" s="346"/>
      <c r="J507" s="410"/>
      <c r="K507" s="410"/>
      <c r="L507" s="410"/>
    </row>
    <row r="508" spans="1:12">
      <c r="A508" s="344"/>
      <c r="B508" s="344"/>
      <c r="C508" s="344"/>
      <c r="D508" s="344"/>
      <c r="E508" s="345"/>
      <c r="F508" s="346"/>
      <c r="G508" s="344"/>
      <c r="H508" s="11"/>
      <c r="I508" s="346"/>
      <c r="J508" s="410"/>
      <c r="K508" s="410"/>
      <c r="L508" s="410"/>
    </row>
    <row r="509" spans="1:12">
      <c r="A509" s="344"/>
      <c r="B509" s="344"/>
      <c r="C509" s="344"/>
      <c r="D509" s="344"/>
      <c r="E509" s="345"/>
      <c r="F509" s="346"/>
      <c r="G509" s="344"/>
      <c r="H509" s="11"/>
      <c r="I509" s="346"/>
      <c r="J509" s="410"/>
      <c r="K509" s="410"/>
      <c r="L509" s="410"/>
    </row>
    <row r="510" spans="1:12">
      <c r="A510" s="344"/>
      <c r="B510" s="344"/>
      <c r="C510" s="344"/>
      <c r="D510" s="344"/>
      <c r="E510" s="345"/>
      <c r="F510" s="346"/>
      <c r="G510" s="344"/>
      <c r="H510" s="11"/>
      <c r="I510" s="346"/>
      <c r="J510" s="410"/>
      <c r="K510" s="410"/>
      <c r="L510" s="410"/>
    </row>
    <row r="511" spans="1:12">
      <c r="A511" s="344"/>
      <c r="B511" s="344"/>
      <c r="C511" s="344"/>
      <c r="D511" s="344"/>
      <c r="E511" s="345"/>
      <c r="F511" s="346"/>
      <c r="G511" s="344"/>
      <c r="H511" s="11"/>
      <c r="I511" s="346"/>
      <c r="J511" s="410"/>
      <c r="K511" s="410"/>
      <c r="L511" s="410"/>
    </row>
    <row r="512" spans="1:12">
      <c r="A512" s="344"/>
      <c r="B512" s="344"/>
      <c r="C512" s="344"/>
      <c r="D512" s="344"/>
      <c r="E512" s="345"/>
      <c r="F512" s="346"/>
      <c r="G512" s="344"/>
      <c r="H512" s="11"/>
      <c r="I512" s="346"/>
      <c r="J512" s="410"/>
      <c r="K512" s="410"/>
      <c r="L512" s="410"/>
    </row>
    <row r="513" spans="1:12">
      <c r="A513" s="344"/>
      <c r="B513" s="344"/>
      <c r="C513" s="344"/>
      <c r="D513" s="344"/>
      <c r="E513" s="345"/>
      <c r="F513" s="346"/>
      <c r="G513" s="344"/>
      <c r="H513" s="11"/>
      <c r="I513" s="346"/>
      <c r="J513" s="410"/>
      <c r="K513" s="410"/>
      <c r="L513" s="410"/>
    </row>
    <row r="514" spans="1:12">
      <c r="A514" s="344"/>
      <c r="B514" s="344"/>
      <c r="C514" s="344"/>
      <c r="D514" s="344"/>
      <c r="E514" s="345"/>
      <c r="F514" s="346"/>
      <c r="G514" s="344"/>
      <c r="H514" s="11"/>
      <c r="I514" s="346"/>
      <c r="J514" s="410"/>
      <c r="K514" s="410"/>
      <c r="L514" s="410"/>
    </row>
    <row r="515" spans="1:12">
      <c r="A515" s="344"/>
      <c r="B515" s="344"/>
      <c r="C515" s="344"/>
      <c r="D515" s="344"/>
      <c r="E515" s="345"/>
      <c r="F515" s="346"/>
      <c r="G515" s="344"/>
      <c r="H515" s="11"/>
      <c r="I515" s="346"/>
      <c r="J515" s="410"/>
      <c r="K515" s="410"/>
      <c r="L515" s="410"/>
    </row>
    <row r="516" spans="1:12">
      <c r="A516" s="344"/>
      <c r="B516" s="344"/>
      <c r="C516" s="344"/>
      <c r="D516" s="344"/>
      <c r="E516" s="345"/>
      <c r="F516" s="346"/>
      <c r="G516" s="344"/>
      <c r="H516" s="11"/>
      <c r="I516" s="346"/>
      <c r="J516" s="410"/>
      <c r="K516" s="410"/>
      <c r="L516" s="410"/>
    </row>
    <row r="517" spans="1:12">
      <c r="A517" s="344"/>
      <c r="B517" s="344"/>
      <c r="C517" s="344"/>
      <c r="D517" s="344"/>
      <c r="E517" s="345"/>
      <c r="F517" s="346"/>
      <c r="G517" s="344"/>
      <c r="H517" s="11"/>
      <c r="I517" s="346"/>
      <c r="J517" s="410"/>
      <c r="K517" s="410"/>
      <c r="L517" s="410"/>
    </row>
    <row r="518" spans="1:12">
      <c r="A518" s="344"/>
      <c r="B518" s="344"/>
      <c r="C518" s="344"/>
      <c r="D518" s="344"/>
      <c r="E518" s="345"/>
      <c r="F518" s="346"/>
      <c r="G518" s="344"/>
      <c r="H518" s="11"/>
      <c r="I518" s="346"/>
      <c r="J518" s="410"/>
      <c r="K518" s="410"/>
      <c r="L518" s="410"/>
    </row>
    <row r="519" spans="1:12">
      <c r="A519" s="344"/>
      <c r="B519" s="344"/>
      <c r="C519" s="344"/>
      <c r="D519" s="344"/>
      <c r="E519" s="345"/>
      <c r="F519" s="346"/>
      <c r="G519" s="344"/>
      <c r="H519" s="11"/>
      <c r="I519" s="346"/>
      <c r="J519" s="410"/>
      <c r="K519" s="410"/>
      <c r="L519" s="410"/>
    </row>
    <row r="520" spans="1:12">
      <c r="A520" s="344"/>
      <c r="B520" s="344"/>
      <c r="C520" s="344"/>
      <c r="D520" s="344"/>
      <c r="E520" s="345"/>
      <c r="F520" s="346"/>
      <c r="G520" s="344"/>
      <c r="H520" s="11"/>
      <c r="I520" s="346"/>
      <c r="J520" s="410"/>
      <c r="K520" s="410"/>
      <c r="L520" s="410"/>
    </row>
    <row r="521" spans="1:12">
      <c r="A521" s="344"/>
      <c r="B521" s="344"/>
      <c r="C521" s="344"/>
      <c r="D521" s="344"/>
      <c r="E521" s="345"/>
      <c r="F521" s="346"/>
      <c r="G521" s="344"/>
      <c r="H521" s="11"/>
      <c r="I521" s="346"/>
      <c r="J521" s="410"/>
      <c r="K521" s="410"/>
      <c r="L521" s="410"/>
    </row>
    <row r="522" spans="1:12">
      <c r="A522" s="344"/>
      <c r="B522" s="344"/>
      <c r="C522" s="344"/>
      <c r="D522" s="344"/>
      <c r="E522" s="345"/>
      <c r="F522" s="346"/>
      <c r="G522" s="344"/>
      <c r="H522" s="11"/>
      <c r="I522" s="346"/>
      <c r="J522" s="410"/>
      <c r="K522" s="410"/>
      <c r="L522" s="410"/>
    </row>
    <row r="523" spans="1:12">
      <c r="A523" s="344"/>
      <c r="B523" s="344"/>
      <c r="C523" s="344"/>
      <c r="D523" s="344"/>
      <c r="E523" s="345"/>
      <c r="F523" s="346"/>
      <c r="G523" s="344"/>
      <c r="H523" s="11"/>
      <c r="I523" s="346"/>
      <c r="J523" s="410"/>
      <c r="K523" s="410"/>
      <c r="L523" s="410"/>
    </row>
    <row r="524" spans="1:12">
      <c r="A524" s="344"/>
      <c r="B524" s="344"/>
      <c r="C524" s="344"/>
      <c r="D524" s="344"/>
      <c r="E524" s="345"/>
      <c r="F524" s="346"/>
      <c r="G524" s="344"/>
      <c r="H524" s="11"/>
      <c r="I524" s="346"/>
      <c r="J524" s="410"/>
      <c r="K524" s="410"/>
      <c r="L524" s="410"/>
    </row>
    <row r="525" spans="1:12">
      <c r="A525" s="344"/>
      <c r="B525" s="344"/>
      <c r="C525" s="344"/>
      <c r="D525" s="344"/>
      <c r="E525" s="345"/>
      <c r="F525" s="346"/>
      <c r="G525" s="344"/>
      <c r="H525" s="11"/>
      <c r="I525" s="346"/>
      <c r="J525" s="410"/>
      <c r="K525" s="410"/>
      <c r="L525" s="410"/>
    </row>
    <row r="526" spans="1:12">
      <c r="A526" s="344"/>
      <c r="B526" s="344"/>
      <c r="C526" s="344"/>
      <c r="D526" s="344"/>
      <c r="E526" s="345"/>
      <c r="F526" s="346"/>
      <c r="G526" s="344"/>
      <c r="H526" s="11"/>
      <c r="I526" s="346"/>
      <c r="J526" s="410"/>
      <c r="K526" s="410"/>
      <c r="L526" s="410"/>
    </row>
    <row r="527" spans="1:12">
      <c r="A527" s="344"/>
      <c r="B527" s="344"/>
      <c r="C527" s="344"/>
      <c r="D527" s="344"/>
      <c r="E527" s="345"/>
      <c r="F527" s="346"/>
      <c r="G527" s="344"/>
      <c r="H527" s="11"/>
      <c r="I527" s="346"/>
      <c r="J527" s="410"/>
      <c r="K527" s="410"/>
      <c r="L527" s="410"/>
    </row>
    <row r="528" spans="1:12">
      <c r="A528" s="344"/>
      <c r="B528" s="344"/>
      <c r="C528" s="344"/>
      <c r="D528" s="344"/>
      <c r="E528" s="345"/>
      <c r="F528" s="346"/>
      <c r="G528" s="344"/>
      <c r="H528" s="11"/>
      <c r="I528" s="346"/>
      <c r="J528" s="410"/>
      <c r="K528" s="410"/>
      <c r="L528" s="410"/>
    </row>
    <row r="529" spans="1:12">
      <c r="A529" s="344"/>
      <c r="B529" s="344"/>
      <c r="C529" s="344"/>
      <c r="D529" s="344"/>
      <c r="E529" s="345"/>
      <c r="F529" s="346"/>
      <c r="G529" s="344"/>
      <c r="H529" s="11"/>
      <c r="I529" s="346"/>
      <c r="J529" s="410"/>
      <c r="K529" s="410"/>
      <c r="L529" s="410"/>
    </row>
    <row r="530" spans="1:12">
      <c r="A530" s="344"/>
      <c r="B530" s="344"/>
      <c r="C530" s="344"/>
      <c r="D530" s="344"/>
      <c r="E530" s="345"/>
      <c r="F530" s="346"/>
      <c r="G530" s="344"/>
      <c r="H530" s="11"/>
      <c r="I530" s="346"/>
      <c r="J530" s="410"/>
      <c r="K530" s="410"/>
      <c r="L530" s="410"/>
    </row>
    <row r="531" spans="1:12">
      <c r="A531" s="344"/>
      <c r="B531" s="344"/>
      <c r="C531" s="344"/>
      <c r="D531" s="344"/>
      <c r="E531" s="345"/>
      <c r="F531" s="346"/>
      <c r="G531" s="344"/>
      <c r="H531" s="11"/>
      <c r="I531" s="346"/>
      <c r="J531" s="410"/>
      <c r="K531" s="410"/>
      <c r="L531" s="410"/>
    </row>
    <row r="532" spans="1:12">
      <c r="A532" s="344"/>
      <c r="B532" s="344"/>
      <c r="C532" s="344"/>
      <c r="D532" s="344"/>
      <c r="E532" s="345"/>
      <c r="F532" s="346"/>
      <c r="G532" s="344"/>
      <c r="H532" s="11"/>
      <c r="I532" s="346"/>
      <c r="J532" s="410"/>
      <c r="K532" s="410"/>
      <c r="L532" s="410"/>
    </row>
    <row r="533" spans="1:12">
      <c r="A533" s="344"/>
      <c r="B533" s="344"/>
      <c r="C533" s="344"/>
      <c r="D533" s="344"/>
      <c r="E533" s="345"/>
      <c r="F533" s="346"/>
      <c r="G533" s="344"/>
      <c r="H533" s="11"/>
      <c r="I533" s="346"/>
      <c r="J533" s="410"/>
      <c r="K533" s="410"/>
      <c r="L533" s="410"/>
    </row>
    <row r="534" spans="1:12">
      <c r="A534" s="344"/>
      <c r="B534" s="344"/>
      <c r="C534" s="344"/>
      <c r="D534" s="344"/>
      <c r="E534" s="345"/>
      <c r="F534" s="346"/>
      <c r="G534" s="344"/>
      <c r="H534" s="11"/>
      <c r="I534" s="346"/>
      <c r="J534" s="410"/>
      <c r="K534" s="410"/>
      <c r="L534" s="410"/>
    </row>
    <row r="535" spans="1:12">
      <c r="A535" s="344"/>
      <c r="B535" s="344"/>
      <c r="C535" s="344"/>
      <c r="D535" s="344"/>
      <c r="E535" s="345"/>
      <c r="F535" s="346"/>
      <c r="G535" s="344"/>
      <c r="H535" s="11"/>
      <c r="I535" s="346"/>
      <c r="J535" s="410"/>
      <c r="K535" s="410"/>
      <c r="L535" s="410"/>
    </row>
    <row r="536" spans="1:12">
      <c r="A536" s="344"/>
      <c r="B536" s="344"/>
      <c r="C536" s="344"/>
      <c r="D536" s="344"/>
      <c r="E536" s="345"/>
      <c r="F536" s="346"/>
      <c r="G536" s="344"/>
      <c r="H536" s="11"/>
      <c r="I536" s="346"/>
      <c r="J536" s="410"/>
      <c r="K536" s="410"/>
      <c r="L536" s="410"/>
    </row>
    <row r="537" spans="1:12">
      <c r="A537" s="344"/>
      <c r="B537" s="344"/>
      <c r="C537" s="344"/>
      <c r="D537" s="344"/>
      <c r="E537" s="345"/>
      <c r="F537" s="346"/>
      <c r="G537" s="344"/>
      <c r="H537" s="11"/>
      <c r="I537" s="346"/>
      <c r="J537" s="410"/>
      <c r="K537" s="410"/>
      <c r="L537" s="410"/>
    </row>
    <row r="538" spans="1:12">
      <c r="A538" s="344"/>
      <c r="B538" s="344"/>
      <c r="C538" s="344"/>
      <c r="D538" s="344"/>
      <c r="E538" s="345"/>
      <c r="F538" s="346"/>
      <c r="G538" s="344"/>
      <c r="H538" s="11"/>
      <c r="I538" s="346"/>
      <c r="J538" s="410"/>
      <c r="K538" s="410"/>
      <c r="L538" s="410"/>
    </row>
    <row r="539" spans="1:12">
      <c r="A539" s="344"/>
      <c r="B539" s="344"/>
      <c r="C539" s="344"/>
      <c r="D539" s="344"/>
      <c r="E539" s="345"/>
      <c r="F539" s="346"/>
      <c r="G539" s="344"/>
      <c r="H539" s="11"/>
      <c r="I539" s="346"/>
      <c r="J539" s="410"/>
      <c r="K539" s="410"/>
      <c r="L539" s="410"/>
    </row>
    <row r="540" spans="1:12">
      <c r="A540" s="344"/>
      <c r="B540" s="344"/>
      <c r="C540" s="344"/>
      <c r="D540" s="344"/>
      <c r="E540" s="345"/>
      <c r="F540" s="346"/>
      <c r="G540" s="344"/>
      <c r="H540" s="11"/>
      <c r="I540" s="346"/>
      <c r="J540" s="410"/>
      <c r="K540" s="410"/>
      <c r="L540" s="410"/>
    </row>
    <row r="541" spans="1:12">
      <c r="A541" s="344"/>
      <c r="B541" s="344"/>
      <c r="C541" s="344"/>
      <c r="D541" s="344"/>
      <c r="E541" s="345"/>
      <c r="F541" s="346"/>
      <c r="G541" s="344"/>
      <c r="H541" s="11"/>
      <c r="I541" s="346"/>
      <c r="J541" s="410"/>
      <c r="K541" s="410"/>
      <c r="L541" s="410"/>
    </row>
    <row r="542" spans="1:12">
      <c r="A542" s="344"/>
      <c r="B542" s="344"/>
      <c r="C542" s="344"/>
      <c r="D542" s="344"/>
      <c r="E542" s="345"/>
      <c r="F542" s="346"/>
      <c r="G542" s="344"/>
      <c r="H542" s="11"/>
      <c r="I542" s="346"/>
      <c r="J542" s="410"/>
      <c r="K542" s="410"/>
      <c r="L542" s="410"/>
    </row>
    <row r="543" spans="1:12">
      <c r="A543" s="344"/>
      <c r="B543" s="344"/>
      <c r="C543" s="344"/>
      <c r="D543" s="344"/>
      <c r="E543" s="345"/>
      <c r="F543" s="346"/>
      <c r="G543" s="344"/>
      <c r="H543" s="11"/>
      <c r="I543" s="346"/>
      <c r="J543" s="410"/>
      <c r="K543" s="410"/>
      <c r="L543" s="410"/>
    </row>
    <row r="544" spans="1:12">
      <c r="A544" s="344"/>
      <c r="B544" s="344"/>
      <c r="C544" s="344"/>
      <c r="D544" s="344"/>
      <c r="E544" s="345"/>
      <c r="F544" s="346"/>
      <c r="G544" s="344"/>
      <c r="H544" s="11"/>
      <c r="I544" s="346"/>
      <c r="J544" s="410"/>
      <c r="K544" s="410"/>
      <c r="L544" s="410"/>
    </row>
    <row r="545" spans="1:12">
      <c r="A545" s="344"/>
      <c r="B545" s="344"/>
      <c r="C545" s="344"/>
      <c r="D545" s="344"/>
      <c r="E545" s="345"/>
      <c r="F545" s="346"/>
      <c r="G545" s="344"/>
      <c r="H545" s="11"/>
      <c r="I545" s="346"/>
      <c r="J545" s="410"/>
      <c r="K545" s="410"/>
      <c r="L545" s="410"/>
    </row>
    <row r="546" spans="1:12">
      <c r="A546" s="344"/>
      <c r="B546" s="344"/>
      <c r="C546" s="344"/>
      <c r="D546" s="344"/>
      <c r="E546" s="345"/>
      <c r="F546" s="346"/>
      <c r="G546" s="344"/>
      <c r="H546" s="11"/>
      <c r="I546" s="346"/>
      <c r="J546" s="410"/>
      <c r="K546" s="410"/>
      <c r="L546" s="410"/>
    </row>
    <row r="547" spans="1:12">
      <c r="A547" s="344"/>
      <c r="B547" s="344"/>
      <c r="C547" s="344"/>
      <c r="D547" s="344"/>
      <c r="E547" s="345"/>
      <c r="F547" s="346"/>
      <c r="G547" s="344"/>
      <c r="H547" s="11"/>
      <c r="I547" s="346"/>
      <c r="J547" s="410"/>
      <c r="K547" s="410"/>
      <c r="L547" s="410"/>
    </row>
    <row r="548" spans="1:12">
      <c r="A548" s="344"/>
      <c r="B548" s="344"/>
      <c r="C548" s="344"/>
      <c r="D548" s="344"/>
      <c r="E548" s="345"/>
      <c r="F548" s="346"/>
      <c r="G548" s="344"/>
      <c r="H548" s="11"/>
      <c r="I548" s="346"/>
      <c r="J548" s="410"/>
      <c r="K548" s="410"/>
      <c r="L548" s="410"/>
    </row>
    <row r="549" spans="1:12">
      <c r="A549" s="344"/>
      <c r="B549" s="344"/>
      <c r="C549" s="344"/>
      <c r="D549" s="344"/>
      <c r="E549" s="345"/>
      <c r="F549" s="346"/>
      <c r="G549" s="344"/>
      <c r="H549" s="11"/>
      <c r="I549" s="346"/>
      <c r="J549" s="410"/>
      <c r="K549" s="410"/>
      <c r="L549" s="410"/>
    </row>
    <row r="550" spans="1:12">
      <c r="A550" s="344"/>
      <c r="B550" s="344"/>
      <c r="C550" s="344"/>
      <c r="D550" s="344"/>
      <c r="E550" s="345"/>
      <c r="F550" s="346"/>
      <c r="G550" s="344"/>
      <c r="H550" s="11"/>
      <c r="I550" s="346"/>
      <c r="J550" s="410"/>
      <c r="K550" s="410"/>
      <c r="L550" s="410"/>
    </row>
    <row r="551" spans="1:12">
      <c r="A551" s="344"/>
      <c r="B551" s="344"/>
      <c r="C551" s="344"/>
      <c r="D551" s="344"/>
      <c r="E551" s="345"/>
      <c r="F551" s="346"/>
      <c r="G551" s="344"/>
      <c r="H551" s="11"/>
      <c r="I551" s="346"/>
      <c r="J551" s="410"/>
      <c r="K551" s="410"/>
      <c r="L551" s="410"/>
    </row>
    <row r="552" spans="1:12">
      <c r="A552" s="344"/>
      <c r="B552" s="344"/>
      <c r="C552" s="344"/>
      <c r="D552" s="344"/>
      <c r="E552" s="345"/>
      <c r="F552" s="346"/>
      <c r="G552" s="344"/>
      <c r="H552" s="11"/>
      <c r="I552" s="346"/>
      <c r="J552" s="410"/>
      <c r="K552" s="410"/>
      <c r="L552" s="410"/>
    </row>
    <row r="553" spans="1:12">
      <c r="A553" s="344"/>
      <c r="B553" s="344"/>
      <c r="C553" s="344"/>
      <c r="D553" s="344"/>
      <c r="E553" s="345"/>
      <c r="F553" s="346"/>
      <c r="G553" s="344"/>
      <c r="H553" s="11"/>
      <c r="I553" s="346"/>
      <c r="J553" s="410"/>
      <c r="K553" s="410"/>
      <c r="L553" s="410"/>
    </row>
    <row r="554" spans="1:12">
      <c r="A554" s="344"/>
      <c r="B554" s="344"/>
      <c r="C554" s="344"/>
      <c r="D554" s="344"/>
      <c r="E554" s="345"/>
      <c r="F554" s="346"/>
      <c r="G554" s="344"/>
      <c r="H554" s="11"/>
      <c r="I554" s="346"/>
      <c r="J554" s="410"/>
      <c r="K554" s="410"/>
      <c r="L554" s="410"/>
    </row>
    <row r="555" spans="1:12">
      <c r="A555" s="344"/>
      <c r="B555" s="344"/>
      <c r="C555" s="344"/>
      <c r="D555" s="344"/>
      <c r="E555" s="345"/>
      <c r="F555" s="346"/>
      <c r="G555" s="344"/>
      <c r="H555" s="11"/>
      <c r="I555" s="346"/>
      <c r="J555" s="410"/>
      <c r="K555" s="410"/>
      <c r="L555" s="410"/>
    </row>
    <row r="556" spans="1:12">
      <c r="A556" s="344"/>
      <c r="B556" s="344"/>
      <c r="C556" s="344"/>
      <c r="D556" s="344"/>
      <c r="E556" s="345"/>
      <c r="F556" s="346"/>
      <c r="G556" s="344"/>
      <c r="H556" s="11"/>
      <c r="I556" s="346"/>
      <c r="J556" s="410"/>
      <c r="K556" s="410"/>
      <c r="L556" s="410"/>
    </row>
    <row r="557" spans="1:12">
      <c r="A557" s="344"/>
      <c r="B557" s="344"/>
      <c r="C557" s="344"/>
      <c r="D557" s="344"/>
      <c r="E557" s="345"/>
      <c r="F557" s="346"/>
      <c r="G557" s="344"/>
      <c r="H557" s="11"/>
      <c r="I557" s="346"/>
      <c r="J557" s="410"/>
      <c r="K557" s="410"/>
      <c r="L557" s="410"/>
    </row>
    <row r="558" spans="1:12">
      <c r="A558" s="344"/>
      <c r="B558" s="344"/>
      <c r="C558" s="344"/>
      <c r="D558" s="344"/>
      <c r="E558" s="345"/>
      <c r="F558" s="346"/>
      <c r="G558" s="344"/>
      <c r="H558" s="11"/>
      <c r="I558" s="346"/>
      <c r="J558" s="410"/>
      <c r="K558" s="410"/>
      <c r="L558" s="410"/>
    </row>
    <row r="559" spans="1:12">
      <c r="A559" s="344"/>
      <c r="B559" s="344"/>
      <c r="C559" s="344"/>
      <c r="D559" s="344"/>
      <c r="E559" s="345"/>
      <c r="F559" s="346"/>
      <c r="G559" s="344"/>
      <c r="H559" s="11"/>
      <c r="I559" s="346"/>
      <c r="J559" s="410"/>
      <c r="K559" s="410"/>
      <c r="L559" s="410"/>
    </row>
    <row r="560" spans="1:12">
      <c r="A560" s="344"/>
      <c r="B560" s="344"/>
      <c r="C560" s="344"/>
      <c r="D560" s="344"/>
      <c r="E560" s="345"/>
      <c r="F560" s="346"/>
      <c r="G560" s="344"/>
      <c r="H560" s="11"/>
      <c r="I560" s="346"/>
      <c r="J560" s="410"/>
      <c r="K560" s="410"/>
      <c r="L560" s="410"/>
    </row>
    <row r="561" spans="1:12">
      <c r="A561" s="344"/>
      <c r="B561" s="344"/>
      <c r="C561" s="344"/>
      <c r="D561" s="344"/>
      <c r="E561" s="345"/>
      <c r="F561" s="346"/>
      <c r="G561" s="344"/>
      <c r="H561" s="11"/>
      <c r="I561" s="346"/>
      <c r="J561" s="410"/>
      <c r="K561" s="410"/>
      <c r="L561" s="410"/>
    </row>
    <row r="562" spans="1:12">
      <c r="A562" s="344"/>
      <c r="B562" s="344"/>
      <c r="C562" s="344"/>
      <c r="D562" s="344"/>
      <c r="E562" s="345"/>
      <c r="F562" s="346"/>
      <c r="G562" s="344"/>
      <c r="H562" s="11"/>
      <c r="I562" s="346"/>
      <c r="J562" s="410"/>
      <c r="K562" s="410"/>
      <c r="L562" s="410"/>
    </row>
    <row r="563" spans="1:12">
      <c r="A563" s="344"/>
      <c r="B563" s="344"/>
      <c r="C563" s="344"/>
      <c r="D563" s="344"/>
      <c r="E563" s="345"/>
      <c r="F563" s="346"/>
      <c r="G563" s="344"/>
      <c r="H563" s="11"/>
      <c r="I563" s="346"/>
      <c r="J563" s="410"/>
      <c r="K563" s="410"/>
      <c r="L563" s="410"/>
    </row>
    <row r="564" spans="1:12">
      <c r="A564" s="344"/>
      <c r="B564" s="344"/>
      <c r="C564" s="344"/>
      <c r="D564" s="344"/>
      <c r="E564" s="345"/>
      <c r="F564" s="346"/>
      <c r="G564" s="344"/>
      <c r="H564" s="11"/>
      <c r="I564" s="346"/>
      <c r="J564" s="410"/>
      <c r="K564" s="410"/>
      <c r="L564" s="410"/>
    </row>
    <row r="565" spans="1:12">
      <c r="A565" s="344"/>
      <c r="B565" s="344"/>
      <c r="C565" s="344"/>
      <c r="D565" s="344"/>
      <c r="E565" s="345"/>
      <c r="F565" s="346"/>
      <c r="G565" s="344"/>
      <c r="H565" s="11"/>
      <c r="I565" s="346"/>
      <c r="J565" s="410"/>
      <c r="K565" s="410"/>
      <c r="L565" s="410"/>
    </row>
    <row r="566" spans="1:12">
      <c r="A566" s="344"/>
      <c r="B566" s="344"/>
      <c r="C566" s="344"/>
      <c r="D566" s="344"/>
      <c r="E566" s="345"/>
      <c r="F566" s="346"/>
      <c r="G566" s="344"/>
      <c r="H566" s="11"/>
      <c r="I566" s="346"/>
      <c r="J566" s="410"/>
      <c r="K566" s="410"/>
      <c r="L566" s="410"/>
    </row>
    <row r="567" spans="1:12">
      <c r="A567" s="344"/>
      <c r="B567" s="344"/>
      <c r="C567" s="344"/>
      <c r="D567" s="344"/>
      <c r="E567" s="345"/>
      <c r="F567" s="346"/>
      <c r="G567" s="344"/>
      <c r="H567" s="11"/>
      <c r="I567" s="346"/>
      <c r="J567" s="410"/>
      <c r="K567" s="410"/>
      <c r="L567" s="410"/>
    </row>
    <row r="568" spans="1:12">
      <c r="A568" s="344"/>
      <c r="B568" s="344"/>
      <c r="C568" s="344"/>
      <c r="D568" s="344"/>
      <c r="E568" s="345"/>
      <c r="F568" s="346"/>
      <c r="G568" s="344"/>
      <c r="H568" s="11"/>
      <c r="I568" s="346"/>
      <c r="J568" s="410"/>
      <c r="K568" s="410"/>
      <c r="L568" s="410"/>
    </row>
    <row r="569" spans="1:12">
      <c r="A569" s="344"/>
      <c r="B569" s="344"/>
      <c r="C569" s="344"/>
      <c r="D569" s="344"/>
      <c r="E569" s="345"/>
      <c r="F569" s="346"/>
      <c r="G569" s="344"/>
      <c r="H569" s="11"/>
      <c r="I569" s="346"/>
      <c r="J569" s="410"/>
      <c r="K569" s="410"/>
      <c r="L569" s="410"/>
    </row>
    <row r="570" spans="1:12">
      <c r="A570" s="344"/>
      <c r="B570" s="344"/>
      <c r="C570" s="344"/>
      <c r="D570" s="344"/>
      <c r="E570" s="345"/>
      <c r="F570" s="346"/>
      <c r="G570" s="344"/>
      <c r="H570" s="11"/>
      <c r="I570" s="346"/>
      <c r="J570" s="410"/>
      <c r="K570" s="410"/>
      <c r="L570" s="410"/>
    </row>
    <row r="571" spans="1:12">
      <c r="A571" s="344"/>
      <c r="B571" s="344"/>
      <c r="C571" s="344"/>
      <c r="D571" s="344"/>
      <c r="E571" s="345"/>
      <c r="F571" s="346"/>
      <c r="G571" s="344"/>
      <c r="H571" s="11"/>
      <c r="I571" s="346"/>
      <c r="J571" s="410"/>
      <c r="K571" s="410"/>
      <c r="L571" s="410"/>
    </row>
    <row r="572" spans="1:12">
      <c r="A572" s="344"/>
      <c r="B572" s="344"/>
      <c r="C572" s="344"/>
      <c r="D572" s="344"/>
      <c r="E572" s="345"/>
      <c r="F572" s="346"/>
      <c r="G572" s="344"/>
      <c r="H572" s="11"/>
      <c r="I572" s="346"/>
      <c r="J572" s="410"/>
      <c r="K572" s="410"/>
      <c r="L572" s="410"/>
    </row>
    <row r="573" spans="1:12">
      <c r="A573" s="344"/>
      <c r="B573" s="344"/>
      <c r="C573" s="344"/>
      <c r="D573" s="344"/>
      <c r="E573" s="345"/>
      <c r="F573" s="346"/>
      <c r="G573" s="344"/>
      <c r="H573" s="11"/>
      <c r="I573" s="346"/>
      <c r="J573" s="410"/>
      <c r="K573" s="410"/>
      <c r="L573" s="410"/>
    </row>
    <row r="574" spans="1:12">
      <c r="A574" s="344"/>
      <c r="B574" s="344"/>
      <c r="C574" s="344"/>
      <c r="D574" s="344"/>
      <c r="E574" s="345"/>
      <c r="F574" s="346"/>
      <c r="G574" s="344"/>
      <c r="H574" s="11"/>
      <c r="I574" s="346"/>
      <c r="J574" s="410"/>
      <c r="K574" s="410"/>
      <c r="L574" s="410"/>
    </row>
    <row r="575" spans="1:12">
      <c r="A575" s="344"/>
      <c r="B575" s="344"/>
      <c r="C575" s="344"/>
      <c r="D575" s="344"/>
      <c r="E575" s="345"/>
      <c r="F575" s="346"/>
      <c r="G575" s="344"/>
      <c r="H575" s="11"/>
      <c r="I575" s="346"/>
      <c r="J575" s="410"/>
      <c r="K575" s="410"/>
      <c r="L575" s="410"/>
    </row>
    <row r="576" spans="1:12">
      <c r="A576" s="344"/>
      <c r="B576" s="344"/>
      <c r="C576" s="344"/>
      <c r="D576" s="344"/>
      <c r="E576" s="345"/>
      <c r="F576" s="346"/>
      <c r="G576" s="344"/>
      <c r="H576" s="11"/>
      <c r="I576" s="346"/>
      <c r="J576" s="410"/>
      <c r="K576" s="410"/>
      <c r="L576" s="410"/>
    </row>
    <row r="577" spans="1:12">
      <c r="A577" s="344"/>
      <c r="B577" s="344"/>
      <c r="C577" s="344"/>
      <c r="D577" s="344"/>
      <c r="E577" s="345"/>
      <c r="F577" s="346"/>
      <c r="G577" s="344"/>
      <c r="H577" s="11"/>
      <c r="I577" s="346"/>
      <c r="J577" s="410"/>
      <c r="K577" s="410"/>
      <c r="L577" s="410"/>
    </row>
    <row r="578" spans="1:12">
      <c r="A578" s="344"/>
      <c r="B578" s="344"/>
      <c r="C578" s="344"/>
      <c r="D578" s="344"/>
      <c r="E578" s="345"/>
      <c r="F578" s="346"/>
      <c r="G578" s="344"/>
      <c r="H578" s="11"/>
      <c r="I578" s="346"/>
      <c r="J578" s="410"/>
      <c r="K578" s="410"/>
      <c r="L578" s="410"/>
    </row>
    <row r="579" spans="1:12">
      <c r="A579" s="344"/>
      <c r="B579" s="344"/>
      <c r="C579" s="344"/>
      <c r="D579" s="344"/>
      <c r="E579" s="345"/>
      <c r="F579" s="346"/>
      <c r="G579" s="344"/>
      <c r="H579" s="11"/>
      <c r="I579" s="346"/>
      <c r="J579" s="410"/>
      <c r="K579" s="410"/>
      <c r="L579" s="410"/>
    </row>
    <row r="580" spans="1:12">
      <c r="A580" s="344"/>
      <c r="B580" s="344"/>
      <c r="C580" s="344"/>
      <c r="D580" s="344"/>
      <c r="E580" s="345"/>
      <c r="F580" s="346"/>
      <c r="G580" s="344"/>
      <c r="H580" s="11"/>
      <c r="I580" s="346"/>
      <c r="J580" s="410"/>
      <c r="K580" s="410"/>
      <c r="L580" s="410"/>
    </row>
    <row r="581" spans="1:12">
      <c r="A581" s="344"/>
      <c r="B581" s="344"/>
      <c r="C581" s="344"/>
      <c r="D581" s="344"/>
      <c r="E581" s="345"/>
      <c r="F581" s="346"/>
      <c r="G581" s="344"/>
      <c r="H581" s="11"/>
      <c r="I581" s="346"/>
      <c r="J581" s="410"/>
      <c r="K581" s="410"/>
      <c r="L581" s="410"/>
    </row>
    <row r="582" spans="1:12">
      <c r="A582" s="344"/>
      <c r="B582" s="344"/>
      <c r="C582" s="344"/>
      <c r="D582" s="344"/>
      <c r="E582" s="345"/>
      <c r="F582" s="346"/>
      <c r="G582" s="344"/>
      <c r="H582" s="11"/>
      <c r="I582" s="346"/>
      <c r="J582" s="410"/>
      <c r="K582" s="410"/>
      <c r="L582" s="410"/>
    </row>
    <row r="583" spans="1:12">
      <c r="A583" s="344"/>
      <c r="B583" s="344"/>
      <c r="C583" s="344"/>
      <c r="D583" s="344"/>
      <c r="E583" s="345"/>
      <c r="F583" s="346"/>
      <c r="G583" s="344"/>
      <c r="H583" s="11"/>
      <c r="I583" s="346"/>
      <c r="J583" s="410"/>
      <c r="K583" s="410"/>
      <c r="L583" s="410"/>
    </row>
    <row r="584" spans="1:12">
      <c r="A584" s="344"/>
      <c r="B584" s="344"/>
      <c r="C584" s="344"/>
      <c r="D584" s="344"/>
      <c r="E584" s="345"/>
      <c r="F584" s="346"/>
      <c r="G584" s="344"/>
      <c r="H584" s="11"/>
      <c r="I584" s="346"/>
      <c r="J584" s="410"/>
      <c r="K584" s="410"/>
      <c r="L584" s="410"/>
    </row>
    <row r="585" spans="1:12">
      <c r="A585" s="344"/>
      <c r="B585" s="344"/>
      <c r="C585" s="344"/>
      <c r="D585" s="344"/>
      <c r="E585" s="345"/>
      <c r="F585" s="346"/>
      <c r="G585" s="344"/>
      <c r="H585" s="11"/>
      <c r="I585" s="346"/>
      <c r="J585" s="410"/>
      <c r="K585" s="410"/>
      <c r="L585" s="410"/>
    </row>
    <row r="586" spans="1:12">
      <c r="A586" s="344"/>
      <c r="B586" s="344"/>
      <c r="C586" s="344"/>
      <c r="D586" s="344"/>
      <c r="E586" s="345"/>
      <c r="F586" s="346"/>
      <c r="G586" s="344"/>
      <c r="H586" s="11"/>
      <c r="I586" s="346"/>
      <c r="J586" s="410"/>
      <c r="K586" s="410"/>
      <c r="L586" s="410"/>
    </row>
    <row r="587" spans="1:12">
      <c r="A587" s="344"/>
      <c r="B587" s="344"/>
      <c r="C587" s="344"/>
      <c r="D587" s="344"/>
      <c r="E587" s="345"/>
      <c r="F587" s="346"/>
      <c r="G587" s="344"/>
      <c r="H587" s="11"/>
      <c r="I587" s="346"/>
      <c r="J587" s="410"/>
      <c r="K587" s="410"/>
      <c r="L587" s="410"/>
    </row>
    <row r="588" spans="1:12">
      <c r="A588" s="344"/>
      <c r="B588" s="344"/>
      <c r="C588" s="344"/>
      <c r="D588" s="344"/>
      <c r="E588" s="345"/>
      <c r="F588" s="346"/>
      <c r="G588" s="344"/>
      <c r="H588" s="11"/>
      <c r="I588" s="346"/>
      <c r="J588" s="410"/>
      <c r="K588" s="410"/>
      <c r="L588" s="410"/>
    </row>
    <row r="589" spans="1:12">
      <c r="A589" s="344"/>
      <c r="B589" s="344"/>
      <c r="C589" s="344"/>
      <c r="D589" s="344"/>
      <c r="E589" s="345"/>
      <c r="F589" s="346"/>
      <c r="G589" s="344"/>
      <c r="H589" s="11"/>
      <c r="I589" s="346"/>
      <c r="J589" s="410"/>
      <c r="K589" s="410"/>
      <c r="L589" s="410"/>
    </row>
    <row r="590" spans="1:12">
      <c r="A590" s="344"/>
      <c r="B590" s="344"/>
      <c r="C590" s="344"/>
      <c r="D590" s="344"/>
      <c r="E590" s="345"/>
      <c r="F590" s="346"/>
      <c r="G590" s="344"/>
      <c r="H590" s="11"/>
      <c r="I590" s="346"/>
      <c r="J590" s="410"/>
      <c r="K590" s="410"/>
      <c r="L590" s="410"/>
    </row>
    <row r="591" spans="1:12">
      <c r="A591" s="344"/>
      <c r="B591" s="344"/>
      <c r="C591" s="344"/>
      <c r="D591" s="344"/>
      <c r="E591" s="345"/>
      <c r="F591" s="346"/>
      <c r="G591" s="344"/>
      <c r="H591" s="11"/>
      <c r="I591" s="346"/>
      <c r="J591" s="410"/>
      <c r="K591" s="410"/>
      <c r="L591" s="410"/>
    </row>
    <row r="592" spans="1:12">
      <c r="A592" s="344"/>
      <c r="B592" s="344"/>
      <c r="C592" s="344"/>
      <c r="D592" s="344"/>
      <c r="E592" s="345"/>
      <c r="F592" s="346"/>
      <c r="G592" s="344"/>
      <c r="H592" s="11"/>
      <c r="I592" s="346"/>
      <c r="J592" s="410"/>
      <c r="K592" s="410"/>
      <c r="L592" s="410"/>
    </row>
    <row r="593" spans="1:12">
      <c r="A593" s="344"/>
      <c r="B593" s="344"/>
      <c r="C593" s="344"/>
      <c r="D593" s="344"/>
      <c r="E593" s="345"/>
      <c r="F593" s="346"/>
      <c r="G593" s="344"/>
      <c r="H593" s="11"/>
      <c r="I593" s="346"/>
      <c r="J593" s="410"/>
      <c r="K593" s="410"/>
      <c r="L593" s="410"/>
    </row>
    <row r="594" spans="1:12">
      <c r="A594" s="344"/>
      <c r="B594" s="344"/>
      <c r="C594" s="344"/>
      <c r="D594" s="344"/>
      <c r="E594" s="345"/>
      <c r="F594" s="346"/>
      <c r="G594" s="344"/>
      <c r="H594" s="11"/>
      <c r="I594" s="346"/>
      <c r="J594" s="410"/>
      <c r="K594" s="410"/>
      <c r="L594" s="410"/>
    </row>
    <row r="595" spans="1:12">
      <c r="A595" s="344"/>
      <c r="B595" s="344"/>
      <c r="C595" s="344"/>
      <c r="D595" s="344"/>
      <c r="E595" s="345"/>
      <c r="F595" s="346"/>
      <c r="G595" s="344"/>
      <c r="H595" s="11"/>
      <c r="I595" s="346"/>
      <c r="J595" s="410"/>
      <c r="K595" s="410"/>
      <c r="L595" s="410"/>
    </row>
    <row r="596" spans="1:12">
      <c r="A596" s="344"/>
      <c r="B596" s="344"/>
      <c r="C596" s="344"/>
      <c r="D596" s="344"/>
      <c r="E596" s="345"/>
      <c r="F596" s="346"/>
      <c r="G596" s="344"/>
      <c r="H596" s="11"/>
      <c r="I596" s="346"/>
      <c r="J596" s="410"/>
      <c r="K596" s="410"/>
      <c r="L596" s="410"/>
    </row>
    <row r="597" spans="1:12">
      <c r="A597" s="344"/>
      <c r="B597" s="344"/>
      <c r="C597" s="344"/>
      <c r="D597" s="344"/>
      <c r="E597" s="345"/>
      <c r="F597" s="346"/>
      <c r="G597" s="344"/>
      <c r="H597" s="11"/>
      <c r="I597" s="346"/>
      <c r="J597" s="410"/>
      <c r="K597" s="410"/>
      <c r="L597" s="410"/>
    </row>
    <row r="598" spans="1:12">
      <c r="A598" s="344"/>
      <c r="B598" s="344"/>
      <c r="C598" s="344"/>
      <c r="D598" s="344"/>
      <c r="E598" s="345"/>
      <c r="F598" s="346"/>
      <c r="G598" s="344"/>
      <c r="H598" s="11"/>
      <c r="I598" s="346"/>
      <c r="J598" s="410"/>
      <c r="K598" s="410"/>
      <c r="L598" s="410"/>
    </row>
    <row r="599" spans="1:12">
      <c r="A599" s="344"/>
      <c r="B599" s="344"/>
      <c r="C599" s="344"/>
      <c r="D599" s="344"/>
      <c r="E599" s="345"/>
      <c r="F599" s="346"/>
      <c r="G599" s="344"/>
      <c r="H599" s="11"/>
      <c r="I599" s="346"/>
      <c r="J599" s="410"/>
      <c r="K599" s="410"/>
      <c r="L599" s="410"/>
    </row>
    <row r="600" spans="1:12">
      <c r="A600" s="344"/>
      <c r="B600" s="344"/>
      <c r="C600" s="344"/>
      <c r="D600" s="344"/>
      <c r="E600" s="345"/>
      <c r="F600" s="346"/>
      <c r="G600" s="344"/>
      <c r="H600" s="11"/>
      <c r="I600" s="346"/>
      <c r="J600" s="410"/>
      <c r="K600" s="410"/>
      <c r="L600" s="410"/>
    </row>
    <row r="601" spans="1:12">
      <c r="A601" s="344"/>
      <c r="B601" s="344"/>
      <c r="C601" s="344"/>
      <c r="D601" s="344"/>
      <c r="E601" s="345"/>
      <c r="F601" s="346"/>
      <c r="G601" s="344"/>
      <c r="H601" s="11"/>
      <c r="I601" s="346"/>
      <c r="J601" s="410"/>
      <c r="K601" s="410"/>
      <c r="L601" s="410"/>
    </row>
    <row r="602" spans="1:12">
      <c r="A602" s="344"/>
      <c r="B602" s="344"/>
      <c r="C602" s="344"/>
      <c r="D602" s="344"/>
      <c r="E602" s="345"/>
      <c r="F602" s="346"/>
      <c r="G602" s="344"/>
      <c r="H602" s="11"/>
      <c r="I602" s="346"/>
      <c r="J602" s="410"/>
      <c r="K602" s="410"/>
      <c r="L602" s="410"/>
    </row>
    <row r="603" spans="1:12">
      <c r="A603" s="344"/>
      <c r="B603" s="344"/>
      <c r="C603" s="344"/>
      <c r="D603" s="344"/>
      <c r="E603" s="345"/>
      <c r="F603" s="346"/>
      <c r="G603" s="344"/>
      <c r="H603" s="11"/>
      <c r="I603" s="346"/>
      <c r="J603" s="410"/>
      <c r="K603" s="410"/>
      <c r="L603" s="410"/>
    </row>
    <row r="604" spans="1:12">
      <c r="A604" s="344"/>
      <c r="B604" s="344"/>
      <c r="C604" s="344"/>
      <c r="D604" s="344"/>
      <c r="E604" s="345"/>
      <c r="F604" s="346"/>
      <c r="G604" s="344"/>
      <c r="H604" s="11"/>
      <c r="I604" s="346"/>
      <c r="J604" s="410"/>
      <c r="K604" s="410"/>
      <c r="L604" s="410"/>
    </row>
    <row r="605" spans="1:12">
      <c r="A605" s="344"/>
      <c r="B605" s="344"/>
      <c r="C605" s="344"/>
      <c r="D605" s="344"/>
      <c r="E605" s="345"/>
      <c r="F605" s="346"/>
      <c r="G605" s="344"/>
      <c r="H605" s="11"/>
      <c r="I605" s="346"/>
      <c r="J605" s="410"/>
      <c r="K605" s="410"/>
      <c r="L605" s="410"/>
    </row>
    <row r="606" spans="1:12">
      <c r="A606" s="344"/>
      <c r="B606" s="344"/>
      <c r="C606" s="344"/>
      <c r="D606" s="344"/>
      <c r="E606" s="345"/>
      <c r="F606" s="346"/>
      <c r="G606" s="344"/>
      <c r="H606" s="11"/>
      <c r="I606" s="346"/>
      <c r="J606" s="410"/>
      <c r="K606" s="410"/>
      <c r="L606" s="410"/>
    </row>
    <row r="607" spans="1:12">
      <c r="A607" s="344"/>
      <c r="B607" s="344"/>
      <c r="C607" s="344"/>
      <c r="D607" s="344"/>
      <c r="E607" s="345"/>
      <c r="F607" s="346"/>
      <c r="G607" s="344"/>
      <c r="H607" s="11"/>
      <c r="I607" s="346"/>
      <c r="J607" s="410"/>
      <c r="K607" s="410"/>
      <c r="L607" s="410"/>
    </row>
    <row r="608" spans="1:12">
      <c r="A608" s="344"/>
      <c r="B608" s="344"/>
      <c r="C608" s="344"/>
      <c r="D608" s="344"/>
      <c r="E608" s="345"/>
      <c r="F608" s="346"/>
      <c r="G608" s="344"/>
      <c r="H608" s="11"/>
      <c r="I608" s="346"/>
      <c r="J608" s="410"/>
      <c r="K608" s="410"/>
      <c r="L608" s="410"/>
    </row>
    <row r="609" spans="1:12">
      <c r="A609" s="344"/>
      <c r="B609" s="344"/>
      <c r="C609" s="344"/>
      <c r="D609" s="344"/>
      <c r="E609" s="345"/>
      <c r="F609" s="346"/>
      <c r="G609" s="344"/>
      <c r="H609" s="11"/>
      <c r="I609" s="346"/>
      <c r="J609" s="410"/>
      <c r="K609" s="410"/>
      <c r="L609" s="410"/>
    </row>
    <row r="610" spans="1:12">
      <c r="A610" s="344"/>
      <c r="B610" s="344"/>
      <c r="C610" s="344"/>
      <c r="D610" s="344"/>
      <c r="E610" s="345"/>
      <c r="F610" s="346"/>
      <c r="G610" s="344"/>
      <c r="H610" s="11"/>
      <c r="I610" s="346"/>
      <c r="J610" s="410"/>
      <c r="K610" s="410"/>
      <c r="L610" s="410"/>
    </row>
    <row r="611" spans="1:12">
      <c r="A611" s="344"/>
      <c r="B611" s="344"/>
      <c r="C611" s="344"/>
      <c r="D611" s="344"/>
      <c r="E611" s="345"/>
      <c r="F611" s="346"/>
      <c r="G611" s="344"/>
      <c r="H611" s="11"/>
      <c r="I611" s="346"/>
      <c r="J611" s="410"/>
      <c r="K611" s="410"/>
      <c r="L611" s="410"/>
    </row>
    <row r="612" spans="1:12">
      <c r="A612" s="344"/>
      <c r="B612" s="344"/>
      <c r="C612" s="344"/>
      <c r="D612" s="344"/>
      <c r="E612" s="345"/>
      <c r="F612" s="346"/>
      <c r="G612" s="344"/>
      <c r="H612" s="11"/>
      <c r="I612" s="346"/>
      <c r="J612" s="410"/>
      <c r="K612" s="410"/>
      <c r="L612" s="410"/>
    </row>
    <row r="613" spans="1:12">
      <c r="A613" s="344"/>
      <c r="B613" s="344"/>
      <c r="C613" s="344"/>
      <c r="D613" s="344"/>
      <c r="E613" s="345"/>
      <c r="F613" s="346"/>
      <c r="G613" s="344"/>
      <c r="H613" s="11"/>
      <c r="I613" s="346"/>
      <c r="J613" s="410"/>
      <c r="K613" s="410"/>
      <c r="L613" s="410"/>
    </row>
    <row r="614" spans="1:12">
      <c r="A614" s="344"/>
      <c r="B614" s="344"/>
      <c r="C614" s="344"/>
      <c r="D614" s="344"/>
      <c r="E614" s="345"/>
      <c r="F614" s="346"/>
      <c r="G614" s="344"/>
      <c r="H614" s="11"/>
      <c r="I614" s="346"/>
      <c r="J614" s="410"/>
      <c r="K614" s="410"/>
      <c r="L614" s="410"/>
    </row>
    <row r="615" spans="1:12">
      <c r="A615" s="344"/>
      <c r="B615" s="344"/>
      <c r="C615" s="344"/>
      <c r="D615" s="344"/>
      <c r="E615" s="345"/>
      <c r="F615" s="346"/>
      <c r="G615" s="344"/>
      <c r="H615" s="11"/>
      <c r="I615" s="346"/>
      <c r="J615" s="410"/>
      <c r="K615" s="410"/>
      <c r="L615" s="410"/>
    </row>
    <row r="616" spans="1:12">
      <c r="A616" s="344"/>
      <c r="B616" s="344"/>
      <c r="C616" s="344"/>
      <c r="D616" s="344"/>
      <c r="E616" s="345"/>
      <c r="F616" s="346"/>
      <c r="G616" s="344"/>
      <c r="H616" s="11"/>
      <c r="I616" s="346"/>
      <c r="J616" s="410"/>
      <c r="K616" s="410"/>
      <c r="L616" s="410"/>
    </row>
    <row r="617" spans="1:12">
      <c r="A617" s="344"/>
      <c r="B617" s="344"/>
      <c r="C617" s="344"/>
      <c r="D617" s="344"/>
      <c r="E617" s="345"/>
      <c r="F617" s="346"/>
      <c r="G617" s="344"/>
      <c r="H617" s="11"/>
      <c r="I617" s="346"/>
      <c r="J617" s="410"/>
      <c r="K617" s="410"/>
      <c r="L617" s="410"/>
    </row>
    <row r="618" spans="1:12">
      <c r="A618" s="344"/>
      <c r="B618" s="344"/>
      <c r="C618" s="344"/>
      <c r="D618" s="344"/>
      <c r="E618" s="345"/>
      <c r="F618" s="346"/>
      <c r="G618" s="344"/>
      <c r="H618" s="11"/>
      <c r="I618" s="346"/>
      <c r="J618" s="410"/>
      <c r="K618" s="410"/>
      <c r="L618" s="410"/>
    </row>
    <row r="619" spans="1:12">
      <c r="A619" s="344"/>
      <c r="B619" s="344"/>
      <c r="C619" s="344"/>
      <c r="D619" s="344"/>
      <c r="E619" s="345"/>
      <c r="F619" s="346"/>
      <c r="G619" s="344"/>
      <c r="H619" s="11"/>
      <c r="I619" s="346"/>
      <c r="J619" s="410"/>
      <c r="K619" s="410"/>
      <c r="L619" s="410"/>
    </row>
    <row r="620" spans="1:12">
      <c r="A620" s="344"/>
      <c r="B620" s="344"/>
      <c r="C620" s="344"/>
      <c r="D620" s="344"/>
      <c r="E620" s="345"/>
      <c r="F620" s="346"/>
      <c r="G620" s="344"/>
      <c r="H620" s="11"/>
      <c r="I620" s="346"/>
      <c r="J620" s="410"/>
      <c r="K620" s="410"/>
      <c r="L620" s="410"/>
    </row>
    <row r="621" spans="1:12">
      <c r="A621" s="344"/>
      <c r="B621" s="344"/>
      <c r="C621" s="344"/>
      <c r="D621" s="344"/>
      <c r="E621" s="345"/>
      <c r="F621" s="346"/>
      <c r="G621" s="344"/>
      <c r="H621" s="11"/>
      <c r="I621" s="346"/>
      <c r="J621" s="410"/>
      <c r="K621" s="410"/>
      <c r="L621" s="410"/>
    </row>
    <row r="622" spans="1:12">
      <c r="A622" s="344"/>
      <c r="B622" s="344"/>
      <c r="C622" s="344"/>
      <c r="D622" s="344"/>
      <c r="E622" s="345"/>
      <c r="F622" s="346"/>
      <c r="G622" s="344"/>
      <c r="H622" s="11"/>
      <c r="I622" s="346"/>
      <c r="J622" s="410"/>
      <c r="K622" s="410"/>
      <c r="L622" s="410"/>
    </row>
    <row r="623" spans="1:12">
      <c r="A623" s="344"/>
      <c r="B623" s="344"/>
      <c r="C623" s="344"/>
      <c r="D623" s="344"/>
      <c r="E623" s="345"/>
      <c r="F623" s="346"/>
      <c r="G623" s="344"/>
      <c r="H623" s="11"/>
      <c r="I623" s="346"/>
      <c r="J623" s="410"/>
      <c r="K623" s="410"/>
      <c r="L623" s="410"/>
    </row>
    <row r="624" spans="1:12">
      <c r="A624" s="344"/>
      <c r="B624" s="344"/>
      <c r="C624" s="344"/>
      <c r="D624" s="344"/>
      <c r="E624" s="345"/>
      <c r="F624" s="346"/>
      <c r="G624" s="344"/>
      <c r="H624" s="11"/>
      <c r="I624" s="346"/>
      <c r="J624" s="410"/>
      <c r="K624" s="410"/>
      <c r="L624" s="410"/>
    </row>
    <row r="625" spans="1:12">
      <c r="A625" s="344"/>
      <c r="B625" s="344"/>
      <c r="C625" s="344"/>
      <c r="D625" s="344"/>
      <c r="E625" s="345"/>
      <c r="F625" s="346"/>
      <c r="G625" s="344"/>
      <c r="H625" s="11"/>
      <c r="I625" s="346"/>
      <c r="J625" s="410"/>
      <c r="K625" s="410"/>
      <c r="L625" s="410"/>
    </row>
    <row r="626" spans="1:12">
      <c r="A626" s="344"/>
      <c r="B626" s="344"/>
      <c r="C626" s="344"/>
      <c r="D626" s="344"/>
      <c r="E626" s="345"/>
      <c r="F626" s="346"/>
      <c r="G626" s="344"/>
      <c r="H626" s="11"/>
      <c r="I626" s="346"/>
      <c r="J626" s="410"/>
      <c r="K626" s="410"/>
      <c r="L626" s="410"/>
    </row>
    <row r="627" spans="1:12">
      <c r="A627" s="344"/>
      <c r="B627" s="344"/>
      <c r="C627" s="344"/>
      <c r="D627" s="344"/>
      <c r="E627" s="345"/>
      <c r="F627" s="346"/>
      <c r="G627" s="344"/>
      <c r="H627" s="11"/>
      <c r="I627" s="346"/>
      <c r="J627" s="410"/>
      <c r="K627" s="410"/>
      <c r="L627" s="410"/>
    </row>
    <row r="628" spans="1:12">
      <c r="A628" s="344"/>
      <c r="B628" s="344"/>
      <c r="C628" s="344"/>
      <c r="D628" s="344"/>
      <c r="E628" s="345"/>
      <c r="F628" s="346"/>
      <c r="G628" s="344"/>
      <c r="H628" s="11"/>
      <c r="I628" s="346"/>
      <c r="J628" s="410"/>
      <c r="K628" s="410"/>
      <c r="L628" s="410"/>
    </row>
    <row r="629" spans="1:12">
      <c r="A629" s="344"/>
      <c r="B629" s="344"/>
      <c r="C629" s="344"/>
      <c r="D629" s="344"/>
      <c r="E629" s="345"/>
      <c r="F629" s="346"/>
      <c r="G629" s="344"/>
      <c r="H629" s="11"/>
      <c r="I629" s="346"/>
      <c r="J629" s="410"/>
      <c r="K629" s="410"/>
      <c r="L629" s="410"/>
    </row>
    <row r="630" spans="1:12">
      <c r="A630" s="344"/>
      <c r="B630" s="344"/>
      <c r="C630" s="344"/>
      <c r="D630" s="344"/>
      <c r="E630" s="345"/>
      <c r="F630" s="346"/>
      <c r="G630" s="344"/>
      <c r="H630" s="11"/>
      <c r="I630" s="346"/>
      <c r="J630" s="410"/>
      <c r="K630" s="410"/>
      <c r="L630" s="410"/>
    </row>
    <row r="631" spans="1:12">
      <c r="A631" s="344"/>
      <c r="B631" s="344"/>
      <c r="C631" s="344"/>
      <c r="D631" s="344"/>
      <c r="E631" s="345"/>
      <c r="F631" s="346"/>
      <c r="G631" s="344"/>
      <c r="H631" s="11"/>
      <c r="I631" s="346"/>
      <c r="J631" s="410"/>
      <c r="K631" s="410"/>
      <c r="L631" s="410"/>
    </row>
    <row r="632" spans="1:12">
      <c r="A632" s="344"/>
      <c r="B632" s="344"/>
      <c r="C632" s="344"/>
      <c r="D632" s="344"/>
      <c r="E632" s="345"/>
      <c r="F632" s="346"/>
      <c r="G632" s="344"/>
      <c r="H632" s="11"/>
      <c r="I632" s="346"/>
      <c r="J632" s="410"/>
      <c r="K632" s="410"/>
      <c r="L632" s="410"/>
    </row>
    <row r="633" spans="1:12">
      <c r="A633" s="344"/>
      <c r="B633" s="344"/>
      <c r="C633" s="344"/>
      <c r="D633" s="344"/>
      <c r="E633" s="345"/>
      <c r="F633" s="346"/>
      <c r="G633" s="344"/>
      <c r="H633" s="11"/>
      <c r="I633" s="346"/>
      <c r="J633" s="410"/>
      <c r="K633" s="410"/>
      <c r="L633" s="410"/>
    </row>
    <row r="634" spans="1:12">
      <c r="A634" s="344"/>
      <c r="B634" s="344"/>
      <c r="C634" s="344"/>
      <c r="D634" s="344"/>
      <c r="E634" s="345"/>
      <c r="F634" s="346"/>
      <c r="G634" s="344"/>
      <c r="H634" s="11"/>
      <c r="I634" s="346"/>
      <c r="J634" s="410"/>
      <c r="K634" s="410"/>
      <c r="L634" s="410"/>
    </row>
    <row r="635" spans="1:12">
      <c r="A635" s="344"/>
      <c r="B635" s="344"/>
      <c r="C635" s="344"/>
      <c r="D635" s="344"/>
      <c r="E635" s="345"/>
      <c r="F635" s="346"/>
      <c r="G635" s="344"/>
      <c r="H635" s="11"/>
      <c r="I635" s="346"/>
      <c r="J635" s="410"/>
      <c r="K635" s="410"/>
      <c r="L635" s="410"/>
    </row>
    <row r="636" spans="1:12">
      <c r="A636" s="344"/>
      <c r="B636" s="344"/>
      <c r="C636" s="344"/>
      <c r="D636" s="344"/>
      <c r="E636" s="345"/>
      <c r="F636" s="346"/>
      <c r="G636" s="344"/>
      <c r="H636" s="11"/>
      <c r="I636" s="346"/>
      <c r="J636" s="410"/>
      <c r="K636" s="410"/>
      <c r="L636" s="410"/>
    </row>
    <row r="637" spans="1:12">
      <c r="A637" s="344"/>
      <c r="B637" s="344"/>
      <c r="C637" s="344"/>
      <c r="D637" s="344"/>
      <c r="E637" s="345"/>
      <c r="F637" s="346"/>
      <c r="G637" s="344"/>
      <c r="H637" s="11"/>
      <c r="I637" s="346"/>
      <c r="J637" s="410"/>
      <c r="K637" s="410"/>
      <c r="L637" s="410"/>
    </row>
    <row r="638" spans="1:12">
      <c r="A638" s="344"/>
      <c r="B638" s="344"/>
      <c r="C638" s="344"/>
      <c r="D638" s="344"/>
      <c r="E638" s="345"/>
      <c r="F638" s="346"/>
      <c r="G638" s="344"/>
      <c r="H638" s="11"/>
      <c r="I638" s="346"/>
      <c r="J638" s="410"/>
      <c r="K638" s="410"/>
      <c r="L638" s="410"/>
    </row>
    <row r="639" spans="1:12">
      <c r="A639" s="344"/>
      <c r="B639" s="344"/>
      <c r="C639" s="344"/>
      <c r="D639" s="344"/>
      <c r="E639" s="345"/>
      <c r="F639" s="346"/>
      <c r="G639" s="344"/>
      <c r="H639" s="11"/>
      <c r="I639" s="346"/>
      <c r="J639" s="410"/>
      <c r="K639" s="410"/>
      <c r="L639" s="410"/>
    </row>
    <row r="640" spans="1:12">
      <c r="A640" s="344"/>
      <c r="B640" s="344"/>
      <c r="C640" s="344"/>
      <c r="D640" s="344"/>
      <c r="E640" s="345"/>
      <c r="F640" s="346"/>
      <c r="G640" s="344"/>
      <c r="H640" s="11"/>
      <c r="I640" s="346"/>
      <c r="J640" s="410"/>
      <c r="K640" s="410"/>
      <c r="L640" s="410"/>
    </row>
    <row r="641" spans="1:12">
      <c r="A641" s="344"/>
      <c r="B641" s="344"/>
      <c r="C641" s="344"/>
      <c r="D641" s="344"/>
      <c r="E641" s="345"/>
      <c r="F641" s="346"/>
      <c r="G641" s="344"/>
      <c r="H641" s="11"/>
      <c r="I641" s="346"/>
      <c r="J641" s="410"/>
      <c r="K641" s="410"/>
      <c r="L641" s="410"/>
    </row>
    <row r="642" spans="1:12">
      <c r="A642" s="344"/>
      <c r="B642" s="344"/>
      <c r="C642" s="344"/>
      <c r="D642" s="344"/>
      <c r="E642" s="345"/>
      <c r="F642" s="346"/>
      <c r="G642" s="344"/>
      <c r="H642" s="11"/>
      <c r="I642" s="346"/>
      <c r="J642" s="410"/>
      <c r="K642" s="410"/>
      <c r="L642" s="410"/>
    </row>
    <row r="643" spans="1:12">
      <c r="A643" s="344"/>
      <c r="B643" s="344"/>
      <c r="C643" s="344"/>
      <c r="D643" s="344"/>
      <c r="E643" s="345"/>
      <c r="F643" s="346"/>
      <c r="G643" s="344"/>
      <c r="H643" s="11"/>
      <c r="I643" s="346"/>
      <c r="J643" s="410"/>
      <c r="K643" s="410"/>
      <c r="L643" s="410"/>
    </row>
    <row r="644" spans="1:12">
      <c r="A644" s="344"/>
      <c r="B644" s="344"/>
      <c r="C644" s="344"/>
      <c r="D644" s="344"/>
      <c r="E644" s="345"/>
      <c r="F644" s="346"/>
      <c r="G644" s="344"/>
      <c r="H644" s="11"/>
      <c r="I644" s="346"/>
      <c r="J644" s="410"/>
      <c r="K644" s="410"/>
      <c r="L644" s="410"/>
    </row>
    <row r="645" spans="1:12">
      <c r="A645" s="344"/>
      <c r="B645" s="344"/>
      <c r="C645" s="344"/>
      <c r="D645" s="344"/>
      <c r="E645" s="345"/>
      <c r="F645" s="346"/>
      <c r="G645" s="344"/>
      <c r="H645" s="11"/>
      <c r="I645" s="346"/>
      <c r="J645" s="410"/>
      <c r="K645" s="410"/>
      <c r="L645" s="410"/>
    </row>
    <row r="646" spans="1:12">
      <c r="A646" s="344"/>
      <c r="B646" s="344"/>
      <c r="C646" s="344"/>
      <c r="D646" s="344"/>
      <c r="E646" s="345"/>
      <c r="F646" s="346"/>
      <c r="G646" s="344"/>
      <c r="H646" s="11"/>
      <c r="I646" s="346"/>
      <c r="J646" s="410"/>
      <c r="K646" s="410"/>
      <c r="L646" s="410"/>
    </row>
    <row r="647" spans="1:12">
      <c r="A647" s="344"/>
      <c r="B647" s="344"/>
      <c r="C647" s="344"/>
      <c r="D647" s="344"/>
      <c r="E647" s="345"/>
      <c r="F647" s="346"/>
      <c r="G647" s="344"/>
      <c r="H647" s="11"/>
      <c r="I647" s="346"/>
      <c r="J647" s="410"/>
      <c r="K647" s="410"/>
      <c r="L647" s="410"/>
    </row>
    <row r="648" spans="1:12">
      <c r="A648" s="344"/>
      <c r="B648" s="344"/>
      <c r="C648" s="344"/>
      <c r="D648" s="344"/>
      <c r="E648" s="345"/>
      <c r="F648" s="346"/>
      <c r="G648" s="344"/>
      <c r="H648" s="11"/>
      <c r="I648" s="346"/>
      <c r="J648" s="410"/>
      <c r="K648" s="410"/>
      <c r="L648" s="410"/>
    </row>
    <row r="649" spans="1:12">
      <c r="A649" s="344"/>
      <c r="B649" s="344"/>
      <c r="C649" s="344"/>
      <c r="D649" s="344"/>
      <c r="E649" s="345"/>
      <c r="F649" s="346"/>
      <c r="G649" s="344"/>
      <c r="H649" s="11"/>
      <c r="I649" s="346"/>
      <c r="J649" s="410"/>
      <c r="K649" s="410"/>
      <c r="L649" s="410"/>
    </row>
    <row r="650" spans="1:12">
      <c r="A650" s="344"/>
      <c r="B650" s="344"/>
      <c r="C650" s="344"/>
      <c r="D650" s="344"/>
      <c r="E650" s="345"/>
      <c r="F650" s="346"/>
      <c r="G650" s="344"/>
      <c r="H650" s="11"/>
      <c r="I650" s="346"/>
      <c r="J650" s="410"/>
      <c r="K650" s="410"/>
      <c r="L650" s="410"/>
    </row>
    <row r="651" spans="1:12">
      <c r="A651" s="344"/>
      <c r="B651" s="344"/>
      <c r="C651" s="344"/>
      <c r="D651" s="344"/>
      <c r="E651" s="345"/>
      <c r="F651" s="346"/>
      <c r="G651" s="344"/>
      <c r="H651" s="11"/>
      <c r="I651" s="346"/>
      <c r="J651" s="410"/>
      <c r="K651" s="410"/>
      <c r="L651" s="410"/>
    </row>
    <row r="652" spans="1:12">
      <c r="A652" s="344"/>
      <c r="B652" s="344"/>
      <c r="C652" s="344"/>
      <c r="D652" s="344"/>
      <c r="E652" s="345"/>
      <c r="F652" s="346"/>
      <c r="G652" s="344"/>
      <c r="H652" s="11"/>
      <c r="I652" s="346"/>
      <c r="J652" s="410"/>
      <c r="K652" s="410"/>
      <c r="L652" s="410"/>
    </row>
    <row r="653" spans="1:12">
      <c r="A653" s="344"/>
      <c r="B653" s="344"/>
      <c r="C653" s="344"/>
      <c r="D653" s="344"/>
      <c r="E653" s="345"/>
      <c r="F653" s="346"/>
      <c r="G653" s="344"/>
      <c r="H653" s="11"/>
      <c r="I653" s="346"/>
      <c r="J653" s="410"/>
      <c r="K653" s="410"/>
      <c r="L653" s="410"/>
    </row>
    <row r="654" spans="1:12">
      <c r="A654" s="344"/>
      <c r="B654" s="344"/>
      <c r="C654" s="344"/>
      <c r="D654" s="344"/>
      <c r="E654" s="345"/>
      <c r="F654" s="346"/>
      <c r="G654" s="344"/>
      <c r="H654" s="11"/>
      <c r="I654" s="346"/>
      <c r="J654" s="410"/>
      <c r="K654" s="410"/>
      <c r="L654" s="410"/>
    </row>
    <row r="655" spans="1:12">
      <c r="A655" s="344"/>
      <c r="B655" s="344"/>
      <c r="C655" s="344"/>
      <c r="D655" s="344"/>
      <c r="E655" s="345"/>
      <c r="F655" s="346"/>
      <c r="G655" s="344"/>
      <c r="H655" s="11"/>
      <c r="I655" s="346"/>
      <c r="J655" s="410"/>
      <c r="K655" s="410"/>
      <c r="L655" s="410"/>
    </row>
    <row r="656" spans="1:12">
      <c r="A656" s="344"/>
      <c r="B656" s="344"/>
      <c r="C656" s="344"/>
      <c r="D656" s="344"/>
      <c r="E656" s="345"/>
      <c r="F656" s="346"/>
      <c r="G656" s="344"/>
      <c r="H656" s="11"/>
      <c r="I656" s="346"/>
      <c r="J656" s="410"/>
      <c r="K656" s="410"/>
      <c r="L656" s="410"/>
    </row>
    <row r="657" spans="1:12">
      <c r="A657" s="344"/>
      <c r="B657" s="344"/>
      <c r="C657" s="344"/>
      <c r="D657" s="344"/>
      <c r="E657" s="345"/>
      <c r="F657" s="346"/>
      <c r="G657" s="344"/>
      <c r="H657" s="11"/>
      <c r="I657" s="346"/>
      <c r="J657" s="410"/>
      <c r="K657" s="410"/>
      <c r="L657" s="410"/>
    </row>
    <row r="658" spans="1:12">
      <c r="A658" s="344"/>
      <c r="B658" s="344"/>
      <c r="C658" s="344"/>
      <c r="D658" s="344"/>
      <c r="E658" s="345"/>
      <c r="F658" s="346"/>
      <c r="G658" s="344"/>
      <c r="H658" s="11"/>
      <c r="I658" s="346"/>
      <c r="J658" s="410"/>
      <c r="K658" s="410"/>
      <c r="L658" s="410"/>
    </row>
    <row r="659" spans="1:12">
      <c r="A659" s="344"/>
      <c r="B659" s="344"/>
      <c r="C659" s="344"/>
      <c r="D659" s="344"/>
      <c r="E659" s="345"/>
      <c r="F659" s="346"/>
      <c r="G659" s="344"/>
      <c r="H659" s="11"/>
      <c r="I659" s="346"/>
      <c r="J659" s="410"/>
      <c r="K659" s="410"/>
      <c r="L659" s="410"/>
    </row>
    <row r="660" spans="1:12">
      <c r="A660" s="344"/>
      <c r="B660" s="344"/>
      <c r="C660" s="344"/>
      <c r="D660" s="344"/>
      <c r="E660" s="345"/>
      <c r="F660" s="346"/>
      <c r="G660" s="344"/>
      <c r="H660" s="11"/>
      <c r="I660" s="346"/>
      <c r="J660" s="410"/>
      <c r="K660" s="410"/>
      <c r="L660" s="410"/>
    </row>
    <row r="661" spans="1:12">
      <c r="A661" s="344"/>
      <c r="B661" s="344"/>
      <c r="C661" s="344"/>
      <c r="D661" s="344"/>
      <c r="E661" s="345"/>
      <c r="F661" s="346"/>
      <c r="G661" s="344"/>
      <c r="H661" s="11"/>
      <c r="I661" s="346"/>
      <c r="J661" s="410"/>
      <c r="K661" s="410"/>
      <c r="L661" s="410"/>
    </row>
    <row r="662" spans="1:12">
      <c r="A662" s="344"/>
      <c r="B662" s="344"/>
      <c r="C662" s="344"/>
      <c r="D662" s="344"/>
      <c r="E662" s="345"/>
      <c r="F662" s="346"/>
      <c r="G662" s="344"/>
      <c r="H662" s="11"/>
      <c r="I662" s="346"/>
      <c r="J662" s="410"/>
      <c r="K662" s="410"/>
      <c r="L662" s="410"/>
    </row>
    <row r="663" spans="1:12">
      <c r="A663" s="344"/>
      <c r="B663" s="344"/>
      <c r="C663" s="344"/>
      <c r="D663" s="344"/>
      <c r="E663" s="345"/>
      <c r="F663" s="346"/>
      <c r="G663" s="344"/>
      <c r="H663" s="11"/>
      <c r="I663" s="346"/>
      <c r="J663" s="410"/>
      <c r="K663" s="410"/>
      <c r="L663" s="410"/>
    </row>
    <row r="664" spans="1:12">
      <c r="A664" s="344"/>
      <c r="B664" s="344"/>
      <c r="C664" s="344"/>
      <c r="D664" s="344"/>
      <c r="E664" s="345"/>
      <c r="F664" s="346"/>
      <c r="G664" s="344"/>
      <c r="H664" s="11"/>
      <c r="I664" s="346"/>
      <c r="J664" s="410"/>
      <c r="K664" s="410"/>
      <c r="L664" s="410"/>
    </row>
    <row r="665" spans="1:12">
      <c r="A665" s="344"/>
      <c r="B665" s="344"/>
      <c r="C665" s="344"/>
      <c r="D665" s="344"/>
      <c r="E665" s="345"/>
      <c r="F665" s="346"/>
      <c r="G665" s="344"/>
      <c r="H665" s="11"/>
      <c r="I665" s="346"/>
      <c r="J665" s="410"/>
      <c r="K665" s="410"/>
      <c r="L665" s="410"/>
    </row>
    <row r="666" spans="1:12">
      <c r="A666" s="344"/>
      <c r="B666" s="344"/>
      <c r="C666" s="344"/>
      <c r="D666" s="344"/>
      <c r="E666" s="345"/>
      <c r="F666" s="346"/>
      <c r="G666" s="344"/>
      <c r="H666" s="11"/>
      <c r="I666" s="346"/>
      <c r="J666" s="410"/>
      <c r="K666" s="410"/>
      <c r="L666" s="410"/>
    </row>
    <row r="667" spans="1:12">
      <c r="A667" s="344"/>
      <c r="B667" s="344"/>
      <c r="C667" s="344"/>
      <c r="D667" s="344"/>
      <c r="E667" s="345"/>
      <c r="F667" s="346"/>
      <c r="G667" s="344"/>
      <c r="H667" s="11"/>
      <c r="I667" s="346"/>
      <c r="J667" s="410"/>
      <c r="K667" s="410"/>
      <c r="L667" s="410"/>
    </row>
    <row r="668" spans="1:12">
      <c r="A668" s="344"/>
      <c r="B668" s="344"/>
      <c r="C668" s="344"/>
      <c r="D668" s="344"/>
      <c r="E668" s="345"/>
      <c r="F668" s="346"/>
      <c r="G668" s="344"/>
      <c r="H668" s="11"/>
      <c r="I668" s="346"/>
      <c r="J668" s="410"/>
      <c r="K668" s="410"/>
      <c r="L668" s="410"/>
    </row>
    <row r="669" spans="1:12">
      <c r="A669" s="344"/>
      <c r="B669" s="344"/>
      <c r="C669" s="344"/>
      <c r="D669" s="344"/>
      <c r="E669" s="345"/>
      <c r="F669" s="346"/>
      <c r="G669" s="344"/>
      <c r="H669" s="11"/>
      <c r="I669" s="346"/>
      <c r="J669" s="410"/>
      <c r="K669" s="410"/>
      <c r="L669" s="410"/>
    </row>
    <row r="670" spans="1:12">
      <c r="A670" s="344"/>
      <c r="B670" s="344"/>
      <c r="C670" s="344"/>
      <c r="D670" s="344"/>
      <c r="E670" s="345"/>
      <c r="F670" s="346"/>
      <c r="G670" s="344"/>
      <c r="H670" s="11"/>
      <c r="I670" s="346"/>
      <c r="J670" s="410"/>
      <c r="K670" s="410"/>
      <c r="L670" s="410"/>
    </row>
    <row r="671" spans="1:12">
      <c r="A671" s="344"/>
      <c r="B671" s="344"/>
      <c r="C671" s="344"/>
      <c r="D671" s="344"/>
      <c r="E671" s="345"/>
      <c r="F671" s="346"/>
      <c r="G671" s="344"/>
      <c r="H671" s="11"/>
      <c r="I671" s="346"/>
      <c r="J671" s="410"/>
      <c r="K671" s="410"/>
      <c r="L671" s="410"/>
    </row>
    <row r="672" spans="1:12">
      <c r="A672" s="344"/>
      <c r="B672" s="344"/>
      <c r="C672" s="344"/>
      <c r="D672" s="344"/>
      <c r="E672" s="345"/>
      <c r="F672" s="346"/>
      <c r="G672" s="344"/>
      <c r="H672" s="11"/>
      <c r="I672" s="346"/>
      <c r="J672" s="410"/>
      <c r="K672" s="410"/>
      <c r="L672" s="410"/>
    </row>
    <row r="673" spans="1:12">
      <c r="A673" s="344"/>
      <c r="B673" s="344"/>
      <c r="C673" s="344"/>
      <c r="D673" s="344"/>
      <c r="E673" s="345"/>
      <c r="F673" s="346"/>
      <c r="G673" s="344"/>
      <c r="H673" s="11"/>
      <c r="I673" s="346"/>
      <c r="J673" s="410"/>
      <c r="K673" s="410"/>
      <c r="L673" s="410"/>
    </row>
    <row r="674" spans="1:12">
      <c r="A674" s="344"/>
      <c r="B674" s="344"/>
      <c r="C674" s="344"/>
      <c r="D674" s="344"/>
      <c r="E674" s="345"/>
      <c r="F674" s="346"/>
      <c r="G674" s="344"/>
      <c r="H674" s="11"/>
      <c r="I674" s="346"/>
      <c r="J674" s="410"/>
      <c r="K674" s="410"/>
      <c r="L674" s="410"/>
    </row>
    <row r="675" spans="1:12">
      <c r="A675" s="344"/>
      <c r="B675" s="344"/>
      <c r="C675" s="344"/>
      <c r="D675" s="344"/>
      <c r="E675" s="345"/>
      <c r="F675" s="346"/>
      <c r="G675" s="344"/>
      <c r="H675" s="11"/>
      <c r="I675" s="346"/>
      <c r="J675" s="410"/>
      <c r="K675" s="410"/>
      <c r="L675" s="410"/>
    </row>
    <row r="676" spans="1:12">
      <c r="A676" s="344"/>
      <c r="B676" s="344"/>
      <c r="C676" s="344"/>
      <c r="D676" s="344"/>
      <c r="E676" s="345"/>
      <c r="F676" s="346"/>
      <c r="G676" s="344"/>
      <c r="H676" s="11"/>
      <c r="I676" s="346"/>
      <c r="J676" s="410"/>
      <c r="K676" s="410"/>
      <c r="L676" s="410"/>
    </row>
    <row r="677" spans="1:12">
      <c r="A677" s="344"/>
      <c r="B677" s="344"/>
      <c r="C677" s="344"/>
      <c r="D677" s="344"/>
      <c r="E677" s="345"/>
      <c r="F677" s="346"/>
      <c r="G677" s="344"/>
      <c r="H677" s="11"/>
      <c r="I677" s="346"/>
      <c r="J677" s="410"/>
      <c r="K677" s="410"/>
      <c r="L677" s="410"/>
    </row>
    <row r="678" spans="1:12">
      <c r="A678" s="344"/>
      <c r="B678" s="344"/>
      <c r="C678" s="344"/>
      <c r="D678" s="344"/>
      <c r="E678" s="345"/>
      <c r="F678" s="346"/>
      <c r="G678" s="344"/>
      <c r="H678" s="11"/>
      <c r="I678" s="346"/>
      <c r="J678" s="410"/>
      <c r="K678" s="410"/>
      <c r="L678" s="410"/>
    </row>
    <row r="679" spans="1:12">
      <c r="A679" s="344"/>
      <c r="B679" s="344"/>
      <c r="C679" s="344"/>
      <c r="D679" s="344"/>
      <c r="E679" s="345"/>
      <c r="F679" s="346"/>
      <c r="G679" s="344"/>
      <c r="H679" s="11"/>
      <c r="I679" s="346"/>
      <c r="J679" s="410"/>
      <c r="K679" s="410"/>
      <c r="L679" s="410"/>
    </row>
    <row r="680" spans="1:12">
      <c r="A680" s="344"/>
      <c r="B680" s="344"/>
      <c r="C680" s="344"/>
      <c r="D680" s="344"/>
      <c r="E680" s="345"/>
      <c r="F680" s="346"/>
      <c r="G680" s="344"/>
      <c r="H680" s="11"/>
      <c r="I680" s="346"/>
      <c r="J680" s="410"/>
      <c r="K680" s="410"/>
      <c r="L680" s="410"/>
    </row>
    <row r="681" spans="1:12">
      <c r="A681" s="344"/>
      <c r="B681" s="344"/>
      <c r="C681" s="344"/>
      <c r="D681" s="344"/>
      <c r="E681" s="345"/>
      <c r="F681" s="346"/>
      <c r="G681" s="344"/>
      <c r="H681" s="11"/>
      <c r="I681" s="346"/>
      <c r="J681" s="410"/>
      <c r="K681" s="410"/>
      <c r="L681" s="410"/>
    </row>
    <row r="682" spans="1:12">
      <c r="A682" s="344"/>
      <c r="B682" s="344"/>
      <c r="C682" s="344"/>
      <c r="D682" s="344"/>
      <c r="E682" s="345"/>
      <c r="F682" s="346"/>
      <c r="G682" s="344"/>
      <c r="H682" s="11"/>
      <c r="I682" s="346"/>
      <c r="J682" s="410"/>
      <c r="K682" s="410"/>
      <c r="L682" s="410"/>
    </row>
    <row r="683" spans="1:12">
      <c r="A683" s="344"/>
      <c r="B683" s="344"/>
      <c r="C683" s="344"/>
      <c r="D683" s="344"/>
      <c r="E683" s="345"/>
      <c r="F683" s="346"/>
      <c r="G683" s="344"/>
      <c r="H683" s="11"/>
      <c r="I683" s="346"/>
      <c r="J683" s="410"/>
      <c r="K683" s="410"/>
      <c r="L683" s="410"/>
    </row>
    <row r="684" spans="1:12">
      <c r="A684" s="344"/>
      <c r="B684" s="344"/>
      <c r="C684" s="344"/>
      <c r="D684" s="344"/>
      <c r="E684" s="345"/>
      <c r="F684" s="346"/>
      <c r="G684" s="344"/>
      <c r="H684" s="11"/>
      <c r="I684" s="346"/>
      <c r="J684" s="410"/>
      <c r="K684" s="410"/>
      <c r="L684" s="410"/>
    </row>
    <row r="685" spans="1:12">
      <c r="A685" s="344"/>
      <c r="B685" s="344"/>
      <c r="C685" s="344"/>
      <c r="D685" s="344"/>
      <c r="E685" s="345"/>
      <c r="F685" s="346"/>
      <c r="G685" s="344"/>
      <c r="H685" s="11"/>
      <c r="I685" s="346"/>
      <c r="J685" s="410"/>
      <c r="K685" s="410"/>
      <c r="L685" s="410"/>
    </row>
    <row r="686" spans="1:12">
      <c r="A686" s="344"/>
      <c r="B686" s="344"/>
      <c r="C686" s="344"/>
      <c r="D686" s="344"/>
      <c r="E686" s="345"/>
      <c r="F686" s="346"/>
      <c r="G686" s="344"/>
      <c r="H686" s="11"/>
      <c r="I686" s="346"/>
      <c r="J686" s="410"/>
      <c r="K686" s="410"/>
      <c r="L686" s="410"/>
    </row>
    <row r="687" spans="1:12">
      <c r="A687" s="344"/>
      <c r="B687" s="344"/>
      <c r="C687" s="344"/>
      <c r="D687" s="344"/>
      <c r="E687" s="345"/>
      <c r="F687" s="346"/>
      <c r="G687" s="344"/>
      <c r="H687" s="11"/>
      <c r="I687" s="346"/>
      <c r="J687" s="410"/>
      <c r="K687" s="410"/>
      <c r="L687" s="410"/>
    </row>
    <row r="688" spans="1:12">
      <c r="A688" s="344"/>
      <c r="B688" s="344"/>
      <c r="C688" s="344"/>
      <c r="D688" s="344"/>
      <c r="E688" s="345"/>
      <c r="F688" s="346"/>
      <c r="G688" s="344"/>
      <c r="H688" s="11"/>
      <c r="I688" s="346"/>
      <c r="J688" s="410"/>
      <c r="K688" s="410"/>
      <c r="L688" s="410"/>
    </row>
    <row r="689" spans="1:12">
      <c r="A689" s="344"/>
      <c r="B689" s="344"/>
      <c r="C689" s="344"/>
      <c r="D689" s="344"/>
      <c r="E689" s="345"/>
      <c r="F689" s="346"/>
      <c r="G689" s="344"/>
      <c r="H689" s="11"/>
      <c r="I689" s="346"/>
      <c r="J689" s="410"/>
      <c r="K689" s="410"/>
      <c r="L689" s="410"/>
    </row>
    <row r="690" spans="1:12">
      <c r="A690" s="344"/>
      <c r="B690" s="344"/>
      <c r="C690" s="344"/>
      <c r="D690" s="344"/>
      <c r="E690" s="345"/>
      <c r="F690" s="346"/>
      <c r="G690" s="344"/>
      <c r="H690" s="11"/>
      <c r="I690" s="346"/>
      <c r="J690" s="410"/>
      <c r="K690" s="410"/>
      <c r="L690" s="410"/>
    </row>
    <row r="691" spans="1:12">
      <c r="A691" s="344"/>
      <c r="B691" s="344"/>
      <c r="C691" s="344"/>
      <c r="D691" s="344"/>
      <c r="E691" s="345"/>
      <c r="F691" s="346"/>
      <c r="G691" s="344"/>
      <c r="H691" s="11"/>
      <c r="I691" s="346"/>
      <c r="J691" s="410"/>
      <c r="K691" s="410"/>
      <c r="L691" s="410"/>
    </row>
    <row r="692" spans="1:12">
      <c r="A692" s="344"/>
      <c r="B692" s="344"/>
      <c r="C692" s="344"/>
      <c r="D692" s="344"/>
      <c r="E692" s="345"/>
      <c r="F692" s="346"/>
      <c r="G692" s="344"/>
      <c r="H692" s="11"/>
      <c r="I692" s="346"/>
      <c r="J692" s="410"/>
      <c r="K692" s="410"/>
      <c r="L692" s="410"/>
    </row>
    <row r="693" spans="1:12">
      <c r="A693" s="344"/>
      <c r="B693" s="344"/>
      <c r="C693" s="344"/>
      <c r="D693" s="344"/>
      <c r="E693" s="345"/>
      <c r="F693" s="346"/>
      <c r="G693" s="344"/>
      <c r="H693" s="11"/>
      <c r="I693" s="346"/>
      <c r="J693" s="410"/>
      <c r="K693" s="410"/>
      <c r="L693" s="410"/>
    </row>
    <row r="694" spans="1:12">
      <c r="A694" s="344"/>
      <c r="B694" s="344"/>
      <c r="C694" s="344"/>
      <c r="D694" s="344"/>
      <c r="E694" s="345"/>
      <c r="F694" s="346"/>
      <c r="G694" s="344"/>
      <c r="H694" s="11"/>
      <c r="I694" s="346"/>
      <c r="J694" s="410"/>
      <c r="K694" s="410"/>
      <c r="L694" s="410"/>
    </row>
    <row r="695" spans="1:12">
      <c r="A695" s="344"/>
      <c r="B695" s="344"/>
      <c r="C695" s="344"/>
      <c r="D695" s="344"/>
      <c r="E695" s="345"/>
      <c r="F695" s="346"/>
      <c r="G695" s="344"/>
      <c r="H695" s="11"/>
      <c r="I695" s="346"/>
      <c r="J695" s="410"/>
      <c r="K695" s="410"/>
      <c r="L695" s="410"/>
    </row>
    <row r="696" spans="1:12">
      <c r="A696" s="344"/>
      <c r="B696" s="344"/>
      <c r="C696" s="344"/>
      <c r="D696" s="344"/>
      <c r="E696" s="345"/>
      <c r="F696" s="346"/>
      <c r="G696" s="344"/>
      <c r="H696" s="11"/>
      <c r="I696" s="346"/>
      <c r="J696" s="410"/>
      <c r="K696" s="410"/>
      <c r="L696" s="410"/>
    </row>
    <row r="697" spans="1:12">
      <c r="A697" s="344"/>
      <c r="B697" s="344"/>
      <c r="C697" s="344"/>
      <c r="D697" s="344"/>
      <c r="E697" s="345"/>
      <c r="F697" s="346"/>
      <c r="G697" s="344"/>
      <c r="H697" s="11"/>
      <c r="I697" s="346"/>
      <c r="J697" s="410"/>
      <c r="K697" s="410"/>
      <c r="L697" s="410"/>
    </row>
    <row r="698" spans="1:12">
      <c r="A698" s="344"/>
      <c r="B698" s="344"/>
      <c r="C698" s="344"/>
      <c r="D698" s="344"/>
      <c r="E698" s="345"/>
      <c r="F698" s="346"/>
      <c r="G698" s="344"/>
      <c r="H698" s="11"/>
      <c r="I698" s="346"/>
      <c r="J698" s="410"/>
      <c r="K698" s="410"/>
      <c r="L698" s="410"/>
    </row>
    <row r="699" spans="1:12">
      <c r="A699" s="344"/>
      <c r="B699" s="344"/>
      <c r="C699" s="344"/>
      <c r="D699" s="344"/>
      <c r="E699" s="345"/>
      <c r="F699" s="346"/>
      <c r="G699" s="344"/>
      <c r="H699" s="11"/>
      <c r="I699" s="346"/>
      <c r="J699" s="410"/>
      <c r="K699" s="410"/>
      <c r="L699" s="410"/>
    </row>
    <row r="700" spans="1:12">
      <c r="A700" s="344"/>
      <c r="B700" s="344"/>
      <c r="C700" s="344"/>
      <c r="D700" s="344"/>
      <c r="E700" s="345"/>
      <c r="F700" s="346"/>
      <c r="G700" s="344"/>
      <c r="H700" s="11"/>
      <c r="I700" s="346"/>
      <c r="J700" s="410"/>
      <c r="K700" s="410"/>
      <c r="L700" s="410"/>
    </row>
    <row r="701" spans="1:12">
      <c r="A701" s="344"/>
      <c r="B701" s="344"/>
      <c r="C701" s="344"/>
      <c r="D701" s="344"/>
      <c r="E701" s="345"/>
      <c r="F701" s="346"/>
      <c r="G701" s="344"/>
      <c r="H701" s="11"/>
      <c r="I701" s="346"/>
      <c r="J701" s="410"/>
      <c r="K701" s="410"/>
      <c r="L701" s="410"/>
    </row>
    <row r="702" spans="1:12">
      <c r="A702" s="344"/>
      <c r="B702" s="344"/>
      <c r="C702" s="344"/>
      <c r="D702" s="344"/>
      <c r="E702" s="345"/>
      <c r="F702" s="346"/>
      <c r="G702" s="344"/>
      <c r="H702" s="11"/>
      <c r="I702" s="346"/>
      <c r="J702" s="410"/>
      <c r="K702" s="410"/>
      <c r="L702" s="410"/>
    </row>
    <row r="703" spans="1:12">
      <c r="A703" s="344"/>
      <c r="B703" s="344"/>
      <c r="C703" s="344"/>
      <c r="D703" s="344"/>
      <c r="E703" s="345"/>
      <c r="F703" s="346"/>
      <c r="G703" s="344"/>
      <c r="H703" s="11"/>
      <c r="I703" s="346"/>
      <c r="J703" s="410"/>
      <c r="K703" s="410"/>
      <c r="L703" s="410"/>
    </row>
    <row r="704" spans="1:12">
      <c r="A704" s="344"/>
      <c r="B704" s="344"/>
      <c r="C704" s="344"/>
      <c r="D704" s="344"/>
      <c r="E704" s="345"/>
      <c r="F704" s="346"/>
      <c r="G704" s="344"/>
      <c r="H704" s="11"/>
      <c r="I704" s="346"/>
      <c r="J704" s="410"/>
      <c r="K704" s="410"/>
      <c r="L704" s="410"/>
    </row>
    <row r="705" spans="1:12">
      <c r="A705" s="344"/>
      <c r="B705" s="344"/>
      <c r="C705" s="344"/>
      <c r="D705" s="344"/>
      <c r="E705" s="345"/>
      <c r="F705" s="346"/>
      <c r="G705" s="344"/>
      <c r="H705" s="11"/>
      <c r="I705" s="346"/>
      <c r="J705" s="410"/>
      <c r="K705" s="410"/>
      <c r="L705" s="410"/>
    </row>
    <row r="706" spans="1:12">
      <c r="A706" s="344"/>
      <c r="B706" s="344"/>
      <c r="C706" s="344"/>
      <c r="D706" s="344"/>
      <c r="E706" s="345"/>
      <c r="F706" s="346"/>
      <c r="G706" s="344"/>
      <c r="H706" s="11"/>
      <c r="I706" s="346"/>
      <c r="J706" s="410"/>
      <c r="K706" s="410"/>
      <c r="L706" s="410"/>
    </row>
    <row r="707" spans="1:12">
      <c r="A707" s="344"/>
      <c r="B707" s="344"/>
      <c r="C707" s="344"/>
      <c r="D707" s="344"/>
      <c r="E707" s="345"/>
      <c r="F707" s="346"/>
      <c r="G707" s="344"/>
      <c r="H707" s="11"/>
      <c r="I707" s="346"/>
      <c r="J707" s="410"/>
      <c r="K707" s="410"/>
      <c r="L707" s="410"/>
    </row>
    <row r="708" spans="1:12">
      <c r="A708" s="344"/>
      <c r="B708" s="344"/>
      <c r="C708" s="344"/>
      <c r="D708" s="344"/>
      <c r="E708" s="345"/>
      <c r="F708" s="346"/>
      <c r="G708" s="344"/>
      <c r="H708" s="11"/>
      <c r="I708" s="346"/>
      <c r="J708" s="410"/>
      <c r="K708" s="410"/>
      <c r="L708" s="410"/>
    </row>
    <row r="709" spans="1:12">
      <c r="A709" s="344"/>
      <c r="B709" s="344"/>
      <c r="C709" s="344"/>
      <c r="D709" s="344"/>
      <c r="E709" s="345"/>
      <c r="F709" s="346"/>
      <c r="G709" s="344"/>
      <c r="H709" s="11"/>
      <c r="I709" s="346"/>
      <c r="J709" s="410"/>
      <c r="K709" s="410"/>
      <c r="L709" s="410"/>
    </row>
    <row r="710" spans="1:12">
      <c r="A710" s="344"/>
      <c r="B710" s="344"/>
      <c r="C710" s="344"/>
      <c r="D710" s="344"/>
      <c r="E710" s="345"/>
      <c r="F710" s="346"/>
      <c r="G710" s="344"/>
      <c r="H710" s="11"/>
      <c r="I710" s="346"/>
      <c r="J710" s="410"/>
      <c r="K710" s="410"/>
      <c r="L710" s="410"/>
    </row>
    <row r="711" spans="1:12">
      <c r="A711" s="344"/>
      <c r="B711" s="344"/>
      <c r="C711" s="344"/>
      <c r="D711" s="344"/>
      <c r="E711" s="345"/>
      <c r="F711" s="346"/>
      <c r="G711" s="344"/>
      <c r="H711" s="11"/>
      <c r="I711" s="346"/>
      <c r="J711" s="410"/>
      <c r="K711" s="410"/>
      <c r="L711" s="410"/>
    </row>
    <row r="712" spans="1:12">
      <c r="A712" s="344"/>
      <c r="B712" s="344"/>
      <c r="C712" s="344"/>
      <c r="D712" s="344"/>
      <c r="E712" s="345"/>
      <c r="F712" s="346"/>
      <c r="G712" s="344"/>
      <c r="H712" s="11"/>
      <c r="I712" s="346"/>
      <c r="J712" s="410"/>
      <c r="K712" s="410"/>
      <c r="L712" s="410"/>
    </row>
    <row r="713" spans="1:12">
      <c r="A713" s="344"/>
      <c r="B713" s="344"/>
      <c r="C713" s="344"/>
      <c r="D713" s="344"/>
      <c r="E713" s="345"/>
      <c r="F713" s="346"/>
      <c r="G713" s="344"/>
      <c r="H713" s="11"/>
      <c r="I713" s="346"/>
      <c r="J713" s="410"/>
      <c r="K713" s="410"/>
      <c r="L713" s="410"/>
    </row>
    <row r="714" spans="1:12">
      <c r="A714" s="344"/>
      <c r="B714" s="344"/>
      <c r="C714" s="344"/>
      <c r="D714" s="344"/>
      <c r="E714" s="345"/>
      <c r="F714" s="346"/>
      <c r="G714" s="344"/>
      <c r="H714" s="11"/>
      <c r="I714" s="346"/>
      <c r="J714" s="410"/>
      <c r="K714" s="410"/>
      <c r="L714" s="410"/>
    </row>
    <row r="715" spans="1:12">
      <c r="A715" s="344"/>
      <c r="B715" s="344"/>
      <c r="C715" s="344"/>
      <c r="D715" s="344"/>
      <c r="E715" s="345"/>
      <c r="F715" s="346"/>
      <c r="G715" s="344"/>
      <c r="H715" s="11"/>
      <c r="I715" s="346"/>
      <c r="J715" s="410"/>
      <c r="K715" s="410"/>
      <c r="L715" s="410"/>
    </row>
    <row r="716" spans="1:12">
      <c r="A716" s="344"/>
      <c r="B716" s="344"/>
      <c r="C716" s="344"/>
      <c r="D716" s="344"/>
      <c r="E716" s="345"/>
      <c r="F716" s="346"/>
      <c r="G716" s="344"/>
      <c r="H716" s="11"/>
      <c r="I716" s="346"/>
      <c r="J716" s="410"/>
      <c r="K716" s="410"/>
      <c r="L716" s="410"/>
    </row>
    <row r="717" spans="1:12">
      <c r="A717" s="344"/>
      <c r="B717" s="344"/>
      <c r="C717" s="344"/>
      <c r="D717" s="344"/>
      <c r="E717" s="345"/>
      <c r="F717" s="346"/>
      <c r="G717" s="344"/>
      <c r="H717" s="11"/>
      <c r="I717" s="346"/>
      <c r="J717" s="410"/>
      <c r="K717" s="410"/>
      <c r="L717" s="410"/>
    </row>
    <row r="718" spans="1:12">
      <c r="A718" s="344"/>
      <c r="B718" s="344"/>
      <c r="C718" s="344"/>
      <c r="D718" s="344"/>
      <c r="E718" s="345"/>
      <c r="F718" s="346"/>
      <c r="G718" s="344"/>
      <c r="H718" s="11"/>
      <c r="I718" s="346"/>
      <c r="J718" s="410"/>
      <c r="K718" s="410"/>
      <c r="L718" s="410"/>
    </row>
    <row r="719" spans="1:12">
      <c r="A719" s="344"/>
      <c r="B719" s="344"/>
      <c r="C719" s="344"/>
      <c r="D719" s="344"/>
      <c r="E719" s="345"/>
      <c r="F719" s="346"/>
      <c r="G719" s="344"/>
      <c r="H719" s="11"/>
      <c r="I719" s="346"/>
      <c r="J719" s="410"/>
      <c r="K719" s="410"/>
      <c r="L719" s="410"/>
    </row>
    <row r="720" spans="1:12">
      <c r="A720" s="344"/>
      <c r="B720" s="344"/>
      <c r="C720" s="344"/>
      <c r="D720" s="344"/>
      <c r="E720" s="345"/>
      <c r="F720" s="346"/>
      <c r="G720" s="344"/>
      <c r="H720" s="11"/>
      <c r="I720" s="346"/>
      <c r="J720" s="410"/>
      <c r="K720" s="410"/>
      <c r="L720" s="410"/>
    </row>
    <row r="721" spans="1:12">
      <c r="A721" s="344"/>
      <c r="B721" s="344"/>
      <c r="C721" s="344"/>
      <c r="D721" s="344"/>
      <c r="E721" s="345"/>
      <c r="F721" s="346"/>
      <c r="G721" s="344"/>
      <c r="H721" s="11"/>
      <c r="I721" s="346"/>
      <c r="J721" s="410"/>
      <c r="K721" s="410"/>
      <c r="L721" s="410"/>
    </row>
    <row r="722" spans="1:12">
      <c r="A722" s="344"/>
      <c r="B722" s="344"/>
      <c r="C722" s="344"/>
      <c r="D722" s="344"/>
      <c r="E722" s="345"/>
      <c r="F722" s="346"/>
      <c r="G722" s="344"/>
      <c r="H722" s="11"/>
      <c r="I722" s="346"/>
      <c r="J722" s="410"/>
      <c r="K722" s="410"/>
      <c r="L722" s="410"/>
    </row>
    <row r="723" spans="1:12">
      <c r="A723" s="344"/>
      <c r="B723" s="344"/>
      <c r="C723" s="344"/>
      <c r="D723" s="344"/>
      <c r="E723" s="345"/>
      <c r="F723" s="346"/>
      <c r="G723" s="344"/>
      <c r="H723" s="11"/>
      <c r="I723" s="346"/>
      <c r="J723" s="410"/>
      <c r="K723" s="410"/>
      <c r="L723" s="410"/>
    </row>
    <row r="724" spans="1:12">
      <c r="A724" s="344"/>
      <c r="B724" s="344"/>
      <c r="C724" s="344"/>
      <c r="D724" s="344"/>
      <c r="E724" s="345"/>
      <c r="F724" s="346"/>
      <c r="G724" s="344"/>
      <c r="H724" s="11"/>
      <c r="I724" s="346"/>
      <c r="J724" s="410"/>
      <c r="K724" s="410"/>
      <c r="L724" s="410"/>
    </row>
    <row r="725" spans="1:12">
      <c r="A725" s="344"/>
      <c r="B725" s="344"/>
      <c r="C725" s="344"/>
      <c r="D725" s="344"/>
      <c r="E725" s="345"/>
      <c r="F725" s="346"/>
      <c r="G725" s="344"/>
      <c r="H725" s="11"/>
      <c r="I725" s="346"/>
      <c r="J725" s="410"/>
      <c r="K725" s="410"/>
      <c r="L725" s="410"/>
    </row>
    <row r="726" spans="1:12">
      <c r="A726" s="344"/>
      <c r="B726" s="344"/>
      <c r="C726" s="344"/>
      <c r="D726" s="344"/>
      <c r="E726" s="345"/>
      <c r="F726" s="346"/>
      <c r="G726" s="344"/>
      <c r="H726" s="11"/>
      <c r="I726" s="346"/>
      <c r="J726" s="410"/>
      <c r="K726" s="410"/>
      <c r="L726" s="410"/>
    </row>
    <row r="727" spans="1:12">
      <c r="A727" s="344"/>
      <c r="B727" s="344"/>
      <c r="C727" s="344"/>
      <c r="D727" s="344"/>
      <c r="E727" s="345"/>
      <c r="F727" s="346"/>
      <c r="G727" s="344"/>
      <c r="H727" s="11"/>
      <c r="I727" s="346"/>
      <c r="J727" s="410"/>
      <c r="K727" s="410"/>
      <c r="L727" s="410"/>
    </row>
    <row r="728" spans="1:12">
      <c r="A728" s="344"/>
      <c r="B728" s="344"/>
      <c r="C728" s="344"/>
      <c r="D728" s="344"/>
      <c r="E728" s="345"/>
      <c r="F728" s="346"/>
      <c r="G728" s="344"/>
      <c r="H728" s="11"/>
      <c r="I728" s="346"/>
      <c r="J728" s="410"/>
      <c r="K728" s="410"/>
      <c r="L728" s="410"/>
    </row>
    <row r="729" spans="1:12">
      <c r="A729" s="344"/>
      <c r="B729" s="344"/>
      <c r="C729" s="344"/>
      <c r="D729" s="344"/>
      <c r="E729" s="345"/>
      <c r="F729" s="346"/>
      <c r="G729" s="344"/>
      <c r="H729" s="11"/>
      <c r="I729" s="346"/>
      <c r="J729" s="410"/>
      <c r="K729" s="410"/>
      <c r="L729" s="410"/>
    </row>
    <row r="730" spans="1:12">
      <c r="A730" s="344"/>
      <c r="B730" s="344"/>
      <c r="C730" s="344"/>
      <c r="D730" s="344"/>
      <c r="E730" s="345"/>
      <c r="F730" s="346"/>
      <c r="G730" s="344"/>
      <c r="H730" s="11"/>
      <c r="I730" s="346"/>
      <c r="J730" s="410"/>
      <c r="K730" s="410"/>
      <c r="L730" s="410"/>
    </row>
    <row r="731" spans="1:12">
      <c r="A731" s="344"/>
      <c r="B731" s="344"/>
      <c r="C731" s="344"/>
      <c r="D731" s="344"/>
      <c r="E731" s="345"/>
      <c r="F731" s="346"/>
      <c r="G731" s="344"/>
      <c r="H731" s="11"/>
      <c r="I731" s="346"/>
      <c r="J731" s="410"/>
      <c r="K731" s="410"/>
      <c r="L731" s="410"/>
    </row>
    <row r="732" spans="1:12">
      <c r="A732" s="344"/>
      <c r="B732" s="344"/>
      <c r="C732" s="344"/>
      <c r="D732" s="344"/>
      <c r="E732" s="345"/>
      <c r="F732" s="346"/>
      <c r="G732" s="344"/>
      <c r="H732" s="11"/>
      <c r="I732" s="346"/>
      <c r="J732" s="410"/>
      <c r="K732" s="410"/>
      <c r="L732" s="410"/>
    </row>
    <row r="733" spans="1:12">
      <c r="A733" s="344"/>
      <c r="B733" s="344"/>
      <c r="C733" s="344"/>
      <c r="D733" s="344"/>
      <c r="E733" s="345"/>
      <c r="F733" s="346"/>
      <c r="G733" s="344"/>
      <c r="H733" s="11"/>
      <c r="I733" s="346"/>
      <c r="J733" s="410"/>
      <c r="K733" s="410"/>
      <c r="L733" s="410"/>
    </row>
    <row r="734" spans="1:12">
      <c r="A734" s="344"/>
      <c r="B734" s="344"/>
      <c r="C734" s="344"/>
      <c r="D734" s="344"/>
      <c r="E734" s="345"/>
      <c r="F734" s="346"/>
      <c r="G734" s="344"/>
      <c r="H734" s="11"/>
      <c r="I734" s="346"/>
      <c r="J734" s="410"/>
      <c r="K734" s="410"/>
      <c r="L734" s="410"/>
    </row>
    <row r="735" spans="1:12">
      <c r="A735" s="344"/>
      <c r="B735" s="344"/>
      <c r="C735" s="344"/>
      <c r="D735" s="344"/>
      <c r="E735" s="345"/>
      <c r="F735" s="346"/>
      <c r="G735" s="344"/>
      <c r="H735" s="11"/>
      <c r="I735" s="346"/>
      <c r="J735" s="410"/>
      <c r="K735" s="410"/>
      <c r="L735" s="410"/>
    </row>
    <row r="736" spans="1:12">
      <c r="A736" s="344"/>
      <c r="B736" s="344"/>
      <c r="C736" s="344"/>
      <c r="D736" s="344"/>
      <c r="E736" s="345"/>
      <c r="F736" s="346"/>
      <c r="G736" s="344"/>
      <c r="H736" s="11"/>
      <c r="I736" s="346"/>
      <c r="J736" s="410"/>
      <c r="K736" s="410"/>
      <c r="L736" s="410"/>
    </row>
    <row r="737" spans="1:12">
      <c r="A737" s="344"/>
      <c r="B737" s="344"/>
      <c r="C737" s="344"/>
      <c r="D737" s="344"/>
      <c r="E737" s="345"/>
      <c r="F737" s="346"/>
      <c r="G737" s="344"/>
      <c r="H737" s="11"/>
      <c r="I737" s="346"/>
      <c r="J737" s="410"/>
      <c r="K737" s="410"/>
      <c r="L737" s="410"/>
    </row>
    <row r="738" spans="1:12">
      <c r="A738" s="344"/>
      <c r="B738" s="344"/>
      <c r="C738" s="344"/>
      <c r="D738" s="344"/>
      <c r="E738" s="345"/>
      <c r="F738" s="346"/>
      <c r="G738" s="344"/>
      <c r="H738" s="11"/>
      <c r="I738" s="346"/>
      <c r="J738" s="410"/>
      <c r="K738" s="410"/>
      <c r="L738" s="410"/>
    </row>
    <row r="739" spans="1:12">
      <c r="A739" s="344"/>
      <c r="B739" s="344"/>
      <c r="C739" s="344"/>
      <c r="D739" s="344"/>
      <c r="E739" s="345"/>
      <c r="F739" s="346"/>
      <c r="G739" s="344"/>
      <c r="H739" s="11"/>
      <c r="I739" s="346"/>
      <c r="J739" s="410"/>
      <c r="K739" s="410"/>
      <c r="L739" s="410"/>
    </row>
    <row r="740" spans="1:12">
      <c r="A740" s="344"/>
      <c r="B740" s="344"/>
      <c r="C740" s="344"/>
      <c r="D740" s="344"/>
      <c r="E740" s="345"/>
      <c r="F740" s="346"/>
      <c r="G740" s="344"/>
      <c r="H740" s="11"/>
      <c r="I740" s="346"/>
      <c r="J740" s="410"/>
      <c r="K740" s="410"/>
      <c r="L740" s="410"/>
    </row>
    <row r="741" spans="1:12">
      <c r="A741" s="344"/>
      <c r="B741" s="344"/>
      <c r="C741" s="344"/>
      <c r="D741" s="344"/>
      <c r="E741" s="345"/>
      <c r="F741" s="346"/>
      <c r="G741" s="344"/>
      <c r="H741" s="11"/>
      <c r="I741" s="346"/>
      <c r="J741" s="410"/>
      <c r="K741" s="410"/>
      <c r="L741" s="410"/>
    </row>
    <row r="742" spans="1:12">
      <c r="A742" s="344"/>
      <c r="B742" s="344"/>
      <c r="C742" s="344"/>
      <c r="D742" s="344"/>
      <c r="E742" s="345"/>
      <c r="F742" s="346"/>
      <c r="G742" s="344"/>
      <c r="H742" s="11"/>
      <c r="I742" s="346"/>
      <c r="J742" s="410"/>
      <c r="K742" s="410"/>
      <c r="L742" s="410"/>
    </row>
    <row r="743" spans="1:12">
      <c r="A743" s="344"/>
      <c r="B743" s="344"/>
      <c r="C743" s="344"/>
      <c r="D743" s="344"/>
      <c r="E743" s="345"/>
      <c r="F743" s="346"/>
      <c r="G743" s="344"/>
      <c r="H743" s="11"/>
      <c r="I743" s="346"/>
      <c r="J743" s="410"/>
      <c r="K743" s="410"/>
      <c r="L743" s="410"/>
    </row>
    <row r="744" spans="1:12">
      <c r="A744" s="344"/>
      <c r="B744" s="344"/>
      <c r="C744" s="344"/>
      <c r="D744" s="344"/>
      <c r="E744" s="345"/>
      <c r="F744" s="346"/>
      <c r="G744" s="344"/>
      <c r="H744" s="11"/>
      <c r="I744" s="346"/>
      <c r="J744" s="410"/>
      <c r="K744" s="410"/>
      <c r="L744" s="410"/>
    </row>
    <row r="745" spans="1:12">
      <c r="A745" s="344"/>
      <c r="B745" s="344"/>
      <c r="C745" s="344"/>
      <c r="D745" s="344"/>
      <c r="E745" s="345"/>
      <c r="F745" s="346"/>
      <c r="G745" s="344"/>
      <c r="H745" s="11"/>
      <c r="I745" s="346"/>
      <c r="J745" s="410"/>
      <c r="K745" s="410"/>
      <c r="L745" s="410"/>
    </row>
    <row r="746" spans="1:12">
      <c r="A746" s="344"/>
      <c r="B746" s="344"/>
      <c r="C746" s="344"/>
      <c r="D746" s="344"/>
      <c r="E746" s="345"/>
      <c r="F746" s="346"/>
      <c r="G746" s="344"/>
      <c r="H746" s="11"/>
      <c r="I746" s="346"/>
      <c r="J746" s="410"/>
      <c r="K746" s="410"/>
      <c r="L746" s="410"/>
    </row>
    <row r="747" spans="1:12">
      <c r="A747" s="344"/>
      <c r="B747" s="344"/>
      <c r="C747" s="344"/>
      <c r="D747" s="344"/>
      <c r="E747" s="345"/>
      <c r="F747" s="346"/>
      <c r="G747" s="344"/>
      <c r="H747" s="11"/>
      <c r="I747" s="346"/>
      <c r="J747" s="410"/>
      <c r="K747" s="410"/>
      <c r="L747" s="410"/>
    </row>
    <row r="748" spans="1:12">
      <c r="A748" s="344"/>
      <c r="B748" s="344"/>
      <c r="C748" s="344"/>
      <c r="D748" s="344"/>
      <c r="E748" s="345"/>
      <c r="F748" s="346"/>
      <c r="G748" s="344"/>
      <c r="H748" s="11"/>
      <c r="I748" s="346"/>
      <c r="J748" s="410"/>
      <c r="K748" s="410"/>
      <c r="L748" s="410"/>
    </row>
    <row r="749" spans="1:12">
      <c r="A749" s="344"/>
      <c r="B749" s="344"/>
      <c r="C749" s="344"/>
      <c r="D749" s="344"/>
      <c r="E749" s="345"/>
      <c r="F749" s="346"/>
      <c r="G749" s="344"/>
      <c r="H749" s="11"/>
      <c r="I749" s="346"/>
      <c r="J749" s="410"/>
      <c r="K749" s="410"/>
      <c r="L749" s="410"/>
    </row>
    <row r="750" spans="1:12">
      <c r="A750" s="344"/>
      <c r="B750" s="344"/>
      <c r="C750" s="344"/>
      <c r="D750" s="344"/>
      <c r="E750" s="345"/>
      <c r="F750" s="346"/>
      <c r="G750" s="344"/>
      <c r="H750" s="11"/>
      <c r="I750" s="346"/>
      <c r="J750" s="410"/>
      <c r="K750" s="410"/>
      <c r="L750" s="410"/>
    </row>
    <row r="751" spans="1:12">
      <c r="A751" s="344"/>
      <c r="B751" s="344"/>
      <c r="C751" s="344"/>
      <c r="D751" s="344"/>
      <c r="E751" s="345"/>
      <c r="F751" s="346"/>
      <c r="G751" s="344"/>
      <c r="H751" s="11"/>
      <c r="I751" s="346"/>
      <c r="J751" s="410"/>
      <c r="K751" s="410"/>
      <c r="L751" s="410"/>
    </row>
    <row r="752" spans="1:12">
      <c r="A752" s="344"/>
      <c r="B752" s="344"/>
      <c r="C752" s="344"/>
      <c r="D752" s="344"/>
      <c r="E752" s="345"/>
      <c r="F752" s="346"/>
      <c r="G752" s="344"/>
      <c r="H752" s="11"/>
      <c r="I752" s="346"/>
      <c r="J752" s="410"/>
      <c r="K752" s="410"/>
      <c r="L752" s="410"/>
    </row>
    <row r="753" spans="1:12">
      <c r="A753" s="344"/>
      <c r="B753" s="344"/>
      <c r="C753" s="344"/>
      <c r="D753" s="344"/>
      <c r="E753" s="345"/>
      <c r="F753" s="346"/>
      <c r="G753" s="344"/>
      <c r="H753" s="11"/>
      <c r="I753" s="346"/>
      <c r="J753" s="410"/>
      <c r="K753" s="410"/>
      <c r="L753" s="410"/>
    </row>
    <row r="754" spans="1:12">
      <c r="A754" s="344"/>
      <c r="B754" s="344"/>
      <c r="C754" s="344"/>
      <c r="D754" s="344"/>
      <c r="E754" s="345"/>
      <c r="F754" s="346"/>
      <c r="G754" s="344"/>
      <c r="H754" s="11"/>
      <c r="I754" s="346"/>
      <c r="J754" s="410"/>
      <c r="K754" s="410"/>
      <c r="L754" s="410"/>
    </row>
    <row r="755" spans="1:12">
      <c r="A755" s="344"/>
      <c r="B755" s="344"/>
      <c r="C755" s="344"/>
      <c r="D755" s="344"/>
      <c r="E755" s="345"/>
      <c r="F755" s="346"/>
      <c r="G755" s="344"/>
      <c r="H755" s="11"/>
      <c r="I755" s="346"/>
      <c r="J755" s="410"/>
      <c r="K755" s="410"/>
      <c r="L755" s="410"/>
    </row>
    <row r="756" spans="1:12">
      <c r="A756" s="344"/>
      <c r="B756" s="344"/>
      <c r="C756" s="344"/>
      <c r="D756" s="344"/>
      <c r="E756" s="345"/>
      <c r="F756" s="346"/>
      <c r="G756" s="344"/>
      <c r="H756" s="11"/>
      <c r="I756" s="346"/>
      <c r="J756" s="410"/>
      <c r="K756" s="410"/>
      <c r="L756" s="410"/>
    </row>
    <row r="757" spans="1:12">
      <c r="A757" s="344"/>
      <c r="B757" s="344"/>
      <c r="C757" s="344"/>
      <c r="D757" s="344"/>
      <c r="E757" s="345"/>
      <c r="F757" s="346"/>
      <c r="G757" s="344"/>
      <c r="H757" s="11"/>
      <c r="I757" s="346"/>
      <c r="J757" s="410"/>
      <c r="K757" s="410"/>
      <c r="L757" s="410"/>
    </row>
    <row r="758" spans="1:12">
      <c r="A758" s="344"/>
      <c r="B758" s="344"/>
      <c r="C758" s="344"/>
      <c r="D758" s="344"/>
      <c r="E758" s="345"/>
      <c r="F758" s="346"/>
      <c r="G758" s="344"/>
      <c r="H758" s="11"/>
      <c r="I758" s="346"/>
      <c r="J758" s="410"/>
      <c r="K758" s="410"/>
      <c r="L758" s="410"/>
    </row>
    <row r="759" spans="1:12">
      <c r="A759" s="344"/>
      <c r="B759" s="344"/>
      <c r="C759" s="344"/>
      <c r="D759" s="344"/>
      <c r="E759" s="345"/>
      <c r="F759" s="346"/>
      <c r="G759" s="344"/>
      <c r="H759" s="11"/>
      <c r="I759" s="346"/>
      <c r="J759" s="410"/>
      <c r="K759" s="410"/>
      <c r="L759" s="410"/>
    </row>
    <row r="760" spans="1:12">
      <c r="A760" s="344"/>
      <c r="B760" s="344"/>
      <c r="C760" s="344"/>
      <c r="D760" s="344"/>
      <c r="E760" s="345"/>
      <c r="F760" s="346"/>
      <c r="G760" s="344"/>
      <c r="H760" s="11"/>
      <c r="I760" s="346"/>
      <c r="J760" s="410"/>
      <c r="K760" s="410"/>
      <c r="L760" s="410"/>
    </row>
    <row r="761" spans="1:12">
      <c r="A761" s="344"/>
      <c r="B761" s="344"/>
      <c r="C761" s="344"/>
      <c r="D761" s="344"/>
      <c r="E761" s="345"/>
      <c r="F761" s="346"/>
      <c r="G761" s="344"/>
      <c r="H761" s="11"/>
      <c r="I761" s="346"/>
      <c r="J761" s="410"/>
      <c r="K761" s="410"/>
      <c r="L761" s="410"/>
    </row>
    <row r="762" spans="1:12">
      <c r="A762" s="344"/>
      <c r="B762" s="344"/>
      <c r="C762" s="344"/>
      <c r="D762" s="344"/>
      <c r="E762" s="345"/>
      <c r="F762" s="346"/>
      <c r="G762" s="344"/>
      <c r="H762" s="11"/>
      <c r="I762" s="346"/>
      <c r="J762" s="410"/>
      <c r="K762" s="410"/>
      <c r="L762" s="410"/>
    </row>
    <row r="763" spans="1:12">
      <c r="A763" s="344"/>
      <c r="B763" s="344"/>
      <c r="C763" s="344"/>
      <c r="D763" s="344"/>
      <c r="E763" s="345"/>
      <c r="F763" s="346"/>
      <c r="G763" s="344"/>
      <c r="H763" s="11"/>
      <c r="I763" s="346"/>
      <c r="J763" s="410"/>
      <c r="K763" s="410"/>
      <c r="L763" s="410"/>
    </row>
    <row r="764" spans="1:12">
      <c r="A764" s="344"/>
      <c r="B764" s="344"/>
      <c r="C764" s="344"/>
      <c r="D764" s="344"/>
      <c r="E764" s="345"/>
      <c r="F764" s="346"/>
      <c r="G764" s="344"/>
      <c r="H764" s="11"/>
      <c r="I764" s="346"/>
      <c r="J764" s="410"/>
      <c r="K764" s="410"/>
      <c r="L764" s="410"/>
    </row>
    <row r="765" spans="1:12">
      <c r="A765" s="344"/>
      <c r="B765" s="344"/>
      <c r="C765" s="344"/>
      <c r="D765" s="344"/>
      <c r="E765" s="345"/>
      <c r="F765" s="346"/>
      <c r="G765" s="344"/>
      <c r="H765" s="11"/>
      <c r="I765" s="346"/>
      <c r="J765" s="410"/>
      <c r="K765" s="410"/>
      <c r="L765" s="410"/>
    </row>
    <row r="766" spans="1:12">
      <c r="A766" s="344"/>
      <c r="B766" s="344"/>
      <c r="C766" s="344"/>
      <c r="D766" s="344"/>
      <c r="E766" s="345"/>
      <c r="F766" s="346"/>
      <c r="G766" s="344"/>
      <c r="H766" s="11"/>
      <c r="I766" s="346"/>
      <c r="J766" s="410"/>
      <c r="K766" s="410"/>
      <c r="L766" s="410"/>
    </row>
    <row r="767" spans="1:12">
      <c r="A767" s="344"/>
      <c r="B767" s="344"/>
      <c r="C767" s="344"/>
      <c r="D767" s="344"/>
      <c r="E767" s="345"/>
      <c r="F767" s="346"/>
      <c r="G767" s="344"/>
      <c r="H767" s="11"/>
      <c r="I767" s="346"/>
      <c r="J767" s="410"/>
      <c r="K767" s="410"/>
      <c r="L767" s="410"/>
    </row>
    <row r="768" spans="1:12">
      <c r="A768" s="344"/>
      <c r="B768" s="344"/>
      <c r="C768" s="344"/>
      <c r="D768" s="344"/>
      <c r="E768" s="345"/>
      <c r="F768" s="346"/>
      <c r="G768" s="344"/>
      <c r="H768" s="11"/>
      <c r="I768" s="346"/>
      <c r="J768" s="410"/>
      <c r="K768" s="410"/>
      <c r="L768" s="410"/>
    </row>
    <row r="769" spans="1:12">
      <c r="A769" s="344"/>
      <c r="B769" s="344"/>
      <c r="C769" s="344"/>
      <c r="D769" s="344"/>
      <c r="E769" s="345"/>
      <c r="F769" s="346"/>
      <c r="G769" s="344"/>
      <c r="H769" s="11"/>
      <c r="I769" s="346"/>
      <c r="J769" s="410"/>
      <c r="K769" s="410"/>
      <c r="L769" s="410"/>
    </row>
    <row r="770" spans="1:12">
      <c r="A770" s="344"/>
      <c r="B770" s="344"/>
      <c r="C770" s="344"/>
      <c r="D770" s="344"/>
      <c r="E770" s="345"/>
      <c r="F770" s="346"/>
      <c r="G770" s="344"/>
      <c r="H770" s="11"/>
      <c r="I770" s="346"/>
      <c r="J770" s="410"/>
      <c r="K770" s="410"/>
      <c r="L770" s="410"/>
    </row>
    <row r="771" spans="1:12">
      <c r="A771" s="344"/>
      <c r="B771" s="344"/>
      <c r="C771" s="344"/>
      <c r="D771" s="344"/>
      <c r="E771" s="345"/>
      <c r="F771" s="346"/>
      <c r="G771" s="344"/>
      <c r="H771" s="11"/>
      <c r="I771" s="346"/>
      <c r="J771" s="410"/>
      <c r="K771" s="410"/>
      <c r="L771" s="410"/>
    </row>
    <row r="772" spans="1:12">
      <c r="A772" s="344"/>
      <c r="B772" s="344"/>
      <c r="C772" s="344"/>
      <c r="D772" s="344"/>
      <c r="E772" s="345"/>
      <c r="F772" s="346"/>
      <c r="G772" s="344"/>
      <c r="H772" s="11"/>
      <c r="I772" s="346"/>
      <c r="J772" s="410"/>
      <c r="K772" s="410"/>
      <c r="L772" s="410"/>
    </row>
    <row r="773" spans="1:12">
      <c r="A773" s="344"/>
      <c r="B773" s="344"/>
      <c r="C773" s="344"/>
      <c r="D773" s="344"/>
      <c r="E773" s="345"/>
      <c r="F773" s="346"/>
      <c r="G773" s="344"/>
      <c r="H773" s="11"/>
      <c r="I773" s="346"/>
      <c r="J773" s="410"/>
      <c r="K773" s="410"/>
      <c r="L773" s="410"/>
    </row>
    <row r="774" spans="1:12">
      <c r="A774" s="344"/>
      <c r="B774" s="344"/>
      <c r="C774" s="344"/>
      <c r="D774" s="344"/>
      <c r="E774" s="345"/>
      <c r="F774" s="346"/>
      <c r="G774" s="344"/>
      <c r="H774" s="11"/>
      <c r="I774" s="346"/>
      <c r="J774" s="410"/>
      <c r="K774" s="410"/>
      <c r="L774" s="410"/>
    </row>
    <row r="775" spans="1:12">
      <c r="A775" s="344"/>
      <c r="B775" s="344"/>
      <c r="C775" s="344"/>
      <c r="D775" s="344"/>
      <c r="E775" s="345"/>
      <c r="F775" s="346"/>
      <c r="G775" s="344"/>
      <c r="H775" s="11"/>
      <c r="I775" s="346"/>
      <c r="J775" s="410"/>
      <c r="K775" s="410"/>
      <c r="L775" s="410"/>
    </row>
    <row r="776" spans="1:12">
      <c r="A776" s="344"/>
      <c r="B776" s="344"/>
      <c r="C776" s="344"/>
      <c r="D776" s="344"/>
      <c r="E776" s="345"/>
      <c r="F776" s="346"/>
      <c r="G776" s="344"/>
      <c r="H776" s="11"/>
      <c r="I776" s="346"/>
      <c r="J776" s="410"/>
      <c r="K776" s="410"/>
      <c r="L776" s="410"/>
    </row>
    <row r="777" spans="1:12">
      <c r="A777" s="344"/>
      <c r="B777" s="344"/>
      <c r="C777" s="344"/>
      <c r="D777" s="344"/>
      <c r="E777" s="345"/>
      <c r="F777" s="346"/>
      <c r="G777" s="344"/>
      <c r="H777" s="11"/>
      <c r="I777" s="346"/>
      <c r="J777" s="410"/>
      <c r="K777" s="410"/>
      <c r="L777" s="410"/>
    </row>
    <row r="778" spans="1:12">
      <c r="A778" s="344"/>
      <c r="B778" s="344"/>
      <c r="C778" s="344"/>
      <c r="D778" s="344"/>
      <c r="E778" s="345"/>
      <c r="F778" s="346"/>
      <c r="G778" s="344"/>
      <c r="H778" s="11"/>
      <c r="I778" s="346"/>
      <c r="J778" s="410"/>
      <c r="K778" s="410"/>
      <c r="L778" s="410"/>
    </row>
    <row r="779" spans="1:12">
      <c r="A779" s="344"/>
      <c r="B779" s="344"/>
      <c r="C779" s="344"/>
      <c r="D779" s="344"/>
      <c r="E779" s="345"/>
      <c r="F779" s="346"/>
      <c r="G779" s="344"/>
      <c r="H779" s="11"/>
      <c r="I779" s="346"/>
      <c r="J779" s="410"/>
      <c r="K779" s="410"/>
      <c r="L779" s="410"/>
    </row>
    <row r="780" spans="1:12">
      <c r="A780" s="344"/>
      <c r="B780" s="344"/>
      <c r="C780" s="344"/>
      <c r="D780" s="344"/>
      <c r="E780" s="345"/>
      <c r="F780" s="346"/>
      <c r="G780" s="344"/>
      <c r="H780" s="11"/>
      <c r="I780" s="346"/>
      <c r="J780" s="410"/>
      <c r="K780" s="410"/>
      <c r="L780" s="410"/>
    </row>
    <row r="781" spans="1:12">
      <c r="A781" s="344"/>
      <c r="B781" s="344"/>
      <c r="C781" s="344"/>
      <c r="D781" s="344"/>
      <c r="E781" s="345"/>
      <c r="F781" s="346"/>
      <c r="G781" s="344"/>
      <c r="H781" s="11"/>
      <c r="I781" s="346"/>
      <c r="J781" s="410"/>
      <c r="K781" s="410"/>
      <c r="L781" s="410"/>
    </row>
    <row r="782" spans="1:12">
      <c r="A782" s="344"/>
      <c r="B782" s="344"/>
      <c r="C782" s="344"/>
      <c r="D782" s="344"/>
      <c r="E782" s="345"/>
      <c r="F782" s="346"/>
      <c r="G782" s="344"/>
      <c r="H782" s="11"/>
      <c r="I782" s="346"/>
      <c r="J782" s="410"/>
      <c r="K782" s="410"/>
      <c r="L782" s="410"/>
    </row>
    <row r="783" spans="1:12">
      <c r="A783" s="344"/>
      <c r="B783" s="344"/>
      <c r="C783" s="344"/>
      <c r="D783" s="344"/>
      <c r="E783" s="345"/>
      <c r="F783" s="346"/>
      <c r="G783" s="344"/>
      <c r="H783" s="11"/>
      <c r="I783" s="346"/>
      <c r="J783" s="410"/>
      <c r="K783" s="410"/>
      <c r="L783" s="410"/>
    </row>
    <row r="784" spans="1:12">
      <c r="A784" s="344"/>
      <c r="B784" s="344"/>
      <c r="C784" s="344"/>
      <c r="D784" s="344"/>
      <c r="E784" s="345"/>
      <c r="F784" s="346"/>
      <c r="G784" s="344"/>
      <c r="H784" s="11"/>
      <c r="I784" s="346"/>
      <c r="J784" s="410"/>
      <c r="K784" s="410"/>
      <c r="L784" s="410"/>
    </row>
    <row r="785" spans="1:12">
      <c r="A785" s="344"/>
      <c r="B785" s="344"/>
      <c r="C785" s="344"/>
      <c r="D785" s="344"/>
      <c r="E785" s="345"/>
      <c r="F785" s="346"/>
      <c r="G785" s="344"/>
      <c r="H785" s="11"/>
      <c r="I785" s="346"/>
      <c r="J785" s="410"/>
      <c r="K785" s="410"/>
      <c r="L785" s="410"/>
    </row>
    <row r="786" spans="1:12">
      <c r="A786" s="344"/>
      <c r="B786" s="344"/>
      <c r="C786" s="344"/>
      <c r="D786" s="344"/>
      <c r="E786" s="345"/>
      <c r="F786" s="346"/>
      <c r="G786" s="344"/>
      <c r="H786" s="11"/>
      <c r="I786" s="346"/>
      <c r="J786" s="410"/>
      <c r="K786" s="410"/>
      <c r="L786" s="410"/>
    </row>
    <row r="787" spans="1:12">
      <c r="A787" s="344"/>
      <c r="B787" s="344"/>
      <c r="C787" s="344"/>
      <c r="D787" s="344"/>
      <c r="E787" s="345"/>
      <c r="F787" s="346"/>
      <c r="G787" s="344"/>
      <c r="H787" s="11"/>
      <c r="I787" s="346"/>
      <c r="J787" s="410"/>
      <c r="K787" s="410"/>
      <c r="L787" s="410"/>
    </row>
    <row r="788" spans="1:12">
      <c r="A788" s="344"/>
      <c r="B788" s="344"/>
      <c r="C788" s="344"/>
      <c r="D788" s="344"/>
      <c r="E788" s="345"/>
      <c r="F788" s="346"/>
      <c r="G788" s="344"/>
      <c r="H788" s="11"/>
      <c r="I788" s="346"/>
      <c r="J788" s="410"/>
      <c r="K788" s="410"/>
      <c r="L788" s="410"/>
    </row>
    <row r="789" spans="1:12">
      <c r="A789" s="344"/>
      <c r="B789" s="344"/>
      <c r="C789" s="344"/>
      <c r="D789" s="344"/>
      <c r="E789" s="345"/>
      <c r="F789" s="346"/>
      <c r="G789" s="344"/>
      <c r="H789" s="11"/>
      <c r="I789" s="346"/>
      <c r="J789" s="410"/>
      <c r="K789" s="410"/>
      <c r="L789" s="410"/>
    </row>
    <row r="790" spans="1:12">
      <c r="A790" s="344"/>
      <c r="B790" s="344"/>
      <c r="C790" s="344"/>
      <c r="D790" s="344"/>
      <c r="E790" s="345"/>
      <c r="F790" s="346"/>
      <c r="G790" s="344"/>
      <c r="H790" s="11"/>
      <c r="I790" s="346"/>
      <c r="J790" s="410"/>
      <c r="K790" s="410"/>
      <c r="L790" s="410"/>
    </row>
    <row r="791" spans="1:12">
      <c r="A791" s="344"/>
      <c r="B791" s="344"/>
      <c r="C791" s="344"/>
      <c r="D791" s="344"/>
      <c r="E791" s="345"/>
      <c r="F791" s="346"/>
      <c r="G791" s="344"/>
      <c r="H791" s="11"/>
      <c r="I791" s="346"/>
      <c r="J791" s="410"/>
      <c r="K791" s="410"/>
      <c r="L791" s="410"/>
    </row>
    <row r="792" spans="1:12">
      <c r="A792" s="344"/>
      <c r="B792" s="344"/>
      <c r="C792" s="344"/>
      <c r="D792" s="344"/>
      <c r="E792" s="345"/>
      <c r="F792" s="346"/>
      <c r="G792" s="344"/>
      <c r="H792" s="11"/>
      <c r="I792" s="346"/>
      <c r="J792" s="410"/>
      <c r="K792" s="410"/>
      <c r="L792" s="410"/>
    </row>
    <row r="793" spans="1:12">
      <c r="A793" s="344"/>
      <c r="B793" s="344"/>
      <c r="C793" s="344"/>
      <c r="D793" s="344"/>
      <c r="E793" s="345"/>
      <c r="F793" s="346"/>
      <c r="G793" s="344"/>
      <c r="H793" s="11"/>
      <c r="I793" s="346"/>
      <c r="J793" s="410"/>
      <c r="K793" s="410"/>
      <c r="L793" s="410"/>
    </row>
    <row r="794" spans="1:12">
      <c r="A794" s="344"/>
      <c r="B794" s="344"/>
      <c r="C794" s="344"/>
      <c r="D794" s="344"/>
      <c r="E794" s="345"/>
      <c r="F794" s="346"/>
      <c r="G794" s="344"/>
      <c r="H794" s="11"/>
      <c r="I794" s="346"/>
      <c r="J794" s="410"/>
      <c r="K794" s="410"/>
      <c r="L794" s="410"/>
    </row>
    <row r="795" spans="1:12">
      <c r="A795" s="344"/>
      <c r="B795" s="344"/>
      <c r="C795" s="344"/>
      <c r="D795" s="344"/>
      <c r="E795" s="345"/>
      <c r="F795" s="346"/>
      <c r="G795" s="344"/>
      <c r="H795" s="11"/>
      <c r="I795" s="346"/>
      <c r="J795" s="410"/>
      <c r="K795" s="410"/>
      <c r="L795" s="410"/>
    </row>
    <row r="796" spans="1:12">
      <c r="A796" s="344"/>
      <c r="B796" s="344"/>
      <c r="C796" s="344"/>
      <c r="D796" s="344"/>
      <c r="E796" s="345"/>
      <c r="F796" s="346"/>
      <c r="G796" s="344"/>
      <c r="H796" s="11"/>
      <c r="I796" s="346"/>
      <c r="J796" s="410"/>
      <c r="K796" s="410"/>
      <c r="L796" s="410"/>
    </row>
    <row r="797" spans="1:12">
      <c r="A797" s="344"/>
      <c r="B797" s="344"/>
      <c r="C797" s="344"/>
      <c r="D797" s="344"/>
      <c r="E797" s="345"/>
      <c r="F797" s="346"/>
      <c r="G797" s="344"/>
      <c r="H797" s="11"/>
      <c r="I797" s="346"/>
      <c r="J797" s="410"/>
      <c r="K797" s="410"/>
      <c r="L797" s="410"/>
    </row>
    <row r="798" spans="1:12">
      <c r="A798" s="344"/>
      <c r="B798" s="344"/>
      <c r="C798" s="344"/>
      <c r="D798" s="344"/>
      <c r="E798" s="345"/>
      <c r="F798" s="346"/>
      <c r="G798" s="344"/>
      <c r="H798" s="11"/>
      <c r="I798" s="346"/>
      <c r="J798" s="410"/>
      <c r="K798" s="410"/>
      <c r="L798" s="410"/>
    </row>
    <row r="799" spans="1:12">
      <c r="A799" s="344"/>
      <c r="B799" s="344"/>
      <c r="C799" s="344"/>
      <c r="D799" s="344"/>
      <c r="E799" s="345"/>
      <c r="F799" s="346"/>
      <c r="G799" s="344"/>
      <c r="H799" s="11"/>
      <c r="I799" s="346"/>
      <c r="J799" s="410"/>
      <c r="K799" s="410"/>
      <c r="L799" s="410"/>
    </row>
    <row r="800" spans="1:12">
      <c r="A800" s="344"/>
      <c r="B800" s="344"/>
      <c r="C800" s="344"/>
      <c r="D800" s="344"/>
      <c r="E800" s="345"/>
      <c r="F800" s="346"/>
      <c r="G800" s="344"/>
      <c r="H800" s="11"/>
      <c r="I800" s="346"/>
      <c r="J800" s="410"/>
      <c r="K800" s="410"/>
      <c r="L800" s="410"/>
    </row>
    <row r="801" spans="1:12">
      <c r="A801" s="344"/>
      <c r="B801" s="344"/>
      <c r="C801" s="344"/>
      <c r="D801" s="344"/>
      <c r="E801" s="345"/>
      <c r="F801" s="346"/>
      <c r="G801" s="344"/>
      <c r="H801" s="11"/>
      <c r="I801" s="346"/>
      <c r="J801" s="410"/>
      <c r="K801" s="410"/>
      <c r="L801" s="410"/>
    </row>
    <row r="802" spans="1:12">
      <c r="A802" s="344"/>
      <c r="B802" s="344"/>
      <c r="C802" s="344"/>
      <c r="D802" s="344"/>
      <c r="E802" s="345"/>
      <c r="F802" s="346"/>
      <c r="G802" s="344"/>
      <c r="H802" s="11"/>
      <c r="I802" s="346"/>
      <c r="J802" s="410"/>
      <c r="K802" s="410"/>
      <c r="L802" s="410"/>
    </row>
    <row r="803" spans="1:12">
      <c r="A803" s="344"/>
      <c r="B803" s="344"/>
      <c r="C803" s="344"/>
      <c r="D803" s="344"/>
      <c r="E803" s="345"/>
      <c r="F803" s="346"/>
      <c r="G803" s="344"/>
      <c r="H803" s="11"/>
      <c r="I803" s="346"/>
      <c r="J803" s="410"/>
      <c r="K803" s="410"/>
      <c r="L803" s="410"/>
    </row>
    <row r="804" spans="1:12">
      <c r="A804" s="344"/>
      <c r="B804" s="344"/>
      <c r="C804" s="344"/>
      <c r="D804" s="344"/>
      <c r="E804" s="345"/>
      <c r="F804" s="346"/>
      <c r="G804" s="344"/>
      <c r="H804" s="11"/>
      <c r="I804" s="346"/>
      <c r="J804" s="410"/>
      <c r="K804" s="410"/>
      <c r="L804" s="410"/>
    </row>
    <row r="805" spans="1:12">
      <c r="A805" s="344"/>
      <c r="B805" s="344"/>
      <c r="C805" s="344"/>
      <c r="D805" s="344"/>
      <c r="E805" s="345"/>
      <c r="F805" s="346"/>
      <c r="G805" s="344"/>
      <c r="H805" s="11"/>
      <c r="I805" s="346"/>
      <c r="J805" s="410"/>
      <c r="K805" s="410"/>
      <c r="L805" s="410"/>
    </row>
    <row r="806" spans="1:12">
      <c r="A806" s="344"/>
      <c r="B806" s="344"/>
      <c r="C806" s="344"/>
      <c r="D806" s="344"/>
      <c r="E806" s="345"/>
      <c r="F806" s="346"/>
      <c r="G806" s="344"/>
      <c r="H806" s="11"/>
      <c r="I806" s="346"/>
      <c r="J806" s="410"/>
      <c r="K806" s="410"/>
      <c r="L806" s="410"/>
    </row>
    <row r="807" spans="1:12">
      <c r="A807" s="344"/>
      <c r="B807" s="344"/>
      <c r="C807" s="344"/>
      <c r="D807" s="344"/>
      <c r="E807" s="345"/>
      <c r="F807" s="346"/>
      <c r="G807" s="344"/>
      <c r="H807" s="11"/>
      <c r="I807" s="346"/>
      <c r="J807" s="410"/>
      <c r="K807" s="410"/>
      <c r="L807" s="410"/>
    </row>
    <row r="808" spans="1:12">
      <c r="A808" s="344"/>
      <c r="B808" s="344"/>
      <c r="C808" s="344"/>
      <c r="D808" s="344"/>
      <c r="E808" s="345"/>
      <c r="F808" s="346"/>
      <c r="G808" s="344"/>
      <c r="H808" s="11"/>
      <c r="I808" s="346"/>
      <c r="J808" s="410"/>
      <c r="K808" s="410"/>
      <c r="L808" s="410"/>
    </row>
    <row r="809" spans="1:12">
      <c r="A809" s="344"/>
      <c r="B809" s="344"/>
      <c r="C809" s="344"/>
      <c r="D809" s="344"/>
      <c r="E809" s="345"/>
      <c r="F809" s="346"/>
      <c r="G809" s="344"/>
      <c r="H809" s="11"/>
      <c r="I809" s="346"/>
      <c r="J809" s="410"/>
      <c r="K809" s="410"/>
      <c r="L809" s="410"/>
    </row>
    <row r="810" spans="1:12">
      <c r="A810" s="344"/>
      <c r="B810" s="344"/>
      <c r="C810" s="344"/>
      <c r="D810" s="344"/>
      <c r="E810" s="345"/>
      <c r="F810" s="346"/>
      <c r="G810" s="344"/>
      <c r="H810" s="11"/>
      <c r="I810" s="346"/>
      <c r="J810" s="410"/>
      <c r="K810" s="410"/>
      <c r="L810" s="410"/>
    </row>
    <row r="811" spans="1:12">
      <c r="A811" s="344"/>
      <c r="B811" s="344"/>
      <c r="C811" s="344"/>
      <c r="D811" s="344"/>
      <c r="E811" s="345"/>
      <c r="F811" s="346"/>
      <c r="G811" s="344"/>
      <c r="H811" s="11"/>
      <c r="I811" s="346"/>
      <c r="J811" s="410"/>
      <c r="K811" s="410"/>
      <c r="L811" s="410"/>
    </row>
    <row r="812" spans="1:12">
      <c r="A812" s="344"/>
      <c r="B812" s="344"/>
      <c r="C812" s="344"/>
      <c r="D812" s="344"/>
      <c r="E812" s="345"/>
      <c r="F812" s="346"/>
      <c r="G812" s="344"/>
      <c r="H812" s="11"/>
      <c r="I812" s="346"/>
      <c r="J812" s="410"/>
      <c r="K812" s="410"/>
      <c r="L812" s="410"/>
    </row>
    <row r="813" spans="1:12">
      <c r="A813" s="344"/>
      <c r="B813" s="344"/>
      <c r="C813" s="344"/>
      <c r="D813" s="344"/>
      <c r="E813" s="345"/>
      <c r="F813" s="346"/>
      <c r="G813" s="344"/>
      <c r="H813" s="11"/>
      <c r="I813" s="346"/>
      <c r="J813" s="410"/>
      <c r="K813" s="410"/>
      <c r="L813" s="410"/>
    </row>
    <row r="814" spans="1:12">
      <c r="A814" s="344"/>
      <c r="B814" s="344"/>
      <c r="C814" s="344"/>
      <c r="D814" s="344"/>
      <c r="E814" s="345"/>
      <c r="F814" s="346"/>
      <c r="G814" s="344"/>
      <c r="H814" s="11"/>
      <c r="I814" s="346"/>
      <c r="J814" s="410"/>
      <c r="K814" s="410"/>
      <c r="L814" s="410"/>
    </row>
    <row r="815" spans="1:12">
      <c r="A815" s="344"/>
      <c r="B815" s="344"/>
      <c r="C815" s="344"/>
      <c r="D815" s="344"/>
      <c r="E815" s="345"/>
      <c r="F815" s="346"/>
      <c r="G815" s="344"/>
      <c r="H815" s="11"/>
      <c r="I815" s="346"/>
      <c r="J815" s="410"/>
      <c r="K815" s="410"/>
      <c r="L815" s="410"/>
    </row>
    <row r="816" spans="1:12">
      <c r="A816" s="344"/>
      <c r="B816" s="344"/>
      <c r="C816" s="344"/>
      <c r="D816" s="344"/>
      <c r="E816" s="345"/>
      <c r="F816" s="346"/>
      <c r="G816" s="344"/>
      <c r="H816" s="11"/>
      <c r="I816" s="346"/>
      <c r="J816" s="410"/>
      <c r="K816" s="410"/>
      <c r="L816" s="410"/>
    </row>
    <row r="817" spans="1:12">
      <c r="A817" s="344"/>
      <c r="B817" s="344"/>
      <c r="C817" s="344"/>
      <c r="D817" s="344"/>
      <c r="E817" s="345"/>
      <c r="F817" s="346"/>
      <c r="G817" s="344"/>
      <c r="H817" s="11"/>
      <c r="I817" s="346"/>
      <c r="J817" s="410"/>
      <c r="K817" s="410"/>
      <c r="L817" s="410"/>
    </row>
    <row r="818" spans="1:12">
      <c r="A818" s="344"/>
      <c r="B818" s="344"/>
      <c r="C818" s="344"/>
      <c r="D818" s="344"/>
      <c r="E818" s="345"/>
      <c r="F818" s="346"/>
      <c r="G818" s="344"/>
      <c r="H818" s="11"/>
      <c r="I818" s="346"/>
      <c r="J818" s="410"/>
      <c r="K818" s="410"/>
      <c r="L818" s="410"/>
    </row>
    <row r="819" spans="1:12">
      <c r="A819" s="344"/>
      <c r="B819" s="344"/>
      <c r="C819" s="344"/>
      <c r="D819" s="344"/>
      <c r="E819" s="345"/>
      <c r="F819" s="346"/>
      <c r="G819" s="344"/>
      <c r="H819" s="11"/>
      <c r="I819" s="346"/>
      <c r="J819" s="410"/>
      <c r="K819" s="410"/>
      <c r="L819" s="410"/>
    </row>
    <row r="820" spans="1:12">
      <c r="A820" s="344"/>
      <c r="B820" s="344"/>
      <c r="C820" s="344"/>
      <c r="D820" s="344"/>
      <c r="E820" s="345"/>
      <c r="F820" s="346"/>
      <c r="G820" s="344"/>
      <c r="H820" s="11"/>
      <c r="I820" s="346"/>
      <c r="J820" s="410"/>
      <c r="K820" s="410"/>
      <c r="L820" s="410"/>
    </row>
    <row r="821" spans="1:12">
      <c r="A821" s="344"/>
      <c r="B821" s="344"/>
      <c r="C821" s="344"/>
      <c r="D821" s="344"/>
      <c r="E821" s="345"/>
      <c r="F821" s="346"/>
      <c r="G821" s="344"/>
      <c r="H821" s="11"/>
      <c r="I821" s="346"/>
      <c r="J821" s="410"/>
      <c r="K821" s="410"/>
      <c r="L821" s="410"/>
    </row>
    <row r="822" spans="1:12">
      <c r="A822" s="344"/>
      <c r="B822" s="344"/>
      <c r="C822" s="344"/>
      <c r="D822" s="344"/>
      <c r="E822" s="345"/>
      <c r="F822" s="346"/>
      <c r="G822" s="344"/>
      <c r="H822" s="11"/>
      <c r="I822" s="346"/>
      <c r="J822" s="410"/>
      <c r="K822" s="410"/>
      <c r="L822" s="410"/>
    </row>
    <row r="823" spans="1:12">
      <c r="A823" s="344"/>
      <c r="B823" s="344"/>
      <c r="C823" s="344"/>
      <c r="D823" s="344"/>
      <c r="E823" s="345"/>
      <c r="F823" s="346"/>
      <c r="G823" s="344"/>
      <c r="H823" s="11"/>
      <c r="I823" s="346"/>
      <c r="J823" s="410"/>
      <c r="K823" s="410"/>
      <c r="L823" s="410"/>
    </row>
    <row r="824" spans="1:12">
      <c r="A824" s="344"/>
      <c r="B824" s="344"/>
      <c r="C824" s="344"/>
      <c r="D824" s="344"/>
      <c r="E824" s="345"/>
      <c r="F824" s="346"/>
      <c r="G824" s="344"/>
      <c r="H824" s="11"/>
      <c r="I824" s="346"/>
      <c r="J824" s="410"/>
      <c r="K824" s="410"/>
      <c r="L824" s="410"/>
    </row>
    <row r="825" spans="1:12">
      <c r="A825" s="344"/>
      <c r="B825" s="344"/>
      <c r="C825" s="344"/>
      <c r="D825" s="344"/>
      <c r="E825" s="345"/>
      <c r="F825" s="346"/>
      <c r="G825" s="344"/>
      <c r="H825" s="11"/>
      <c r="I825" s="346"/>
      <c r="J825" s="410"/>
      <c r="K825" s="410"/>
      <c r="L825" s="410"/>
    </row>
    <row r="826" spans="1:12">
      <c r="A826" s="344"/>
      <c r="B826" s="344"/>
      <c r="C826" s="344"/>
      <c r="D826" s="344"/>
      <c r="E826" s="345"/>
      <c r="F826" s="346"/>
      <c r="G826" s="344"/>
      <c r="H826" s="11"/>
      <c r="I826" s="346"/>
      <c r="J826" s="410"/>
      <c r="K826" s="410"/>
      <c r="L826" s="410"/>
    </row>
    <row r="827" spans="1:12">
      <c r="A827" s="344"/>
      <c r="B827" s="344"/>
      <c r="C827" s="344"/>
      <c r="D827" s="344"/>
      <c r="E827" s="345"/>
      <c r="F827" s="346"/>
      <c r="G827" s="344"/>
      <c r="H827" s="11"/>
      <c r="I827" s="346"/>
      <c r="J827" s="410"/>
      <c r="K827" s="410"/>
      <c r="L827" s="410"/>
    </row>
    <row r="828" spans="1:12">
      <c r="A828" s="344"/>
      <c r="B828" s="344"/>
      <c r="C828" s="344"/>
      <c r="D828" s="344"/>
      <c r="E828" s="345"/>
      <c r="F828" s="346"/>
      <c r="G828" s="344"/>
      <c r="H828" s="11"/>
      <c r="I828" s="346"/>
      <c r="J828" s="410"/>
      <c r="K828" s="410"/>
      <c r="L828" s="410"/>
    </row>
    <row r="829" spans="1:12">
      <c r="A829" s="344"/>
      <c r="B829" s="344"/>
      <c r="C829" s="344"/>
      <c r="D829" s="344"/>
      <c r="E829" s="345"/>
      <c r="F829" s="346"/>
      <c r="G829" s="344"/>
      <c r="H829" s="11"/>
      <c r="I829" s="346"/>
      <c r="J829" s="410"/>
      <c r="K829" s="410"/>
      <c r="L829" s="410"/>
    </row>
    <row r="830" spans="1:12">
      <c r="A830" s="344"/>
      <c r="B830" s="344"/>
      <c r="C830" s="344"/>
      <c r="D830" s="344"/>
      <c r="E830" s="345"/>
      <c r="F830" s="346"/>
      <c r="G830" s="344"/>
      <c r="H830" s="11"/>
      <c r="I830" s="346"/>
      <c r="J830" s="410"/>
      <c r="K830" s="410"/>
      <c r="L830" s="410"/>
    </row>
    <row r="831" spans="1:12">
      <c r="A831" s="344"/>
      <c r="B831" s="344"/>
      <c r="C831" s="344"/>
      <c r="D831" s="344"/>
      <c r="E831" s="345"/>
      <c r="F831" s="346"/>
      <c r="G831" s="344"/>
      <c r="H831" s="11"/>
      <c r="I831" s="346"/>
      <c r="J831" s="410"/>
      <c r="K831" s="410"/>
      <c r="L831" s="410"/>
    </row>
    <row r="832" spans="1:12">
      <c r="A832" s="344"/>
      <c r="B832" s="344"/>
      <c r="C832" s="344"/>
      <c r="D832" s="344"/>
      <c r="E832" s="345"/>
      <c r="F832" s="346"/>
      <c r="G832" s="344"/>
      <c r="H832" s="11"/>
      <c r="I832" s="346"/>
      <c r="J832" s="410"/>
      <c r="K832" s="410"/>
      <c r="L832" s="410"/>
    </row>
    <row r="833" spans="1:12">
      <c r="A833" s="344"/>
      <c r="B833" s="344"/>
      <c r="C833" s="344"/>
      <c r="D833" s="344"/>
      <c r="E833" s="345"/>
      <c r="F833" s="346"/>
      <c r="G833" s="344"/>
      <c r="H833" s="11"/>
      <c r="I833" s="346"/>
      <c r="J833" s="410"/>
      <c r="K833" s="410"/>
      <c r="L833" s="410"/>
    </row>
    <row r="834" spans="1:12">
      <c r="A834" s="344"/>
      <c r="B834" s="344"/>
      <c r="C834" s="344"/>
      <c r="D834" s="344"/>
      <c r="E834" s="345"/>
      <c r="F834" s="346"/>
      <c r="G834" s="344"/>
      <c r="H834" s="11"/>
      <c r="I834" s="346"/>
      <c r="J834" s="410"/>
      <c r="K834" s="410"/>
      <c r="L834" s="410"/>
    </row>
    <row r="835" spans="1:12">
      <c r="A835" s="344"/>
      <c r="B835" s="344"/>
      <c r="C835" s="344"/>
      <c r="D835" s="344"/>
      <c r="E835" s="345"/>
      <c r="F835" s="346"/>
      <c r="G835" s="344"/>
      <c r="H835" s="11"/>
      <c r="I835" s="346"/>
      <c r="J835" s="410"/>
      <c r="K835" s="410"/>
      <c r="L835" s="410"/>
    </row>
    <row r="836" spans="1:12">
      <c r="A836" s="344"/>
      <c r="B836" s="344"/>
      <c r="C836" s="344"/>
      <c r="D836" s="344"/>
      <c r="E836" s="345"/>
      <c r="F836" s="346"/>
      <c r="G836" s="344"/>
      <c r="H836" s="11"/>
      <c r="I836" s="346"/>
      <c r="J836" s="410"/>
      <c r="K836" s="410"/>
      <c r="L836" s="410"/>
    </row>
    <row r="837" spans="1:12">
      <c r="A837" s="344"/>
      <c r="B837" s="344"/>
      <c r="C837" s="344"/>
      <c r="D837" s="344"/>
      <c r="E837" s="345"/>
      <c r="F837" s="346"/>
      <c r="G837" s="344"/>
      <c r="H837" s="11"/>
      <c r="I837" s="346"/>
      <c r="J837" s="410"/>
      <c r="K837" s="410"/>
      <c r="L837" s="410"/>
    </row>
    <row r="838" spans="1:12">
      <c r="A838" s="344"/>
      <c r="B838" s="344"/>
      <c r="C838" s="344"/>
      <c r="D838" s="344"/>
      <c r="E838" s="345"/>
      <c r="F838" s="346"/>
      <c r="G838" s="344"/>
      <c r="H838" s="11"/>
      <c r="I838" s="346"/>
      <c r="J838" s="410"/>
      <c r="K838" s="410"/>
      <c r="L838" s="410"/>
    </row>
    <row r="839" spans="1:12">
      <c r="A839" s="344"/>
      <c r="B839" s="344"/>
      <c r="C839" s="344"/>
      <c r="D839" s="344"/>
      <c r="E839" s="345"/>
      <c r="F839" s="346"/>
      <c r="G839" s="344"/>
      <c r="H839" s="11"/>
      <c r="I839" s="346"/>
      <c r="J839" s="410"/>
      <c r="K839" s="410"/>
      <c r="L839" s="410"/>
    </row>
    <row r="840" spans="1:12">
      <c r="A840" s="344"/>
      <c r="B840" s="344"/>
      <c r="C840" s="344"/>
      <c r="D840" s="344"/>
      <c r="E840" s="345"/>
      <c r="F840" s="346"/>
      <c r="G840" s="344"/>
      <c r="H840" s="11"/>
      <c r="I840" s="346"/>
      <c r="J840" s="410"/>
      <c r="K840" s="410"/>
      <c r="L840" s="410"/>
    </row>
    <row r="841" spans="1:12">
      <c r="A841" s="344"/>
      <c r="B841" s="344"/>
      <c r="C841" s="344"/>
      <c r="D841" s="344"/>
      <c r="E841" s="345"/>
      <c r="F841" s="346"/>
      <c r="G841" s="344"/>
      <c r="H841" s="11"/>
      <c r="I841" s="346"/>
      <c r="J841" s="410"/>
      <c r="K841" s="410"/>
      <c r="L841" s="410"/>
    </row>
    <row r="842" spans="1:12">
      <c r="A842" s="344"/>
      <c r="B842" s="344"/>
      <c r="C842" s="344"/>
      <c r="D842" s="344"/>
      <c r="E842" s="345"/>
      <c r="F842" s="346"/>
      <c r="G842" s="344"/>
      <c r="H842" s="11"/>
      <c r="I842" s="346"/>
      <c r="J842" s="410"/>
      <c r="K842" s="410"/>
      <c r="L842" s="410"/>
    </row>
    <row r="843" spans="1:12">
      <c r="A843" s="344"/>
      <c r="B843" s="344"/>
      <c r="C843" s="344"/>
      <c r="D843" s="344"/>
      <c r="E843" s="345"/>
      <c r="F843" s="346"/>
      <c r="G843" s="344"/>
      <c r="H843" s="11"/>
      <c r="I843" s="346"/>
      <c r="J843" s="410"/>
      <c r="K843" s="410"/>
      <c r="L843" s="410"/>
    </row>
    <row r="844" spans="1:12">
      <c r="A844" s="344"/>
      <c r="B844" s="344"/>
      <c r="C844" s="344"/>
      <c r="D844" s="344"/>
      <c r="E844" s="345"/>
      <c r="F844" s="346"/>
      <c r="G844" s="344"/>
      <c r="H844" s="11"/>
      <c r="I844" s="346"/>
      <c r="J844" s="410"/>
      <c r="K844" s="410"/>
      <c r="L844" s="410"/>
    </row>
    <row r="845" spans="1:12">
      <c r="A845" s="344"/>
      <c r="B845" s="344"/>
      <c r="C845" s="344"/>
      <c r="D845" s="344"/>
      <c r="E845" s="345"/>
      <c r="F845" s="346"/>
      <c r="G845" s="344"/>
      <c r="H845" s="11"/>
      <c r="I845" s="346"/>
      <c r="J845" s="410"/>
      <c r="K845" s="410"/>
      <c r="L845" s="410"/>
    </row>
    <row r="846" spans="1:12">
      <c r="A846" s="344"/>
      <c r="B846" s="344"/>
      <c r="C846" s="344"/>
      <c r="D846" s="344"/>
      <c r="E846" s="345"/>
      <c r="F846" s="346"/>
      <c r="G846" s="344"/>
      <c r="H846" s="11"/>
      <c r="I846" s="346"/>
      <c r="J846" s="410"/>
      <c r="K846" s="410"/>
      <c r="L846" s="410"/>
    </row>
    <row r="847" spans="1:12">
      <c r="A847" s="344"/>
      <c r="B847" s="344"/>
      <c r="C847" s="344"/>
      <c r="D847" s="344"/>
      <c r="E847" s="345"/>
      <c r="F847" s="346"/>
      <c r="G847" s="344"/>
      <c r="H847" s="11"/>
      <c r="I847" s="346"/>
      <c r="J847" s="410"/>
      <c r="K847" s="410"/>
      <c r="L847" s="410"/>
    </row>
    <row r="848" spans="1:12">
      <c r="A848" s="344"/>
      <c r="B848" s="344"/>
      <c r="C848" s="344"/>
      <c r="D848" s="344"/>
      <c r="E848" s="345"/>
      <c r="F848" s="346"/>
      <c r="G848" s="344"/>
      <c r="H848" s="11"/>
      <c r="I848" s="346"/>
      <c r="J848" s="410"/>
      <c r="K848" s="410"/>
      <c r="L848" s="410"/>
    </row>
    <row r="849" spans="1:12">
      <c r="A849" s="344"/>
      <c r="B849" s="344"/>
      <c r="C849" s="344"/>
      <c r="D849" s="344"/>
      <c r="E849" s="345"/>
      <c r="F849" s="346"/>
      <c r="G849" s="344"/>
      <c r="H849" s="11"/>
      <c r="I849" s="346"/>
      <c r="J849" s="410"/>
      <c r="K849" s="410"/>
      <c r="L849" s="410"/>
    </row>
    <row r="850" spans="1:12">
      <c r="A850" s="344"/>
      <c r="B850" s="344"/>
      <c r="C850" s="344"/>
      <c r="D850" s="344"/>
      <c r="E850" s="345"/>
      <c r="F850" s="346"/>
      <c r="G850" s="344"/>
      <c r="H850" s="11"/>
      <c r="I850" s="346"/>
      <c r="J850" s="410"/>
      <c r="K850" s="410"/>
      <c r="L850" s="410"/>
    </row>
    <row r="851" spans="1:12">
      <c r="A851" s="344"/>
      <c r="B851" s="344"/>
      <c r="C851" s="344"/>
      <c r="D851" s="344"/>
      <c r="E851" s="345"/>
      <c r="F851" s="346"/>
      <c r="G851" s="344"/>
      <c r="H851" s="11"/>
      <c r="I851" s="346"/>
      <c r="J851" s="410"/>
      <c r="K851" s="410"/>
      <c r="L851" s="410"/>
    </row>
    <row r="852" spans="1:12">
      <c r="A852" s="344"/>
      <c r="B852" s="344"/>
      <c r="C852" s="344"/>
      <c r="D852" s="344"/>
      <c r="E852" s="345"/>
      <c r="F852" s="346"/>
      <c r="G852" s="344"/>
      <c r="H852" s="11"/>
      <c r="I852" s="346"/>
      <c r="J852" s="410"/>
      <c r="K852" s="410"/>
      <c r="L852" s="410"/>
    </row>
    <row r="853" spans="1:12">
      <c r="A853" s="344"/>
      <c r="B853" s="344"/>
      <c r="C853" s="344"/>
      <c r="D853" s="344"/>
      <c r="E853" s="345"/>
      <c r="F853" s="346"/>
      <c r="G853" s="344"/>
      <c r="H853" s="11"/>
      <c r="I853" s="346"/>
      <c r="J853" s="410"/>
      <c r="K853" s="410"/>
      <c r="L853" s="410"/>
    </row>
    <row r="854" spans="1:12">
      <c r="A854" s="344"/>
      <c r="B854" s="344"/>
      <c r="C854" s="344"/>
      <c r="D854" s="344"/>
      <c r="E854" s="345"/>
      <c r="F854" s="346"/>
      <c r="G854" s="344"/>
      <c r="H854" s="11"/>
      <c r="I854" s="346"/>
      <c r="J854" s="410"/>
      <c r="K854" s="410"/>
      <c r="L854" s="410"/>
    </row>
    <row r="855" spans="1:12">
      <c r="A855" s="344"/>
      <c r="B855" s="344"/>
      <c r="C855" s="344"/>
      <c r="D855" s="344"/>
      <c r="E855" s="345"/>
      <c r="F855" s="346"/>
      <c r="G855" s="344"/>
      <c r="H855" s="11"/>
      <c r="I855" s="346"/>
      <c r="J855" s="410"/>
      <c r="K855" s="410"/>
      <c r="L855" s="410"/>
    </row>
    <row r="856" spans="1:12">
      <c r="A856" s="344"/>
      <c r="B856" s="344"/>
      <c r="C856" s="344"/>
      <c r="D856" s="344"/>
      <c r="E856" s="345"/>
      <c r="F856" s="346"/>
      <c r="G856" s="344"/>
      <c r="H856" s="11"/>
      <c r="I856" s="346"/>
      <c r="J856" s="410"/>
      <c r="K856" s="410"/>
      <c r="L856" s="410"/>
    </row>
    <row r="857" spans="1:12">
      <c r="A857" s="344"/>
      <c r="B857" s="344"/>
      <c r="C857" s="344"/>
      <c r="D857" s="344"/>
      <c r="E857" s="345"/>
      <c r="F857" s="346"/>
      <c r="G857" s="344"/>
      <c r="H857" s="11"/>
      <c r="I857" s="346"/>
      <c r="J857" s="410"/>
      <c r="K857" s="410"/>
      <c r="L857" s="410"/>
    </row>
    <row r="858" spans="1:12">
      <c r="A858" s="344"/>
      <c r="B858" s="344"/>
      <c r="C858" s="344"/>
      <c r="D858" s="344"/>
      <c r="E858" s="345"/>
      <c r="F858" s="346"/>
      <c r="G858" s="344"/>
      <c r="H858" s="11"/>
      <c r="I858" s="346"/>
      <c r="J858" s="410"/>
      <c r="K858" s="410"/>
      <c r="L858" s="410"/>
    </row>
    <row r="859" spans="1:12">
      <c r="A859" s="344"/>
      <c r="B859" s="344"/>
      <c r="C859" s="344"/>
      <c r="D859" s="344"/>
      <c r="E859" s="345"/>
      <c r="F859" s="346"/>
      <c r="G859" s="344"/>
      <c r="H859" s="11"/>
      <c r="I859" s="346"/>
      <c r="J859" s="410"/>
      <c r="K859" s="410"/>
      <c r="L859" s="410"/>
    </row>
    <row r="860" spans="1:12">
      <c r="A860" s="344"/>
      <c r="B860" s="344"/>
      <c r="C860" s="344"/>
      <c r="D860" s="344"/>
      <c r="E860" s="345"/>
      <c r="F860" s="346"/>
      <c r="G860" s="344"/>
      <c r="H860" s="11"/>
      <c r="I860" s="346"/>
      <c r="J860" s="410"/>
      <c r="K860" s="410"/>
      <c r="L860" s="410"/>
    </row>
    <row r="861" spans="1:12">
      <c r="A861" s="344"/>
      <c r="B861" s="344"/>
      <c r="C861" s="344"/>
      <c r="D861" s="344"/>
      <c r="E861" s="345"/>
      <c r="F861" s="346"/>
      <c r="G861" s="344"/>
      <c r="H861" s="11"/>
      <c r="I861" s="346"/>
      <c r="J861" s="410"/>
      <c r="K861" s="410"/>
      <c r="L861" s="410"/>
    </row>
    <row r="862" spans="1:12">
      <c r="A862" s="344"/>
      <c r="B862" s="344"/>
      <c r="C862" s="344"/>
      <c r="D862" s="344"/>
      <c r="E862" s="345"/>
      <c r="F862" s="346"/>
      <c r="G862" s="344"/>
      <c r="H862" s="11"/>
      <c r="I862" s="346"/>
      <c r="J862" s="410"/>
      <c r="K862" s="410"/>
      <c r="L862" s="410"/>
    </row>
    <row r="863" spans="1:12">
      <c r="A863" s="344"/>
      <c r="B863" s="344"/>
      <c r="C863" s="344"/>
      <c r="D863" s="344"/>
      <c r="E863" s="345"/>
      <c r="F863" s="346"/>
      <c r="G863" s="344"/>
      <c r="H863" s="11"/>
      <c r="I863" s="346"/>
      <c r="J863" s="410"/>
      <c r="K863" s="410"/>
      <c r="L863" s="410"/>
    </row>
    <row r="864" spans="1:12">
      <c r="A864" s="344"/>
      <c r="B864" s="344"/>
      <c r="C864" s="344"/>
      <c r="D864" s="344"/>
      <c r="E864" s="345"/>
      <c r="F864" s="346"/>
      <c r="G864" s="344"/>
      <c r="H864" s="11"/>
      <c r="I864" s="346"/>
      <c r="J864" s="410"/>
      <c r="K864" s="410"/>
      <c r="L864" s="410"/>
    </row>
    <row r="865" spans="1:12">
      <c r="A865" s="344"/>
      <c r="B865" s="344"/>
      <c r="C865" s="344"/>
      <c r="D865" s="344"/>
      <c r="E865" s="345"/>
      <c r="F865" s="346"/>
      <c r="G865" s="344"/>
      <c r="H865" s="11"/>
      <c r="I865" s="346"/>
      <c r="J865" s="410"/>
      <c r="K865" s="410"/>
      <c r="L865" s="410"/>
    </row>
    <row r="866" spans="1:12">
      <c r="A866" s="344"/>
      <c r="B866" s="344"/>
      <c r="C866" s="344"/>
      <c r="D866" s="344"/>
      <c r="E866" s="345"/>
      <c r="F866" s="346"/>
      <c r="G866" s="344"/>
      <c r="H866" s="11"/>
      <c r="I866" s="346"/>
      <c r="J866" s="410"/>
      <c r="K866" s="410"/>
      <c r="L866" s="410"/>
    </row>
    <row r="867" spans="1:12">
      <c r="A867" s="344"/>
      <c r="B867" s="344"/>
      <c r="C867" s="344"/>
      <c r="D867" s="344"/>
      <c r="E867" s="345"/>
      <c r="F867" s="346"/>
      <c r="G867" s="344"/>
      <c r="H867" s="11"/>
      <c r="I867" s="346"/>
      <c r="J867" s="410"/>
      <c r="K867" s="410"/>
      <c r="L867" s="410"/>
    </row>
    <row r="868" spans="1:12">
      <c r="A868" s="344"/>
      <c r="B868" s="344"/>
      <c r="C868" s="344"/>
      <c r="D868" s="344"/>
      <c r="E868" s="345"/>
      <c r="F868" s="346"/>
      <c r="G868" s="344"/>
      <c r="H868" s="11"/>
      <c r="I868" s="346"/>
      <c r="J868" s="410"/>
      <c r="K868" s="410"/>
      <c r="L868" s="410"/>
    </row>
    <row r="869" spans="1:12">
      <c r="A869" s="344"/>
      <c r="B869" s="344"/>
      <c r="C869" s="344"/>
      <c r="D869" s="344"/>
      <c r="E869" s="345"/>
      <c r="F869" s="346"/>
      <c r="G869" s="344"/>
      <c r="H869" s="11"/>
      <c r="I869" s="346"/>
      <c r="J869" s="410"/>
      <c r="K869" s="410"/>
      <c r="L869" s="410"/>
    </row>
    <row r="870" spans="1:12">
      <c r="A870" s="344"/>
      <c r="B870" s="344"/>
      <c r="C870" s="344"/>
      <c r="D870" s="344"/>
      <c r="E870" s="345"/>
      <c r="F870" s="346"/>
      <c r="G870" s="344"/>
      <c r="H870" s="11"/>
      <c r="I870" s="346"/>
      <c r="J870" s="410"/>
      <c r="K870" s="410"/>
      <c r="L870" s="410"/>
    </row>
    <row r="871" spans="1:12">
      <c r="A871" s="344"/>
      <c r="B871" s="344"/>
      <c r="C871" s="344"/>
      <c r="D871" s="344"/>
      <c r="E871" s="345"/>
      <c r="F871" s="346"/>
      <c r="G871" s="344"/>
      <c r="H871" s="11"/>
      <c r="I871" s="346"/>
      <c r="J871" s="410"/>
      <c r="K871" s="410"/>
      <c r="L871" s="410"/>
    </row>
    <row r="872" spans="1:12">
      <c r="A872" s="344"/>
      <c r="B872" s="344"/>
      <c r="C872" s="344"/>
      <c r="D872" s="344"/>
      <c r="E872" s="345"/>
      <c r="F872" s="346"/>
      <c r="G872" s="344"/>
      <c r="H872" s="11"/>
      <c r="I872" s="346"/>
      <c r="J872" s="410"/>
      <c r="K872" s="410"/>
      <c r="L872" s="410"/>
    </row>
    <row r="873" spans="1:12">
      <c r="A873" s="344"/>
      <c r="B873" s="344"/>
      <c r="C873" s="344"/>
      <c r="D873" s="344"/>
      <c r="E873" s="345"/>
      <c r="F873" s="346"/>
      <c r="G873" s="344"/>
      <c r="H873" s="11"/>
      <c r="I873" s="346"/>
      <c r="J873" s="410"/>
      <c r="K873" s="410"/>
      <c r="L873" s="410"/>
    </row>
    <row r="874" spans="1:12">
      <c r="A874" s="344"/>
      <c r="B874" s="344"/>
      <c r="C874" s="344"/>
      <c r="D874" s="344"/>
      <c r="E874" s="345"/>
      <c r="F874" s="346"/>
      <c r="G874" s="344"/>
      <c r="H874" s="11"/>
      <c r="I874" s="346"/>
      <c r="J874" s="410"/>
      <c r="K874" s="410"/>
      <c r="L874" s="410"/>
    </row>
    <row r="875" spans="1:12">
      <c r="A875" s="344"/>
      <c r="B875" s="344"/>
      <c r="C875" s="344"/>
      <c r="D875" s="344"/>
      <c r="E875" s="345"/>
      <c r="F875" s="346"/>
      <c r="G875" s="344"/>
      <c r="H875" s="11"/>
      <c r="I875" s="346"/>
      <c r="J875" s="410"/>
      <c r="K875" s="410"/>
      <c r="L875" s="410"/>
    </row>
    <row r="876" spans="1:12">
      <c r="A876" s="344"/>
      <c r="B876" s="344"/>
      <c r="C876" s="344"/>
      <c r="D876" s="344"/>
      <c r="E876" s="345"/>
      <c r="F876" s="346"/>
      <c r="G876" s="344"/>
      <c r="H876" s="11"/>
      <c r="I876" s="346"/>
      <c r="J876" s="410"/>
      <c r="K876" s="410"/>
      <c r="L876" s="410"/>
    </row>
    <row r="877" spans="1:12">
      <c r="A877" s="344"/>
      <c r="B877" s="344"/>
      <c r="C877" s="344"/>
      <c r="D877" s="344"/>
      <c r="E877" s="345"/>
      <c r="F877" s="346"/>
      <c r="G877" s="344"/>
      <c r="H877" s="11"/>
      <c r="I877" s="346"/>
      <c r="J877" s="410"/>
      <c r="K877" s="410"/>
      <c r="L877" s="410"/>
    </row>
    <row r="878" spans="1:12">
      <c r="A878" s="344"/>
      <c r="B878" s="344"/>
      <c r="C878" s="344"/>
      <c r="D878" s="344"/>
      <c r="E878" s="345"/>
      <c r="F878" s="346"/>
      <c r="G878" s="344"/>
      <c r="H878" s="11"/>
      <c r="I878" s="346"/>
      <c r="J878" s="410"/>
      <c r="K878" s="410"/>
      <c r="L878" s="410"/>
    </row>
    <row r="879" spans="1:12">
      <c r="A879" s="344"/>
      <c r="B879" s="344"/>
      <c r="C879" s="344"/>
      <c r="D879" s="344"/>
      <c r="E879" s="345"/>
      <c r="F879" s="346"/>
      <c r="G879" s="344"/>
      <c r="H879" s="11"/>
      <c r="I879" s="346"/>
      <c r="J879" s="410"/>
      <c r="K879" s="410"/>
      <c r="L879" s="410"/>
    </row>
    <row r="880" spans="1:12">
      <c r="A880" s="344"/>
      <c r="B880" s="344"/>
      <c r="C880" s="344"/>
      <c r="D880" s="344"/>
      <c r="E880" s="345"/>
      <c r="F880" s="346"/>
      <c r="G880" s="344"/>
      <c r="H880" s="11"/>
      <c r="I880" s="346"/>
      <c r="J880" s="410"/>
      <c r="K880" s="410"/>
      <c r="L880" s="410"/>
    </row>
    <row r="881" spans="1:12">
      <c r="A881" s="344"/>
      <c r="B881" s="344"/>
      <c r="C881" s="344"/>
      <c r="D881" s="344"/>
      <c r="E881" s="345"/>
      <c r="F881" s="346"/>
      <c r="G881" s="344"/>
      <c r="H881" s="11"/>
      <c r="I881" s="346"/>
      <c r="J881" s="410"/>
      <c r="K881" s="410"/>
      <c r="L881" s="410"/>
    </row>
    <row r="882" spans="1:12">
      <c r="A882" s="344"/>
      <c r="B882" s="344"/>
      <c r="C882" s="344"/>
      <c r="D882" s="344"/>
      <c r="E882" s="345"/>
      <c r="F882" s="346"/>
      <c r="G882" s="344"/>
      <c r="H882" s="11"/>
      <c r="I882" s="346"/>
      <c r="J882" s="410"/>
      <c r="K882" s="410"/>
      <c r="L882" s="410"/>
    </row>
    <row r="883" spans="1:12">
      <c r="A883" s="344"/>
      <c r="B883" s="344"/>
      <c r="C883" s="344"/>
      <c r="D883" s="344"/>
      <c r="E883" s="345"/>
      <c r="F883" s="346"/>
      <c r="G883" s="344"/>
      <c r="H883" s="11"/>
      <c r="I883" s="346"/>
      <c r="J883" s="410"/>
      <c r="K883" s="410"/>
      <c r="L883" s="410"/>
    </row>
    <row r="884" spans="1:12">
      <c r="A884" s="344"/>
      <c r="B884" s="344"/>
      <c r="C884" s="344"/>
      <c r="D884" s="344"/>
      <c r="E884" s="345"/>
      <c r="F884" s="346"/>
      <c r="G884" s="344"/>
      <c r="H884" s="11"/>
      <c r="I884" s="346"/>
      <c r="J884" s="410"/>
      <c r="K884" s="410"/>
      <c r="L884" s="410"/>
    </row>
    <row r="885" spans="1:12">
      <c r="A885" s="344"/>
      <c r="B885" s="344"/>
      <c r="C885" s="344"/>
      <c r="D885" s="344"/>
      <c r="E885" s="345"/>
      <c r="F885" s="346"/>
      <c r="G885" s="344"/>
      <c r="H885" s="11"/>
      <c r="I885" s="346"/>
      <c r="J885" s="410"/>
      <c r="K885" s="410"/>
      <c r="L885" s="410"/>
    </row>
    <row r="886" spans="1:12">
      <c r="A886" s="344"/>
      <c r="B886" s="344"/>
      <c r="C886" s="344"/>
      <c r="D886" s="344"/>
      <c r="E886" s="345"/>
      <c r="F886" s="346"/>
      <c r="G886" s="344"/>
      <c r="H886" s="11"/>
      <c r="I886" s="346"/>
      <c r="J886" s="410"/>
      <c r="K886" s="410"/>
      <c r="L886" s="410"/>
    </row>
    <row r="887" spans="1:12">
      <c r="A887" s="344"/>
      <c r="B887" s="344"/>
      <c r="C887" s="344"/>
      <c r="D887" s="344"/>
      <c r="E887" s="345"/>
      <c r="F887" s="346"/>
      <c r="G887" s="344"/>
      <c r="H887" s="11"/>
      <c r="I887" s="346"/>
      <c r="J887" s="410"/>
      <c r="K887" s="410"/>
      <c r="L887" s="410"/>
    </row>
    <row r="888" spans="1:12">
      <c r="A888" s="344"/>
      <c r="B888" s="344"/>
      <c r="C888" s="344"/>
      <c r="D888" s="344"/>
      <c r="E888" s="345"/>
      <c r="F888" s="346"/>
      <c r="G888" s="344"/>
      <c r="H888" s="11"/>
      <c r="I888" s="346"/>
      <c r="J888" s="410"/>
      <c r="K888" s="410"/>
      <c r="L888" s="410"/>
    </row>
    <row r="889" spans="1:12">
      <c r="A889" s="344"/>
      <c r="B889" s="344"/>
      <c r="C889" s="344"/>
      <c r="D889" s="344"/>
      <c r="E889" s="345"/>
      <c r="F889" s="346"/>
      <c r="G889" s="344"/>
      <c r="H889" s="11"/>
      <c r="I889" s="346"/>
      <c r="J889" s="410"/>
      <c r="K889" s="410"/>
      <c r="L889" s="410"/>
    </row>
    <row r="890" spans="1:12">
      <c r="A890" s="344"/>
      <c r="B890" s="344"/>
      <c r="C890" s="344"/>
      <c r="D890" s="344"/>
      <c r="E890" s="345"/>
      <c r="F890" s="346"/>
      <c r="G890" s="344"/>
      <c r="H890" s="11"/>
      <c r="I890" s="346"/>
      <c r="J890" s="410"/>
      <c r="K890" s="410"/>
      <c r="L890" s="410"/>
    </row>
    <row r="891" spans="1:12">
      <c r="A891" s="344"/>
      <c r="B891" s="344"/>
      <c r="C891" s="344"/>
      <c r="D891" s="344"/>
      <c r="E891" s="345"/>
      <c r="F891" s="346"/>
      <c r="G891" s="344"/>
      <c r="H891" s="11"/>
      <c r="I891" s="346"/>
      <c r="J891" s="410"/>
      <c r="K891" s="410"/>
      <c r="L891" s="410"/>
    </row>
    <row r="892" spans="1:12">
      <c r="A892" s="344"/>
      <c r="B892" s="344"/>
      <c r="C892" s="344"/>
      <c r="D892" s="344"/>
      <c r="E892" s="345"/>
      <c r="F892" s="346"/>
      <c r="G892" s="344"/>
      <c r="H892" s="11"/>
      <c r="I892" s="346"/>
      <c r="J892" s="410"/>
      <c r="K892" s="410"/>
      <c r="L892" s="410"/>
    </row>
    <row r="893" spans="1:12">
      <c r="A893" s="344"/>
      <c r="B893" s="344"/>
      <c r="C893" s="344"/>
      <c r="D893" s="344"/>
      <c r="E893" s="345"/>
      <c r="F893" s="346"/>
      <c r="G893" s="344"/>
      <c r="H893" s="11"/>
      <c r="I893" s="346"/>
      <c r="J893" s="410"/>
      <c r="K893" s="410"/>
      <c r="L893" s="410"/>
    </row>
    <row r="894" spans="1:12">
      <c r="A894" s="344"/>
      <c r="B894" s="344"/>
      <c r="C894" s="344"/>
      <c r="D894" s="344"/>
      <c r="E894" s="345"/>
      <c r="F894" s="346"/>
      <c r="G894" s="344"/>
      <c r="H894" s="11"/>
      <c r="I894" s="346"/>
      <c r="J894" s="410"/>
      <c r="K894" s="410"/>
      <c r="L894" s="410"/>
    </row>
    <row r="895" spans="1:12">
      <c r="A895" s="344"/>
      <c r="B895" s="344"/>
      <c r="C895" s="344"/>
      <c r="D895" s="344"/>
      <c r="E895" s="345"/>
      <c r="F895" s="346"/>
      <c r="G895" s="344"/>
      <c r="H895" s="11"/>
      <c r="I895" s="346"/>
      <c r="J895" s="410"/>
      <c r="K895" s="410"/>
      <c r="L895" s="410"/>
    </row>
    <row r="896" spans="1:12">
      <c r="A896" s="344"/>
      <c r="B896" s="344"/>
      <c r="C896" s="344"/>
      <c r="D896" s="344"/>
      <c r="E896" s="345"/>
      <c r="F896" s="346"/>
      <c r="G896" s="344"/>
      <c r="H896" s="11"/>
      <c r="I896" s="346"/>
      <c r="J896" s="410"/>
      <c r="K896" s="410"/>
      <c r="L896" s="410"/>
    </row>
    <row r="897" spans="1:12">
      <c r="A897" s="344"/>
      <c r="B897" s="344"/>
      <c r="C897" s="344"/>
      <c r="D897" s="344"/>
      <c r="E897" s="345"/>
      <c r="F897" s="346"/>
      <c r="G897" s="344"/>
      <c r="H897" s="11"/>
      <c r="I897" s="346"/>
      <c r="J897" s="410"/>
      <c r="K897" s="410"/>
      <c r="L897" s="410"/>
    </row>
    <row r="898" spans="1:12">
      <c r="A898" s="344"/>
      <c r="B898" s="344"/>
      <c r="C898" s="344"/>
      <c r="D898" s="344"/>
      <c r="E898" s="345"/>
      <c r="F898" s="346"/>
      <c r="G898" s="344"/>
      <c r="H898" s="11"/>
      <c r="I898" s="346"/>
      <c r="J898" s="410"/>
      <c r="K898" s="410"/>
      <c r="L898" s="410"/>
    </row>
    <row r="899" spans="1:12">
      <c r="A899" s="344"/>
      <c r="B899" s="344"/>
      <c r="C899" s="344"/>
      <c r="D899" s="344"/>
      <c r="E899" s="345"/>
      <c r="F899" s="346"/>
      <c r="G899" s="344"/>
      <c r="H899" s="11"/>
      <c r="I899" s="346"/>
      <c r="J899" s="410"/>
      <c r="K899" s="410"/>
      <c r="L899" s="410"/>
    </row>
    <row r="900" spans="1:12">
      <c r="A900" s="344"/>
      <c r="B900" s="344"/>
      <c r="C900" s="344"/>
      <c r="D900" s="344"/>
      <c r="E900" s="345"/>
      <c r="F900" s="346"/>
      <c r="G900" s="344"/>
      <c r="H900" s="11"/>
      <c r="I900" s="346"/>
      <c r="J900" s="410"/>
      <c r="K900" s="410"/>
      <c r="L900" s="410"/>
    </row>
    <row r="901" spans="1:12">
      <c r="A901" s="344"/>
      <c r="B901" s="344"/>
      <c r="C901" s="344"/>
      <c r="D901" s="344"/>
      <c r="E901" s="345"/>
      <c r="F901" s="346"/>
      <c r="G901" s="344"/>
      <c r="H901" s="11"/>
      <c r="I901" s="346"/>
      <c r="J901" s="410"/>
      <c r="K901" s="410"/>
      <c r="L901" s="410"/>
    </row>
    <row r="902" spans="1:12">
      <c r="A902" s="344"/>
      <c r="B902" s="344"/>
      <c r="C902" s="344"/>
      <c r="D902" s="344"/>
      <c r="E902" s="345"/>
      <c r="F902" s="346"/>
      <c r="G902" s="344"/>
      <c r="H902" s="11"/>
      <c r="I902" s="346"/>
      <c r="J902" s="410"/>
      <c r="K902" s="410"/>
      <c r="L902" s="410"/>
    </row>
    <row r="903" spans="1:12">
      <c r="A903" s="344"/>
      <c r="B903" s="344"/>
      <c r="C903" s="344"/>
      <c r="D903" s="344"/>
      <c r="E903" s="345"/>
      <c r="F903" s="346"/>
      <c r="G903" s="344"/>
      <c r="H903" s="11"/>
      <c r="I903" s="346"/>
      <c r="J903" s="410"/>
      <c r="K903" s="410"/>
      <c r="L903" s="410"/>
    </row>
    <row r="904" spans="1:12">
      <c r="A904" s="344"/>
      <c r="B904" s="344"/>
      <c r="C904" s="344"/>
      <c r="D904" s="344"/>
      <c r="E904" s="345"/>
      <c r="F904" s="346"/>
      <c r="G904" s="344"/>
      <c r="H904" s="11"/>
      <c r="I904" s="346"/>
      <c r="J904" s="410"/>
      <c r="K904" s="410"/>
      <c r="L904" s="410"/>
    </row>
    <row r="905" spans="1:12">
      <c r="A905" s="344"/>
      <c r="B905" s="344"/>
      <c r="C905" s="344"/>
      <c r="D905" s="344"/>
      <c r="E905" s="345"/>
      <c r="F905" s="346"/>
      <c r="G905" s="344"/>
      <c r="H905" s="11"/>
      <c r="I905" s="346"/>
      <c r="J905" s="410"/>
      <c r="K905" s="410"/>
      <c r="L905" s="410"/>
    </row>
    <row r="906" spans="1:12">
      <c r="A906" s="344"/>
      <c r="B906" s="344"/>
      <c r="C906" s="344"/>
      <c r="D906" s="344"/>
      <c r="E906" s="345"/>
      <c r="F906" s="346"/>
      <c r="G906" s="344"/>
      <c r="H906" s="11"/>
      <c r="I906" s="346"/>
      <c r="J906" s="410"/>
      <c r="K906" s="410"/>
      <c r="L906" s="410"/>
    </row>
    <row r="907" spans="1:12">
      <c r="A907" s="344"/>
      <c r="B907" s="344"/>
      <c r="C907" s="344"/>
      <c r="D907" s="344"/>
      <c r="E907" s="345"/>
      <c r="F907" s="346"/>
      <c r="G907" s="344"/>
      <c r="H907" s="11"/>
      <c r="I907" s="346"/>
      <c r="J907" s="410"/>
      <c r="K907" s="410"/>
      <c r="L907" s="410"/>
    </row>
    <row r="908" spans="1:12">
      <c r="A908" s="344"/>
      <c r="B908" s="344"/>
      <c r="C908" s="344"/>
      <c r="D908" s="344"/>
      <c r="E908" s="345"/>
      <c r="F908" s="346"/>
      <c r="G908" s="344"/>
      <c r="H908" s="11"/>
      <c r="I908" s="346"/>
      <c r="J908" s="410"/>
      <c r="K908" s="410"/>
      <c r="L908" s="410"/>
    </row>
    <row r="909" spans="1:12">
      <c r="A909" s="344"/>
      <c r="B909" s="344"/>
      <c r="C909" s="344"/>
      <c r="D909" s="344"/>
      <c r="E909" s="345"/>
      <c r="F909" s="346"/>
      <c r="G909" s="344"/>
      <c r="H909" s="11"/>
      <c r="I909" s="346"/>
      <c r="J909" s="410"/>
      <c r="K909" s="410"/>
      <c r="L909" s="410"/>
    </row>
    <row r="910" spans="1:12">
      <c r="A910" s="344"/>
      <c r="B910" s="344"/>
      <c r="C910" s="344"/>
      <c r="D910" s="344"/>
      <c r="E910" s="345"/>
      <c r="F910" s="346"/>
      <c r="G910" s="344"/>
      <c r="H910" s="11"/>
      <c r="I910" s="346"/>
      <c r="J910" s="410"/>
      <c r="K910" s="410"/>
      <c r="L910" s="410"/>
    </row>
    <row r="911" spans="1:12">
      <c r="A911" s="344"/>
      <c r="B911" s="344"/>
      <c r="C911" s="344"/>
      <c r="D911" s="344"/>
      <c r="E911" s="345"/>
      <c r="F911" s="346"/>
      <c r="G911" s="344"/>
      <c r="H911" s="11"/>
      <c r="I911" s="346"/>
      <c r="J911" s="410"/>
      <c r="K911" s="410"/>
      <c r="L911" s="410"/>
    </row>
    <row r="912" spans="1:12">
      <c r="A912" s="344"/>
      <c r="B912" s="344"/>
      <c r="C912" s="344"/>
      <c r="D912" s="344"/>
      <c r="E912" s="345"/>
      <c r="F912" s="346"/>
      <c r="G912" s="344"/>
      <c r="H912" s="11"/>
      <c r="I912" s="346"/>
      <c r="J912" s="410"/>
      <c r="K912" s="410"/>
      <c r="L912" s="410"/>
    </row>
    <row r="913" spans="1:12">
      <c r="A913" s="344"/>
      <c r="B913" s="344"/>
      <c r="C913" s="344"/>
      <c r="D913" s="344"/>
      <c r="E913" s="345"/>
      <c r="F913" s="346"/>
      <c r="G913" s="344"/>
      <c r="H913" s="11"/>
      <c r="I913" s="346"/>
      <c r="J913" s="410"/>
      <c r="K913" s="410"/>
      <c r="L913" s="410"/>
    </row>
    <row r="914" spans="1:12">
      <c r="A914" s="344"/>
      <c r="B914" s="344"/>
      <c r="C914" s="344"/>
      <c r="D914" s="344"/>
      <c r="E914" s="345"/>
      <c r="F914" s="346"/>
      <c r="G914" s="344"/>
      <c r="H914" s="11"/>
      <c r="I914" s="346"/>
      <c r="J914" s="410"/>
      <c r="K914" s="410"/>
      <c r="L914" s="410"/>
    </row>
    <row r="915" spans="1:12">
      <c r="A915" s="344"/>
      <c r="B915" s="344"/>
      <c r="C915" s="344"/>
      <c r="D915" s="344"/>
      <c r="E915" s="345"/>
      <c r="F915" s="346"/>
      <c r="G915" s="344"/>
      <c r="H915" s="11"/>
      <c r="I915" s="346"/>
      <c r="J915" s="410"/>
      <c r="K915" s="410"/>
      <c r="L915" s="410"/>
    </row>
    <row r="916" spans="1:12">
      <c r="A916" s="344"/>
      <c r="B916" s="344"/>
      <c r="C916" s="344"/>
      <c r="D916" s="344"/>
      <c r="E916" s="345"/>
      <c r="F916" s="346"/>
      <c r="G916" s="344"/>
      <c r="H916" s="11"/>
      <c r="I916" s="346"/>
      <c r="J916" s="410"/>
      <c r="K916" s="410"/>
      <c r="L916" s="410"/>
    </row>
    <row r="917" spans="1:12">
      <c r="A917" s="344"/>
      <c r="B917" s="344"/>
      <c r="C917" s="344"/>
      <c r="D917" s="344"/>
      <c r="E917" s="345"/>
      <c r="F917" s="346"/>
      <c r="G917" s="344"/>
      <c r="H917" s="11"/>
      <c r="I917" s="346"/>
      <c r="J917" s="410"/>
      <c r="K917" s="410"/>
      <c r="L917" s="410"/>
    </row>
    <row r="918" spans="1:12">
      <c r="A918" s="344"/>
      <c r="B918" s="344"/>
      <c r="C918" s="344"/>
      <c r="D918" s="344"/>
      <c r="E918" s="345"/>
      <c r="F918" s="346"/>
      <c r="G918" s="344"/>
      <c r="H918" s="11"/>
      <c r="I918" s="346"/>
      <c r="J918" s="410"/>
      <c r="K918" s="410"/>
      <c r="L918" s="410"/>
    </row>
    <row r="919" spans="1:12">
      <c r="A919" s="344"/>
      <c r="B919" s="344"/>
      <c r="C919" s="344"/>
      <c r="D919" s="344"/>
      <c r="E919" s="345"/>
      <c r="F919" s="346"/>
      <c r="G919" s="344"/>
      <c r="H919" s="11"/>
      <c r="I919" s="346"/>
      <c r="J919" s="410"/>
      <c r="K919" s="410"/>
      <c r="L919" s="410"/>
    </row>
    <row r="920" spans="1:12">
      <c r="A920" s="344"/>
      <c r="B920" s="344"/>
      <c r="C920" s="344"/>
      <c r="D920" s="344"/>
      <c r="E920" s="345"/>
      <c r="F920" s="346"/>
      <c r="G920" s="344"/>
      <c r="H920" s="11"/>
      <c r="I920" s="346"/>
      <c r="J920" s="410"/>
      <c r="K920" s="410"/>
      <c r="L920" s="410"/>
    </row>
    <row r="921" spans="1:12">
      <c r="A921" s="344"/>
      <c r="B921" s="344"/>
      <c r="C921" s="344"/>
      <c r="D921" s="344"/>
      <c r="E921" s="345"/>
      <c r="F921" s="346"/>
      <c r="G921" s="344"/>
      <c r="H921" s="11"/>
      <c r="I921" s="346"/>
      <c r="J921" s="410"/>
      <c r="K921" s="410"/>
      <c r="L921" s="410"/>
    </row>
    <row r="922" spans="1:12">
      <c r="A922" s="344"/>
      <c r="B922" s="344"/>
      <c r="C922" s="344"/>
      <c r="D922" s="344"/>
      <c r="E922" s="345"/>
      <c r="F922" s="346"/>
      <c r="G922" s="344"/>
      <c r="H922" s="11"/>
      <c r="I922" s="346"/>
      <c r="J922" s="410"/>
      <c r="K922" s="410"/>
      <c r="L922" s="410"/>
    </row>
    <row r="923" spans="1:12">
      <c r="A923" s="344"/>
      <c r="B923" s="344"/>
      <c r="C923" s="344"/>
      <c r="D923" s="344"/>
      <c r="E923" s="345"/>
      <c r="F923" s="346"/>
      <c r="G923" s="344"/>
      <c r="H923" s="11"/>
      <c r="I923" s="346"/>
      <c r="J923" s="410"/>
      <c r="K923" s="410"/>
      <c r="L923" s="410"/>
    </row>
    <row r="924" spans="1:12">
      <c r="A924" s="344"/>
      <c r="B924" s="344"/>
      <c r="C924" s="344"/>
      <c r="D924" s="344"/>
      <c r="E924" s="345"/>
      <c r="F924" s="346"/>
      <c r="G924" s="344"/>
      <c r="H924" s="11"/>
      <c r="I924" s="346"/>
      <c r="J924" s="410"/>
      <c r="K924" s="410"/>
      <c r="L924" s="410"/>
    </row>
    <row r="925" spans="1:12">
      <c r="A925" s="344"/>
      <c r="B925" s="344"/>
      <c r="C925" s="344"/>
      <c r="D925" s="344"/>
      <c r="E925" s="345"/>
      <c r="F925" s="346"/>
      <c r="G925" s="344"/>
      <c r="H925" s="11"/>
      <c r="I925" s="346"/>
      <c r="J925" s="410"/>
      <c r="K925" s="410"/>
      <c r="L925" s="410"/>
    </row>
    <row r="926" spans="1:12">
      <c r="A926" s="344"/>
      <c r="B926" s="344"/>
      <c r="C926" s="344"/>
      <c r="D926" s="344"/>
      <c r="E926" s="345"/>
      <c r="F926" s="346"/>
      <c r="G926" s="344"/>
      <c r="H926" s="11"/>
      <c r="I926" s="346"/>
      <c r="J926" s="410"/>
      <c r="K926" s="410"/>
      <c r="L926" s="410"/>
    </row>
    <row r="927" spans="1:12">
      <c r="A927" s="344"/>
      <c r="B927" s="344"/>
      <c r="C927" s="344"/>
      <c r="D927" s="344"/>
      <c r="E927" s="345"/>
      <c r="F927" s="346"/>
      <c r="G927" s="344"/>
      <c r="H927" s="11"/>
      <c r="I927" s="346"/>
      <c r="J927" s="410"/>
      <c r="K927" s="410"/>
      <c r="L927" s="410"/>
    </row>
    <row r="928" spans="1:12">
      <c r="A928" s="344"/>
      <c r="B928" s="344"/>
      <c r="C928" s="344"/>
      <c r="D928" s="344"/>
      <c r="E928" s="345"/>
      <c r="F928" s="346"/>
      <c r="G928" s="344"/>
      <c r="H928" s="11"/>
      <c r="I928" s="346"/>
      <c r="J928" s="410"/>
      <c r="K928" s="410"/>
      <c r="L928" s="410"/>
    </row>
    <row r="929" spans="1:12">
      <c r="A929" s="344"/>
      <c r="B929" s="344"/>
      <c r="C929" s="344"/>
      <c r="D929" s="344"/>
      <c r="E929" s="345"/>
      <c r="F929" s="346"/>
      <c r="G929" s="344"/>
      <c r="H929" s="11"/>
      <c r="I929" s="346"/>
      <c r="J929" s="410"/>
      <c r="K929" s="410"/>
      <c r="L929" s="410"/>
    </row>
    <row r="930" spans="1:12">
      <c r="A930" s="344"/>
      <c r="B930" s="344"/>
      <c r="C930" s="344"/>
      <c r="D930" s="344"/>
      <c r="E930" s="345"/>
      <c r="F930" s="346"/>
      <c r="G930" s="344"/>
      <c r="H930" s="11"/>
      <c r="I930" s="346"/>
      <c r="J930" s="410"/>
      <c r="K930" s="410"/>
      <c r="L930" s="410"/>
    </row>
    <row r="931" spans="1:12">
      <c r="A931" s="344"/>
      <c r="B931" s="344"/>
      <c r="C931" s="344"/>
      <c r="D931" s="344"/>
      <c r="E931" s="345"/>
      <c r="F931" s="346"/>
      <c r="G931" s="344"/>
      <c r="H931" s="11"/>
      <c r="I931" s="346"/>
      <c r="J931" s="410"/>
      <c r="K931" s="410"/>
      <c r="L931" s="410"/>
    </row>
    <row r="932" spans="1:12">
      <c r="A932" s="344"/>
      <c r="B932" s="344"/>
      <c r="C932" s="344"/>
      <c r="D932" s="344"/>
      <c r="E932" s="345"/>
      <c r="F932" s="346"/>
      <c r="G932" s="344"/>
      <c r="H932" s="11"/>
      <c r="I932" s="346"/>
      <c r="J932" s="410"/>
      <c r="K932" s="410"/>
      <c r="L932" s="410"/>
    </row>
    <row r="933" spans="1:12">
      <c r="A933" s="344"/>
      <c r="B933" s="344"/>
      <c r="C933" s="344"/>
      <c r="D933" s="344"/>
      <c r="E933" s="345"/>
      <c r="F933" s="346"/>
      <c r="G933" s="344"/>
      <c r="H933" s="11"/>
      <c r="I933" s="346"/>
      <c r="J933" s="410"/>
      <c r="K933" s="410"/>
      <c r="L933" s="410"/>
    </row>
    <row r="934" spans="1:12">
      <c r="A934" s="344"/>
      <c r="B934" s="344"/>
      <c r="C934" s="344"/>
      <c r="D934" s="344"/>
      <c r="E934" s="345"/>
      <c r="F934" s="346"/>
      <c r="G934" s="344"/>
      <c r="H934" s="11"/>
      <c r="I934" s="346"/>
      <c r="J934" s="410"/>
      <c r="K934" s="410"/>
      <c r="L934" s="410"/>
    </row>
    <row r="935" spans="1:12">
      <c r="A935" s="344"/>
      <c r="B935" s="344"/>
      <c r="C935" s="344"/>
      <c r="D935" s="344"/>
      <c r="E935" s="345"/>
      <c r="F935" s="346"/>
      <c r="G935" s="344"/>
      <c r="H935" s="11"/>
      <c r="I935" s="346"/>
      <c r="J935" s="410"/>
      <c r="K935" s="410"/>
      <c r="L935" s="410"/>
    </row>
    <row r="936" spans="1:12">
      <c r="A936" s="344"/>
      <c r="B936" s="344"/>
      <c r="C936" s="344"/>
      <c r="D936" s="344"/>
      <c r="E936" s="345"/>
      <c r="F936" s="346"/>
      <c r="G936" s="344"/>
      <c r="H936" s="11"/>
      <c r="I936" s="346"/>
      <c r="J936" s="410"/>
      <c r="K936" s="410"/>
      <c r="L936" s="410"/>
    </row>
    <row r="937" spans="1:12">
      <c r="A937" s="344"/>
      <c r="B937" s="344"/>
      <c r="C937" s="344"/>
      <c r="D937" s="344"/>
      <c r="E937" s="345"/>
      <c r="F937" s="346"/>
      <c r="G937" s="344"/>
      <c r="H937" s="11"/>
      <c r="I937" s="346"/>
      <c r="J937" s="410"/>
      <c r="K937" s="410"/>
      <c r="L937" s="410"/>
    </row>
    <row r="938" spans="1:12">
      <c r="A938" s="344"/>
      <c r="B938" s="344"/>
      <c r="C938" s="344"/>
      <c r="D938" s="344"/>
      <c r="E938" s="345"/>
      <c r="F938" s="346"/>
      <c r="G938" s="344"/>
      <c r="H938" s="11"/>
      <c r="I938" s="346"/>
      <c r="J938" s="410"/>
      <c r="K938" s="410"/>
      <c r="L938" s="410"/>
    </row>
    <row r="939" spans="1:12">
      <c r="A939" s="344"/>
      <c r="B939" s="344"/>
      <c r="C939" s="344"/>
      <c r="D939" s="344"/>
      <c r="E939" s="345"/>
      <c r="F939" s="346"/>
      <c r="G939" s="344"/>
      <c r="H939" s="11"/>
      <c r="I939" s="346"/>
      <c r="J939" s="410"/>
      <c r="K939" s="410"/>
      <c r="L939" s="410"/>
    </row>
    <row r="940" spans="1:12">
      <c r="A940" s="344"/>
      <c r="B940" s="344"/>
      <c r="C940" s="344"/>
      <c r="D940" s="344"/>
      <c r="E940" s="345"/>
      <c r="F940" s="346"/>
      <c r="G940" s="344"/>
      <c r="H940" s="11"/>
      <c r="I940" s="346"/>
      <c r="J940" s="410"/>
      <c r="K940" s="410"/>
      <c r="L940" s="410"/>
    </row>
    <row r="941" spans="1:12">
      <c r="A941" s="344"/>
      <c r="B941" s="344"/>
      <c r="C941" s="344"/>
      <c r="D941" s="344"/>
      <c r="E941" s="345"/>
      <c r="F941" s="346"/>
      <c r="G941" s="344"/>
      <c r="H941" s="11"/>
      <c r="I941" s="346"/>
      <c r="J941" s="410"/>
      <c r="K941" s="410"/>
      <c r="L941" s="410"/>
    </row>
    <row r="942" spans="1:12">
      <c r="A942" s="344"/>
      <c r="B942" s="344"/>
      <c r="C942" s="344"/>
      <c r="D942" s="344"/>
      <c r="E942" s="345"/>
      <c r="F942" s="346"/>
      <c r="G942" s="344"/>
      <c r="H942" s="11"/>
      <c r="I942" s="346"/>
      <c r="J942" s="410"/>
      <c r="K942" s="410"/>
      <c r="L942" s="410"/>
    </row>
    <row r="943" spans="1:12">
      <c r="A943" s="344"/>
      <c r="B943" s="344"/>
      <c r="C943" s="344"/>
      <c r="D943" s="344"/>
      <c r="E943" s="345"/>
      <c r="F943" s="346"/>
      <c r="G943" s="344"/>
      <c r="H943" s="11"/>
      <c r="I943" s="346"/>
      <c r="J943" s="410"/>
      <c r="K943" s="410"/>
      <c r="L943" s="410"/>
    </row>
    <row r="944" spans="1:12">
      <c r="A944" s="344"/>
      <c r="B944" s="344"/>
      <c r="C944" s="344"/>
      <c r="D944" s="344"/>
      <c r="E944" s="345"/>
      <c r="F944" s="346"/>
      <c r="G944" s="344"/>
      <c r="H944" s="11"/>
      <c r="I944" s="346"/>
      <c r="J944" s="410"/>
      <c r="K944" s="410"/>
      <c r="L944" s="410"/>
    </row>
    <row r="945" spans="1:12">
      <c r="A945" s="344"/>
      <c r="B945" s="344"/>
      <c r="C945" s="344"/>
      <c r="D945" s="344"/>
      <c r="E945" s="345"/>
      <c r="F945" s="346"/>
      <c r="G945" s="344"/>
      <c r="H945" s="11"/>
      <c r="I945" s="346"/>
      <c r="J945" s="410"/>
      <c r="K945" s="410"/>
      <c r="L945" s="410"/>
    </row>
    <row r="946" spans="1:12">
      <c r="A946" s="344"/>
      <c r="B946" s="344"/>
      <c r="C946" s="344"/>
      <c r="D946" s="344"/>
      <c r="E946" s="345"/>
      <c r="F946" s="346"/>
      <c r="G946" s="344"/>
      <c r="H946" s="11"/>
      <c r="I946" s="346"/>
      <c r="J946" s="410"/>
      <c r="K946" s="410"/>
      <c r="L946" s="410"/>
    </row>
    <row r="947" spans="1:12">
      <c r="A947" s="344"/>
      <c r="B947" s="344"/>
      <c r="C947" s="344"/>
      <c r="D947" s="344"/>
      <c r="E947" s="345"/>
      <c r="F947" s="346"/>
      <c r="G947" s="344"/>
      <c r="H947" s="11"/>
      <c r="I947" s="346"/>
      <c r="J947" s="410"/>
      <c r="K947" s="410"/>
      <c r="L947" s="410"/>
    </row>
    <row r="948" spans="1:12">
      <c r="A948" s="344"/>
      <c r="B948" s="344"/>
      <c r="C948" s="344"/>
      <c r="D948" s="344"/>
      <c r="E948" s="345"/>
      <c r="F948" s="346"/>
      <c r="G948" s="344"/>
      <c r="H948" s="11"/>
      <c r="I948" s="346"/>
      <c r="J948" s="410"/>
      <c r="K948" s="410"/>
      <c r="L948" s="410"/>
    </row>
    <row r="949" spans="1:12">
      <c r="A949" s="344"/>
      <c r="B949" s="344"/>
      <c r="C949" s="344"/>
      <c r="D949" s="344"/>
      <c r="E949" s="345"/>
      <c r="F949" s="346"/>
      <c r="G949" s="344"/>
      <c r="H949" s="11"/>
      <c r="I949" s="346"/>
      <c r="J949" s="410"/>
      <c r="K949" s="410"/>
      <c r="L949" s="410"/>
    </row>
    <row r="950" spans="1:12">
      <c r="A950" s="344"/>
      <c r="B950" s="344"/>
      <c r="C950" s="344"/>
      <c r="D950" s="344"/>
      <c r="E950" s="345"/>
      <c r="F950" s="346"/>
      <c r="G950" s="344"/>
      <c r="H950" s="11"/>
      <c r="I950" s="346"/>
      <c r="J950" s="410"/>
      <c r="K950" s="410"/>
      <c r="L950" s="410"/>
    </row>
    <row r="951" spans="1:12">
      <c r="A951" s="344"/>
      <c r="B951" s="344"/>
      <c r="C951" s="344"/>
      <c r="D951" s="344"/>
      <c r="E951" s="345"/>
      <c r="F951" s="346"/>
      <c r="G951" s="344"/>
      <c r="H951" s="11"/>
      <c r="I951" s="346"/>
      <c r="J951" s="410"/>
      <c r="K951" s="410"/>
      <c r="L951" s="410"/>
    </row>
    <row r="952" spans="1:12">
      <c r="A952" s="344"/>
      <c r="B952" s="344"/>
      <c r="C952" s="344"/>
      <c r="D952" s="344"/>
      <c r="E952" s="345"/>
      <c r="F952" s="346"/>
      <c r="G952" s="344"/>
      <c r="H952" s="11"/>
      <c r="I952" s="346"/>
      <c r="J952" s="410"/>
      <c r="K952" s="410"/>
      <c r="L952" s="410"/>
    </row>
    <row r="953" spans="1:12">
      <c r="A953" s="344"/>
      <c r="B953" s="344"/>
      <c r="C953" s="344"/>
      <c r="D953" s="344"/>
      <c r="E953" s="345"/>
      <c r="F953" s="346"/>
      <c r="G953" s="344"/>
      <c r="H953" s="11"/>
      <c r="I953" s="346"/>
      <c r="J953" s="410"/>
      <c r="K953" s="410"/>
      <c r="L953" s="410"/>
    </row>
    <row r="954" spans="1:12">
      <c r="A954" s="344"/>
      <c r="B954" s="344"/>
      <c r="C954" s="344"/>
      <c r="D954" s="344"/>
      <c r="E954" s="345"/>
      <c r="F954" s="346"/>
      <c r="G954" s="344"/>
      <c r="H954" s="11"/>
      <c r="I954" s="346"/>
      <c r="J954" s="410"/>
      <c r="K954" s="410"/>
      <c r="L954" s="410"/>
    </row>
    <row r="955" spans="1:12">
      <c r="A955" s="344"/>
      <c r="B955" s="344"/>
      <c r="C955" s="344"/>
      <c r="D955" s="344"/>
      <c r="E955" s="345"/>
      <c r="F955" s="346"/>
      <c r="G955" s="344"/>
      <c r="H955" s="11"/>
      <c r="I955" s="346"/>
      <c r="J955" s="410"/>
      <c r="K955" s="410"/>
      <c r="L955" s="410"/>
    </row>
    <row r="956" spans="1:12">
      <c r="A956" s="344"/>
      <c r="B956" s="344"/>
      <c r="C956" s="344"/>
      <c r="D956" s="344"/>
      <c r="E956" s="345"/>
      <c r="F956" s="346"/>
      <c r="G956" s="344"/>
      <c r="H956" s="11"/>
      <c r="I956" s="346"/>
      <c r="J956" s="410"/>
      <c r="K956" s="410"/>
      <c r="L956" s="410"/>
    </row>
    <row r="957" spans="1:12">
      <c r="A957" s="344"/>
      <c r="B957" s="344"/>
      <c r="C957" s="344"/>
      <c r="D957" s="344"/>
      <c r="E957" s="345"/>
      <c r="F957" s="346"/>
      <c r="G957" s="344"/>
      <c r="H957" s="11"/>
      <c r="I957" s="346"/>
      <c r="J957" s="410"/>
      <c r="K957" s="410"/>
      <c r="L957" s="410"/>
    </row>
    <row r="958" spans="1:12">
      <c r="A958" s="344"/>
      <c r="B958" s="344"/>
      <c r="C958" s="344"/>
      <c r="D958" s="344"/>
      <c r="E958" s="345"/>
      <c r="F958" s="346"/>
      <c r="G958" s="344"/>
      <c r="H958" s="11"/>
      <c r="I958" s="346"/>
      <c r="J958" s="410"/>
      <c r="K958" s="410"/>
      <c r="L958" s="410"/>
    </row>
    <row r="959" spans="1:12">
      <c r="A959" s="344"/>
      <c r="B959" s="344"/>
      <c r="C959" s="344"/>
      <c r="D959" s="344"/>
      <c r="E959" s="345"/>
      <c r="F959" s="346"/>
      <c r="G959" s="344"/>
      <c r="H959" s="11"/>
      <c r="I959" s="346"/>
      <c r="J959" s="410"/>
      <c r="K959" s="410"/>
      <c r="L959" s="410"/>
    </row>
    <row r="960" spans="1:12">
      <c r="A960" s="344"/>
      <c r="B960" s="344"/>
      <c r="C960" s="344"/>
      <c r="D960" s="344"/>
      <c r="E960" s="345"/>
      <c r="F960" s="346"/>
      <c r="G960" s="344"/>
      <c r="H960" s="11"/>
      <c r="I960" s="346"/>
      <c r="J960" s="410"/>
      <c r="K960" s="410"/>
      <c r="L960" s="410"/>
    </row>
    <row r="961" spans="1:12">
      <c r="A961" s="344"/>
      <c r="B961" s="344"/>
      <c r="C961" s="344"/>
      <c r="D961" s="344"/>
      <c r="E961" s="345"/>
      <c r="F961" s="346"/>
      <c r="G961" s="344"/>
      <c r="H961" s="11"/>
      <c r="I961" s="346"/>
      <c r="J961" s="410"/>
      <c r="K961" s="410"/>
      <c r="L961" s="410"/>
    </row>
    <row r="962" spans="1:12">
      <c r="A962" s="344"/>
      <c r="B962" s="344"/>
      <c r="C962" s="344"/>
      <c r="D962" s="344"/>
      <c r="E962" s="345"/>
      <c r="F962" s="346"/>
      <c r="G962" s="344"/>
      <c r="H962" s="11"/>
      <c r="I962" s="346"/>
      <c r="J962" s="410"/>
      <c r="K962" s="410"/>
      <c r="L962" s="410"/>
    </row>
    <row r="963" spans="1:12">
      <c r="A963" s="344"/>
      <c r="B963" s="344"/>
      <c r="C963" s="344"/>
      <c r="D963" s="344"/>
      <c r="E963" s="345"/>
      <c r="F963" s="346"/>
      <c r="G963" s="344"/>
      <c r="H963" s="11"/>
      <c r="I963" s="346"/>
      <c r="J963" s="410"/>
      <c r="K963" s="410"/>
      <c r="L963" s="410"/>
    </row>
    <row r="964" spans="1:12">
      <c r="A964" s="344"/>
      <c r="B964" s="344"/>
      <c r="C964" s="344"/>
      <c r="D964" s="344"/>
      <c r="E964" s="345"/>
      <c r="F964" s="346"/>
      <c r="G964" s="344"/>
      <c r="H964" s="11"/>
      <c r="I964" s="346"/>
      <c r="J964" s="410"/>
      <c r="K964" s="410"/>
      <c r="L964" s="410"/>
    </row>
    <row r="965" spans="1:12">
      <c r="A965" s="344"/>
      <c r="B965" s="344"/>
      <c r="C965" s="344"/>
      <c r="D965" s="344"/>
      <c r="E965" s="345"/>
      <c r="F965" s="346"/>
      <c r="G965" s="344"/>
      <c r="H965" s="11"/>
      <c r="I965" s="346"/>
      <c r="J965" s="410"/>
      <c r="K965" s="410"/>
      <c r="L965" s="410"/>
    </row>
    <row r="966" spans="1:12">
      <c r="A966" s="344"/>
      <c r="B966" s="344"/>
      <c r="C966" s="344"/>
      <c r="D966" s="344"/>
      <c r="E966" s="345"/>
      <c r="F966" s="346"/>
      <c r="G966" s="344"/>
      <c r="H966" s="11"/>
      <c r="I966" s="346"/>
      <c r="J966" s="410"/>
      <c r="K966" s="410"/>
      <c r="L966" s="410"/>
    </row>
    <row r="967" spans="1:12">
      <c r="A967" s="344"/>
      <c r="B967" s="344"/>
      <c r="C967" s="344"/>
      <c r="D967" s="344"/>
      <c r="E967" s="345"/>
      <c r="F967" s="346"/>
      <c r="G967" s="344"/>
      <c r="H967" s="11"/>
      <c r="I967" s="346"/>
      <c r="J967" s="410"/>
      <c r="K967" s="410"/>
      <c r="L967" s="410"/>
    </row>
    <row r="968" spans="1:12">
      <c r="A968" s="344"/>
      <c r="B968" s="344"/>
      <c r="C968" s="344"/>
      <c r="D968" s="344"/>
      <c r="E968" s="345"/>
      <c r="F968" s="346"/>
      <c r="G968" s="344"/>
      <c r="H968" s="11"/>
      <c r="I968" s="346"/>
      <c r="J968" s="410"/>
      <c r="K968" s="410"/>
      <c r="L968" s="410"/>
    </row>
    <row r="969" spans="1:12">
      <c r="A969" s="344"/>
      <c r="B969" s="344"/>
      <c r="C969" s="344"/>
      <c r="D969" s="344"/>
      <c r="E969" s="345"/>
      <c r="F969" s="346"/>
      <c r="G969" s="344"/>
      <c r="H969" s="11"/>
      <c r="I969" s="346"/>
      <c r="J969" s="410"/>
      <c r="K969" s="410"/>
      <c r="L969" s="410"/>
    </row>
    <row r="970" spans="1:12">
      <c r="A970" s="344"/>
      <c r="B970" s="344"/>
      <c r="C970" s="344"/>
      <c r="D970" s="344"/>
      <c r="E970" s="345"/>
      <c r="F970" s="346"/>
      <c r="G970" s="344"/>
      <c r="H970" s="11"/>
      <c r="I970" s="346"/>
      <c r="J970" s="410"/>
      <c r="K970" s="410"/>
      <c r="L970" s="410"/>
    </row>
    <row r="971" spans="1:12">
      <c r="A971" s="344"/>
      <c r="B971" s="344"/>
      <c r="C971" s="344"/>
      <c r="D971" s="344"/>
      <c r="E971" s="345"/>
      <c r="F971" s="346"/>
      <c r="G971" s="344"/>
      <c r="H971" s="11"/>
      <c r="I971" s="346"/>
      <c r="J971" s="410"/>
      <c r="K971" s="410"/>
      <c r="L971" s="410"/>
    </row>
    <row r="972" spans="1:12">
      <c r="A972" s="344"/>
      <c r="B972" s="344"/>
      <c r="C972" s="344"/>
      <c r="D972" s="344"/>
      <c r="E972" s="345"/>
      <c r="F972" s="346"/>
      <c r="G972" s="344"/>
      <c r="H972" s="11"/>
      <c r="I972" s="346"/>
      <c r="J972" s="410"/>
      <c r="K972" s="410"/>
      <c r="L972" s="410"/>
    </row>
    <row r="973" spans="1:12">
      <c r="A973" s="344"/>
      <c r="B973" s="344"/>
      <c r="C973" s="344"/>
      <c r="D973" s="344"/>
      <c r="E973" s="345"/>
      <c r="F973" s="346"/>
      <c r="G973" s="344"/>
      <c r="H973" s="11"/>
      <c r="I973" s="346"/>
      <c r="J973" s="410"/>
      <c r="K973" s="410"/>
      <c r="L973" s="410"/>
    </row>
    <row r="974" spans="1:12">
      <c r="A974" s="344"/>
      <c r="B974" s="344"/>
      <c r="C974" s="344"/>
      <c r="D974" s="344"/>
      <c r="E974" s="345"/>
      <c r="F974" s="346"/>
      <c r="G974" s="344"/>
      <c r="H974" s="11"/>
      <c r="I974" s="346"/>
      <c r="J974" s="410"/>
      <c r="K974" s="410"/>
      <c r="L974" s="410"/>
    </row>
    <row r="975" spans="1:12">
      <c r="A975" s="344"/>
      <c r="B975" s="344"/>
      <c r="C975" s="344"/>
      <c r="D975" s="344"/>
      <c r="E975" s="345"/>
      <c r="F975" s="346"/>
      <c r="G975" s="344"/>
      <c r="H975" s="11"/>
      <c r="I975" s="346"/>
      <c r="J975" s="410"/>
      <c r="K975" s="410"/>
      <c r="L975" s="410"/>
    </row>
    <row r="976" spans="1:12">
      <c r="A976" s="344"/>
      <c r="B976" s="344"/>
      <c r="C976" s="344"/>
      <c r="D976" s="344"/>
      <c r="E976" s="345"/>
      <c r="F976" s="346"/>
      <c r="G976" s="344"/>
      <c r="H976" s="11"/>
      <c r="I976" s="346"/>
      <c r="J976" s="410"/>
      <c r="K976" s="410"/>
      <c r="L976" s="410"/>
    </row>
    <row r="977" spans="1:12">
      <c r="A977" s="344"/>
      <c r="B977" s="344"/>
      <c r="C977" s="344"/>
      <c r="D977" s="344"/>
      <c r="E977" s="345"/>
      <c r="F977" s="346"/>
      <c r="G977" s="344"/>
      <c r="H977" s="11"/>
      <c r="I977" s="346"/>
      <c r="J977" s="410"/>
      <c r="K977" s="410"/>
      <c r="L977" s="410"/>
    </row>
    <row r="978" spans="1:12">
      <c r="A978" s="344"/>
      <c r="B978" s="344"/>
      <c r="C978" s="344"/>
      <c r="D978" s="344"/>
      <c r="E978" s="345"/>
      <c r="F978" s="346"/>
      <c r="G978" s="344"/>
      <c r="H978" s="11"/>
      <c r="I978" s="346"/>
      <c r="J978" s="410"/>
      <c r="K978" s="410"/>
      <c r="L978" s="410"/>
    </row>
    <row r="979" spans="1:12">
      <c r="A979" s="344"/>
      <c r="B979" s="344"/>
      <c r="C979" s="344"/>
      <c r="D979" s="344"/>
      <c r="E979" s="345"/>
      <c r="F979" s="346"/>
      <c r="G979" s="344"/>
      <c r="H979" s="11"/>
      <c r="I979" s="346"/>
      <c r="J979" s="410"/>
      <c r="K979" s="410"/>
      <c r="L979" s="410"/>
    </row>
    <row r="980" spans="1:12">
      <c r="A980" s="344"/>
      <c r="B980" s="344"/>
      <c r="C980" s="344"/>
      <c r="D980" s="344"/>
      <c r="E980" s="345"/>
      <c r="F980" s="346"/>
      <c r="G980" s="344"/>
      <c r="H980" s="11"/>
      <c r="I980" s="346"/>
      <c r="J980" s="410"/>
      <c r="K980" s="410"/>
      <c r="L980" s="410"/>
    </row>
    <row r="981" spans="1:12">
      <c r="A981" s="344"/>
      <c r="B981" s="344"/>
      <c r="C981" s="344"/>
      <c r="D981" s="344"/>
      <c r="E981" s="345"/>
      <c r="F981" s="346"/>
      <c r="G981" s="344"/>
      <c r="H981" s="11"/>
      <c r="I981" s="346"/>
      <c r="J981" s="410"/>
      <c r="K981" s="410"/>
      <c r="L981" s="410"/>
    </row>
    <row r="982" spans="1:12">
      <c r="A982" s="344"/>
      <c r="B982" s="344"/>
      <c r="C982" s="344"/>
      <c r="D982" s="344"/>
      <c r="E982" s="345"/>
      <c r="F982" s="346"/>
      <c r="G982" s="344"/>
      <c r="H982" s="11"/>
      <c r="I982" s="346"/>
      <c r="J982" s="410"/>
      <c r="K982" s="410"/>
      <c r="L982" s="410"/>
    </row>
    <row r="983" spans="1:12">
      <c r="A983" s="344"/>
      <c r="B983" s="344"/>
      <c r="C983" s="344"/>
      <c r="D983" s="344"/>
      <c r="E983" s="345"/>
      <c r="F983" s="346"/>
      <c r="G983" s="344"/>
      <c r="H983" s="11"/>
      <c r="I983" s="346"/>
      <c r="J983" s="410"/>
      <c r="K983" s="410"/>
      <c r="L983" s="410"/>
    </row>
    <row r="984" spans="1:12">
      <c r="A984" s="344"/>
      <c r="B984" s="344"/>
      <c r="C984" s="344"/>
      <c r="D984" s="344"/>
      <c r="E984" s="345"/>
      <c r="F984" s="346"/>
      <c r="G984" s="344"/>
      <c r="H984" s="11"/>
      <c r="I984" s="346"/>
      <c r="J984" s="410"/>
      <c r="K984" s="410"/>
      <c r="L984" s="410"/>
    </row>
    <row r="985" spans="1:12">
      <c r="A985" s="344"/>
      <c r="B985" s="344"/>
      <c r="C985" s="344"/>
      <c r="D985" s="344"/>
      <c r="E985" s="345"/>
      <c r="F985" s="346"/>
      <c r="G985" s="344"/>
      <c r="H985" s="11"/>
      <c r="I985" s="346"/>
      <c r="J985" s="410"/>
      <c r="K985" s="410"/>
      <c r="L985" s="410"/>
    </row>
    <row r="986" spans="1:12">
      <c r="A986" s="344"/>
      <c r="B986" s="344"/>
      <c r="C986" s="344"/>
      <c r="D986" s="344"/>
      <c r="E986" s="345"/>
      <c r="F986" s="346"/>
      <c r="G986" s="344"/>
      <c r="H986" s="11"/>
      <c r="I986" s="346"/>
      <c r="J986" s="410"/>
      <c r="K986" s="410"/>
      <c r="L986" s="410"/>
    </row>
    <row r="987" spans="1:12">
      <c r="A987" s="344"/>
      <c r="B987" s="344"/>
      <c r="C987" s="344"/>
      <c r="D987" s="344"/>
      <c r="E987" s="345"/>
      <c r="F987" s="346"/>
      <c r="G987" s="344"/>
      <c r="H987" s="11"/>
      <c r="I987" s="346"/>
      <c r="J987" s="410"/>
      <c r="K987" s="410"/>
      <c r="L987" s="410"/>
    </row>
    <row r="988" spans="1:12">
      <c r="A988" s="344"/>
      <c r="B988" s="344"/>
      <c r="C988" s="344"/>
      <c r="D988" s="344"/>
      <c r="E988" s="345"/>
      <c r="F988" s="346"/>
      <c r="G988" s="344"/>
      <c r="H988" s="11"/>
      <c r="I988" s="346"/>
      <c r="J988" s="410"/>
      <c r="K988" s="410"/>
      <c r="L988" s="410"/>
    </row>
    <row r="989" spans="1:12">
      <c r="A989" s="344"/>
      <c r="B989" s="344"/>
      <c r="C989" s="344"/>
      <c r="D989" s="344"/>
      <c r="E989" s="345"/>
      <c r="F989" s="346"/>
      <c r="G989" s="344"/>
      <c r="H989" s="11"/>
      <c r="I989" s="346"/>
      <c r="J989" s="410"/>
      <c r="K989" s="410"/>
      <c r="L989" s="410"/>
    </row>
    <row r="990" spans="1:12">
      <c r="A990" s="344"/>
      <c r="B990" s="344"/>
      <c r="C990" s="344"/>
      <c r="D990" s="344"/>
      <c r="E990" s="345"/>
      <c r="F990" s="346"/>
      <c r="G990" s="344"/>
      <c r="H990" s="11"/>
      <c r="I990" s="346"/>
      <c r="J990" s="410"/>
      <c r="K990" s="410"/>
      <c r="L990" s="410"/>
    </row>
    <row r="991" spans="1:12">
      <c r="A991" s="344"/>
      <c r="B991" s="344"/>
      <c r="C991" s="344"/>
      <c r="D991" s="344"/>
      <c r="E991" s="345"/>
      <c r="F991" s="346"/>
      <c r="G991" s="344"/>
      <c r="H991" s="11"/>
      <c r="I991" s="346"/>
      <c r="J991" s="410"/>
      <c r="K991" s="410"/>
      <c r="L991" s="410"/>
    </row>
    <row r="992" spans="1:12">
      <c r="A992" s="344"/>
      <c r="B992" s="344"/>
      <c r="C992" s="344"/>
      <c r="D992" s="344"/>
      <c r="E992" s="345"/>
      <c r="F992" s="346"/>
      <c r="G992" s="344"/>
      <c r="H992" s="11"/>
      <c r="I992" s="346"/>
      <c r="J992" s="410"/>
      <c r="K992" s="410"/>
      <c r="L992" s="410"/>
    </row>
    <row r="993" spans="1:12">
      <c r="A993" s="344"/>
      <c r="B993" s="344"/>
      <c r="C993" s="344"/>
      <c r="D993" s="344"/>
      <c r="E993" s="345"/>
      <c r="F993" s="346"/>
      <c r="G993" s="344"/>
      <c r="H993" s="11"/>
      <c r="I993" s="346"/>
      <c r="J993" s="410"/>
      <c r="K993" s="410"/>
      <c r="L993" s="410"/>
    </row>
    <row r="994" spans="1:12">
      <c r="A994" s="344"/>
      <c r="B994" s="344"/>
      <c r="C994" s="344"/>
      <c r="D994" s="344"/>
      <c r="E994" s="345"/>
      <c r="F994" s="346"/>
      <c r="G994" s="344"/>
      <c r="H994" s="11"/>
      <c r="I994" s="346"/>
      <c r="J994" s="410"/>
      <c r="K994" s="410"/>
      <c r="L994" s="410"/>
    </row>
    <row r="995" spans="1:12">
      <c r="A995" s="344"/>
      <c r="B995" s="344"/>
      <c r="C995" s="344"/>
      <c r="D995" s="344"/>
      <c r="E995" s="345"/>
      <c r="F995" s="346"/>
      <c r="G995" s="344"/>
      <c r="H995" s="11"/>
      <c r="I995" s="346"/>
      <c r="J995" s="410"/>
      <c r="K995" s="410"/>
      <c r="L995" s="410"/>
    </row>
    <row r="996" spans="1:12">
      <c r="A996" s="344"/>
      <c r="B996" s="344"/>
      <c r="C996" s="344"/>
      <c r="D996" s="344"/>
      <c r="E996" s="345"/>
      <c r="F996" s="346"/>
      <c r="G996" s="344"/>
      <c r="H996" s="11"/>
      <c r="I996" s="346"/>
      <c r="J996" s="410"/>
      <c r="K996" s="410"/>
      <c r="L996" s="410"/>
    </row>
  </sheetData>
  <mergeCells count="1">
    <mergeCell ref="I2:L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="86" zoomScaleNormal="86" workbookViewId="0">
      <selection activeCell="J12" sqref="J12"/>
    </sheetView>
  </sheetViews>
  <sheetFormatPr baseColWidth="10" defaultColWidth="15.140625" defaultRowHeight="15"/>
  <cols>
    <col min="1" max="1" width="5.140625" style="648" customWidth="1"/>
    <col min="2" max="2" width="5.7109375" style="648" customWidth="1"/>
    <col min="3" max="3" width="5.28515625" style="648" customWidth="1"/>
    <col min="4" max="4" width="18.42578125" style="648" customWidth="1"/>
    <col min="5" max="5" width="20.85546875" style="648" customWidth="1"/>
    <col min="6" max="6" width="7.140625" style="648" customWidth="1"/>
    <col min="7" max="7" width="8.5703125" style="648" customWidth="1"/>
    <col min="8" max="8" width="5.5703125" style="648" customWidth="1"/>
    <col min="9" max="9" width="18" style="648" customWidth="1"/>
    <col min="10" max="10" width="20" style="648" customWidth="1"/>
    <col min="11" max="11" width="44.5703125" style="648" bestFit="1" customWidth="1"/>
    <col min="12" max="12" width="34" style="648" customWidth="1"/>
    <col min="13" max="18" width="8" style="648" customWidth="1"/>
    <col min="19" max="16384" width="15.140625" style="648"/>
  </cols>
  <sheetData>
    <row r="1" spans="1:18" ht="10.5" customHeight="1">
      <c r="A1" s="342"/>
      <c r="B1" s="342"/>
      <c r="C1" s="343"/>
      <c r="D1" s="412"/>
      <c r="E1" s="345"/>
      <c r="F1" s="346"/>
      <c r="G1" s="412"/>
      <c r="H1" s="347"/>
      <c r="I1" s="348" t="s">
        <v>262</v>
      </c>
      <c r="J1" s="349" t="s">
        <v>263</v>
      </c>
      <c r="K1" s="350" t="s">
        <v>264</v>
      </c>
      <c r="L1" s="350" t="s">
        <v>1</v>
      </c>
    </row>
    <row r="2" spans="1:18" ht="30" customHeight="1">
      <c r="A2" s="412"/>
      <c r="B2" s="412"/>
      <c r="C2" s="412"/>
      <c r="D2" s="412"/>
      <c r="E2" s="345"/>
      <c r="F2" s="346"/>
      <c r="G2" s="412"/>
      <c r="H2" s="350"/>
      <c r="I2" s="669"/>
      <c r="J2" s="670"/>
      <c r="K2" s="670"/>
      <c r="L2" s="670"/>
    </row>
    <row r="3" spans="1:18" ht="24.75" customHeight="1">
      <c r="A3" s="349" t="s">
        <v>3</v>
      </c>
      <c r="B3" s="349" t="s">
        <v>4</v>
      </c>
      <c r="C3" s="349" t="s">
        <v>5</v>
      </c>
      <c r="D3" s="349" t="s">
        <v>6</v>
      </c>
      <c r="E3" s="13" t="s">
        <v>7</v>
      </c>
      <c r="F3" s="349" t="s">
        <v>8</v>
      </c>
      <c r="G3" s="349" t="s">
        <v>9</v>
      </c>
      <c r="H3" s="349" t="s">
        <v>10</v>
      </c>
      <c r="I3" s="351" t="s">
        <v>262</v>
      </c>
      <c r="J3" s="349" t="s">
        <v>263</v>
      </c>
      <c r="K3" s="349" t="s">
        <v>264</v>
      </c>
      <c r="L3" s="349" t="s">
        <v>1</v>
      </c>
      <c r="M3" s="15"/>
      <c r="N3" s="15"/>
      <c r="O3" s="15"/>
      <c r="P3" s="15"/>
      <c r="Q3" s="15"/>
      <c r="R3" s="15"/>
    </row>
    <row r="4" spans="1:18" ht="15.75" customHeight="1">
      <c r="A4" s="352">
        <v>2</v>
      </c>
      <c r="B4" s="352">
        <v>1</v>
      </c>
      <c r="C4" s="352">
        <v>1</v>
      </c>
      <c r="D4" s="352" t="s">
        <v>22</v>
      </c>
      <c r="E4" s="353" t="s">
        <v>23</v>
      </c>
      <c r="F4" s="357" t="s">
        <v>25</v>
      </c>
      <c r="G4" s="355">
        <v>30876</v>
      </c>
      <c r="H4" s="356">
        <v>510</v>
      </c>
      <c r="I4" s="357"/>
      <c r="J4" s="358"/>
      <c r="K4" s="358"/>
      <c r="L4" s="358" t="s">
        <v>26</v>
      </c>
    </row>
    <row r="5" spans="1:18" ht="15.75" customHeight="1">
      <c r="A5" s="352">
        <v>2</v>
      </c>
      <c r="B5" s="352">
        <v>1</v>
      </c>
      <c r="C5" s="352">
        <v>2</v>
      </c>
      <c r="D5" s="352" t="s">
        <v>27</v>
      </c>
      <c r="E5" s="353" t="s">
        <v>28</v>
      </c>
      <c r="F5" s="357" t="s">
        <v>25</v>
      </c>
      <c r="G5" s="355">
        <v>30877</v>
      </c>
      <c r="H5" s="356">
        <v>250</v>
      </c>
      <c r="I5" s="357"/>
      <c r="J5" s="358"/>
      <c r="K5" s="358"/>
      <c r="L5" s="358" t="s">
        <v>26</v>
      </c>
    </row>
    <row r="6" spans="1:18" ht="15.75" customHeight="1">
      <c r="A6" s="352">
        <v>2</v>
      </c>
      <c r="B6" s="352">
        <v>1</v>
      </c>
      <c r="C6" s="352">
        <v>2</v>
      </c>
      <c r="D6" s="352" t="s">
        <v>22</v>
      </c>
      <c r="E6" s="353" t="s">
        <v>23</v>
      </c>
      <c r="F6" s="357" t="s">
        <v>25</v>
      </c>
      <c r="G6" s="355">
        <v>30876</v>
      </c>
      <c r="H6" s="356">
        <v>290</v>
      </c>
      <c r="I6" s="357"/>
      <c r="J6" s="358"/>
      <c r="K6" s="358"/>
      <c r="L6" s="358" t="s">
        <v>26</v>
      </c>
    </row>
    <row r="7" spans="1:18" ht="15.75" customHeight="1">
      <c r="A7" s="359">
        <v>2</v>
      </c>
      <c r="B7" s="359">
        <v>1</v>
      </c>
      <c r="C7" s="359">
        <v>3</v>
      </c>
      <c r="D7" s="359" t="s">
        <v>29</v>
      </c>
      <c r="E7" s="391" t="s">
        <v>30</v>
      </c>
      <c r="F7" s="361" t="s">
        <v>31</v>
      </c>
      <c r="G7" s="362">
        <v>50759</v>
      </c>
      <c r="H7" s="363">
        <v>232</v>
      </c>
      <c r="I7" s="411" t="s">
        <v>266</v>
      </c>
      <c r="J7" s="366">
        <v>1</v>
      </c>
      <c r="K7" s="366" t="s">
        <v>268</v>
      </c>
      <c r="L7" s="366"/>
    </row>
    <row r="8" spans="1:18" ht="15.75" customHeight="1">
      <c r="A8" s="359">
        <v>2</v>
      </c>
      <c r="B8" s="359">
        <v>1</v>
      </c>
      <c r="C8" s="359">
        <v>5</v>
      </c>
      <c r="D8" s="359" t="s">
        <v>32</v>
      </c>
      <c r="E8" s="391" t="s">
        <v>33</v>
      </c>
      <c r="F8" s="361" t="s">
        <v>34</v>
      </c>
      <c r="G8" s="362">
        <v>50616</v>
      </c>
      <c r="H8" s="363">
        <v>468</v>
      </c>
      <c r="I8" s="411" t="s">
        <v>265</v>
      </c>
      <c r="J8" s="366">
        <v>2</v>
      </c>
      <c r="K8" s="366" t="s">
        <v>563</v>
      </c>
      <c r="L8" s="366"/>
    </row>
    <row r="9" spans="1:18" ht="15.75" customHeight="1">
      <c r="A9" s="359">
        <v>2</v>
      </c>
      <c r="B9" s="359">
        <v>1</v>
      </c>
      <c r="C9" s="359">
        <v>8</v>
      </c>
      <c r="D9" s="359" t="s">
        <v>35</v>
      </c>
      <c r="E9" s="391" t="s">
        <v>36</v>
      </c>
      <c r="F9" s="361" t="s">
        <v>31</v>
      </c>
      <c r="G9" s="362">
        <v>50794</v>
      </c>
      <c r="H9" s="363">
        <v>392</v>
      </c>
      <c r="I9" s="411" t="s">
        <v>272</v>
      </c>
      <c r="J9" s="366">
        <v>3</v>
      </c>
      <c r="K9" s="366" t="s">
        <v>564</v>
      </c>
      <c r="L9" s="366"/>
    </row>
    <row r="10" spans="1:18" ht="15.75" customHeight="1">
      <c r="A10" s="359">
        <v>2</v>
      </c>
      <c r="B10" s="359">
        <v>1</v>
      </c>
      <c r="C10" s="359">
        <v>9</v>
      </c>
      <c r="D10" s="359" t="s">
        <v>37</v>
      </c>
      <c r="E10" s="391" t="s">
        <v>38</v>
      </c>
      <c r="F10" s="361" t="s">
        <v>34</v>
      </c>
      <c r="G10" s="362">
        <v>50663</v>
      </c>
      <c r="H10" s="363">
        <v>127</v>
      </c>
      <c r="I10" s="411" t="s">
        <v>272</v>
      </c>
      <c r="J10" s="366">
        <v>3</v>
      </c>
      <c r="K10" s="366" t="s">
        <v>273</v>
      </c>
      <c r="L10" s="366"/>
    </row>
    <row r="11" spans="1:18" ht="15.75" customHeight="1">
      <c r="A11" s="359">
        <v>2</v>
      </c>
      <c r="B11" s="359">
        <v>1</v>
      </c>
      <c r="C11" s="359">
        <v>9</v>
      </c>
      <c r="D11" s="359" t="s">
        <v>39</v>
      </c>
      <c r="E11" s="391" t="s">
        <v>40</v>
      </c>
      <c r="F11" s="361" t="s">
        <v>25</v>
      </c>
      <c r="G11" s="362">
        <v>50530</v>
      </c>
      <c r="H11" s="363">
        <v>48</v>
      </c>
      <c r="I11" s="411" t="s">
        <v>272</v>
      </c>
      <c r="J11" s="366">
        <v>3</v>
      </c>
      <c r="K11" s="366" t="s">
        <v>273</v>
      </c>
      <c r="L11" s="366"/>
    </row>
    <row r="12" spans="1:18" ht="15.75" customHeight="1">
      <c r="A12" s="270">
        <v>2</v>
      </c>
      <c r="B12" s="270">
        <v>1</v>
      </c>
      <c r="C12" s="270">
        <v>9</v>
      </c>
      <c r="D12" s="270" t="s">
        <v>41</v>
      </c>
      <c r="E12" s="367" t="s">
        <v>42</v>
      </c>
      <c r="F12" s="371" t="s">
        <v>25</v>
      </c>
      <c r="G12" s="369">
        <v>50721</v>
      </c>
      <c r="H12" s="402">
        <v>23</v>
      </c>
      <c r="I12" s="371"/>
      <c r="J12" s="380"/>
      <c r="K12" s="380"/>
      <c r="L12" s="380" t="s">
        <v>43</v>
      </c>
    </row>
    <row r="13" spans="1:18" ht="15.75" customHeight="1">
      <c r="A13" s="359">
        <v>2</v>
      </c>
      <c r="B13" s="359">
        <v>1</v>
      </c>
      <c r="C13" s="359">
        <v>11</v>
      </c>
      <c r="D13" s="359" t="s">
        <v>44</v>
      </c>
      <c r="E13" s="391" t="s">
        <v>45</v>
      </c>
      <c r="F13" s="361" t="s">
        <v>31</v>
      </c>
      <c r="G13" s="362">
        <v>50795</v>
      </c>
      <c r="H13" s="363">
        <v>754</v>
      </c>
      <c r="I13" s="411" t="s">
        <v>272</v>
      </c>
      <c r="J13" s="366">
        <v>3</v>
      </c>
      <c r="K13" s="366" t="s">
        <v>273</v>
      </c>
      <c r="L13" s="366"/>
    </row>
    <row r="14" spans="1:18" ht="15.75" customHeight="1">
      <c r="A14" s="359">
        <v>2</v>
      </c>
      <c r="B14" s="359">
        <v>1</v>
      </c>
      <c r="C14" s="359">
        <v>12</v>
      </c>
      <c r="D14" s="359" t="s">
        <v>46</v>
      </c>
      <c r="E14" s="391" t="s">
        <v>47</v>
      </c>
      <c r="F14" s="361" t="s">
        <v>25</v>
      </c>
      <c r="G14" s="362">
        <v>50262</v>
      </c>
      <c r="H14" s="363">
        <v>472</v>
      </c>
      <c r="I14" s="411" t="s">
        <v>272</v>
      </c>
      <c r="J14" s="366">
        <v>3</v>
      </c>
      <c r="K14" s="366" t="s">
        <v>273</v>
      </c>
      <c r="L14" s="366"/>
    </row>
    <row r="15" spans="1:18" ht="15.75" customHeight="1">
      <c r="A15" s="359">
        <v>2</v>
      </c>
      <c r="B15" s="359">
        <v>1</v>
      </c>
      <c r="C15" s="359">
        <v>13</v>
      </c>
      <c r="D15" s="359" t="s">
        <v>32</v>
      </c>
      <c r="E15" s="391" t="s">
        <v>33</v>
      </c>
      <c r="F15" s="361" t="s">
        <v>48</v>
      </c>
      <c r="G15" s="362">
        <v>50267</v>
      </c>
      <c r="H15" s="363">
        <v>442</v>
      </c>
      <c r="I15" s="411" t="s">
        <v>272</v>
      </c>
      <c r="J15" s="366">
        <v>3</v>
      </c>
      <c r="K15" s="366" t="s">
        <v>273</v>
      </c>
      <c r="L15" s="366"/>
    </row>
    <row r="16" spans="1:18" ht="15.75" customHeight="1">
      <c r="A16" s="359">
        <v>2</v>
      </c>
      <c r="B16" s="359">
        <v>1</v>
      </c>
      <c r="C16" s="359">
        <v>13</v>
      </c>
      <c r="D16" s="359" t="s">
        <v>32</v>
      </c>
      <c r="E16" s="391" t="s">
        <v>33</v>
      </c>
      <c r="F16" s="361" t="s">
        <v>34</v>
      </c>
      <c r="G16" s="362">
        <v>50462</v>
      </c>
      <c r="H16" s="363">
        <v>206</v>
      </c>
      <c r="I16" s="411" t="s">
        <v>272</v>
      </c>
      <c r="J16" s="366">
        <v>3</v>
      </c>
      <c r="K16" s="366" t="s">
        <v>565</v>
      </c>
      <c r="L16" s="366"/>
    </row>
    <row r="17" spans="1:26" ht="15.75" customHeight="1">
      <c r="A17" s="359">
        <v>2</v>
      </c>
      <c r="B17" s="359">
        <v>1</v>
      </c>
      <c r="C17" s="359">
        <v>13</v>
      </c>
      <c r="D17" s="359" t="s">
        <v>32</v>
      </c>
      <c r="E17" s="391" t="s">
        <v>33</v>
      </c>
      <c r="F17" s="361" t="s">
        <v>34</v>
      </c>
      <c r="G17" s="362">
        <v>50616</v>
      </c>
      <c r="H17" s="363">
        <v>21</v>
      </c>
      <c r="I17" s="411" t="s">
        <v>272</v>
      </c>
      <c r="J17" s="366">
        <v>3</v>
      </c>
      <c r="K17" s="366" t="s">
        <v>565</v>
      </c>
      <c r="L17" s="366"/>
    </row>
    <row r="18" spans="1:26" ht="15.75" customHeight="1">
      <c r="A18" s="359">
        <v>2</v>
      </c>
      <c r="B18" s="359">
        <v>1</v>
      </c>
      <c r="C18" s="359">
        <v>13</v>
      </c>
      <c r="D18" s="359" t="s">
        <v>32</v>
      </c>
      <c r="E18" s="391" t="s">
        <v>33</v>
      </c>
      <c r="F18" s="361" t="s">
        <v>31</v>
      </c>
      <c r="G18" s="362">
        <v>50184</v>
      </c>
      <c r="H18" s="363">
        <v>39</v>
      </c>
      <c r="I18" s="411" t="s">
        <v>272</v>
      </c>
      <c r="J18" s="366">
        <v>3</v>
      </c>
      <c r="K18" s="366" t="s">
        <v>565</v>
      </c>
      <c r="L18" s="366"/>
    </row>
    <row r="19" spans="1:26" ht="15.75" customHeight="1">
      <c r="A19" s="359">
        <v>2</v>
      </c>
      <c r="B19" s="359">
        <v>1</v>
      </c>
      <c r="C19" s="359">
        <v>13</v>
      </c>
      <c r="D19" s="359" t="s">
        <v>32</v>
      </c>
      <c r="E19" s="391" t="s">
        <v>33</v>
      </c>
      <c r="F19" s="361" t="s">
        <v>34</v>
      </c>
      <c r="G19" s="362">
        <v>50104</v>
      </c>
      <c r="H19" s="363">
        <v>22</v>
      </c>
      <c r="I19" s="411" t="s">
        <v>272</v>
      </c>
      <c r="J19" s="366">
        <v>3</v>
      </c>
      <c r="K19" s="366" t="s">
        <v>565</v>
      </c>
      <c r="L19" s="366"/>
    </row>
    <row r="20" spans="1:26" ht="15.75" customHeight="1">
      <c r="A20" s="359">
        <v>2</v>
      </c>
      <c r="B20" s="359">
        <v>1</v>
      </c>
      <c r="C20" s="359">
        <v>14</v>
      </c>
      <c r="D20" s="359" t="s">
        <v>49</v>
      </c>
      <c r="E20" s="391" t="s">
        <v>50</v>
      </c>
      <c r="F20" s="361" t="s">
        <v>25</v>
      </c>
      <c r="G20" s="362">
        <v>50874</v>
      </c>
      <c r="H20" s="363">
        <v>282</v>
      </c>
      <c r="I20" s="411" t="s">
        <v>272</v>
      </c>
      <c r="J20" s="366">
        <v>3</v>
      </c>
      <c r="K20" s="366" t="s">
        <v>273</v>
      </c>
      <c r="L20" s="366"/>
    </row>
    <row r="21" spans="1:26" ht="15.75" customHeight="1">
      <c r="A21" s="359">
        <v>2</v>
      </c>
      <c r="B21" s="359">
        <v>1</v>
      </c>
      <c r="C21" s="359">
        <v>14</v>
      </c>
      <c r="D21" s="359" t="s">
        <v>51</v>
      </c>
      <c r="E21" s="391" t="s">
        <v>52</v>
      </c>
      <c r="F21" s="361" t="s">
        <v>25</v>
      </c>
      <c r="G21" s="362">
        <v>50875</v>
      </c>
      <c r="H21" s="363">
        <v>348</v>
      </c>
      <c r="I21" s="411" t="s">
        <v>272</v>
      </c>
      <c r="J21" s="366">
        <v>3</v>
      </c>
      <c r="K21" s="366" t="s">
        <v>273</v>
      </c>
      <c r="L21" s="366"/>
    </row>
    <row r="22" spans="1:26" ht="15.75" customHeight="1">
      <c r="A22" s="324">
        <v>2</v>
      </c>
      <c r="B22" s="324">
        <v>1</v>
      </c>
      <c r="C22" s="324">
        <v>14</v>
      </c>
      <c r="D22" s="324" t="s">
        <v>53</v>
      </c>
      <c r="E22" s="373" t="s">
        <v>54</v>
      </c>
      <c r="F22" s="377" t="s">
        <v>25</v>
      </c>
      <c r="G22" s="375">
        <v>50877</v>
      </c>
      <c r="H22" s="376">
        <v>101</v>
      </c>
      <c r="I22" s="377"/>
      <c r="J22" s="378"/>
      <c r="K22" s="378"/>
      <c r="L22" s="378" t="s">
        <v>55</v>
      </c>
    </row>
    <row r="23" spans="1:26" ht="15.75" customHeight="1">
      <c r="A23" s="359">
        <v>2</v>
      </c>
      <c r="B23" s="359">
        <v>1</v>
      </c>
      <c r="C23" s="359">
        <v>15</v>
      </c>
      <c r="D23" s="359" t="s">
        <v>56</v>
      </c>
      <c r="E23" s="391" t="s">
        <v>57</v>
      </c>
      <c r="F23" s="361" t="s">
        <v>34</v>
      </c>
      <c r="G23" s="362">
        <v>50594</v>
      </c>
      <c r="H23" s="363">
        <v>154</v>
      </c>
      <c r="I23" s="411" t="s">
        <v>266</v>
      </c>
      <c r="J23" s="366">
        <v>1</v>
      </c>
      <c r="K23" s="366" t="s">
        <v>276</v>
      </c>
      <c r="L23" s="366"/>
    </row>
    <row r="24" spans="1:26" ht="15.75" customHeight="1">
      <c r="A24" s="359">
        <v>2</v>
      </c>
      <c r="B24" s="359">
        <v>1</v>
      </c>
      <c r="C24" s="359">
        <v>16</v>
      </c>
      <c r="D24" s="359" t="s">
        <v>58</v>
      </c>
      <c r="E24" s="391" t="s">
        <v>59</v>
      </c>
      <c r="F24" s="361" t="s">
        <v>31</v>
      </c>
      <c r="G24" s="362">
        <v>50797</v>
      </c>
      <c r="H24" s="363">
        <v>311</v>
      </c>
      <c r="I24" s="411" t="s">
        <v>277</v>
      </c>
      <c r="J24" s="366">
        <v>2</v>
      </c>
      <c r="K24" s="366" t="s">
        <v>270</v>
      </c>
      <c r="L24" s="366"/>
    </row>
    <row r="25" spans="1:26" ht="15.75" customHeight="1">
      <c r="A25" s="359">
        <v>2</v>
      </c>
      <c r="B25" s="359">
        <v>1</v>
      </c>
      <c r="C25" s="359">
        <v>17</v>
      </c>
      <c r="D25" s="359" t="s">
        <v>60</v>
      </c>
      <c r="E25" s="391" t="s">
        <v>61</v>
      </c>
      <c r="F25" s="361" t="s">
        <v>34</v>
      </c>
      <c r="G25" s="362">
        <v>50467</v>
      </c>
      <c r="H25" s="363">
        <v>426</v>
      </c>
      <c r="I25" s="411" t="s">
        <v>277</v>
      </c>
      <c r="J25" s="366">
        <v>2</v>
      </c>
      <c r="K25" s="366" t="s">
        <v>269</v>
      </c>
      <c r="L25" s="366"/>
    </row>
    <row r="26" spans="1:26" ht="15.75" customHeight="1">
      <c r="A26" s="359">
        <v>2</v>
      </c>
      <c r="B26" s="359">
        <v>1</v>
      </c>
      <c r="C26" s="359">
        <v>18</v>
      </c>
      <c r="D26" s="359" t="s">
        <v>46</v>
      </c>
      <c r="E26" s="391" t="s">
        <v>47</v>
      </c>
      <c r="F26" s="361" t="s">
        <v>25</v>
      </c>
      <c r="G26" s="362">
        <v>50262</v>
      </c>
      <c r="H26" s="363">
        <v>81</v>
      </c>
      <c r="I26" s="411" t="s">
        <v>272</v>
      </c>
      <c r="J26" s="366">
        <v>3</v>
      </c>
      <c r="K26" s="366" t="s">
        <v>273</v>
      </c>
      <c r="L26" s="366"/>
    </row>
    <row r="27" spans="1:26" ht="15.75" customHeight="1">
      <c r="A27" s="359">
        <v>2</v>
      </c>
      <c r="B27" s="359">
        <v>1</v>
      </c>
      <c r="C27" s="359">
        <v>18</v>
      </c>
      <c r="D27" s="359" t="s">
        <v>46</v>
      </c>
      <c r="E27" s="391" t="s">
        <v>47</v>
      </c>
      <c r="F27" s="361" t="s">
        <v>34</v>
      </c>
      <c r="G27" s="362">
        <v>50542</v>
      </c>
      <c r="H27" s="363">
        <v>109</v>
      </c>
      <c r="I27" s="411" t="s">
        <v>272</v>
      </c>
      <c r="J27" s="366">
        <v>3</v>
      </c>
      <c r="K27" s="366" t="s">
        <v>273</v>
      </c>
      <c r="L27" s="366"/>
    </row>
    <row r="28" spans="1:26" ht="15.75" customHeight="1">
      <c r="A28" s="359">
        <v>2</v>
      </c>
      <c r="B28" s="359">
        <v>2</v>
      </c>
      <c r="C28" s="359">
        <v>2</v>
      </c>
      <c r="D28" s="359" t="s">
        <v>62</v>
      </c>
      <c r="E28" s="391" t="s">
        <v>63</v>
      </c>
      <c r="F28" s="361" t="s">
        <v>34</v>
      </c>
      <c r="G28" s="362">
        <v>50752</v>
      </c>
      <c r="H28" s="363">
        <v>89</v>
      </c>
      <c r="I28" s="411" t="s">
        <v>272</v>
      </c>
      <c r="J28" s="366">
        <v>3</v>
      </c>
      <c r="K28" s="366" t="s">
        <v>273</v>
      </c>
      <c r="L28" s="366"/>
    </row>
    <row r="29" spans="1:26" ht="15.75" customHeight="1">
      <c r="A29" s="270">
        <v>2</v>
      </c>
      <c r="B29" s="270">
        <v>2</v>
      </c>
      <c r="C29" s="270">
        <v>2</v>
      </c>
      <c r="D29" s="270" t="s">
        <v>64</v>
      </c>
      <c r="E29" s="367" t="s">
        <v>65</v>
      </c>
      <c r="F29" s="371" t="s">
        <v>31</v>
      </c>
      <c r="G29" s="369">
        <v>30869</v>
      </c>
      <c r="H29" s="402">
        <v>319</v>
      </c>
      <c r="I29" s="371"/>
      <c r="J29" s="380"/>
      <c r="K29" s="380"/>
      <c r="L29" s="380" t="s">
        <v>43</v>
      </c>
    </row>
    <row r="30" spans="1:26" ht="15.75" customHeight="1">
      <c r="A30" s="270">
        <v>2</v>
      </c>
      <c r="B30" s="270">
        <v>2</v>
      </c>
      <c r="C30" s="270">
        <v>2</v>
      </c>
      <c r="D30" s="270" t="s">
        <v>62</v>
      </c>
      <c r="E30" s="367" t="s">
        <v>63</v>
      </c>
      <c r="F30" s="371" t="s">
        <v>34</v>
      </c>
      <c r="G30" s="369">
        <v>50719</v>
      </c>
      <c r="H30" s="402">
        <v>25</v>
      </c>
      <c r="I30" s="371"/>
      <c r="J30" s="380"/>
      <c r="K30" s="380"/>
      <c r="L30" s="380" t="s">
        <v>43</v>
      </c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</row>
    <row r="31" spans="1:26" ht="15.75" customHeight="1">
      <c r="A31" s="359">
        <v>2</v>
      </c>
      <c r="B31" s="359">
        <v>2</v>
      </c>
      <c r="C31" s="359">
        <v>2</v>
      </c>
      <c r="D31" s="359" t="s">
        <v>62</v>
      </c>
      <c r="E31" s="391" t="s">
        <v>63</v>
      </c>
      <c r="F31" s="361" t="s">
        <v>25</v>
      </c>
      <c r="G31" s="362">
        <v>50188</v>
      </c>
      <c r="H31" s="363">
        <v>24</v>
      </c>
      <c r="I31" s="411" t="s">
        <v>265</v>
      </c>
      <c r="J31" s="366">
        <v>2</v>
      </c>
      <c r="K31" s="366" t="s">
        <v>269</v>
      </c>
      <c r="L31" s="366"/>
    </row>
    <row r="32" spans="1:26" ht="15.75" customHeight="1">
      <c r="A32" s="359">
        <v>2</v>
      </c>
      <c r="B32" s="359">
        <v>2</v>
      </c>
      <c r="C32" s="359">
        <v>3</v>
      </c>
      <c r="D32" s="359" t="s">
        <v>66</v>
      </c>
      <c r="E32" s="391" t="s">
        <v>67</v>
      </c>
      <c r="F32" s="361" t="s">
        <v>68</v>
      </c>
      <c r="G32" s="362">
        <v>50632</v>
      </c>
      <c r="H32" s="363">
        <v>220</v>
      </c>
      <c r="I32" s="411" t="s">
        <v>272</v>
      </c>
      <c r="J32" s="366">
        <v>3</v>
      </c>
      <c r="K32" s="366" t="s">
        <v>273</v>
      </c>
      <c r="L32" s="366"/>
    </row>
    <row r="33" spans="1:12" ht="15.75" customHeight="1">
      <c r="A33" s="359">
        <v>2</v>
      </c>
      <c r="B33" s="359">
        <v>2</v>
      </c>
      <c r="C33" s="359">
        <v>3</v>
      </c>
      <c r="D33" s="359" t="s">
        <v>66</v>
      </c>
      <c r="E33" s="391" t="s">
        <v>67</v>
      </c>
      <c r="F33" s="361" t="s">
        <v>34</v>
      </c>
      <c r="G33" s="362">
        <v>50558</v>
      </c>
      <c r="H33" s="363">
        <v>227</v>
      </c>
      <c r="I33" s="411" t="s">
        <v>272</v>
      </c>
      <c r="J33" s="366">
        <v>3</v>
      </c>
      <c r="K33" s="366" t="s">
        <v>273</v>
      </c>
      <c r="L33" s="366"/>
    </row>
    <row r="34" spans="1:12" ht="15.75" customHeight="1">
      <c r="A34" s="359">
        <v>2</v>
      </c>
      <c r="B34" s="359">
        <v>2</v>
      </c>
      <c r="C34" s="359">
        <v>4</v>
      </c>
      <c r="D34" s="359" t="s">
        <v>69</v>
      </c>
      <c r="E34" s="391" t="s">
        <v>70</v>
      </c>
      <c r="F34" s="361" t="s">
        <v>25</v>
      </c>
      <c r="G34" s="362">
        <v>50754</v>
      </c>
      <c r="H34" s="363">
        <v>205</v>
      </c>
      <c r="I34" s="411"/>
      <c r="J34" s="366"/>
      <c r="K34" s="366"/>
      <c r="L34" s="366" t="s">
        <v>248</v>
      </c>
    </row>
    <row r="35" spans="1:12" ht="15.75" customHeight="1">
      <c r="A35" s="359">
        <v>2</v>
      </c>
      <c r="B35" s="359">
        <v>2</v>
      </c>
      <c r="C35" s="359">
        <v>4</v>
      </c>
      <c r="D35" s="359" t="s">
        <v>69</v>
      </c>
      <c r="E35" s="391" t="s">
        <v>70</v>
      </c>
      <c r="F35" s="361" t="s">
        <v>68</v>
      </c>
      <c r="G35" s="362">
        <v>50820</v>
      </c>
      <c r="H35" s="363">
        <v>9</v>
      </c>
      <c r="I35" s="411"/>
      <c r="J35" s="366"/>
      <c r="K35" s="366"/>
      <c r="L35" s="366" t="s">
        <v>248</v>
      </c>
    </row>
    <row r="36" spans="1:12" ht="15.75" customHeight="1">
      <c r="A36" s="359">
        <v>2</v>
      </c>
      <c r="B36" s="359">
        <v>2</v>
      </c>
      <c r="C36" s="359">
        <v>5</v>
      </c>
      <c r="D36" s="359" t="s">
        <v>60</v>
      </c>
      <c r="E36" s="391" t="s">
        <v>71</v>
      </c>
      <c r="F36" s="361" t="s">
        <v>31</v>
      </c>
      <c r="G36" s="362">
        <v>50764</v>
      </c>
      <c r="H36" s="363">
        <v>175</v>
      </c>
      <c r="I36" s="411" t="s">
        <v>266</v>
      </c>
      <c r="J36" s="366">
        <v>1</v>
      </c>
      <c r="K36" s="366" t="s">
        <v>269</v>
      </c>
      <c r="L36" s="366"/>
    </row>
    <row r="37" spans="1:12" ht="15.75" customHeight="1">
      <c r="A37" s="359">
        <v>2</v>
      </c>
      <c r="B37" s="359">
        <v>2</v>
      </c>
      <c r="C37" s="359">
        <v>8</v>
      </c>
      <c r="D37" s="359" t="s">
        <v>72</v>
      </c>
      <c r="E37" s="391" t="s">
        <v>73</v>
      </c>
      <c r="F37" s="361" t="s">
        <v>34</v>
      </c>
      <c r="G37" s="362">
        <v>50426</v>
      </c>
      <c r="H37" s="363">
        <v>320</v>
      </c>
      <c r="I37" s="411" t="s">
        <v>272</v>
      </c>
      <c r="J37" s="366">
        <v>3</v>
      </c>
      <c r="K37" s="366" t="s">
        <v>566</v>
      </c>
      <c r="L37" s="366"/>
    </row>
    <row r="38" spans="1:12" ht="15.75" customHeight="1">
      <c r="A38" s="359">
        <v>2</v>
      </c>
      <c r="B38" s="359">
        <v>2</v>
      </c>
      <c r="C38" s="359">
        <v>8</v>
      </c>
      <c r="D38" s="359" t="s">
        <v>72</v>
      </c>
      <c r="E38" s="391" t="s">
        <v>73</v>
      </c>
      <c r="F38" s="361" t="s">
        <v>34</v>
      </c>
      <c r="G38" s="362">
        <v>50760</v>
      </c>
      <c r="H38" s="363">
        <v>140</v>
      </c>
      <c r="I38" s="411" t="s">
        <v>266</v>
      </c>
      <c r="J38" s="366">
        <v>1</v>
      </c>
      <c r="K38" s="366" t="s">
        <v>567</v>
      </c>
      <c r="L38" s="366"/>
    </row>
    <row r="39" spans="1:12" ht="15.75" customHeight="1">
      <c r="A39" s="270">
        <v>2</v>
      </c>
      <c r="B39" s="270">
        <v>2</v>
      </c>
      <c r="C39" s="270">
        <v>9</v>
      </c>
      <c r="D39" s="270" t="s">
        <v>60</v>
      </c>
      <c r="E39" s="367" t="s">
        <v>71</v>
      </c>
      <c r="F39" s="371" t="s">
        <v>31</v>
      </c>
      <c r="G39" s="369">
        <v>50764</v>
      </c>
      <c r="H39" s="402">
        <v>48</v>
      </c>
      <c r="I39" s="371"/>
      <c r="J39" s="380"/>
      <c r="K39" s="380"/>
      <c r="L39" s="380"/>
    </row>
    <row r="40" spans="1:12" ht="15.75" customHeight="1">
      <c r="A40" s="359">
        <v>2</v>
      </c>
      <c r="B40" s="359">
        <v>2</v>
      </c>
      <c r="C40" s="359">
        <v>11</v>
      </c>
      <c r="D40" s="359" t="s">
        <v>74</v>
      </c>
      <c r="E40" s="391" t="s">
        <v>75</v>
      </c>
      <c r="F40" s="361" t="s">
        <v>25</v>
      </c>
      <c r="G40" s="362">
        <v>50736</v>
      </c>
      <c r="H40" s="363">
        <v>354</v>
      </c>
      <c r="I40" s="411"/>
      <c r="J40" s="366"/>
      <c r="K40" s="366"/>
      <c r="L40" s="366" t="s">
        <v>248</v>
      </c>
    </row>
    <row r="41" spans="1:12" ht="15.75" customHeight="1">
      <c r="A41" s="359">
        <v>2</v>
      </c>
      <c r="B41" s="359">
        <v>2</v>
      </c>
      <c r="C41" s="359">
        <v>11</v>
      </c>
      <c r="D41" s="359" t="s">
        <v>74</v>
      </c>
      <c r="E41" s="391" t="s">
        <v>75</v>
      </c>
      <c r="F41" s="361" t="s">
        <v>34</v>
      </c>
      <c r="G41" s="362">
        <v>50505</v>
      </c>
      <c r="H41" s="363">
        <v>15</v>
      </c>
      <c r="I41" s="411" t="s">
        <v>272</v>
      </c>
      <c r="J41" s="366">
        <v>3</v>
      </c>
      <c r="K41" s="366" t="s">
        <v>273</v>
      </c>
      <c r="L41" s="366"/>
    </row>
    <row r="42" spans="1:12" ht="15.75" customHeight="1">
      <c r="A42" s="359">
        <v>2</v>
      </c>
      <c r="B42" s="359">
        <v>2</v>
      </c>
      <c r="C42" s="359">
        <v>13</v>
      </c>
      <c r="D42" s="359" t="s">
        <v>60</v>
      </c>
      <c r="E42" s="391" t="s">
        <v>61</v>
      </c>
      <c r="F42" s="361" t="s">
        <v>25</v>
      </c>
      <c r="G42" s="362">
        <v>50749</v>
      </c>
      <c r="H42" s="363">
        <v>200</v>
      </c>
      <c r="I42" s="411" t="s">
        <v>265</v>
      </c>
      <c r="J42" s="366">
        <v>2</v>
      </c>
      <c r="K42" s="366" t="s">
        <v>269</v>
      </c>
      <c r="L42" s="381"/>
    </row>
    <row r="43" spans="1:12" ht="15.75" customHeight="1">
      <c r="A43" s="359">
        <v>2</v>
      </c>
      <c r="B43" s="359">
        <v>2</v>
      </c>
      <c r="C43" s="359">
        <v>13</v>
      </c>
      <c r="D43" s="359" t="s">
        <v>76</v>
      </c>
      <c r="E43" s="391" t="s">
        <v>77</v>
      </c>
      <c r="F43" s="361" t="s">
        <v>25</v>
      </c>
      <c r="G43" s="362">
        <v>50748</v>
      </c>
      <c r="H43" s="363">
        <v>296</v>
      </c>
      <c r="I43" s="411" t="s">
        <v>272</v>
      </c>
      <c r="J43" s="366">
        <v>3</v>
      </c>
      <c r="K43" s="366" t="s">
        <v>273</v>
      </c>
      <c r="L43" s="381"/>
    </row>
    <row r="44" spans="1:12" ht="15.75" customHeight="1">
      <c r="A44" s="359">
        <v>2</v>
      </c>
      <c r="B44" s="359">
        <v>2</v>
      </c>
      <c r="C44" s="359">
        <v>18</v>
      </c>
      <c r="D44" s="359" t="s">
        <v>72</v>
      </c>
      <c r="E44" s="391" t="s">
        <v>73</v>
      </c>
      <c r="F44" s="361" t="s">
        <v>25</v>
      </c>
      <c r="G44" s="362">
        <v>50706</v>
      </c>
      <c r="H44" s="363">
        <v>71</v>
      </c>
      <c r="I44" s="411"/>
      <c r="J44" s="366"/>
      <c r="K44" s="366"/>
      <c r="L44" s="366" t="s">
        <v>248</v>
      </c>
    </row>
    <row r="45" spans="1:12" ht="15.75" customHeight="1">
      <c r="A45" s="359">
        <v>2</v>
      </c>
      <c r="B45" s="359">
        <v>3</v>
      </c>
      <c r="C45" s="359">
        <v>1</v>
      </c>
      <c r="D45" s="359" t="s">
        <v>78</v>
      </c>
      <c r="E45" s="391" t="s">
        <v>79</v>
      </c>
      <c r="F45" s="361" t="s">
        <v>31</v>
      </c>
      <c r="G45" s="362">
        <v>50801</v>
      </c>
      <c r="H45" s="363">
        <v>371</v>
      </c>
      <c r="I45" s="411" t="s">
        <v>272</v>
      </c>
      <c r="J45" s="366">
        <v>3</v>
      </c>
      <c r="K45" s="366" t="s">
        <v>273</v>
      </c>
      <c r="L45" s="381"/>
    </row>
    <row r="46" spans="1:12" ht="15.75" customHeight="1">
      <c r="A46" s="359">
        <v>2</v>
      </c>
      <c r="B46" s="359">
        <v>3</v>
      </c>
      <c r="C46" s="359">
        <v>1</v>
      </c>
      <c r="D46" s="359" t="s">
        <v>78</v>
      </c>
      <c r="E46" s="391" t="s">
        <v>79</v>
      </c>
      <c r="F46" s="361" t="s">
        <v>68</v>
      </c>
      <c r="G46" s="362">
        <v>50814</v>
      </c>
      <c r="H46" s="363">
        <v>218</v>
      </c>
      <c r="I46" s="411"/>
      <c r="J46" s="366"/>
      <c r="K46" s="366"/>
      <c r="L46" s="366" t="s">
        <v>248</v>
      </c>
    </row>
    <row r="47" spans="1:12" ht="15.75" customHeight="1">
      <c r="A47" s="359">
        <v>2</v>
      </c>
      <c r="B47" s="359">
        <v>3</v>
      </c>
      <c r="C47" s="359">
        <v>1</v>
      </c>
      <c r="D47" s="359" t="s">
        <v>78</v>
      </c>
      <c r="E47" s="391" t="s">
        <v>79</v>
      </c>
      <c r="F47" s="361" t="s">
        <v>25</v>
      </c>
      <c r="G47" s="362">
        <v>50741</v>
      </c>
      <c r="H47" s="363">
        <v>55</v>
      </c>
      <c r="I47" s="411"/>
      <c r="J47" s="366"/>
      <c r="K47" s="366"/>
      <c r="L47" s="366" t="s">
        <v>248</v>
      </c>
    </row>
    <row r="48" spans="1:12" ht="15.75" customHeight="1">
      <c r="A48" s="359">
        <v>2</v>
      </c>
      <c r="B48" s="359">
        <v>3</v>
      </c>
      <c r="C48" s="359">
        <v>1</v>
      </c>
      <c r="D48" s="359" t="s">
        <v>78</v>
      </c>
      <c r="E48" s="391" t="s">
        <v>79</v>
      </c>
      <c r="F48" s="361" t="s">
        <v>31</v>
      </c>
      <c r="G48" s="362">
        <v>50791</v>
      </c>
      <c r="H48" s="363">
        <v>49</v>
      </c>
      <c r="I48" s="411"/>
      <c r="J48" s="366"/>
      <c r="K48" s="366"/>
      <c r="L48" s="366" t="s">
        <v>248</v>
      </c>
    </row>
    <row r="49" spans="1:13" ht="15.75" customHeight="1">
      <c r="A49" s="359">
        <v>2</v>
      </c>
      <c r="B49" s="359">
        <v>3</v>
      </c>
      <c r="C49" s="359">
        <v>1</v>
      </c>
      <c r="D49" s="359" t="s">
        <v>78</v>
      </c>
      <c r="E49" s="391" t="s">
        <v>79</v>
      </c>
      <c r="F49" s="361" t="s">
        <v>34</v>
      </c>
      <c r="G49" s="362">
        <v>50850</v>
      </c>
      <c r="H49" s="363">
        <v>46</v>
      </c>
      <c r="I49" s="411" t="s">
        <v>272</v>
      </c>
      <c r="J49" s="366">
        <v>3</v>
      </c>
      <c r="K49" s="366" t="s">
        <v>273</v>
      </c>
      <c r="L49" s="366"/>
    </row>
    <row r="50" spans="1:13" ht="15.75" customHeight="1">
      <c r="A50" s="359">
        <v>2</v>
      </c>
      <c r="B50" s="359">
        <v>3</v>
      </c>
      <c r="C50" s="359">
        <v>2</v>
      </c>
      <c r="D50" s="359" t="s">
        <v>81</v>
      </c>
      <c r="E50" s="391" t="s">
        <v>82</v>
      </c>
      <c r="F50" s="361" t="s">
        <v>25</v>
      </c>
      <c r="G50" s="362">
        <v>50723</v>
      </c>
      <c r="H50" s="363">
        <v>44</v>
      </c>
      <c r="I50" s="411" t="s">
        <v>265</v>
      </c>
      <c r="J50" s="366">
        <v>2</v>
      </c>
      <c r="K50" s="366" t="s">
        <v>269</v>
      </c>
      <c r="L50" s="366"/>
    </row>
    <row r="51" spans="1:13" ht="15.75" customHeight="1">
      <c r="A51" s="359">
        <v>2</v>
      </c>
      <c r="B51" s="359">
        <v>3</v>
      </c>
      <c r="C51" s="359">
        <v>2</v>
      </c>
      <c r="D51" s="359" t="s">
        <v>81</v>
      </c>
      <c r="E51" s="391" t="s">
        <v>82</v>
      </c>
      <c r="F51" s="361" t="s">
        <v>34</v>
      </c>
      <c r="G51" s="362">
        <v>50518</v>
      </c>
      <c r="H51" s="363">
        <v>61</v>
      </c>
      <c r="I51" s="411" t="s">
        <v>265</v>
      </c>
      <c r="J51" s="366">
        <v>2</v>
      </c>
      <c r="K51" s="366" t="s">
        <v>269</v>
      </c>
      <c r="L51" s="366"/>
    </row>
    <row r="52" spans="1:13" ht="15.75" customHeight="1">
      <c r="A52" s="382">
        <v>2</v>
      </c>
      <c r="B52" s="359">
        <v>3</v>
      </c>
      <c r="C52" s="359">
        <v>2</v>
      </c>
      <c r="D52" s="359" t="s">
        <v>85</v>
      </c>
      <c r="E52" s="391" t="s">
        <v>86</v>
      </c>
      <c r="F52" s="361" t="s">
        <v>68</v>
      </c>
      <c r="G52" s="362">
        <v>50832</v>
      </c>
      <c r="H52" s="363">
        <v>251</v>
      </c>
      <c r="I52" s="411" t="s">
        <v>265</v>
      </c>
      <c r="J52" s="366">
        <v>2</v>
      </c>
      <c r="K52" s="366" t="s">
        <v>269</v>
      </c>
      <c r="L52" s="366"/>
    </row>
    <row r="53" spans="1:13" ht="15.75" customHeight="1">
      <c r="A53" s="359">
        <v>2</v>
      </c>
      <c r="B53" s="359">
        <v>3</v>
      </c>
      <c r="C53" s="359">
        <v>2</v>
      </c>
      <c r="D53" s="359" t="s">
        <v>81</v>
      </c>
      <c r="E53" s="391" t="s">
        <v>82</v>
      </c>
      <c r="F53" s="361" t="s">
        <v>34</v>
      </c>
      <c r="G53" s="362">
        <v>50628</v>
      </c>
      <c r="H53" s="363">
        <v>28</v>
      </c>
      <c r="I53" s="411" t="s">
        <v>265</v>
      </c>
      <c r="J53" s="366">
        <v>2</v>
      </c>
      <c r="K53" s="366" t="s">
        <v>269</v>
      </c>
      <c r="L53" s="366"/>
    </row>
    <row r="54" spans="1:13" ht="15.75" customHeight="1">
      <c r="A54" s="359">
        <v>2</v>
      </c>
      <c r="B54" s="359">
        <v>3</v>
      </c>
      <c r="C54" s="359">
        <v>2</v>
      </c>
      <c r="D54" s="359" t="s">
        <v>81</v>
      </c>
      <c r="E54" s="391" t="s">
        <v>82</v>
      </c>
      <c r="F54" s="361" t="s">
        <v>34</v>
      </c>
      <c r="G54" s="362">
        <v>50520</v>
      </c>
      <c r="H54" s="363">
        <v>142</v>
      </c>
      <c r="I54" s="411" t="s">
        <v>265</v>
      </c>
      <c r="J54" s="366">
        <v>2</v>
      </c>
      <c r="K54" s="366" t="s">
        <v>269</v>
      </c>
      <c r="L54" s="366"/>
    </row>
    <row r="55" spans="1:13" ht="15.75" customHeight="1">
      <c r="A55" s="324">
        <v>2</v>
      </c>
      <c r="B55" s="324">
        <v>3</v>
      </c>
      <c r="C55" s="324">
        <v>2</v>
      </c>
      <c r="D55" s="324" t="s">
        <v>81</v>
      </c>
      <c r="E55" s="373" t="s">
        <v>82</v>
      </c>
      <c r="F55" s="377" t="s">
        <v>34</v>
      </c>
      <c r="G55" s="375">
        <v>50483</v>
      </c>
      <c r="H55" s="376">
        <v>3</v>
      </c>
      <c r="I55" s="377"/>
      <c r="J55" s="378"/>
      <c r="K55" s="378"/>
      <c r="L55" s="378" t="s">
        <v>55</v>
      </c>
    </row>
    <row r="56" spans="1:13" ht="15.75" customHeight="1">
      <c r="A56" s="383">
        <v>2</v>
      </c>
      <c r="B56" s="383">
        <v>3</v>
      </c>
      <c r="C56" s="383">
        <v>3</v>
      </c>
      <c r="D56" s="383" t="s">
        <v>72</v>
      </c>
      <c r="E56" s="384" t="s">
        <v>73</v>
      </c>
      <c r="F56" s="389" t="s">
        <v>68</v>
      </c>
      <c r="G56" s="386">
        <v>50618</v>
      </c>
      <c r="H56" s="387">
        <v>96</v>
      </c>
      <c r="I56" s="389" t="s">
        <v>265</v>
      </c>
      <c r="J56" s="388">
        <v>2</v>
      </c>
      <c r="K56" s="388" t="s">
        <v>284</v>
      </c>
      <c r="L56" s="388" t="s">
        <v>87</v>
      </c>
    </row>
    <row r="57" spans="1:13" ht="15.75" customHeight="1">
      <c r="A57" s="359">
        <v>2</v>
      </c>
      <c r="B57" s="359">
        <v>3</v>
      </c>
      <c r="C57" s="359">
        <v>4</v>
      </c>
      <c r="D57" s="359" t="s">
        <v>72</v>
      </c>
      <c r="E57" s="391" t="s">
        <v>73</v>
      </c>
      <c r="F57" s="361" t="s">
        <v>31</v>
      </c>
      <c r="G57" s="362">
        <v>50803</v>
      </c>
      <c r="H57" s="363">
        <v>486</v>
      </c>
      <c r="I57" s="411" t="s">
        <v>265</v>
      </c>
      <c r="J57" s="366">
        <v>2</v>
      </c>
      <c r="K57" s="366" t="s">
        <v>284</v>
      </c>
      <c r="L57" s="366"/>
    </row>
    <row r="58" spans="1:13" ht="15.75" customHeight="1">
      <c r="A58" s="383">
        <v>2</v>
      </c>
      <c r="B58" s="383">
        <v>3</v>
      </c>
      <c r="C58" s="383">
        <v>4</v>
      </c>
      <c r="D58" s="383" t="s">
        <v>72</v>
      </c>
      <c r="E58" s="384" t="s">
        <v>73</v>
      </c>
      <c r="F58" s="389" t="s">
        <v>68</v>
      </c>
      <c r="G58" s="386">
        <v>50618</v>
      </c>
      <c r="H58" s="387">
        <v>49</v>
      </c>
      <c r="I58" s="389" t="s">
        <v>265</v>
      </c>
      <c r="J58" s="388">
        <v>2</v>
      </c>
      <c r="K58" s="388" t="s">
        <v>284</v>
      </c>
      <c r="L58" s="388" t="s">
        <v>87</v>
      </c>
      <c r="M58" s="91"/>
    </row>
    <row r="59" spans="1:13" ht="15.75" customHeight="1">
      <c r="A59" s="359">
        <v>2</v>
      </c>
      <c r="B59" s="359">
        <v>3</v>
      </c>
      <c r="C59" s="359">
        <v>5</v>
      </c>
      <c r="D59" s="359" t="s">
        <v>89</v>
      </c>
      <c r="E59" s="391" t="s">
        <v>90</v>
      </c>
      <c r="F59" s="361" t="s">
        <v>34</v>
      </c>
      <c r="G59" s="362">
        <v>50854</v>
      </c>
      <c r="H59" s="363">
        <v>179</v>
      </c>
      <c r="I59" s="411" t="s">
        <v>265</v>
      </c>
      <c r="J59" s="366">
        <v>2</v>
      </c>
      <c r="K59" s="366" t="s">
        <v>270</v>
      </c>
      <c r="L59" s="366"/>
    </row>
    <row r="60" spans="1:13" ht="15.75" customHeight="1">
      <c r="A60" s="359">
        <v>2</v>
      </c>
      <c r="B60" s="359">
        <v>3</v>
      </c>
      <c r="C60" s="359">
        <v>5</v>
      </c>
      <c r="D60" s="359" t="s">
        <v>89</v>
      </c>
      <c r="E60" s="391" t="s">
        <v>90</v>
      </c>
      <c r="F60" s="361" t="s">
        <v>25</v>
      </c>
      <c r="G60" s="362">
        <v>50846</v>
      </c>
      <c r="H60" s="363">
        <v>114</v>
      </c>
      <c r="I60" s="411" t="s">
        <v>265</v>
      </c>
      <c r="J60" s="366">
        <v>2</v>
      </c>
      <c r="K60" s="366" t="s">
        <v>268</v>
      </c>
      <c r="L60" s="366"/>
    </row>
    <row r="61" spans="1:13" ht="15.75" customHeight="1">
      <c r="A61" s="359">
        <v>2</v>
      </c>
      <c r="B61" s="359">
        <v>3</v>
      </c>
      <c r="C61" s="359">
        <v>6</v>
      </c>
      <c r="D61" s="359" t="s">
        <v>58</v>
      </c>
      <c r="E61" s="391" t="s">
        <v>59</v>
      </c>
      <c r="F61" s="361" t="s">
        <v>68</v>
      </c>
      <c r="G61" s="362">
        <v>50816</v>
      </c>
      <c r="H61" s="363">
        <v>983</v>
      </c>
      <c r="I61" s="411" t="s">
        <v>265</v>
      </c>
      <c r="J61" s="411">
        <v>2</v>
      </c>
      <c r="K61" s="366" t="s">
        <v>268</v>
      </c>
      <c r="L61" s="411"/>
    </row>
    <row r="62" spans="1:13" ht="15.75" customHeight="1">
      <c r="A62" s="359">
        <v>2</v>
      </c>
      <c r="B62" s="359">
        <v>3</v>
      </c>
      <c r="C62" s="359">
        <v>6</v>
      </c>
      <c r="D62" s="359" t="s">
        <v>58</v>
      </c>
      <c r="E62" s="391" t="s">
        <v>59</v>
      </c>
      <c r="F62" s="361" t="s">
        <v>34</v>
      </c>
      <c r="G62" s="362">
        <v>50773</v>
      </c>
      <c r="H62" s="363">
        <v>13</v>
      </c>
      <c r="I62" s="411" t="s">
        <v>265</v>
      </c>
      <c r="J62" s="366">
        <v>2</v>
      </c>
      <c r="K62" s="366" t="s">
        <v>269</v>
      </c>
      <c r="L62" s="366"/>
    </row>
    <row r="63" spans="1:13" ht="15.75" customHeight="1">
      <c r="A63" s="359">
        <v>2</v>
      </c>
      <c r="B63" s="359">
        <v>3</v>
      </c>
      <c r="C63" s="359">
        <v>6</v>
      </c>
      <c r="D63" s="359" t="s">
        <v>91</v>
      </c>
      <c r="E63" s="391" t="s">
        <v>92</v>
      </c>
      <c r="F63" s="361" t="s">
        <v>31</v>
      </c>
      <c r="G63" s="362">
        <v>50784</v>
      </c>
      <c r="H63" s="363">
        <v>32</v>
      </c>
      <c r="I63" s="411" t="s">
        <v>265</v>
      </c>
      <c r="J63" s="366">
        <v>2</v>
      </c>
      <c r="K63" s="366" t="s">
        <v>269</v>
      </c>
      <c r="L63" s="366"/>
    </row>
    <row r="64" spans="1:13" ht="15.75" customHeight="1">
      <c r="A64" s="359">
        <v>2</v>
      </c>
      <c r="B64" s="359">
        <v>3</v>
      </c>
      <c r="C64" s="359">
        <v>7</v>
      </c>
      <c r="D64" s="359" t="s">
        <v>93</v>
      </c>
      <c r="E64" s="391" t="s">
        <v>94</v>
      </c>
      <c r="F64" s="361" t="s">
        <v>34</v>
      </c>
      <c r="G64" s="362">
        <v>50604</v>
      </c>
      <c r="H64" s="363">
        <v>350</v>
      </c>
      <c r="I64" s="411" t="s">
        <v>272</v>
      </c>
      <c r="J64" s="366">
        <v>3</v>
      </c>
      <c r="K64" s="366" t="s">
        <v>273</v>
      </c>
      <c r="L64" s="366"/>
    </row>
    <row r="65" spans="1:12" ht="15.75" customHeight="1">
      <c r="A65" s="324">
        <v>2</v>
      </c>
      <c r="B65" s="324">
        <v>3</v>
      </c>
      <c r="C65" s="324">
        <v>7</v>
      </c>
      <c r="D65" s="324" t="s">
        <v>72</v>
      </c>
      <c r="E65" s="373" t="s">
        <v>73</v>
      </c>
      <c r="F65" s="377" t="s">
        <v>31</v>
      </c>
      <c r="G65" s="375">
        <v>50803</v>
      </c>
      <c r="H65" s="376">
        <v>132</v>
      </c>
      <c r="I65" s="377"/>
      <c r="J65" s="378"/>
      <c r="K65" s="378"/>
      <c r="L65" s="378" t="s">
        <v>55</v>
      </c>
    </row>
    <row r="66" spans="1:12" ht="15.75" customHeight="1">
      <c r="A66" s="359">
        <v>2</v>
      </c>
      <c r="B66" s="359">
        <v>3</v>
      </c>
      <c r="C66" s="359">
        <v>8</v>
      </c>
      <c r="D66" s="359" t="s">
        <v>95</v>
      </c>
      <c r="E66" s="391" t="s">
        <v>96</v>
      </c>
      <c r="F66" s="361" t="s">
        <v>34</v>
      </c>
      <c r="G66" s="362">
        <v>50886</v>
      </c>
      <c r="H66" s="363">
        <v>289</v>
      </c>
      <c r="I66" s="411" t="s">
        <v>272</v>
      </c>
      <c r="J66" s="366">
        <v>3</v>
      </c>
      <c r="K66" s="366" t="s">
        <v>273</v>
      </c>
      <c r="L66" s="366"/>
    </row>
    <row r="67" spans="1:12" ht="15.75" customHeight="1">
      <c r="A67" s="359">
        <v>2</v>
      </c>
      <c r="B67" s="359">
        <v>3</v>
      </c>
      <c r="C67" s="359">
        <v>8</v>
      </c>
      <c r="D67" s="359" t="s">
        <v>74</v>
      </c>
      <c r="E67" s="391" t="s">
        <v>75</v>
      </c>
      <c r="F67" s="361" t="s">
        <v>34</v>
      </c>
      <c r="G67" s="362">
        <v>50887</v>
      </c>
      <c r="H67" s="363">
        <v>179</v>
      </c>
      <c r="I67" s="411" t="s">
        <v>272</v>
      </c>
      <c r="J67" s="366">
        <v>3</v>
      </c>
      <c r="K67" s="366" t="s">
        <v>273</v>
      </c>
      <c r="L67" s="366"/>
    </row>
    <row r="68" spans="1:12" ht="15.75" customHeight="1">
      <c r="A68" s="359">
        <v>2</v>
      </c>
      <c r="B68" s="359">
        <v>3</v>
      </c>
      <c r="C68" s="359">
        <v>9</v>
      </c>
      <c r="D68" s="359" t="s">
        <v>97</v>
      </c>
      <c r="E68" s="391" t="s">
        <v>98</v>
      </c>
      <c r="F68" s="361" t="s">
        <v>68</v>
      </c>
      <c r="G68" s="362">
        <v>50845</v>
      </c>
      <c r="H68" s="363">
        <v>459</v>
      </c>
      <c r="I68" s="411" t="s">
        <v>272</v>
      </c>
      <c r="J68" s="366">
        <v>3</v>
      </c>
      <c r="K68" s="366" t="s">
        <v>273</v>
      </c>
      <c r="L68" s="366"/>
    </row>
    <row r="69" spans="1:12" ht="15.75" customHeight="1">
      <c r="A69" s="270">
        <v>2</v>
      </c>
      <c r="B69" s="270">
        <v>3</v>
      </c>
      <c r="C69" s="270">
        <v>9</v>
      </c>
      <c r="D69" s="270" t="s">
        <v>97</v>
      </c>
      <c r="E69" s="367" t="s">
        <v>98</v>
      </c>
      <c r="F69" s="371" t="s">
        <v>34</v>
      </c>
      <c r="G69" s="369">
        <v>50590</v>
      </c>
      <c r="H69" s="402">
        <v>3</v>
      </c>
      <c r="I69" s="371"/>
      <c r="J69" s="380"/>
      <c r="K69" s="380"/>
      <c r="L69" s="380" t="s">
        <v>43</v>
      </c>
    </row>
    <row r="70" spans="1:12" ht="15.75" customHeight="1">
      <c r="A70" s="359">
        <v>2</v>
      </c>
      <c r="B70" s="359">
        <v>3</v>
      </c>
      <c r="C70" s="359">
        <v>9</v>
      </c>
      <c r="D70" s="359" t="s">
        <v>99</v>
      </c>
      <c r="E70" s="391"/>
      <c r="F70" s="361" t="s">
        <v>25</v>
      </c>
      <c r="G70" s="362">
        <v>50848</v>
      </c>
      <c r="H70" s="363">
        <v>217</v>
      </c>
      <c r="I70" s="411" t="s">
        <v>272</v>
      </c>
      <c r="J70" s="366">
        <v>3</v>
      </c>
      <c r="K70" s="366" t="s">
        <v>273</v>
      </c>
      <c r="L70" s="366"/>
    </row>
    <row r="71" spans="1:12" ht="15.75" customHeight="1">
      <c r="A71" s="324">
        <v>2</v>
      </c>
      <c r="B71" s="324">
        <v>3</v>
      </c>
      <c r="C71" s="324">
        <v>9</v>
      </c>
      <c r="D71" s="324" t="s">
        <v>100</v>
      </c>
      <c r="E71" s="373" t="s">
        <v>101</v>
      </c>
      <c r="F71" s="377" t="s">
        <v>68</v>
      </c>
      <c r="G71" s="375">
        <v>50645</v>
      </c>
      <c r="H71" s="376">
        <v>102</v>
      </c>
      <c r="I71" s="377"/>
      <c r="J71" s="378"/>
      <c r="K71" s="378"/>
      <c r="L71" s="378" t="s">
        <v>55</v>
      </c>
    </row>
    <row r="72" spans="1:12" ht="15.75" customHeight="1">
      <c r="A72" s="359">
        <v>2</v>
      </c>
      <c r="B72" s="359">
        <v>3</v>
      </c>
      <c r="C72" s="359">
        <v>9</v>
      </c>
      <c r="D72" s="359" t="s">
        <v>100</v>
      </c>
      <c r="E72" s="391" t="s">
        <v>101</v>
      </c>
      <c r="F72" s="361" t="s">
        <v>25</v>
      </c>
      <c r="G72" s="362">
        <v>50746</v>
      </c>
      <c r="H72" s="363">
        <v>53</v>
      </c>
      <c r="I72" s="411" t="s">
        <v>265</v>
      </c>
      <c r="J72" s="366">
        <v>2</v>
      </c>
      <c r="K72" s="366" t="s">
        <v>269</v>
      </c>
      <c r="L72" s="366"/>
    </row>
    <row r="73" spans="1:12" ht="15.75" customHeight="1">
      <c r="A73" s="359">
        <v>2</v>
      </c>
      <c r="B73" s="359">
        <v>3</v>
      </c>
      <c r="C73" s="359">
        <v>9</v>
      </c>
      <c r="D73" s="359" t="s">
        <v>100</v>
      </c>
      <c r="E73" s="391" t="s">
        <v>101</v>
      </c>
      <c r="F73" s="361" t="s">
        <v>31</v>
      </c>
      <c r="G73" s="362">
        <v>50804</v>
      </c>
      <c r="H73" s="363">
        <v>29</v>
      </c>
      <c r="I73" s="411" t="s">
        <v>265</v>
      </c>
      <c r="J73" s="366">
        <v>2</v>
      </c>
      <c r="K73" s="366" t="s">
        <v>269</v>
      </c>
      <c r="L73" s="366"/>
    </row>
    <row r="74" spans="1:12" ht="15.75" customHeight="1">
      <c r="A74" s="359">
        <v>2</v>
      </c>
      <c r="B74" s="359">
        <v>3</v>
      </c>
      <c r="C74" s="359">
        <v>11</v>
      </c>
      <c r="D74" s="359" t="s">
        <v>102</v>
      </c>
      <c r="E74" s="391" t="s">
        <v>103</v>
      </c>
      <c r="F74" s="361" t="s">
        <v>31</v>
      </c>
      <c r="G74" s="362">
        <v>50821</v>
      </c>
      <c r="H74" s="363">
        <v>369</v>
      </c>
      <c r="I74" s="411" t="s">
        <v>272</v>
      </c>
      <c r="J74" s="366">
        <v>3</v>
      </c>
      <c r="K74" s="366" t="s">
        <v>273</v>
      </c>
      <c r="L74" s="366"/>
    </row>
    <row r="75" spans="1:12" ht="15.75" customHeight="1">
      <c r="A75" s="324">
        <v>2</v>
      </c>
      <c r="B75" s="324">
        <v>3</v>
      </c>
      <c r="C75" s="324">
        <v>11</v>
      </c>
      <c r="D75" s="324" t="s">
        <v>102</v>
      </c>
      <c r="E75" s="373" t="s">
        <v>103</v>
      </c>
      <c r="F75" s="377" t="s">
        <v>34</v>
      </c>
      <c r="G75" s="375">
        <v>50415</v>
      </c>
      <c r="H75" s="376">
        <v>4</v>
      </c>
      <c r="I75" s="377"/>
      <c r="J75" s="378"/>
      <c r="K75" s="378"/>
      <c r="L75" s="378" t="s">
        <v>55</v>
      </c>
    </row>
    <row r="76" spans="1:12" ht="15.75" customHeight="1">
      <c r="A76" s="359">
        <v>2</v>
      </c>
      <c r="B76" s="359">
        <v>3</v>
      </c>
      <c r="C76" s="359">
        <v>11</v>
      </c>
      <c r="D76" s="359" t="s">
        <v>102</v>
      </c>
      <c r="E76" s="391" t="s">
        <v>104</v>
      </c>
      <c r="F76" s="361" t="s">
        <v>68</v>
      </c>
      <c r="G76" s="362">
        <v>50658</v>
      </c>
      <c r="H76" s="363">
        <v>136</v>
      </c>
      <c r="I76" s="411" t="s">
        <v>272</v>
      </c>
      <c r="J76" s="366">
        <v>3</v>
      </c>
      <c r="K76" s="366" t="s">
        <v>273</v>
      </c>
      <c r="L76" s="366"/>
    </row>
    <row r="77" spans="1:12" ht="15.75" customHeight="1">
      <c r="A77" s="359">
        <v>2</v>
      </c>
      <c r="B77" s="359">
        <v>3</v>
      </c>
      <c r="C77" s="359">
        <v>12</v>
      </c>
      <c r="D77" s="359" t="s">
        <v>102</v>
      </c>
      <c r="E77" s="391" t="s">
        <v>103</v>
      </c>
      <c r="F77" s="361" t="s">
        <v>68</v>
      </c>
      <c r="G77" s="362">
        <v>50817</v>
      </c>
      <c r="H77" s="363">
        <v>1429</v>
      </c>
      <c r="I77" s="411" t="s">
        <v>272</v>
      </c>
      <c r="J77" s="366">
        <v>3</v>
      </c>
      <c r="K77" s="366" t="s">
        <v>273</v>
      </c>
      <c r="L77" s="366"/>
    </row>
    <row r="78" spans="1:12" ht="15.75" customHeight="1">
      <c r="A78" s="359">
        <v>2</v>
      </c>
      <c r="B78" s="359">
        <v>3</v>
      </c>
      <c r="C78" s="359">
        <v>13</v>
      </c>
      <c r="D78" s="359" t="s">
        <v>105</v>
      </c>
      <c r="E78" s="391" t="s">
        <v>106</v>
      </c>
      <c r="F78" s="361" t="s">
        <v>25</v>
      </c>
      <c r="G78" s="362">
        <v>50859</v>
      </c>
      <c r="H78" s="363">
        <v>349</v>
      </c>
      <c r="I78" s="411" t="s">
        <v>272</v>
      </c>
      <c r="J78" s="366">
        <v>3</v>
      </c>
      <c r="K78" s="366" t="s">
        <v>273</v>
      </c>
      <c r="L78" s="366"/>
    </row>
    <row r="79" spans="1:12" ht="15.75" customHeight="1">
      <c r="A79" s="359">
        <v>2</v>
      </c>
      <c r="B79" s="359">
        <v>3</v>
      </c>
      <c r="C79" s="359">
        <v>13</v>
      </c>
      <c r="D79" s="359" t="s">
        <v>105</v>
      </c>
      <c r="E79" s="391" t="s">
        <v>106</v>
      </c>
      <c r="F79" s="361" t="s">
        <v>25</v>
      </c>
      <c r="G79" s="362">
        <v>50735</v>
      </c>
      <c r="H79" s="363">
        <v>22</v>
      </c>
      <c r="I79" s="411" t="s">
        <v>272</v>
      </c>
      <c r="J79" s="366">
        <v>3</v>
      </c>
      <c r="K79" s="366" t="s">
        <v>273</v>
      </c>
      <c r="L79" s="366"/>
    </row>
    <row r="80" spans="1:12" ht="15.75" customHeight="1">
      <c r="A80" s="359">
        <v>2</v>
      </c>
      <c r="B80" s="359">
        <v>3</v>
      </c>
      <c r="C80" s="359">
        <v>13</v>
      </c>
      <c r="D80" s="359" t="s">
        <v>105</v>
      </c>
      <c r="E80" s="391" t="s">
        <v>106</v>
      </c>
      <c r="F80" s="361" t="s">
        <v>25</v>
      </c>
      <c r="G80" s="362">
        <v>50756</v>
      </c>
      <c r="H80" s="363">
        <v>37</v>
      </c>
      <c r="I80" s="411" t="s">
        <v>272</v>
      </c>
      <c r="J80" s="366">
        <v>3</v>
      </c>
      <c r="K80" s="366" t="s">
        <v>273</v>
      </c>
      <c r="L80" s="366"/>
    </row>
    <row r="81" spans="1:18" ht="15.75" customHeight="1">
      <c r="A81" s="359">
        <v>2</v>
      </c>
      <c r="B81" s="359">
        <v>3</v>
      </c>
      <c r="C81" s="359">
        <v>13</v>
      </c>
      <c r="D81" s="359" t="s">
        <v>105</v>
      </c>
      <c r="E81" s="391" t="s">
        <v>106</v>
      </c>
      <c r="F81" s="361" t="s">
        <v>68</v>
      </c>
      <c r="G81" s="362">
        <v>50836</v>
      </c>
      <c r="H81" s="363">
        <v>172</v>
      </c>
      <c r="I81" s="411" t="s">
        <v>272</v>
      </c>
      <c r="J81" s="366">
        <v>3</v>
      </c>
      <c r="K81" s="366" t="s">
        <v>273</v>
      </c>
      <c r="L81" s="366"/>
    </row>
    <row r="82" spans="1:18" ht="15.75" customHeight="1">
      <c r="A82" s="359">
        <v>2</v>
      </c>
      <c r="B82" s="359">
        <v>3</v>
      </c>
      <c r="C82" s="359">
        <v>14</v>
      </c>
      <c r="D82" s="359" t="s">
        <v>107</v>
      </c>
      <c r="E82" s="391" t="s">
        <v>108</v>
      </c>
      <c r="F82" s="361" t="s">
        <v>25</v>
      </c>
      <c r="G82" s="362">
        <v>50847</v>
      </c>
      <c r="H82" s="363">
        <v>371</v>
      </c>
      <c r="I82" s="411" t="s">
        <v>272</v>
      </c>
      <c r="J82" s="366">
        <v>3</v>
      </c>
      <c r="K82" s="366" t="s">
        <v>273</v>
      </c>
      <c r="L82" s="366"/>
    </row>
    <row r="83" spans="1:18" ht="15.75" customHeight="1">
      <c r="A83" s="359">
        <v>2</v>
      </c>
      <c r="B83" s="359">
        <v>3</v>
      </c>
      <c r="C83" s="359">
        <v>14</v>
      </c>
      <c r="D83" s="359" t="s">
        <v>107</v>
      </c>
      <c r="E83" s="391" t="s">
        <v>108</v>
      </c>
      <c r="F83" s="361" t="s">
        <v>109</v>
      </c>
      <c r="G83" s="362">
        <v>50743</v>
      </c>
      <c r="H83" s="363">
        <v>88</v>
      </c>
      <c r="I83" s="411" t="s">
        <v>272</v>
      </c>
      <c r="J83" s="366">
        <v>3</v>
      </c>
      <c r="K83" s="366" t="s">
        <v>273</v>
      </c>
      <c r="L83" s="366"/>
    </row>
    <row r="84" spans="1:18" ht="15.75" customHeight="1">
      <c r="A84" s="359">
        <v>2</v>
      </c>
      <c r="B84" s="359">
        <v>3</v>
      </c>
      <c r="C84" s="359">
        <v>17</v>
      </c>
      <c r="D84" s="359" t="s">
        <v>60</v>
      </c>
      <c r="E84" s="391" t="s">
        <v>71</v>
      </c>
      <c r="F84" s="361" t="s">
        <v>25</v>
      </c>
      <c r="G84" s="362">
        <v>50747</v>
      </c>
      <c r="H84" s="363">
        <v>1</v>
      </c>
      <c r="I84" s="411" t="s">
        <v>265</v>
      </c>
      <c r="J84" s="366">
        <v>2</v>
      </c>
      <c r="K84" s="366" t="s">
        <v>280</v>
      </c>
      <c r="L84" s="366"/>
    </row>
    <row r="85" spans="1:18" ht="36">
      <c r="A85" s="112">
        <v>2</v>
      </c>
      <c r="B85" s="112">
        <v>3</v>
      </c>
      <c r="C85" s="112">
        <v>17</v>
      </c>
      <c r="D85" s="112" t="s">
        <v>60</v>
      </c>
      <c r="E85" s="104" t="s">
        <v>61</v>
      </c>
      <c r="F85" s="392" t="s">
        <v>25</v>
      </c>
      <c r="G85" s="107">
        <v>50733</v>
      </c>
      <c r="H85" s="110">
        <v>114</v>
      </c>
      <c r="I85" s="392" t="s">
        <v>265</v>
      </c>
      <c r="J85" s="393">
        <v>2</v>
      </c>
      <c r="K85" s="393" t="s">
        <v>280</v>
      </c>
      <c r="L85" s="393" t="s">
        <v>111</v>
      </c>
      <c r="M85" s="90"/>
      <c r="N85" s="90"/>
      <c r="O85" s="90"/>
      <c r="P85" s="90"/>
      <c r="Q85" s="90"/>
      <c r="R85" s="90"/>
    </row>
    <row r="86" spans="1:18" ht="15.75" customHeight="1">
      <c r="A86" s="359">
        <v>2</v>
      </c>
      <c r="B86" s="359">
        <v>3</v>
      </c>
      <c r="C86" s="359">
        <v>17</v>
      </c>
      <c r="D86" s="359" t="s">
        <v>60</v>
      </c>
      <c r="E86" s="391" t="s">
        <v>61</v>
      </c>
      <c r="F86" s="361" t="s">
        <v>68</v>
      </c>
      <c r="G86" s="362">
        <v>50636</v>
      </c>
      <c r="H86" s="363">
        <v>36</v>
      </c>
      <c r="I86" s="411" t="s">
        <v>265</v>
      </c>
      <c r="J86" s="366">
        <v>2</v>
      </c>
      <c r="K86" s="366" t="s">
        <v>293</v>
      </c>
      <c r="L86" s="366"/>
    </row>
    <row r="87" spans="1:18" ht="15.75" customHeight="1">
      <c r="A87" s="270">
        <v>2</v>
      </c>
      <c r="B87" s="270">
        <v>3</v>
      </c>
      <c r="C87" s="270">
        <v>17</v>
      </c>
      <c r="D87" s="270" t="s">
        <v>60</v>
      </c>
      <c r="E87" s="367" t="s">
        <v>61</v>
      </c>
      <c r="F87" s="371" t="s">
        <v>68</v>
      </c>
      <c r="G87" s="369">
        <v>50668</v>
      </c>
      <c r="H87" s="402">
        <v>34</v>
      </c>
      <c r="I87" s="371"/>
      <c r="J87" s="380"/>
      <c r="K87" s="380"/>
      <c r="L87" s="380" t="s">
        <v>43</v>
      </c>
    </row>
    <row r="88" spans="1:18" ht="15.75" customHeight="1">
      <c r="A88" s="359">
        <v>2</v>
      </c>
      <c r="B88" s="359">
        <v>3</v>
      </c>
      <c r="C88" s="359">
        <v>17</v>
      </c>
      <c r="D88" s="359" t="s">
        <v>60</v>
      </c>
      <c r="E88" s="391" t="s">
        <v>61</v>
      </c>
      <c r="F88" s="361" t="s">
        <v>68</v>
      </c>
      <c r="G88" s="362">
        <v>50626</v>
      </c>
      <c r="H88" s="363">
        <v>8</v>
      </c>
      <c r="I88" s="411" t="s">
        <v>265</v>
      </c>
      <c r="J88" s="366">
        <v>2</v>
      </c>
      <c r="K88" s="366" t="s">
        <v>280</v>
      </c>
      <c r="L88" s="366"/>
    </row>
    <row r="89" spans="1:18" ht="15.75" customHeight="1">
      <c r="A89" s="359">
        <v>2</v>
      </c>
      <c r="B89" s="359">
        <v>3</v>
      </c>
      <c r="C89" s="359">
        <v>17</v>
      </c>
      <c r="D89" s="359" t="s">
        <v>60</v>
      </c>
      <c r="E89" s="391" t="s">
        <v>61</v>
      </c>
      <c r="F89" s="361" t="s">
        <v>34</v>
      </c>
      <c r="G89" s="362">
        <v>50595</v>
      </c>
      <c r="H89" s="363">
        <v>45</v>
      </c>
      <c r="I89" s="411" t="s">
        <v>272</v>
      </c>
      <c r="J89" s="366">
        <v>3</v>
      </c>
      <c r="K89" s="366" t="s">
        <v>273</v>
      </c>
      <c r="L89" s="366"/>
    </row>
    <row r="90" spans="1:18" ht="15.75" customHeight="1">
      <c r="A90" s="359">
        <v>2</v>
      </c>
      <c r="B90" s="359">
        <v>3</v>
      </c>
      <c r="C90" s="359">
        <v>17</v>
      </c>
      <c r="D90" s="359" t="s">
        <v>60</v>
      </c>
      <c r="E90" s="391" t="s">
        <v>61</v>
      </c>
      <c r="F90" s="361" t="s">
        <v>68</v>
      </c>
      <c r="G90" s="362">
        <v>50818</v>
      </c>
      <c r="H90" s="363">
        <v>67</v>
      </c>
      <c r="I90" s="411" t="s">
        <v>265</v>
      </c>
      <c r="J90" s="366">
        <v>2</v>
      </c>
      <c r="K90" s="366" t="s">
        <v>270</v>
      </c>
      <c r="L90" s="366"/>
    </row>
    <row r="91" spans="1:18" ht="15.75" customHeight="1">
      <c r="A91" s="359">
        <v>2</v>
      </c>
      <c r="B91" s="359">
        <v>3</v>
      </c>
      <c r="C91" s="359">
        <v>17</v>
      </c>
      <c r="D91" s="359" t="s">
        <v>60</v>
      </c>
      <c r="E91" s="391" t="s">
        <v>61</v>
      </c>
      <c r="F91" s="361" t="s">
        <v>31</v>
      </c>
      <c r="G91" s="362">
        <v>50810</v>
      </c>
      <c r="H91" s="363">
        <v>127</v>
      </c>
      <c r="I91" s="411" t="s">
        <v>265</v>
      </c>
      <c r="J91" s="366">
        <v>2</v>
      </c>
      <c r="K91" s="366" t="s">
        <v>295</v>
      </c>
      <c r="L91" s="366"/>
    </row>
    <row r="92" spans="1:18" ht="15.75" customHeight="1">
      <c r="A92" s="359">
        <v>2</v>
      </c>
      <c r="B92" s="359">
        <v>3</v>
      </c>
      <c r="C92" s="359">
        <v>17</v>
      </c>
      <c r="D92" s="359" t="s">
        <v>60</v>
      </c>
      <c r="E92" s="391" t="s">
        <v>61</v>
      </c>
      <c r="F92" s="361" t="s">
        <v>25</v>
      </c>
      <c r="G92" s="362">
        <v>50749</v>
      </c>
      <c r="H92" s="363">
        <v>29</v>
      </c>
      <c r="I92" s="411" t="s">
        <v>265</v>
      </c>
      <c r="J92" s="366">
        <v>2</v>
      </c>
      <c r="K92" s="366" t="s">
        <v>270</v>
      </c>
      <c r="L92" s="366"/>
    </row>
    <row r="93" spans="1:18" ht="15.75" customHeight="1">
      <c r="A93" s="359">
        <v>2</v>
      </c>
      <c r="B93" s="359">
        <v>3</v>
      </c>
      <c r="C93" s="359">
        <v>18</v>
      </c>
      <c r="D93" s="359" t="s">
        <v>112</v>
      </c>
      <c r="E93" s="391" t="s">
        <v>113</v>
      </c>
      <c r="F93" s="361" t="s">
        <v>25</v>
      </c>
      <c r="G93" s="362">
        <v>50758</v>
      </c>
      <c r="H93" s="363">
        <v>246</v>
      </c>
      <c r="I93" s="411" t="s">
        <v>272</v>
      </c>
      <c r="J93" s="366">
        <v>3</v>
      </c>
      <c r="K93" s="366" t="s">
        <v>273</v>
      </c>
      <c r="L93" s="366"/>
    </row>
    <row r="94" spans="1:18" ht="15.75" customHeight="1">
      <c r="A94" s="359">
        <v>2</v>
      </c>
      <c r="B94" s="359">
        <v>3</v>
      </c>
      <c r="C94" s="359">
        <v>18</v>
      </c>
      <c r="D94" s="359" t="s">
        <v>114</v>
      </c>
      <c r="E94" s="391" t="s">
        <v>115</v>
      </c>
      <c r="F94" s="361" t="s">
        <v>25</v>
      </c>
      <c r="G94" s="362">
        <v>50858</v>
      </c>
      <c r="H94" s="363">
        <v>98</v>
      </c>
      <c r="I94" s="411" t="s">
        <v>272</v>
      </c>
      <c r="J94" s="366">
        <v>3</v>
      </c>
      <c r="K94" s="366" t="s">
        <v>273</v>
      </c>
      <c r="L94" s="366"/>
    </row>
    <row r="95" spans="1:18" ht="15.75" customHeight="1">
      <c r="A95" s="359">
        <v>2</v>
      </c>
      <c r="B95" s="359">
        <v>3</v>
      </c>
      <c r="C95" s="359">
        <v>18</v>
      </c>
      <c r="D95" s="359" t="s">
        <v>112</v>
      </c>
      <c r="E95" s="391" t="s">
        <v>113</v>
      </c>
      <c r="F95" s="361" t="s">
        <v>25</v>
      </c>
      <c r="G95" s="362">
        <v>50812</v>
      </c>
      <c r="H95" s="363">
        <v>29</v>
      </c>
      <c r="I95" s="411" t="s">
        <v>272</v>
      </c>
      <c r="J95" s="366">
        <v>3</v>
      </c>
      <c r="K95" s="366" t="s">
        <v>273</v>
      </c>
      <c r="L95" s="366"/>
    </row>
    <row r="96" spans="1:18" ht="15.75" customHeight="1">
      <c r="A96" s="270">
        <v>2</v>
      </c>
      <c r="B96" s="270">
        <v>3</v>
      </c>
      <c r="C96" s="270">
        <v>18</v>
      </c>
      <c r="D96" s="270" t="s">
        <v>112</v>
      </c>
      <c r="E96" s="367" t="s">
        <v>113</v>
      </c>
      <c r="F96" s="371" t="s">
        <v>116</v>
      </c>
      <c r="G96" s="369">
        <v>50065</v>
      </c>
      <c r="H96" s="402">
        <v>10</v>
      </c>
      <c r="I96" s="371"/>
      <c r="J96" s="380"/>
      <c r="K96" s="380"/>
      <c r="L96" s="380" t="s">
        <v>43</v>
      </c>
    </row>
    <row r="97" spans="1:18" ht="15.75" customHeight="1">
      <c r="A97" s="359">
        <v>2</v>
      </c>
      <c r="B97" s="359">
        <v>3</v>
      </c>
      <c r="C97" s="359">
        <v>18</v>
      </c>
      <c r="D97" s="359" t="s">
        <v>114</v>
      </c>
      <c r="E97" s="391" t="s">
        <v>115</v>
      </c>
      <c r="F97" s="361" t="s">
        <v>117</v>
      </c>
      <c r="G97" s="362">
        <v>50535</v>
      </c>
      <c r="H97" s="363">
        <v>24</v>
      </c>
      <c r="I97" s="411" t="s">
        <v>272</v>
      </c>
      <c r="J97" s="366">
        <v>3</v>
      </c>
      <c r="K97" s="366" t="s">
        <v>273</v>
      </c>
      <c r="L97" s="366" t="s">
        <v>296</v>
      </c>
    </row>
    <row r="98" spans="1:18" ht="15.75" customHeight="1">
      <c r="A98" s="359">
        <v>2</v>
      </c>
      <c r="B98" s="359">
        <v>3</v>
      </c>
      <c r="C98" s="359">
        <v>19</v>
      </c>
      <c r="D98" s="359" t="s">
        <v>32</v>
      </c>
      <c r="E98" s="391" t="s">
        <v>33</v>
      </c>
      <c r="F98" s="361" t="s">
        <v>34</v>
      </c>
      <c r="G98" s="362">
        <v>50563</v>
      </c>
      <c r="H98" s="363">
        <v>338</v>
      </c>
      <c r="I98" s="411" t="s">
        <v>272</v>
      </c>
      <c r="J98" s="366">
        <v>3</v>
      </c>
      <c r="K98" s="366" t="s">
        <v>273</v>
      </c>
      <c r="L98" s="366"/>
    </row>
    <row r="99" spans="1:18" ht="15.75" customHeight="1">
      <c r="A99" s="123">
        <v>2</v>
      </c>
      <c r="B99" s="123">
        <v>3</v>
      </c>
      <c r="C99" s="123">
        <v>19</v>
      </c>
      <c r="D99" s="123" t="s">
        <v>112</v>
      </c>
      <c r="E99" s="117" t="s">
        <v>113</v>
      </c>
      <c r="F99" s="396" t="s">
        <v>34</v>
      </c>
      <c r="G99" s="118">
        <v>50688</v>
      </c>
      <c r="H99" s="119">
        <v>113</v>
      </c>
      <c r="I99" s="396" t="s">
        <v>265</v>
      </c>
      <c r="J99" s="395">
        <v>2</v>
      </c>
      <c r="K99" s="395" t="s">
        <v>270</v>
      </c>
      <c r="L99" s="395" t="s">
        <v>118</v>
      </c>
      <c r="M99" s="90"/>
      <c r="N99" s="90"/>
      <c r="O99" s="90"/>
      <c r="P99" s="90"/>
      <c r="Q99" s="90"/>
      <c r="R99" s="90"/>
    </row>
    <row r="100" spans="1:18" ht="15.75" customHeight="1">
      <c r="A100" s="382">
        <v>2</v>
      </c>
      <c r="B100" s="359">
        <v>3</v>
      </c>
      <c r="C100" s="359">
        <v>19</v>
      </c>
      <c r="D100" s="359" t="s">
        <v>112</v>
      </c>
      <c r="E100" s="391" t="s">
        <v>113</v>
      </c>
      <c r="F100" s="361" t="s">
        <v>68</v>
      </c>
      <c r="G100" s="362">
        <v>50146</v>
      </c>
      <c r="H100" s="363">
        <v>9</v>
      </c>
      <c r="I100" s="411" t="s">
        <v>265</v>
      </c>
      <c r="J100" s="366">
        <v>2</v>
      </c>
      <c r="K100" s="366" t="s">
        <v>268</v>
      </c>
      <c r="L100" s="366"/>
    </row>
    <row r="101" spans="1:18" ht="15.75" customHeight="1">
      <c r="A101" s="123">
        <v>2</v>
      </c>
      <c r="B101" s="123">
        <v>3</v>
      </c>
      <c r="C101" s="123">
        <v>19</v>
      </c>
      <c r="D101" s="123" t="s">
        <v>112</v>
      </c>
      <c r="E101" s="117" t="s">
        <v>113</v>
      </c>
      <c r="F101" s="396" t="s">
        <v>25</v>
      </c>
      <c r="G101" s="118">
        <v>50758</v>
      </c>
      <c r="H101" s="119">
        <v>133</v>
      </c>
      <c r="I101" s="396"/>
      <c r="J101" s="395"/>
      <c r="K101" s="395"/>
      <c r="L101" s="395" t="s">
        <v>248</v>
      </c>
      <c r="M101" s="90"/>
      <c r="N101" s="90"/>
      <c r="O101" s="90"/>
      <c r="P101" s="90"/>
      <c r="Q101" s="90"/>
      <c r="R101" s="90"/>
    </row>
    <row r="102" spans="1:18" ht="15.75" customHeight="1">
      <c r="A102" s="359">
        <v>2</v>
      </c>
      <c r="B102" s="359">
        <v>3</v>
      </c>
      <c r="C102" s="359">
        <v>21</v>
      </c>
      <c r="D102" s="359" t="s">
        <v>120</v>
      </c>
      <c r="E102" s="391" t="s">
        <v>121</v>
      </c>
      <c r="F102" s="361" t="s">
        <v>25</v>
      </c>
      <c r="G102" s="362">
        <v>50745</v>
      </c>
      <c r="H102" s="363">
        <v>131</v>
      </c>
      <c r="I102" s="411" t="s">
        <v>272</v>
      </c>
      <c r="J102" s="366">
        <v>3</v>
      </c>
      <c r="K102" s="366" t="s">
        <v>273</v>
      </c>
      <c r="L102" s="366"/>
    </row>
    <row r="103" spans="1:18" ht="15.75" customHeight="1">
      <c r="A103" s="359">
        <v>2</v>
      </c>
      <c r="B103" s="359">
        <v>3</v>
      </c>
      <c r="C103" s="359">
        <v>21</v>
      </c>
      <c r="D103" s="359" t="s">
        <v>120</v>
      </c>
      <c r="E103" s="391" t="s">
        <v>121</v>
      </c>
      <c r="F103" s="361" t="s">
        <v>31</v>
      </c>
      <c r="G103" s="362">
        <v>50718</v>
      </c>
      <c r="H103" s="363">
        <v>168</v>
      </c>
      <c r="I103" s="411" t="s">
        <v>272</v>
      </c>
      <c r="J103" s="366">
        <v>3</v>
      </c>
      <c r="K103" s="366" t="s">
        <v>273</v>
      </c>
      <c r="L103" s="366"/>
    </row>
    <row r="104" spans="1:18" ht="15.75" customHeight="1">
      <c r="A104" s="359">
        <v>2</v>
      </c>
      <c r="B104" s="359">
        <v>3</v>
      </c>
      <c r="C104" s="359">
        <v>21</v>
      </c>
      <c r="D104" s="359" t="s">
        <v>120</v>
      </c>
      <c r="E104" s="391" t="s">
        <v>121</v>
      </c>
      <c r="F104" s="361" t="s">
        <v>25</v>
      </c>
      <c r="G104" s="362">
        <v>50681</v>
      </c>
      <c r="H104" s="363">
        <v>9</v>
      </c>
      <c r="I104" s="411" t="s">
        <v>272</v>
      </c>
      <c r="J104" s="366">
        <v>3</v>
      </c>
      <c r="K104" s="366" t="s">
        <v>273</v>
      </c>
      <c r="L104" s="366"/>
    </row>
    <row r="105" spans="1:18" ht="15.75" customHeight="1">
      <c r="A105" s="359">
        <v>2</v>
      </c>
      <c r="B105" s="359">
        <v>3</v>
      </c>
      <c r="C105" s="359">
        <v>22</v>
      </c>
      <c r="D105" s="359" t="s">
        <v>122</v>
      </c>
      <c r="E105" s="391" t="s">
        <v>123</v>
      </c>
      <c r="F105" s="361" t="s">
        <v>34</v>
      </c>
      <c r="G105" s="362">
        <v>50732</v>
      </c>
      <c r="H105" s="363">
        <v>274</v>
      </c>
      <c r="I105" s="411" t="s">
        <v>272</v>
      </c>
      <c r="J105" s="366">
        <v>3</v>
      </c>
      <c r="K105" s="366" t="s">
        <v>273</v>
      </c>
      <c r="L105" s="366"/>
    </row>
    <row r="106" spans="1:18" ht="15.75" customHeight="1">
      <c r="A106" s="359">
        <v>2</v>
      </c>
      <c r="B106" s="359">
        <v>3</v>
      </c>
      <c r="C106" s="359">
        <v>22</v>
      </c>
      <c r="D106" s="359" t="s">
        <v>122</v>
      </c>
      <c r="E106" s="391" t="s">
        <v>123</v>
      </c>
      <c r="F106" s="361" t="s">
        <v>34</v>
      </c>
      <c r="G106" s="362">
        <v>50545</v>
      </c>
      <c r="H106" s="363">
        <v>13</v>
      </c>
      <c r="I106" s="411" t="s">
        <v>272</v>
      </c>
      <c r="J106" s="366">
        <v>3</v>
      </c>
      <c r="K106" s="366" t="s">
        <v>273</v>
      </c>
      <c r="L106" s="366"/>
    </row>
    <row r="107" spans="1:18" ht="15.75" customHeight="1">
      <c r="A107" s="359">
        <v>2</v>
      </c>
      <c r="B107" s="359">
        <v>3</v>
      </c>
      <c r="C107" s="359">
        <v>22</v>
      </c>
      <c r="D107" s="359" t="s">
        <v>122</v>
      </c>
      <c r="E107" s="391" t="s">
        <v>123</v>
      </c>
      <c r="F107" s="361" t="s">
        <v>25</v>
      </c>
      <c r="G107" s="362">
        <v>50833</v>
      </c>
      <c r="H107" s="363">
        <v>204</v>
      </c>
      <c r="I107" s="411" t="s">
        <v>272</v>
      </c>
      <c r="J107" s="366">
        <v>3</v>
      </c>
      <c r="K107" s="366" t="s">
        <v>273</v>
      </c>
      <c r="L107" s="366"/>
    </row>
    <row r="108" spans="1:18" ht="15.75" customHeight="1">
      <c r="A108" s="359">
        <v>2</v>
      </c>
      <c r="B108" s="359">
        <v>3</v>
      </c>
      <c r="C108" s="359">
        <v>22</v>
      </c>
      <c r="D108" s="359" t="s">
        <v>122</v>
      </c>
      <c r="E108" s="391" t="s">
        <v>123</v>
      </c>
      <c r="F108" s="361" t="s">
        <v>25</v>
      </c>
      <c r="G108" s="362">
        <v>50725</v>
      </c>
      <c r="H108" s="363">
        <v>62</v>
      </c>
      <c r="I108" s="411" t="s">
        <v>265</v>
      </c>
      <c r="J108" s="366">
        <v>2</v>
      </c>
      <c r="K108" s="366" t="s">
        <v>568</v>
      </c>
      <c r="L108" s="366"/>
    </row>
    <row r="109" spans="1:18" ht="15.75" customHeight="1">
      <c r="A109" s="359">
        <v>2</v>
      </c>
      <c r="B109" s="359">
        <v>4</v>
      </c>
      <c r="C109" s="359">
        <v>2</v>
      </c>
      <c r="D109" s="359" t="s">
        <v>124</v>
      </c>
      <c r="E109" s="391" t="s">
        <v>125</v>
      </c>
      <c r="F109" s="361" t="s">
        <v>31</v>
      </c>
      <c r="G109" s="362">
        <v>50761</v>
      </c>
      <c r="H109" s="363">
        <v>250</v>
      </c>
      <c r="I109" s="411" t="s">
        <v>265</v>
      </c>
      <c r="J109" s="366">
        <v>2</v>
      </c>
      <c r="K109" s="366" t="s">
        <v>269</v>
      </c>
      <c r="L109" s="366"/>
    </row>
    <row r="110" spans="1:18" ht="15.75" customHeight="1">
      <c r="A110" s="359">
        <v>2</v>
      </c>
      <c r="B110" s="359">
        <v>4</v>
      </c>
      <c r="C110" s="359">
        <v>2</v>
      </c>
      <c r="D110" s="359" t="s">
        <v>124</v>
      </c>
      <c r="E110" s="391" t="s">
        <v>125</v>
      </c>
      <c r="F110" s="361" t="s">
        <v>25</v>
      </c>
      <c r="G110" s="362">
        <v>50113</v>
      </c>
      <c r="H110" s="363">
        <v>172</v>
      </c>
      <c r="I110" s="411" t="s">
        <v>265</v>
      </c>
      <c r="J110" s="366">
        <v>2</v>
      </c>
      <c r="K110" s="366" t="s">
        <v>269</v>
      </c>
      <c r="L110" s="366"/>
    </row>
    <row r="111" spans="1:18" ht="15.75" customHeight="1">
      <c r="A111" s="270">
        <v>2</v>
      </c>
      <c r="B111" s="270">
        <v>4</v>
      </c>
      <c r="C111" s="270">
        <v>2</v>
      </c>
      <c r="D111" s="270" t="s">
        <v>124</v>
      </c>
      <c r="E111" s="367" t="s">
        <v>125</v>
      </c>
      <c r="F111" s="371" t="s">
        <v>25</v>
      </c>
      <c r="G111" s="369">
        <v>50659</v>
      </c>
      <c r="H111" s="402">
        <v>63</v>
      </c>
      <c r="I111" s="371"/>
      <c r="J111" s="380"/>
      <c r="K111" s="380"/>
      <c r="L111" s="380" t="s">
        <v>43</v>
      </c>
    </row>
    <row r="112" spans="1:18" ht="15.75" customHeight="1">
      <c r="A112" s="134">
        <v>2</v>
      </c>
      <c r="B112" s="134">
        <v>4</v>
      </c>
      <c r="C112" s="134">
        <v>2</v>
      </c>
      <c r="D112" s="134" t="s">
        <v>126</v>
      </c>
      <c r="E112" s="130" t="s">
        <v>127</v>
      </c>
      <c r="F112" s="163" t="s">
        <v>25</v>
      </c>
      <c r="G112" s="131">
        <v>50767</v>
      </c>
      <c r="H112" s="132">
        <v>145</v>
      </c>
      <c r="I112" s="163" t="s">
        <v>272</v>
      </c>
      <c r="J112" s="397">
        <v>3</v>
      </c>
      <c r="K112" s="397" t="s">
        <v>273</v>
      </c>
      <c r="L112" s="397" t="s">
        <v>128</v>
      </c>
      <c r="M112" s="137"/>
      <c r="N112" s="137"/>
      <c r="O112" s="137"/>
      <c r="P112" s="137"/>
      <c r="Q112" s="137"/>
      <c r="R112" s="137"/>
    </row>
    <row r="113" spans="1:18" ht="15.75" customHeight="1">
      <c r="A113" s="359">
        <v>2</v>
      </c>
      <c r="B113" s="359">
        <v>4</v>
      </c>
      <c r="C113" s="359">
        <v>3</v>
      </c>
      <c r="D113" s="359" t="s">
        <v>60</v>
      </c>
      <c r="E113" s="391" t="s">
        <v>61</v>
      </c>
      <c r="F113" s="361" t="s">
        <v>31</v>
      </c>
      <c r="G113" s="362">
        <v>50810</v>
      </c>
      <c r="H113" s="363">
        <v>482</v>
      </c>
      <c r="I113" s="411" t="s">
        <v>265</v>
      </c>
      <c r="J113" s="366">
        <v>2</v>
      </c>
      <c r="K113" s="366" t="s">
        <v>295</v>
      </c>
      <c r="L113" s="366"/>
    </row>
    <row r="114" spans="1:18" ht="15.75" customHeight="1">
      <c r="A114" s="359">
        <v>2</v>
      </c>
      <c r="B114" s="359">
        <v>4</v>
      </c>
      <c r="C114" s="359">
        <v>4</v>
      </c>
      <c r="D114" s="359" t="s">
        <v>129</v>
      </c>
      <c r="E114" s="391" t="s">
        <v>130</v>
      </c>
      <c r="F114" s="361" t="s">
        <v>31</v>
      </c>
      <c r="G114" s="362">
        <v>50827</v>
      </c>
      <c r="H114" s="363">
        <v>654</v>
      </c>
      <c r="I114" s="411" t="s">
        <v>265</v>
      </c>
      <c r="J114" s="366">
        <v>2</v>
      </c>
      <c r="K114" s="366" t="s">
        <v>270</v>
      </c>
      <c r="L114" s="366"/>
    </row>
    <row r="115" spans="1:18" ht="15.75" customHeight="1">
      <c r="A115" s="134">
        <v>2</v>
      </c>
      <c r="B115" s="134">
        <v>4</v>
      </c>
      <c r="C115" s="134">
        <v>4</v>
      </c>
      <c r="D115" s="134" t="s">
        <v>60</v>
      </c>
      <c r="E115" s="130" t="s">
        <v>61</v>
      </c>
      <c r="F115" s="163" t="s">
        <v>31</v>
      </c>
      <c r="G115" s="131">
        <v>50860</v>
      </c>
      <c r="H115" s="132">
        <v>214</v>
      </c>
      <c r="I115" s="163" t="s">
        <v>272</v>
      </c>
      <c r="J115" s="397">
        <v>3</v>
      </c>
      <c r="K115" s="397" t="s">
        <v>569</v>
      </c>
      <c r="L115" s="397" t="s">
        <v>131</v>
      </c>
      <c r="M115" s="137"/>
      <c r="N115" s="137"/>
      <c r="O115" s="137"/>
      <c r="P115" s="137"/>
      <c r="Q115" s="137"/>
      <c r="R115" s="137"/>
    </row>
    <row r="116" spans="1:18" ht="15.75" customHeight="1">
      <c r="A116" s="359">
        <v>2</v>
      </c>
      <c r="B116" s="359">
        <v>4</v>
      </c>
      <c r="C116" s="359">
        <v>5</v>
      </c>
      <c r="D116" s="359" t="s">
        <v>56</v>
      </c>
      <c r="E116" s="391" t="s">
        <v>57</v>
      </c>
      <c r="F116" s="361" t="s">
        <v>31</v>
      </c>
      <c r="G116" s="362">
        <v>50712</v>
      </c>
      <c r="H116" s="363">
        <v>621</v>
      </c>
      <c r="I116" s="411" t="s">
        <v>272</v>
      </c>
      <c r="J116" s="366">
        <v>3</v>
      </c>
      <c r="K116" s="366" t="s">
        <v>569</v>
      </c>
      <c r="L116" s="366"/>
    </row>
    <row r="117" spans="1:18" ht="15.75" customHeight="1">
      <c r="A117" s="359">
        <v>2</v>
      </c>
      <c r="B117" s="359">
        <v>4</v>
      </c>
      <c r="C117" s="359">
        <v>6</v>
      </c>
      <c r="D117" s="359" t="s">
        <v>132</v>
      </c>
      <c r="E117" s="391" t="s">
        <v>133</v>
      </c>
      <c r="F117" s="361" t="s">
        <v>109</v>
      </c>
      <c r="G117" s="362">
        <v>50716</v>
      </c>
      <c r="H117" s="363">
        <v>82</v>
      </c>
      <c r="I117" s="411" t="s">
        <v>266</v>
      </c>
      <c r="J117" s="366">
        <v>1</v>
      </c>
      <c r="K117" s="366" t="s">
        <v>570</v>
      </c>
      <c r="L117" s="366"/>
    </row>
    <row r="118" spans="1:18" ht="15.75" customHeight="1">
      <c r="A118" s="359">
        <v>2</v>
      </c>
      <c r="B118" s="359">
        <v>4</v>
      </c>
      <c r="C118" s="359">
        <v>6</v>
      </c>
      <c r="D118" s="359" t="s">
        <v>132</v>
      </c>
      <c r="E118" s="391" t="s">
        <v>133</v>
      </c>
      <c r="F118" s="361" t="s">
        <v>109</v>
      </c>
      <c r="G118" s="362">
        <v>50789</v>
      </c>
      <c r="H118" s="363">
        <v>327</v>
      </c>
      <c r="I118" s="411"/>
      <c r="J118" s="366"/>
      <c r="K118" s="366"/>
      <c r="L118" s="366" t="s">
        <v>248</v>
      </c>
    </row>
    <row r="119" spans="1:18" ht="15.75" customHeight="1">
      <c r="A119" s="359">
        <v>2</v>
      </c>
      <c r="B119" s="359">
        <v>4</v>
      </c>
      <c r="C119" s="359">
        <v>6</v>
      </c>
      <c r="D119" s="359" t="s">
        <v>132</v>
      </c>
      <c r="E119" s="391" t="s">
        <v>133</v>
      </c>
      <c r="F119" s="361" t="s">
        <v>34</v>
      </c>
      <c r="G119" s="362">
        <v>50710</v>
      </c>
      <c r="H119" s="363">
        <v>15</v>
      </c>
      <c r="I119" s="411" t="s">
        <v>265</v>
      </c>
      <c r="J119" s="366">
        <v>2</v>
      </c>
      <c r="K119" s="366" t="s">
        <v>269</v>
      </c>
      <c r="L119" s="366"/>
    </row>
    <row r="120" spans="1:18" ht="15.75" customHeight="1">
      <c r="A120" s="359">
        <v>2</v>
      </c>
      <c r="B120" s="359">
        <v>4</v>
      </c>
      <c r="C120" s="359">
        <v>7</v>
      </c>
      <c r="D120" s="359" t="s">
        <v>134</v>
      </c>
      <c r="E120" s="391" t="s">
        <v>135</v>
      </c>
      <c r="F120" s="361" t="s">
        <v>25</v>
      </c>
      <c r="G120" s="362">
        <v>50268</v>
      </c>
      <c r="H120" s="363">
        <v>411</v>
      </c>
      <c r="I120" s="411" t="s">
        <v>272</v>
      </c>
      <c r="J120" s="366">
        <v>3</v>
      </c>
      <c r="K120" s="366" t="s">
        <v>273</v>
      </c>
      <c r="L120" s="366" t="s">
        <v>298</v>
      </c>
    </row>
    <row r="121" spans="1:18" ht="15.75" customHeight="1">
      <c r="A121" s="324">
        <v>2</v>
      </c>
      <c r="B121" s="324">
        <v>4</v>
      </c>
      <c r="C121" s="324">
        <v>7</v>
      </c>
      <c r="D121" s="324" t="s">
        <v>134</v>
      </c>
      <c r="E121" s="373" t="s">
        <v>135</v>
      </c>
      <c r="F121" s="377" t="s">
        <v>68</v>
      </c>
      <c r="G121" s="375">
        <v>50169</v>
      </c>
      <c r="H121" s="376">
        <v>10</v>
      </c>
      <c r="I121" s="398"/>
      <c r="J121" s="399"/>
      <c r="K121" s="399"/>
      <c r="L121" s="378" t="s">
        <v>55</v>
      </c>
    </row>
    <row r="122" spans="1:18" ht="15.75" customHeight="1">
      <c r="A122" s="359">
        <v>2</v>
      </c>
      <c r="B122" s="359">
        <v>4</v>
      </c>
      <c r="C122" s="359">
        <v>9</v>
      </c>
      <c r="D122" s="359" t="s">
        <v>136</v>
      </c>
      <c r="E122" s="391" t="s">
        <v>137</v>
      </c>
      <c r="F122" s="361" t="s">
        <v>68</v>
      </c>
      <c r="G122" s="362">
        <v>50830</v>
      </c>
      <c r="H122" s="363">
        <v>329</v>
      </c>
      <c r="I122" s="411" t="s">
        <v>265</v>
      </c>
      <c r="J122" s="366">
        <v>2</v>
      </c>
      <c r="K122" s="366" t="s">
        <v>270</v>
      </c>
      <c r="L122" s="366"/>
    </row>
    <row r="123" spans="1:18" ht="15.75" customHeight="1">
      <c r="A123" s="359">
        <v>2</v>
      </c>
      <c r="B123" s="359">
        <v>4</v>
      </c>
      <c r="C123" s="359">
        <v>9</v>
      </c>
      <c r="D123" s="359" t="s">
        <v>136</v>
      </c>
      <c r="E123" s="391" t="s">
        <v>137</v>
      </c>
      <c r="F123" s="361" t="s">
        <v>25</v>
      </c>
      <c r="G123" s="362">
        <v>50757</v>
      </c>
      <c r="H123" s="363">
        <v>10</v>
      </c>
      <c r="I123" s="411" t="s">
        <v>272</v>
      </c>
      <c r="J123" s="366">
        <v>3</v>
      </c>
      <c r="K123" s="366" t="s">
        <v>273</v>
      </c>
      <c r="L123" s="366"/>
    </row>
    <row r="124" spans="1:18" ht="15.75" customHeight="1">
      <c r="A124" s="359">
        <v>2</v>
      </c>
      <c r="B124" s="359">
        <v>4</v>
      </c>
      <c r="C124" s="359">
        <v>10</v>
      </c>
      <c r="D124" s="359" t="s">
        <v>138</v>
      </c>
      <c r="E124" s="391" t="s">
        <v>139</v>
      </c>
      <c r="F124" s="361" t="s">
        <v>68</v>
      </c>
      <c r="G124" s="362">
        <v>50828</v>
      </c>
      <c r="H124" s="363">
        <v>954</v>
      </c>
      <c r="I124" s="411" t="s">
        <v>272</v>
      </c>
      <c r="J124" s="366">
        <v>3</v>
      </c>
      <c r="K124" s="366" t="s">
        <v>273</v>
      </c>
      <c r="L124" s="366"/>
    </row>
    <row r="125" spans="1:18" ht="15.75" customHeight="1">
      <c r="A125" s="359">
        <v>2</v>
      </c>
      <c r="B125" s="359">
        <v>4</v>
      </c>
      <c r="C125" s="359">
        <v>10</v>
      </c>
      <c r="D125" s="359" t="s">
        <v>140</v>
      </c>
      <c r="E125" s="391" t="s">
        <v>141</v>
      </c>
      <c r="F125" s="361" t="s">
        <v>25</v>
      </c>
      <c r="G125" s="362">
        <v>50763</v>
      </c>
      <c r="H125" s="363">
        <v>19</v>
      </c>
      <c r="I125" s="411" t="s">
        <v>272</v>
      </c>
      <c r="J125" s="366">
        <v>3</v>
      </c>
      <c r="K125" s="366" t="s">
        <v>273</v>
      </c>
      <c r="L125" s="366"/>
    </row>
    <row r="126" spans="1:18" ht="15.75" customHeight="1">
      <c r="A126" s="359">
        <v>2</v>
      </c>
      <c r="B126" s="359">
        <v>4</v>
      </c>
      <c r="C126" s="359">
        <v>10</v>
      </c>
      <c r="D126" s="359" t="s">
        <v>138</v>
      </c>
      <c r="E126" s="391" t="s">
        <v>139</v>
      </c>
      <c r="F126" s="361" t="s">
        <v>68</v>
      </c>
      <c r="G126" s="362">
        <v>50295</v>
      </c>
      <c r="H126" s="363">
        <v>11</v>
      </c>
      <c r="I126" s="411" t="s">
        <v>272</v>
      </c>
      <c r="J126" s="366">
        <v>3</v>
      </c>
      <c r="K126" s="366" t="s">
        <v>273</v>
      </c>
      <c r="L126" s="366" t="s">
        <v>315</v>
      </c>
    </row>
    <row r="127" spans="1:18" ht="15.75" customHeight="1">
      <c r="A127" s="359">
        <v>2</v>
      </c>
      <c r="B127" s="359">
        <v>4</v>
      </c>
      <c r="C127" s="359">
        <v>10</v>
      </c>
      <c r="D127" s="359" t="s">
        <v>140</v>
      </c>
      <c r="E127" s="391" t="s">
        <v>141</v>
      </c>
      <c r="F127" s="361" t="s">
        <v>68</v>
      </c>
      <c r="G127" s="362">
        <v>50638</v>
      </c>
      <c r="H127" s="363">
        <v>52</v>
      </c>
      <c r="I127" s="411" t="s">
        <v>272</v>
      </c>
      <c r="J127" s="366">
        <v>3</v>
      </c>
      <c r="K127" s="366" t="s">
        <v>273</v>
      </c>
      <c r="L127" s="366"/>
    </row>
    <row r="128" spans="1:18" ht="15.75" customHeight="1">
      <c r="A128" s="359">
        <v>2</v>
      </c>
      <c r="B128" s="359">
        <v>4</v>
      </c>
      <c r="C128" s="359">
        <v>10</v>
      </c>
      <c r="D128" s="359" t="s">
        <v>138</v>
      </c>
      <c r="E128" s="391" t="s">
        <v>139</v>
      </c>
      <c r="F128" s="361" t="s">
        <v>25</v>
      </c>
      <c r="G128" s="362">
        <v>50750</v>
      </c>
      <c r="H128" s="363">
        <v>82</v>
      </c>
      <c r="I128" s="411" t="s">
        <v>272</v>
      </c>
      <c r="J128" s="366">
        <v>3</v>
      </c>
      <c r="K128" s="366" t="s">
        <v>273</v>
      </c>
      <c r="L128" s="366"/>
    </row>
    <row r="129" spans="1:12" ht="15.75" customHeight="1">
      <c r="A129" s="270">
        <v>2</v>
      </c>
      <c r="B129" s="270">
        <v>4</v>
      </c>
      <c r="C129" s="270">
        <v>11</v>
      </c>
      <c r="D129" s="270" t="s">
        <v>142</v>
      </c>
      <c r="E129" s="367" t="s">
        <v>143</v>
      </c>
      <c r="F129" s="371" t="s">
        <v>144</v>
      </c>
      <c r="G129" s="369">
        <v>50769</v>
      </c>
      <c r="H129" s="402">
        <v>2</v>
      </c>
      <c r="I129" s="371"/>
      <c r="J129" s="380"/>
      <c r="K129" s="380"/>
      <c r="L129" s="380" t="s">
        <v>43</v>
      </c>
    </row>
    <row r="130" spans="1:12" ht="15.75" customHeight="1">
      <c r="A130" s="359">
        <v>2</v>
      </c>
      <c r="B130" s="359">
        <v>4</v>
      </c>
      <c r="C130" s="359">
        <v>13</v>
      </c>
      <c r="D130" s="359" t="s">
        <v>32</v>
      </c>
      <c r="E130" s="391" t="s">
        <v>33</v>
      </c>
      <c r="F130" s="361" t="s">
        <v>68</v>
      </c>
      <c r="G130" s="362">
        <v>50819</v>
      </c>
      <c r="H130" s="363">
        <v>1285</v>
      </c>
      <c r="I130" s="411" t="s">
        <v>265</v>
      </c>
      <c r="J130" s="366">
        <v>2</v>
      </c>
      <c r="K130" s="366" t="s">
        <v>571</v>
      </c>
      <c r="L130" s="366"/>
    </row>
    <row r="131" spans="1:12" ht="15.75" customHeight="1">
      <c r="A131" s="359">
        <v>2</v>
      </c>
      <c r="B131" s="359">
        <v>4</v>
      </c>
      <c r="C131" s="359">
        <v>14</v>
      </c>
      <c r="D131" s="359" t="s">
        <v>145</v>
      </c>
      <c r="E131" s="391" t="s">
        <v>146</v>
      </c>
      <c r="F131" s="361" t="s">
        <v>31</v>
      </c>
      <c r="G131" s="362">
        <v>50809</v>
      </c>
      <c r="H131" s="363">
        <v>664</v>
      </c>
      <c r="I131" s="411" t="s">
        <v>272</v>
      </c>
      <c r="J131" s="366">
        <v>3</v>
      </c>
      <c r="K131" s="366" t="s">
        <v>273</v>
      </c>
      <c r="L131" s="366"/>
    </row>
    <row r="132" spans="1:12" ht="15.75" customHeight="1">
      <c r="A132" s="270">
        <v>2</v>
      </c>
      <c r="B132" s="270">
        <v>4</v>
      </c>
      <c r="C132" s="270">
        <v>15</v>
      </c>
      <c r="D132" s="270" t="s">
        <v>147</v>
      </c>
      <c r="E132" s="367" t="s">
        <v>148</v>
      </c>
      <c r="F132" s="371" t="s">
        <v>25</v>
      </c>
      <c r="G132" s="369">
        <v>50376</v>
      </c>
      <c r="H132" s="402">
        <v>6</v>
      </c>
      <c r="I132" s="371"/>
      <c r="J132" s="380"/>
      <c r="K132" s="380"/>
      <c r="L132" s="380" t="s">
        <v>43</v>
      </c>
    </row>
    <row r="133" spans="1:12" ht="15.75" customHeight="1">
      <c r="A133" s="359">
        <v>2</v>
      </c>
      <c r="B133" s="359">
        <v>4</v>
      </c>
      <c r="C133" s="359">
        <v>15</v>
      </c>
      <c r="D133" s="359" t="s">
        <v>149</v>
      </c>
      <c r="E133" s="391" t="s">
        <v>150</v>
      </c>
      <c r="F133" s="361" t="s">
        <v>31</v>
      </c>
      <c r="G133" s="362">
        <v>50815</v>
      </c>
      <c r="H133" s="363">
        <v>81</v>
      </c>
      <c r="I133" s="411" t="s">
        <v>272</v>
      </c>
      <c r="J133" s="366">
        <v>3</v>
      </c>
      <c r="K133" s="366" t="s">
        <v>273</v>
      </c>
      <c r="L133" s="366"/>
    </row>
    <row r="134" spans="1:12" ht="15.75" customHeight="1">
      <c r="A134" s="359">
        <v>2</v>
      </c>
      <c r="B134" s="359">
        <v>4</v>
      </c>
      <c r="C134" s="359">
        <v>15</v>
      </c>
      <c r="D134" s="359" t="s">
        <v>145</v>
      </c>
      <c r="E134" s="391" t="s">
        <v>146</v>
      </c>
      <c r="F134" s="361" t="s">
        <v>31</v>
      </c>
      <c r="G134" s="362">
        <v>50711</v>
      </c>
      <c r="H134" s="363">
        <v>100</v>
      </c>
      <c r="I134" s="411"/>
      <c r="J134" s="366"/>
      <c r="K134" s="366"/>
      <c r="L134" s="366" t="s">
        <v>248</v>
      </c>
    </row>
    <row r="135" spans="1:12" ht="15.75" customHeight="1">
      <c r="A135" s="359">
        <v>2</v>
      </c>
      <c r="B135" s="359">
        <v>4</v>
      </c>
      <c r="C135" s="359">
        <v>15</v>
      </c>
      <c r="D135" s="359" t="s">
        <v>145</v>
      </c>
      <c r="E135" s="391" t="s">
        <v>146</v>
      </c>
      <c r="F135" s="361" t="s">
        <v>68</v>
      </c>
      <c r="G135" s="362">
        <v>50701</v>
      </c>
      <c r="H135" s="363">
        <v>70</v>
      </c>
      <c r="I135" s="411" t="s">
        <v>265</v>
      </c>
      <c r="J135" s="366">
        <v>2</v>
      </c>
      <c r="K135" s="366" t="s">
        <v>270</v>
      </c>
      <c r="L135" s="366"/>
    </row>
    <row r="136" spans="1:12" ht="15.75" customHeight="1">
      <c r="A136" s="359">
        <v>2</v>
      </c>
      <c r="B136" s="359">
        <v>4</v>
      </c>
      <c r="C136" s="359">
        <v>15</v>
      </c>
      <c r="D136" s="359" t="s">
        <v>151</v>
      </c>
      <c r="E136" s="391" t="s">
        <v>152</v>
      </c>
      <c r="F136" s="361" t="s">
        <v>144</v>
      </c>
      <c r="G136" s="362">
        <v>50776</v>
      </c>
      <c r="H136" s="363">
        <v>28</v>
      </c>
      <c r="I136" s="411" t="s">
        <v>272</v>
      </c>
      <c r="J136" s="366">
        <v>3</v>
      </c>
      <c r="K136" s="366" t="s">
        <v>273</v>
      </c>
      <c r="L136" s="366"/>
    </row>
    <row r="137" spans="1:12" ht="15.75" customHeight="1">
      <c r="A137" s="270">
        <v>2</v>
      </c>
      <c r="B137" s="270">
        <v>4</v>
      </c>
      <c r="C137" s="270">
        <v>15</v>
      </c>
      <c r="D137" s="270" t="s">
        <v>151</v>
      </c>
      <c r="E137" s="367" t="s">
        <v>152</v>
      </c>
      <c r="F137" s="371" t="s">
        <v>31</v>
      </c>
      <c r="G137" s="369">
        <v>50811</v>
      </c>
      <c r="H137" s="402">
        <v>4</v>
      </c>
      <c r="I137" s="400"/>
      <c r="J137" s="401"/>
      <c r="K137" s="401"/>
      <c r="L137" s="380" t="s">
        <v>43</v>
      </c>
    </row>
    <row r="138" spans="1:12" ht="15.75" customHeight="1">
      <c r="A138" s="359">
        <v>2</v>
      </c>
      <c r="B138" s="359">
        <v>4</v>
      </c>
      <c r="C138" s="359">
        <v>15</v>
      </c>
      <c r="D138" s="359" t="s">
        <v>153</v>
      </c>
      <c r="E138" s="391" t="s">
        <v>154</v>
      </c>
      <c r="F138" s="361" t="s">
        <v>155</v>
      </c>
      <c r="G138" s="362">
        <v>50851</v>
      </c>
      <c r="H138" s="363">
        <v>15</v>
      </c>
      <c r="I138" s="411" t="s">
        <v>272</v>
      </c>
      <c r="J138" s="366">
        <v>3</v>
      </c>
      <c r="K138" s="366" t="s">
        <v>273</v>
      </c>
      <c r="L138" s="366"/>
    </row>
    <row r="139" spans="1:12" ht="15.75" customHeight="1">
      <c r="A139" s="359">
        <v>2</v>
      </c>
      <c r="B139" s="359">
        <v>4</v>
      </c>
      <c r="C139" s="359">
        <v>15</v>
      </c>
      <c r="D139" s="359" t="s">
        <v>156</v>
      </c>
      <c r="E139" s="391" t="s">
        <v>157</v>
      </c>
      <c r="F139" s="361" t="s">
        <v>31</v>
      </c>
      <c r="G139" s="362">
        <v>50805</v>
      </c>
      <c r="H139" s="363">
        <v>15</v>
      </c>
      <c r="I139" s="411" t="s">
        <v>272</v>
      </c>
      <c r="J139" s="366">
        <v>3</v>
      </c>
      <c r="K139" s="366" t="s">
        <v>273</v>
      </c>
      <c r="L139" s="366"/>
    </row>
    <row r="140" spans="1:12" ht="15.75" customHeight="1">
      <c r="A140" s="359">
        <v>2</v>
      </c>
      <c r="B140" s="359">
        <v>4</v>
      </c>
      <c r="C140" s="359">
        <v>15</v>
      </c>
      <c r="D140" s="359" t="s">
        <v>158</v>
      </c>
      <c r="E140" s="391" t="s">
        <v>159</v>
      </c>
      <c r="F140" s="361" t="s">
        <v>31</v>
      </c>
      <c r="G140" s="362">
        <v>50849</v>
      </c>
      <c r="H140" s="363">
        <v>27</v>
      </c>
      <c r="I140" s="411" t="s">
        <v>265</v>
      </c>
      <c r="J140" s="366">
        <v>2</v>
      </c>
      <c r="K140" s="366" t="s">
        <v>311</v>
      </c>
      <c r="L140" s="366"/>
    </row>
    <row r="141" spans="1:12" ht="15.75" customHeight="1">
      <c r="A141" s="359">
        <v>2</v>
      </c>
      <c r="B141" s="359">
        <v>4</v>
      </c>
      <c r="C141" s="359">
        <v>15</v>
      </c>
      <c r="D141" s="359" t="s">
        <v>160</v>
      </c>
      <c r="E141" s="391" t="s">
        <v>161</v>
      </c>
      <c r="F141" s="361" t="s">
        <v>34</v>
      </c>
      <c r="G141" s="362">
        <v>50707</v>
      </c>
      <c r="H141" s="363">
        <v>30</v>
      </c>
      <c r="I141" s="411" t="s">
        <v>265</v>
      </c>
      <c r="J141" s="366">
        <v>2</v>
      </c>
      <c r="K141" s="366" t="s">
        <v>270</v>
      </c>
      <c r="L141" s="366"/>
    </row>
    <row r="142" spans="1:12" ht="15.75" customHeight="1">
      <c r="A142" s="359">
        <v>2</v>
      </c>
      <c r="B142" s="359">
        <v>4</v>
      </c>
      <c r="C142" s="359">
        <v>15</v>
      </c>
      <c r="D142" s="359" t="s">
        <v>162</v>
      </c>
      <c r="E142" s="391" t="s">
        <v>163</v>
      </c>
      <c r="F142" s="361" t="s">
        <v>34</v>
      </c>
      <c r="G142" s="362">
        <v>50840</v>
      </c>
      <c r="H142" s="363">
        <v>1</v>
      </c>
      <c r="I142" s="411" t="s">
        <v>272</v>
      </c>
      <c r="J142" s="366">
        <v>3</v>
      </c>
      <c r="K142" s="366" t="s">
        <v>273</v>
      </c>
      <c r="L142" s="366"/>
    </row>
    <row r="143" spans="1:12" ht="15.75" customHeight="1">
      <c r="A143" s="324">
        <v>2</v>
      </c>
      <c r="B143" s="324">
        <v>4</v>
      </c>
      <c r="C143" s="324">
        <v>15</v>
      </c>
      <c r="D143" s="324" t="s">
        <v>164</v>
      </c>
      <c r="E143" s="373" t="s">
        <v>165</v>
      </c>
      <c r="F143" s="377" t="s">
        <v>166</v>
      </c>
      <c r="G143" s="375">
        <v>50775</v>
      </c>
      <c r="H143" s="376">
        <v>1</v>
      </c>
      <c r="I143" s="377"/>
      <c r="J143" s="378"/>
      <c r="K143" s="378"/>
      <c r="L143" s="378" t="s">
        <v>55</v>
      </c>
    </row>
    <row r="144" spans="1:12" ht="15.75" customHeight="1">
      <c r="A144" s="270">
        <v>2</v>
      </c>
      <c r="B144" s="270">
        <v>4</v>
      </c>
      <c r="C144" s="270">
        <v>15</v>
      </c>
      <c r="D144" s="270" t="s">
        <v>149</v>
      </c>
      <c r="E144" s="367" t="s">
        <v>150</v>
      </c>
      <c r="F144" s="371" t="s">
        <v>68</v>
      </c>
      <c r="G144" s="369">
        <v>50669</v>
      </c>
      <c r="H144" s="402">
        <v>4</v>
      </c>
      <c r="I144" s="371"/>
      <c r="J144" s="380"/>
      <c r="K144" s="380"/>
      <c r="L144" s="380" t="s">
        <v>43</v>
      </c>
    </row>
    <row r="145" spans="1:12" ht="15.75" customHeight="1">
      <c r="A145" s="270">
        <v>2</v>
      </c>
      <c r="B145" s="270">
        <v>4</v>
      </c>
      <c r="C145" s="270">
        <v>15</v>
      </c>
      <c r="D145" s="270" t="s">
        <v>149</v>
      </c>
      <c r="E145" s="367" t="s">
        <v>150</v>
      </c>
      <c r="F145" s="371" t="s">
        <v>34</v>
      </c>
      <c r="G145" s="369">
        <v>50433</v>
      </c>
      <c r="H145" s="402">
        <v>3</v>
      </c>
      <c r="I145" s="371"/>
      <c r="J145" s="380"/>
      <c r="K145" s="380"/>
      <c r="L145" s="380" t="s">
        <v>43</v>
      </c>
    </row>
    <row r="146" spans="1:12" ht="15.75" customHeight="1">
      <c r="A146" s="359">
        <v>2</v>
      </c>
      <c r="B146" s="359">
        <v>4</v>
      </c>
      <c r="C146" s="359">
        <v>16</v>
      </c>
      <c r="D146" s="359" t="s">
        <v>167</v>
      </c>
      <c r="E146" s="391" t="s">
        <v>168</v>
      </c>
      <c r="F146" s="361" t="s">
        <v>31</v>
      </c>
      <c r="G146" s="362">
        <v>50865</v>
      </c>
      <c r="H146" s="363">
        <v>628</v>
      </c>
      <c r="I146" s="411" t="s">
        <v>272</v>
      </c>
      <c r="J146" s="366">
        <v>3</v>
      </c>
      <c r="K146" s="366" t="s">
        <v>273</v>
      </c>
      <c r="L146" s="366"/>
    </row>
    <row r="147" spans="1:12" ht="15.75" customHeight="1">
      <c r="A147" s="359">
        <v>2</v>
      </c>
      <c r="B147" s="359">
        <v>4</v>
      </c>
      <c r="C147" s="359">
        <v>16</v>
      </c>
      <c r="D147" s="359" t="s">
        <v>145</v>
      </c>
      <c r="E147" s="391" t="s">
        <v>146</v>
      </c>
      <c r="F147" s="361" t="s">
        <v>31</v>
      </c>
      <c r="G147" s="362">
        <v>50866</v>
      </c>
      <c r="H147" s="363">
        <v>86</v>
      </c>
      <c r="I147" s="411" t="s">
        <v>272</v>
      </c>
      <c r="J147" s="366">
        <v>3</v>
      </c>
      <c r="K147" s="366" t="s">
        <v>273</v>
      </c>
      <c r="L147" s="366"/>
    </row>
    <row r="148" spans="1:12" ht="15.75" customHeight="1">
      <c r="A148" s="382">
        <v>2</v>
      </c>
      <c r="B148" s="359">
        <v>4</v>
      </c>
      <c r="C148" s="359">
        <v>17</v>
      </c>
      <c r="D148" s="359" t="s">
        <v>169</v>
      </c>
      <c r="E148" s="391" t="s">
        <v>170</v>
      </c>
      <c r="F148" s="361" t="s">
        <v>34</v>
      </c>
      <c r="G148" s="362">
        <v>50596</v>
      </c>
      <c r="H148" s="363">
        <v>110</v>
      </c>
      <c r="I148" s="411" t="s">
        <v>272</v>
      </c>
      <c r="J148" s="366">
        <v>3</v>
      </c>
      <c r="K148" s="366" t="s">
        <v>273</v>
      </c>
      <c r="L148" s="366"/>
    </row>
    <row r="149" spans="1:12" ht="15.75" customHeight="1">
      <c r="A149" s="359">
        <v>2</v>
      </c>
      <c r="B149" s="359">
        <v>4</v>
      </c>
      <c r="C149" s="359">
        <v>17</v>
      </c>
      <c r="D149" s="359" t="s">
        <v>169</v>
      </c>
      <c r="E149" s="391" t="s">
        <v>170</v>
      </c>
      <c r="F149" s="361" t="s">
        <v>34</v>
      </c>
      <c r="G149" s="362">
        <v>50571</v>
      </c>
      <c r="H149" s="363">
        <v>223</v>
      </c>
      <c r="I149" s="411" t="s">
        <v>272</v>
      </c>
      <c r="J149" s="366">
        <v>3</v>
      </c>
      <c r="K149" s="366" t="s">
        <v>273</v>
      </c>
      <c r="L149" s="366"/>
    </row>
    <row r="150" spans="1:12" ht="15.75" customHeight="1">
      <c r="A150" s="359">
        <v>2</v>
      </c>
      <c r="B150" s="359">
        <v>4</v>
      </c>
      <c r="C150" s="359">
        <v>18</v>
      </c>
      <c r="D150" s="359" t="s">
        <v>171</v>
      </c>
      <c r="E150" s="391" t="s">
        <v>172</v>
      </c>
      <c r="F150" s="361" t="s">
        <v>25</v>
      </c>
      <c r="G150" s="362">
        <v>50831</v>
      </c>
      <c r="H150" s="363">
        <v>249</v>
      </c>
      <c r="I150" s="411" t="s">
        <v>272</v>
      </c>
      <c r="J150" s="366">
        <v>3</v>
      </c>
      <c r="K150" s="366" t="s">
        <v>273</v>
      </c>
      <c r="L150" s="366"/>
    </row>
    <row r="151" spans="1:12" ht="15.75" customHeight="1">
      <c r="A151" s="359">
        <v>2</v>
      </c>
      <c r="B151" s="359">
        <v>4</v>
      </c>
      <c r="C151" s="359">
        <v>19</v>
      </c>
      <c r="D151" s="359" t="s">
        <v>107</v>
      </c>
      <c r="E151" s="391" t="s">
        <v>108</v>
      </c>
      <c r="F151" s="361" t="s">
        <v>31</v>
      </c>
      <c r="G151" s="362">
        <v>50862</v>
      </c>
      <c r="H151" s="363">
        <v>714</v>
      </c>
      <c r="I151" s="411" t="s">
        <v>272</v>
      </c>
      <c r="J151" s="366">
        <v>3</v>
      </c>
      <c r="K151" s="366" t="s">
        <v>273</v>
      </c>
      <c r="L151" s="366"/>
    </row>
    <row r="152" spans="1:12" ht="15.75" customHeight="1">
      <c r="A152" s="359">
        <v>2</v>
      </c>
      <c r="B152" s="359">
        <v>4</v>
      </c>
      <c r="C152" s="359">
        <v>20</v>
      </c>
      <c r="D152" s="359" t="s">
        <v>173</v>
      </c>
      <c r="E152" s="391" t="s">
        <v>174</v>
      </c>
      <c r="F152" s="361" t="s">
        <v>25</v>
      </c>
      <c r="G152" s="362">
        <v>50678</v>
      </c>
      <c r="H152" s="363">
        <v>4</v>
      </c>
      <c r="I152" s="411" t="s">
        <v>272</v>
      </c>
      <c r="J152" s="366">
        <v>3</v>
      </c>
      <c r="K152" s="366" t="s">
        <v>273</v>
      </c>
      <c r="L152" s="366"/>
    </row>
    <row r="153" spans="1:12" ht="15.75" customHeight="1">
      <c r="A153" s="359">
        <v>2</v>
      </c>
      <c r="B153" s="359">
        <v>4</v>
      </c>
      <c r="C153" s="359">
        <v>20</v>
      </c>
      <c r="D153" s="359" t="s">
        <v>175</v>
      </c>
      <c r="E153" s="391" t="s">
        <v>176</v>
      </c>
      <c r="F153" s="361" t="s">
        <v>31</v>
      </c>
      <c r="G153" s="362">
        <v>50867</v>
      </c>
      <c r="H153" s="363">
        <v>303</v>
      </c>
      <c r="I153" s="411" t="s">
        <v>266</v>
      </c>
      <c r="J153" s="366">
        <v>1</v>
      </c>
      <c r="K153" s="366" t="s">
        <v>314</v>
      </c>
      <c r="L153" s="366"/>
    </row>
    <row r="154" spans="1:12" ht="15.75" customHeight="1">
      <c r="A154" s="359">
        <v>2</v>
      </c>
      <c r="B154" s="359">
        <v>4</v>
      </c>
      <c r="C154" s="359">
        <v>21</v>
      </c>
      <c r="D154" s="359" t="s">
        <v>177</v>
      </c>
      <c r="E154" s="391" t="s">
        <v>178</v>
      </c>
      <c r="F154" s="361" t="s">
        <v>31</v>
      </c>
      <c r="G154" s="362">
        <v>50861</v>
      </c>
      <c r="H154" s="363">
        <v>714</v>
      </c>
      <c r="I154" s="411" t="s">
        <v>265</v>
      </c>
      <c r="J154" s="366">
        <v>2</v>
      </c>
      <c r="K154" s="366" t="s">
        <v>315</v>
      </c>
      <c r="L154" s="366"/>
    </row>
    <row r="155" spans="1:12" ht="15.75" customHeight="1">
      <c r="A155" s="359">
        <v>2</v>
      </c>
      <c r="B155" s="359">
        <v>4</v>
      </c>
      <c r="C155" s="359">
        <v>22</v>
      </c>
      <c r="D155" s="359" t="s">
        <v>179</v>
      </c>
      <c r="E155" s="391" t="s">
        <v>180</v>
      </c>
      <c r="F155" s="361" t="s">
        <v>31</v>
      </c>
      <c r="G155" s="362">
        <v>50843</v>
      </c>
      <c r="H155" s="363">
        <v>330</v>
      </c>
      <c r="I155" s="411" t="s">
        <v>265</v>
      </c>
      <c r="J155" s="366">
        <v>2</v>
      </c>
      <c r="K155" s="366" t="s">
        <v>270</v>
      </c>
      <c r="L155" s="366"/>
    </row>
    <row r="156" spans="1:12" ht="15.75" customHeight="1">
      <c r="A156" s="359">
        <v>2</v>
      </c>
      <c r="B156" s="359">
        <v>5</v>
      </c>
      <c r="C156" s="359">
        <v>1</v>
      </c>
      <c r="D156" s="359" t="s">
        <v>95</v>
      </c>
      <c r="E156" s="391" t="s">
        <v>96</v>
      </c>
      <c r="F156" s="361" t="s">
        <v>68</v>
      </c>
      <c r="G156" s="362">
        <v>50620</v>
      </c>
      <c r="H156" s="363">
        <v>260</v>
      </c>
      <c r="I156" s="411" t="s">
        <v>265</v>
      </c>
      <c r="J156" s="366">
        <v>2</v>
      </c>
      <c r="K156" s="366" t="s">
        <v>316</v>
      </c>
      <c r="L156" s="366"/>
    </row>
    <row r="157" spans="1:12" ht="15.75" customHeight="1">
      <c r="A157" s="359">
        <v>2</v>
      </c>
      <c r="B157" s="359">
        <v>5</v>
      </c>
      <c r="C157" s="359">
        <v>1</v>
      </c>
      <c r="D157" s="359" t="s">
        <v>181</v>
      </c>
      <c r="E157" s="391" t="s">
        <v>182</v>
      </c>
      <c r="F157" s="361" t="s">
        <v>31</v>
      </c>
      <c r="G157" s="362">
        <v>50782</v>
      </c>
      <c r="H157" s="363">
        <v>162</v>
      </c>
      <c r="I157" s="411" t="s">
        <v>265</v>
      </c>
      <c r="J157" s="366">
        <v>2</v>
      </c>
      <c r="K157" s="366" t="s">
        <v>284</v>
      </c>
      <c r="L157" s="366"/>
    </row>
    <row r="158" spans="1:12" ht="15.75" customHeight="1">
      <c r="A158" s="359">
        <v>2</v>
      </c>
      <c r="B158" s="359">
        <v>5</v>
      </c>
      <c r="C158" s="359">
        <v>2</v>
      </c>
      <c r="D158" s="359" t="s">
        <v>56</v>
      </c>
      <c r="E158" s="391" t="s">
        <v>57</v>
      </c>
      <c r="F158" s="361" t="s">
        <v>68</v>
      </c>
      <c r="G158" s="362">
        <v>50664</v>
      </c>
      <c r="H158" s="363">
        <v>125</v>
      </c>
      <c r="I158" s="411" t="s">
        <v>265</v>
      </c>
      <c r="J158" s="366">
        <v>2</v>
      </c>
      <c r="K158" s="366" t="s">
        <v>284</v>
      </c>
      <c r="L158" s="366"/>
    </row>
    <row r="159" spans="1:12" ht="15.75" customHeight="1">
      <c r="A159" s="359">
        <v>2</v>
      </c>
      <c r="B159" s="359">
        <v>5</v>
      </c>
      <c r="C159" s="359">
        <v>3</v>
      </c>
      <c r="D159" s="359" t="s">
        <v>37</v>
      </c>
      <c r="E159" s="391" t="s">
        <v>38</v>
      </c>
      <c r="F159" s="361" t="s">
        <v>31</v>
      </c>
      <c r="G159" s="362">
        <v>50785</v>
      </c>
      <c r="H159" s="363">
        <v>128</v>
      </c>
      <c r="I159" s="411" t="s">
        <v>265</v>
      </c>
      <c r="J159" s="366">
        <v>2</v>
      </c>
      <c r="K159" s="366" t="s">
        <v>301</v>
      </c>
      <c r="L159" s="366"/>
    </row>
    <row r="160" spans="1:12" ht="15.75" customHeight="1">
      <c r="A160" s="359">
        <v>2</v>
      </c>
      <c r="B160" s="359">
        <v>5</v>
      </c>
      <c r="C160" s="359">
        <v>4</v>
      </c>
      <c r="D160" s="359" t="s">
        <v>35</v>
      </c>
      <c r="E160" s="391" t="s">
        <v>36</v>
      </c>
      <c r="F160" s="361" t="s">
        <v>31</v>
      </c>
      <c r="G160" s="362">
        <v>50806</v>
      </c>
      <c r="H160" s="363">
        <v>284</v>
      </c>
      <c r="I160" s="411" t="s">
        <v>272</v>
      </c>
      <c r="J160" s="366">
        <v>3</v>
      </c>
      <c r="K160" s="366" t="s">
        <v>273</v>
      </c>
      <c r="L160" s="366"/>
    </row>
    <row r="161" spans="1:18" ht="15.75" customHeight="1">
      <c r="A161" s="359">
        <v>2</v>
      </c>
      <c r="B161" s="359">
        <v>5</v>
      </c>
      <c r="C161" s="359">
        <v>4</v>
      </c>
      <c r="D161" s="359" t="s">
        <v>35</v>
      </c>
      <c r="E161" s="391" t="s">
        <v>36</v>
      </c>
      <c r="F161" s="361" t="s">
        <v>68</v>
      </c>
      <c r="G161" s="362">
        <v>50829</v>
      </c>
      <c r="H161" s="363">
        <v>418</v>
      </c>
      <c r="I161" s="411" t="s">
        <v>272</v>
      </c>
      <c r="J161" s="366">
        <v>3</v>
      </c>
      <c r="K161" s="366" t="s">
        <v>273</v>
      </c>
      <c r="L161" s="366"/>
    </row>
    <row r="162" spans="1:18" ht="15.75" customHeight="1">
      <c r="A162" s="359">
        <v>2</v>
      </c>
      <c r="B162" s="359">
        <v>5</v>
      </c>
      <c r="C162" s="359">
        <v>5</v>
      </c>
      <c r="D162" s="359" t="s">
        <v>183</v>
      </c>
      <c r="E162" s="391" t="s">
        <v>184</v>
      </c>
      <c r="F162" s="361" t="s">
        <v>31</v>
      </c>
      <c r="G162" s="362">
        <v>50808</v>
      </c>
      <c r="H162" s="363">
        <v>363</v>
      </c>
      <c r="I162" s="411" t="s">
        <v>272</v>
      </c>
      <c r="J162" s="366">
        <v>3</v>
      </c>
      <c r="K162" s="366" t="s">
        <v>273</v>
      </c>
      <c r="L162" s="366"/>
    </row>
    <row r="163" spans="1:18" ht="15.75" customHeight="1">
      <c r="A163" s="359">
        <v>2</v>
      </c>
      <c r="B163" s="359">
        <v>5</v>
      </c>
      <c r="C163" s="359">
        <v>5</v>
      </c>
      <c r="D163" s="359" t="s">
        <v>183</v>
      </c>
      <c r="E163" s="391" t="s">
        <v>184</v>
      </c>
      <c r="F163" s="361" t="s">
        <v>25</v>
      </c>
      <c r="G163" s="362">
        <v>50774</v>
      </c>
      <c r="H163" s="363">
        <v>2</v>
      </c>
      <c r="I163" s="411" t="s">
        <v>265</v>
      </c>
      <c r="J163" s="366">
        <v>2</v>
      </c>
      <c r="K163" s="366" t="s">
        <v>318</v>
      </c>
      <c r="L163" s="366"/>
    </row>
    <row r="164" spans="1:18" ht="15.75" customHeight="1">
      <c r="A164" s="359">
        <v>2</v>
      </c>
      <c r="B164" s="359">
        <v>5</v>
      </c>
      <c r="C164" s="359">
        <v>6</v>
      </c>
      <c r="D164" s="359" t="s">
        <v>49</v>
      </c>
      <c r="E164" s="391" t="s">
        <v>50</v>
      </c>
      <c r="F164" s="361" t="s">
        <v>68</v>
      </c>
      <c r="G164" s="362">
        <v>50838</v>
      </c>
      <c r="H164" s="363">
        <v>1374</v>
      </c>
      <c r="I164" s="411" t="s">
        <v>272</v>
      </c>
      <c r="J164" s="366">
        <v>3</v>
      </c>
      <c r="K164" s="366" t="s">
        <v>273</v>
      </c>
      <c r="L164" s="366"/>
    </row>
    <row r="165" spans="1:18" ht="15.75" customHeight="1">
      <c r="A165" s="359">
        <v>2</v>
      </c>
      <c r="B165" s="359">
        <v>5</v>
      </c>
      <c r="C165" s="359">
        <v>7</v>
      </c>
      <c r="D165" s="359" t="s">
        <v>185</v>
      </c>
      <c r="E165" s="391" t="s">
        <v>186</v>
      </c>
      <c r="F165" s="361" t="s">
        <v>31</v>
      </c>
      <c r="G165" s="362">
        <v>50844</v>
      </c>
      <c r="H165" s="363">
        <v>515</v>
      </c>
      <c r="I165" s="411" t="s">
        <v>272</v>
      </c>
      <c r="J165" s="366">
        <v>3</v>
      </c>
      <c r="K165" s="366" t="s">
        <v>273</v>
      </c>
      <c r="L165" s="366"/>
    </row>
    <row r="166" spans="1:18" ht="15.75" customHeight="1">
      <c r="A166" s="359">
        <v>2</v>
      </c>
      <c r="B166" s="359">
        <v>5</v>
      </c>
      <c r="C166" s="359">
        <v>8</v>
      </c>
      <c r="D166" s="359" t="s">
        <v>187</v>
      </c>
      <c r="E166" s="391" t="s">
        <v>188</v>
      </c>
      <c r="F166" s="361" t="s">
        <v>68</v>
      </c>
      <c r="G166" s="362">
        <v>50881</v>
      </c>
      <c r="H166" s="363">
        <v>738</v>
      </c>
      <c r="I166" s="411" t="s">
        <v>272</v>
      </c>
      <c r="J166" s="366">
        <v>3</v>
      </c>
      <c r="K166" s="366" t="s">
        <v>273</v>
      </c>
      <c r="L166" s="366"/>
    </row>
    <row r="167" spans="1:18" ht="15.75" customHeight="1">
      <c r="A167" s="359">
        <v>2</v>
      </c>
      <c r="B167" s="359">
        <v>5</v>
      </c>
      <c r="C167" s="359">
        <v>8</v>
      </c>
      <c r="D167" s="359" t="s">
        <v>102</v>
      </c>
      <c r="E167" s="391" t="s">
        <v>103</v>
      </c>
      <c r="F167" s="361" t="s">
        <v>68</v>
      </c>
      <c r="G167" s="362">
        <v>50882</v>
      </c>
      <c r="H167" s="363">
        <v>549</v>
      </c>
      <c r="I167" s="411" t="s">
        <v>272</v>
      </c>
      <c r="J167" s="366">
        <v>3</v>
      </c>
      <c r="K167" s="366" t="s">
        <v>273</v>
      </c>
      <c r="L167" s="366"/>
    </row>
    <row r="168" spans="1:18" ht="15.75" customHeight="1">
      <c r="A168" s="359">
        <v>2</v>
      </c>
      <c r="B168" s="359">
        <v>5</v>
      </c>
      <c r="C168" s="359">
        <v>9</v>
      </c>
      <c r="D168" s="359" t="s">
        <v>189</v>
      </c>
      <c r="E168" s="391" t="s">
        <v>190</v>
      </c>
      <c r="F168" s="361" t="s">
        <v>31</v>
      </c>
      <c r="G168" s="362">
        <v>50798</v>
      </c>
      <c r="H168" s="363">
        <v>182</v>
      </c>
      <c r="I168" s="411" t="s">
        <v>272</v>
      </c>
      <c r="J168" s="366">
        <v>3</v>
      </c>
      <c r="K168" s="366" t="s">
        <v>273</v>
      </c>
      <c r="L168" s="366"/>
    </row>
    <row r="169" spans="1:18" ht="15.75" customHeight="1">
      <c r="A169" s="359">
        <v>2</v>
      </c>
      <c r="B169" s="359">
        <v>5</v>
      </c>
      <c r="C169" s="359">
        <v>9</v>
      </c>
      <c r="D169" s="359" t="s">
        <v>189</v>
      </c>
      <c r="E169" s="391" t="s">
        <v>190</v>
      </c>
      <c r="F169" s="361" t="s">
        <v>31</v>
      </c>
      <c r="G169" s="362">
        <v>50856</v>
      </c>
      <c r="H169" s="363">
        <v>162</v>
      </c>
      <c r="I169" s="411" t="s">
        <v>272</v>
      </c>
      <c r="J169" s="366">
        <v>3</v>
      </c>
      <c r="K169" s="366" t="s">
        <v>273</v>
      </c>
      <c r="L169" s="366" t="s">
        <v>320</v>
      </c>
    </row>
    <row r="170" spans="1:18" ht="15.75" customHeight="1">
      <c r="A170" s="359">
        <v>2</v>
      </c>
      <c r="B170" s="359">
        <v>5</v>
      </c>
      <c r="C170" s="359">
        <v>9</v>
      </c>
      <c r="D170" s="359" t="s">
        <v>189</v>
      </c>
      <c r="E170" s="391" t="s">
        <v>190</v>
      </c>
      <c r="F170" s="361" t="s">
        <v>68</v>
      </c>
      <c r="G170" s="362">
        <v>50698</v>
      </c>
      <c r="H170" s="363">
        <v>87</v>
      </c>
      <c r="I170" s="411" t="s">
        <v>272</v>
      </c>
      <c r="J170" s="366">
        <v>3</v>
      </c>
      <c r="K170" s="366" t="s">
        <v>273</v>
      </c>
      <c r="L170" s="366"/>
    </row>
    <row r="171" spans="1:18" ht="15.75" customHeight="1">
      <c r="A171" s="270">
        <v>2</v>
      </c>
      <c r="B171" s="270">
        <v>5</v>
      </c>
      <c r="C171" s="270">
        <v>10</v>
      </c>
      <c r="D171" s="270" t="s">
        <v>112</v>
      </c>
      <c r="E171" s="367" t="s">
        <v>113</v>
      </c>
      <c r="F171" s="371" t="s">
        <v>31</v>
      </c>
      <c r="G171" s="369">
        <v>50538</v>
      </c>
      <c r="H171" s="402"/>
      <c r="I171" s="371"/>
      <c r="J171" s="380"/>
      <c r="K171" s="380"/>
      <c r="L171" s="380" t="s">
        <v>43</v>
      </c>
    </row>
    <row r="172" spans="1:18" ht="15.75" customHeight="1">
      <c r="A172" s="359">
        <v>2</v>
      </c>
      <c r="B172" s="359">
        <v>5</v>
      </c>
      <c r="C172" s="359">
        <v>10</v>
      </c>
      <c r="D172" s="359" t="s">
        <v>191</v>
      </c>
      <c r="E172" s="391" t="s">
        <v>192</v>
      </c>
      <c r="F172" s="361" t="s">
        <v>68</v>
      </c>
      <c r="G172" s="362">
        <v>50837</v>
      </c>
      <c r="H172" s="363">
        <v>330</v>
      </c>
      <c r="I172" s="411" t="s">
        <v>272</v>
      </c>
      <c r="J172" s="366">
        <v>3</v>
      </c>
      <c r="K172" s="366" t="s">
        <v>273</v>
      </c>
      <c r="L172" s="366"/>
    </row>
    <row r="173" spans="1:18" ht="15.75" customHeight="1">
      <c r="A173" s="180">
        <v>2</v>
      </c>
      <c r="B173" s="180">
        <v>5</v>
      </c>
      <c r="C173" s="180">
        <v>12</v>
      </c>
      <c r="D173" s="180" t="s">
        <v>49</v>
      </c>
      <c r="E173" s="155" t="s">
        <v>50</v>
      </c>
      <c r="F173" s="403" t="s">
        <v>31</v>
      </c>
      <c r="G173" s="156">
        <v>50566</v>
      </c>
      <c r="H173" s="157">
        <v>90</v>
      </c>
      <c r="I173" s="403" t="s">
        <v>265</v>
      </c>
      <c r="J173" s="397">
        <v>2</v>
      </c>
      <c r="K173" s="397" t="s">
        <v>270</v>
      </c>
      <c r="L173" s="397" t="s">
        <v>193</v>
      </c>
      <c r="M173" s="90"/>
      <c r="N173" s="90"/>
      <c r="O173" s="90"/>
      <c r="P173" s="90"/>
      <c r="Q173" s="90"/>
      <c r="R173" s="90"/>
    </row>
    <row r="174" spans="1:18" ht="15.75" customHeight="1">
      <c r="A174" s="359">
        <v>2</v>
      </c>
      <c r="B174" s="359">
        <v>5</v>
      </c>
      <c r="C174" s="359">
        <v>12</v>
      </c>
      <c r="D174" s="359" t="s">
        <v>49</v>
      </c>
      <c r="E174" s="391" t="s">
        <v>50</v>
      </c>
      <c r="F174" s="361" t="s">
        <v>34</v>
      </c>
      <c r="G174" s="362">
        <v>50476</v>
      </c>
      <c r="H174" s="363">
        <v>192</v>
      </c>
      <c r="I174" s="411" t="s">
        <v>265</v>
      </c>
      <c r="J174" s="366">
        <v>2</v>
      </c>
      <c r="K174" s="366" t="s">
        <v>270</v>
      </c>
      <c r="L174" s="366"/>
    </row>
    <row r="175" spans="1:18" ht="15.75" customHeight="1">
      <c r="A175" s="359">
        <v>2</v>
      </c>
      <c r="B175" s="359">
        <v>5</v>
      </c>
      <c r="C175" s="359">
        <v>12</v>
      </c>
      <c r="D175" s="359" t="s">
        <v>49</v>
      </c>
      <c r="E175" s="391" t="s">
        <v>194</v>
      </c>
      <c r="F175" s="361" t="s">
        <v>34</v>
      </c>
      <c r="G175" s="362">
        <v>50634</v>
      </c>
      <c r="H175" s="363">
        <v>74</v>
      </c>
      <c r="I175" s="411" t="s">
        <v>265</v>
      </c>
      <c r="J175" s="366">
        <v>2</v>
      </c>
      <c r="K175" s="366" t="s">
        <v>270</v>
      </c>
      <c r="L175" s="366"/>
    </row>
    <row r="176" spans="1:18" ht="15.75" customHeight="1">
      <c r="A176" s="359">
        <v>2</v>
      </c>
      <c r="B176" s="359">
        <v>5</v>
      </c>
      <c r="C176" s="359">
        <v>12</v>
      </c>
      <c r="D176" s="359" t="s">
        <v>49</v>
      </c>
      <c r="E176" s="391" t="s">
        <v>50</v>
      </c>
      <c r="F176" s="361" t="s">
        <v>68</v>
      </c>
      <c r="G176" s="362">
        <v>50633</v>
      </c>
      <c r="H176" s="363">
        <v>158</v>
      </c>
      <c r="I176" s="411" t="s">
        <v>265</v>
      </c>
      <c r="J176" s="366">
        <v>2</v>
      </c>
      <c r="K176" s="366" t="s">
        <v>270</v>
      </c>
      <c r="L176" s="366"/>
    </row>
    <row r="177" spans="1:12" ht="15.75" customHeight="1">
      <c r="A177" s="359">
        <v>2</v>
      </c>
      <c r="B177" s="359">
        <v>5</v>
      </c>
      <c r="C177" s="359">
        <v>13</v>
      </c>
      <c r="D177" s="359" t="s">
        <v>37</v>
      </c>
      <c r="E177" s="391" t="s">
        <v>38</v>
      </c>
      <c r="F177" s="361" t="s">
        <v>25</v>
      </c>
      <c r="G177" s="362">
        <v>50342</v>
      </c>
      <c r="H177" s="363">
        <v>3</v>
      </c>
      <c r="I177" s="411" t="s">
        <v>272</v>
      </c>
      <c r="J177" s="366">
        <v>3</v>
      </c>
      <c r="K177" s="366" t="s">
        <v>273</v>
      </c>
      <c r="L177" s="366"/>
    </row>
    <row r="178" spans="1:12" ht="15.75" customHeight="1">
      <c r="A178" s="359">
        <v>2</v>
      </c>
      <c r="B178" s="359">
        <v>5</v>
      </c>
      <c r="C178" s="359">
        <v>13</v>
      </c>
      <c r="D178" s="359" t="s">
        <v>37</v>
      </c>
      <c r="E178" s="391" t="s">
        <v>38</v>
      </c>
      <c r="F178" s="361" t="s">
        <v>31</v>
      </c>
      <c r="G178" s="362">
        <v>50785</v>
      </c>
      <c r="H178" s="363">
        <v>131</v>
      </c>
      <c r="I178" s="411" t="s">
        <v>272</v>
      </c>
      <c r="J178" s="366">
        <v>3</v>
      </c>
      <c r="K178" s="366" t="s">
        <v>273</v>
      </c>
      <c r="L178" s="366"/>
    </row>
    <row r="179" spans="1:12" ht="15.75" customHeight="1">
      <c r="A179" s="359">
        <v>2</v>
      </c>
      <c r="B179" s="359">
        <v>5</v>
      </c>
      <c r="C179" s="359">
        <v>13</v>
      </c>
      <c r="D179" s="359" t="s">
        <v>37</v>
      </c>
      <c r="E179" s="391" t="s">
        <v>38</v>
      </c>
      <c r="F179" s="361" t="s">
        <v>25</v>
      </c>
      <c r="G179" s="362">
        <v>50694</v>
      </c>
      <c r="H179" s="363">
        <v>161</v>
      </c>
      <c r="I179" s="411" t="s">
        <v>272</v>
      </c>
      <c r="J179" s="366">
        <v>3</v>
      </c>
      <c r="K179" s="366" t="s">
        <v>273</v>
      </c>
      <c r="L179" s="366"/>
    </row>
    <row r="180" spans="1:12" ht="15.75" customHeight="1">
      <c r="A180" s="359">
        <v>2</v>
      </c>
      <c r="B180" s="359">
        <v>5</v>
      </c>
      <c r="C180" s="359">
        <v>13</v>
      </c>
      <c r="D180" s="359" t="s">
        <v>37</v>
      </c>
      <c r="E180" s="391" t="s">
        <v>38</v>
      </c>
      <c r="F180" s="361" t="s">
        <v>68</v>
      </c>
      <c r="G180" s="362">
        <v>50600</v>
      </c>
      <c r="H180" s="363">
        <v>36</v>
      </c>
      <c r="I180" s="411" t="s">
        <v>272</v>
      </c>
      <c r="J180" s="366">
        <v>3</v>
      </c>
      <c r="K180" s="366" t="s">
        <v>273</v>
      </c>
      <c r="L180" s="366"/>
    </row>
    <row r="181" spans="1:12" ht="15.75" customHeight="1">
      <c r="A181" s="359">
        <v>2</v>
      </c>
      <c r="B181" s="359">
        <v>5</v>
      </c>
      <c r="C181" s="359">
        <v>13</v>
      </c>
      <c r="D181" s="359" t="s">
        <v>37</v>
      </c>
      <c r="E181" s="391" t="s">
        <v>38</v>
      </c>
      <c r="F181" s="361" t="s">
        <v>34</v>
      </c>
      <c r="G181" s="362">
        <v>50663</v>
      </c>
      <c r="H181" s="363">
        <v>14</v>
      </c>
      <c r="I181" s="411" t="s">
        <v>272</v>
      </c>
      <c r="J181" s="366">
        <v>3</v>
      </c>
      <c r="K181" s="366" t="s">
        <v>273</v>
      </c>
      <c r="L181" s="366"/>
    </row>
    <row r="182" spans="1:12" ht="15.75" customHeight="1">
      <c r="A182" s="359">
        <v>2</v>
      </c>
      <c r="B182" s="359">
        <v>5</v>
      </c>
      <c r="C182" s="359">
        <v>13</v>
      </c>
      <c r="D182" s="359" t="s">
        <v>37</v>
      </c>
      <c r="E182" s="391" t="s">
        <v>38</v>
      </c>
      <c r="F182" s="361" t="s">
        <v>68</v>
      </c>
      <c r="G182" s="362">
        <v>50696</v>
      </c>
      <c r="H182" s="363">
        <v>45</v>
      </c>
      <c r="I182" s="411" t="s">
        <v>272</v>
      </c>
      <c r="J182" s="366">
        <v>3</v>
      </c>
      <c r="K182" s="366" t="s">
        <v>273</v>
      </c>
      <c r="L182" s="366"/>
    </row>
    <row r="183" spans="1:12" ht="15.75" customHeight="1">
      <c r="A183" s="359">
        <v>2</v>
      </c>
      <c r="B183" s="359">
        <v>6</v>
      </c>
      <c r="C183" s="359">
        <v>1</v>
      </c>
      <c r="D183" s="359" t="s">
        <v>195</v>
      </c>
      <c r="E183" s="391" t="s">
        <v>196</v>
      </c>
      <c r="F183" s="361" t="s">
        <v>34</v>
      </c>
      <c r="G183" s="362">
        <v>50703</v>
      </c>
      <c r="H183" s="363">
        <v>190</v>
      </c>
      <c r="I183" s="411" t="s">
        <v>272</v>
      </c>
      <c r="J183" s="366">
        <v>3</v>
      </c>
      <c r="K183" s="366" t="s">
        <v>273</v>
      </c>
      <c r="L183" s="366"/>
    </row>
    <row r="184" spans="1:12" ht="15.75" customHeight="1">
      <c r="A184" s="359">
        <v>2</v>
      </c>
      <c r="B184" s="359">
        <v>6</v>
      </c>
      <c r="C184" s="359">
        <v>2</v>
      </c>
      <c r="D184" s="359" t="s">
        <v>197</v>
      </c>
      <c r="E184" s="391" t="s">
        <v>198</v>
      </c>
      <c r="F184" s="361" t="s">
        <v>25</v>
      </c>
      <c r="G184" s="362">
        <v>50771</v>
      </c>
      <c r="H184" s="363">
        <v>9</v>
      </c>
      <c r="I184" s="411" t="s">
        <v>272</v>
      </c>
      <c r="J184" s="366">
        <v>3</v>
      </c>
      <c r="K184" s="366" t="s">
        <v>273</v>
      </c>
      <c r="L184" s="366"/>
    </row>
    <row r="185" spans="1:12" ht="15.75" customHeight="1">
      <c r="A185" s="359">
        <v>2</v>
      </c>
      <c r="B185" s="359">
        <v>6</v>
      </c>
      <c r="C185" s="359">
        <v>2</v>
      </c>
      <c r="D185" s="359" t="s">
        <v>37</v>
      </c>
      <c r="E185" s="391" t="s">
        <v>38</v>
      </c>
      <c r="F185" s="361" t="s">
        <v>34</v>
      </c>
      <c r="G185" s="362">
        <v>50622</v>
      </c>
      <c r="H185" s="363">
        <v>47</v>
      </c>
      <c r="I185" s="411" t="s">
        <v>265</v>
      </c>
      <c r="J185" s="366">
        <v>2</v>
      </c>
      <c r="K185" s="366" t="s">
        <v>269</v>
      </c>
      <c r="L185" s="366"/>
    </row>
    <row r="186" spans="1:12" ht="15.75" customHeight="1">
      <c r="A186" s="324">
        <v>2</v>
      </c>
      <c r="B186" s="324">
        <v>6</v>
      </c>
      <c r="C186" s="324">
        <v>2</v>
      </c>
      <c r="D186" s="324" t="s">
        <v>37</v>
      </c>
      <c r="E186" s="373" t="s">
        <v>38</v>
      </c>
      <c r="F186" s="377" t="s">
        <v>25</v>
      </c>
      <c r="G186" s="375">
        <v>50694</v>
      </c>
      <c r="H186" s="376">
        <v>81</v>
      </c>
      <c r="I186" s="377"/>
      <c r="J186" s="378"/>
      <c r="K186" s="378"/>
      <c r="L186" s="378" t="s">
        <v>55</v>
      </c>
    </row>
    <row r="187" spans="1:12" ht="15.75" customHeight="1">
      <c r="A187" s="324">
        <v>2</v>
      </c>
      <c r="B187" s="324">
        <v>6</v>
      </c>
      <c r="C187" s="324">
        <v>2</v>
      </c>
      <c r="D187" s="324" t="s">
        <v>199</v>
      </c>
      <c r="E187" s="373" t="s">
        <v>200</v>
      </c>
      <c r="F187" s="377" t="s">
        <v>34</v>
      </c>
      <c r="G187" s="375">
        <v>50603</v>
      </c>
      <c r="H187" s="376">
        <v>65</v>
      </c>
      <c r="I187" s="377"/>
      <c r="J187" s="378"/>
      <c r="K187" s="378"/>
      <c r="L187" s="378" t="s">
        <v>55</v>
      </c>
    </row>
    <row r="188" spans="1:12" ht="15.75" customHeight="1">
      <c r="A188" s="324">
        <v>2</v>
      </c>
      <c r="B188" s="324">
        <v>6</v>
      </c>
      <c r="C188" s="324">
        <v>2</v>
      </c>
      <c r="D188" s="324" t="s">
        <v>199</v>
      </c>
      <c r="E188" s="373" t="s">
        <v>200</v>
      </c>
      <c r="F188" s="377" t="s">
        <v>34</v>
      </c>
      <c r="G188" s="375">
        <v>50656</v>
      </c>
      <c r="H188" s="376">
        <v>23</v>
      </c>
      <c r="I188" s="377"/>
      <c r="J188" s="378"/>
      <c r="K188" s="378"/>
      <c r="L188" s="378" t="s">
        <v>55</v>
      </c>
    </row>
    <row r="189" spans="1:12" ht="15.75" customHeight="1">
      <c r="A189" s="359">
        <v>2</v>
      </c>
      <c r="B189" s="359">
        <v>6</v>
      </c>
      <c r="C189" s="359">
        <v>3</v>
      </c>
      <c r="D189" s="359" t="s">
        <v>201</v>
      </c>
      <c r="E189" s="391" t="s">
        <v>202</v>
      </c>
      <c r="F189" s="361" t="s">
        <v>34</v>
      </c>
      <c r="G189" s="362">
        <v>50601</v>
      </c>
      <c r="H189" s="363">
        <v>146</v>
      </c>
      <c r="I189" s="411" t="s">
        <v>272</v>
      </c>
      <c r="J189" s="366">
        <v>3</v>
      </c>
      <c r="K189" s="366" t="s">
        <v>273</v>
      </c>
      <c r="L189" s="366"/>
    </row>
    <row r="190" spans="1:12" ht="15.75" customHeight="1">
      <c r="A190" s="359">
        <v>2</v>
      </c>
      <c r="B190" s="359">
        <v>6</v>
      </c>
      <c r="C190" s="359">
        <v>3</v>
      </c>
      <c r="D190" s="359" t="s">
        <v>201</v>
      </c>
      <c r="E190" s="391" t="s">
        <v>202</v>
      </c>
      <c r="F190" s="361" t="s">
        <v>25</v>
      </c>
      <c r="G190" s="362">
        <v>50525</v>
      </c>
      <c r="H190" s="363">
        <v>42</v>
      </c>
      <c r="I190" s="411" t="s">
        <v>272</v>
      </c>
      <c r="J190" s="366">
        <v>3</v>
      </c>
      <c r="K190" s="366" t="s">
        <v>273</v>
      </c>
      <c r="L190" s="366"/>
    </row>
    <row r="191" spans="1:12" ht="15.75" customHeight="1">
      <c r="A191" s="359">
        <v>2</v>
      </c>
      <c r="B191" s="359">
        <v>6</v>
      </c>
      <c r="C191" s="359">
        <v>3</v>
      </c>
      <c r="D191" s="359" t="s">
        <v>199</v>
      </c>
      <c r="E191" s="391" t="s">
        <v>200</v>
      </c>
      <c r="F191" s="361" t="s">
        <v>34</v>
      </c>
      <c r="G191" s="362">
        <v>50603</v>
      </c>
      <c r="H191" s="363">
        <v>32</v>
      </c>
      <c r="I191" s="411" t="s">
        <v>272</v>
      </c>
      <c r="J191" s="366">
        <v>3</v>
      </c>
      <c r="K191" s="366" t="s">
        <v>273</v>
      </c>
      <c r="L191" s="366"/>
    </row>
    <row r="192" spans="1:12" ht="15.75" customHeight="1">
      <c r="A192" s="359">
        <v>2</v>
      </c>
      <c r="B192" s="359">
        <v>6</v>
      </c>
      <c r="C192" s="359">
        <v>4</v>
      </c>
      <c r="D192" s="359" t="s">
        <v>203</v>
      </c>
      <c r="E192" s="391" t="s">
        <v>204</v>
      </c>
      <c r="F192" s="361" t="s">
        <v>68</v>
      </c>
      <c r="G192" s="362">
        <v>50835</v>
      </c>
      <c r="H192" s="363">
        <v>580</v>
      </c>
      <c r="I192" s="411" t="s">
        <v>265</v>
      </c>
      <c r="J192" s="366">
        <v>2</v>
      </c>
      <c r="K192" s="366" t="s">
        <v>268</v>
      </c>
      <c r="L192" s="366"/>
    </row>
    <row r="193" spans="1:12" ht="15.75" customHeight="1">
      <c r="A193" s="359">
        <v>2</v>
      </c>
      <c r="B193" s="359">
        <v>6</v>
      </c>
      <c r="C193" s="359">
        <v>5</v>
      </c>
      <c r="D193" s="359" t="s">
        <v>203</v>
      </c>
      <c r="E193" s="391" t="s">
        <v>204</v>
      </c>
      <c r="F193" s="361" t="s">
        <v>68</v>
      </c>
      <c r="G193" s="362">
        <v>50835</v>
      </c>
      <c r="H193" s="363">
        <v>308</v>
      </c>
      <c r="I193" s="411" t="s">
        <v>265</v>
      </c>
      <c r="J193" s="366">
        <v>2</v>
      </c>
      <c r="K193" s="366" t="s">
        <v>268</v>
      </c>
      <c r="L193" s="366"/>
    </row>
    <row r="194" spans="1:12" ht="15.75" customHeight="1">
      <c r="A194" s="359">
        <v>2</v>
      </c>
      <c r="B194" s="359">
        <v>6</v>
      </c>
      <c r="C194" s="359">
        <v>5</v>
      </c>
      <c r="D194" s="359" t="s">
        <v>167</v>
      </c>
      <c r="E194" s="391" t="s">
        <v>168</v>
      </c>
      <c r="F194" s="361" t="s">
        <v>25</v>
      </c>
      <c r="G194" s="362">
        <v>50744</v>
      </c>
      <c r="H194" s="363">
        <v>1</v>
      </c>
      <c r="I194" s="411" t="s">
        <v>272</v>
      </c>
      <c r="J194" s="366">
        <v>3</v>
      </c>
      <c r="K194" s="366" t="s">
        <v>326</v>
      </c>
      <c r="L194" s="366"/>
    </row>
    <row r="195" spans="1:12" ht="15.75" customHeight="1">
      <c r="A195" s="359">
        <v>2</v>
      </c>
      <c r="B195" s="359">
        <v>7</v>
      </c>
      <c r="C195" s="359">
        <v>1</v>
      </c>
      <c r="D195" s="359" t="s">
        <v>177</v>
      </c>
      <c r="E195" s="391" t="s">
        <v>178</v>
      </c>
      <c r="F195" s="361" t="s">
        <v>68</v>
      </c>
      <c r="G195" s="362">
        <v>50852</v>
      </c>
      <c r="H195" s="363">
        <v>256</v>
      </c>
      <c r="I195" s="411" t="s">
        <v>272</v>
      </c>
      <c r="J195" s="366">
        <v>3</v>
      </c>
      <c r="K195" s="366" t="s">
        <v>326</v>
      </c>
      <c r="L195" s="366"/>
    </row>
    <row r="196" spans="1:12" ht="15.75" customHeight="1">
      <c r="A196" s="382">
        <v>2</v>
      </c>
      <c r="B196" s="359">
        <v>7</v>
      </c>
      <c r="C196" s="359">
        <v>2</v>
      </c>
      <c r="D196" s="359" t="s">
        <v>205</v>
      </c>
      <c r="E196" s="391" t="s">
        <v>206</v>
      </c>
      <c r="F196" s="361" t="s">
        <v>34</v>
      </c>
      <c r="G196" s="362">
        <v>50853</v>
      </c>
      <c r="H196" s="363">
        <v>642</v>
      </c>
      <c r="I196" s="411" t="s">
        <v>265</v>
      </c>
      <c r="J196" s="366">
        <v>2</v>
      </c>
      <c r="K196" s="366" t="s">
        <v>270</v>
      </c>
      <c r="L196" s="366"/>
    </row>
    <row r="197" spans="1:12" ht="15.75" customHeight="1">
      <c r="A197" s="359">
        <v>2</v>
      </c>
      <c r="B197" s="359">
        <v>7</v>
      </c>
      <c r="C197" s="359">
        <v>3</v>
      </c>
      <c r="D197" s="359" t="s">
        <v>208</v>
      </c>
      <c r="E197" s="391" t="s">
        <v>209</v>
      </c>
      <c r="F197" s="361" t="s">
        <v>68</v>
      </c>
      <c r="G197" s="362">
        <v>50635</v>
      </c>
      <c r="H197" s="363">
        <v>311</v>
      </c>
      <c r="I197" s="411" t="s">
        <v>272</v>
      </c>
      <c r="J197" s="366">
        <v>3</v>
      </c>
      <c r="K197" s="366" t="s">
        <v>273</v>
      </c>
      <c r="L197" s="366"/>
    </row>
    <row r="198" spans="1:12" ht="15.75" customHeight="1">
      <c r="A198" s="359">
        <v>2</v>
      </c>
      <c r="B198" s="359">
        <v>7</v>
      </c>
      <c r="C198" s="359">
        <v>3</v>
      </c>
      <c r="D198" s="359" t="s">
        <v>81</v>
      </c>
      <c r="E198" s="391" t="s">
        <v>82</v>
      </c>
      <c r="F198" s="361" t="s">
        <v>34</v>
      </c>
      <c r="G198" s="362">
        <v>50555</v>
      </c>
      <c r="H198" s="363">
        <v>5</v>
      </c>
      <c r="I198" s="411" t="s">
        <v>272</v>
      </c>
      <c r="J198" s="366">
        <v>3</v>
      </c>
      <c r="K198" s="366" t="s">
        <v>273</v>
      </c>
      <c r="L198" s="366"/>
    </row>
    <row r="199" spans="1:12" ht="15.75" customHeight="1">
      <c r="A199" s="359">
        <v>2</v>
      </c>
      <c r="B199" s="359">
        <v>7</v>
      </c>
      <c r="C199" s="359">
        <v>3</v>
      </c>
      <c r="D199" s="359" t="s">
        <v>208</v>
      </c>
      <c r="E199" s="391" t="s">
        <v>209</v>
      </c>
      <c r="F199" s="361" t="s">
        <v>34</v>
      </c>
      <c r="G199" s="362">
        <v>50617</v>
      </c>
      <c r="H199" s="363">
        <v>75</v>
      </c>
      <c r="I199" s="411" t="s">
        <v>272</v>
      </c>
      <c r="J199" s="366">
        <v>3</v>
      </c>
      <c r="K199" s="366" t="s">
        <v>273</v>
      </c>
      <c r="L199" s="366"/>
    </row>
    <row r="200" spans="1:12" ht="15.75" customHeight="1">
      <c r="A200" s="324">
        <v>2</v>
      </c>
      <c r="B200" s="324">
        <v>7</v>
      </c>
      <c r="C200" s="324">
        <v>4</v>
      </c>
      <c r="D200" s="324" t="s">
        <v>210</v>
      </c>
      <c r="E200" s="373" t="s">
        <v>211</v>
      </c>
      <c r="F200" s="377" t="s">
        <v>34</v>
      </c>
      <c r="G200" s="375">
        <v>50578</v>
      </c>
      <c r="H200" s="376">
        <v>4</v>
      </c>
      <c r="I200" s="377"/>
      <c r="J200" s="378"/>
      <c r="K200" s="378"/>
      <c r="L200" s="378" t="s">
        <v>55</v>
      </c>
    </row>
    <row r="201" spans="1:12" ht="15.75" customHeight="1">
      <c r="A201" s="324">
        <v>2</v>
      </c>
      <c r="B201" s="324">
        <v>7</v>
      </c>
      <c r="C201" s="324">
        <v>4</v>
      </c>
      <c r="D201" s="324" t="s">
        <v>212</v>
      </c>
      <c r="E201" s="373" t="s">
        <v>213</v>
      </c>
      <c r="F201" s="377" t="s">
        <v>34</v>
      </c>
      <c r="G201" s="375">
        <v>50579</v>
      </c>
      <c r="H201" s="376">
        <v>1</v>
      </c>
      <c r="I201" s="377"/>
      <c r="J201" s="378"/>
      <c r="K201" s="378"/>
      <c r="L201" s="378" t="s">
        <v>55</v>
      </c>
    </row>
    <row r="202" spans="1:12" ht="15.75" customHeight="1">
      <c r="A202" s="359">
        <v>2</v>
      </c>
      <c r="B202" s="359">
        <v>7</v>
      </c>
      <c r="C202" s="359">
        <v>4</v>
      </c>
      <c r="D202" s="359" t="s">
        <v>214</v>
      </c>
      <c r="E202" s="391" t="s">
        <v>215</v>
      </c>
      <c r="F202" s="361" t="s">
        <v>34</v>
      </c>
      <c r="G202" s="362">
        <v>50580</v>
      </c>
      <c r="H202" s="363">
        <v>25</v>
      </c>
      <c r="I202" s="411" t="s">
        <v>272</v>
      </c>
      <c r="J202" s="366">
        <v>3</v>
      </c>
      <c r="K202" s="366" t="s">
        <v>273</v>
      </c>
      <c r="L202" s="366"/>
    </row>
    <row r="203" spans="1:12" ht="15.75" customHeight="1">
      <c r="A203" s="359">
        <v>2</v>
      </c>
      <c r="B203" s="359">
        <v>7</v>
      </c>
      <c r="C203" s="359">
        <v>4</v>
      </c>
      <c r="D203" s="359" t="s">
        <v>216</v>
      </c>
      <c r="E203" s="391" t="s">
        <v>217</v>
      </c>
      <c r="F203" s="361" t="s">
        <v>34</v>
      </c>
      <c r="G203" s="362">
        <v>50584</v>
      </c>
      <c r="H203" s="363">
        <v>92</v>
      </c>
      <c r="I203" s="411" t="s">
        <v>265</v>
      </c>
      <c r="J203" s="366">
        <v>2</v>
      </c>
      <c r="K203" s="366" t="s">
        <v>317</v>
      </c>
      <c r="L203" s="366"/>
    </row>
    <row r="204" spans="1:12" ht="15.75" customHeight="1">
      <c r="A204" s="359">
        <v>2</v>
      </c>
      <c r="B204" s="359">
        <v>7</v>
      </c>
      <c r="C204" s="359">
        <v>4</v>
      </c>
      <c r="D204" s="359" t="s">
        <v>218</v>
      </c>
      <c r="E204" s="391" t="s">
        <v>219</v>
      </c>
      <c r="F204" s="361" t="s">
        <v>34</v>
      </c>
      <c r="G204" s="362">
        <v>50547</v>
      </c>
      <c r="H204" s="363">
        <v>73</v>
      </c>
      <c r="I204" s="411" t="s">
        <v>265</v>
      </c>
      <c r="J204" s="366">
        <v>2</v>
      </c>
      <c r="K204" s="366" t="s">
        <v>269</v>
      </c>
      <c r="L204" s="366"/>
    </row>
    <row r="205" spans="1:12" ht="15.75" customHeight="1">
      <c r="A205" s="359">
        <v>2</v>
      </c>
      <c r="B205" s="359">
        <v>7</v>
      </c>
      <c r="C205" s="359">
        <v>4</v>
      </c>
      <c r="D205" s="359" t="s">
        <v>218</v>
      </c>
      <c r="E205" s="391" t="s">
        <v>219</v>
      </c>
      <c r="F205" s="361" t="s">
        <v>25</v>
      </c>
      <c r="G205" s="362">
        <v>50389</v>
      </c>
      <c r="H205" s="363">
        <v>14</v>
      </c>
      <c r="I205" s="411" t="s">
        <v>265</v>
      </c>
      <c r="J205" s="366">
        <v>2</v>
      </c>
      <c r="K205" s="366" t="s">
        <v>269</v>
      </c>
      <c r="L205" s="366"/>
    </row>
    <row r="206" spans="1:12" ht="15.75" customHeight="1">
      <c r="A206" s="359">
        <v>2</v>
      </c>
      <c r="B206" s="359">
        <v>7</v>
      </c>
      <c r="C206" s="359">
        <v>4</v>
      </c>
      <c r="D206" s="359" t="s">
        <v>218</v>
      </c>
      <c r="E206" s="391" t="s">
        <v>219</v>
      </c>
      <c r="F206" s="361" t="s">
        <v>25</v>
      </c>
      <c r="G206" s="362">
        <v>50676</v>
      </c>
      <c r="H206" s="363">
        <v>3</v>
      </c>
      <c r="I206" s="411" t="s">
        <v>265</v>
      </c>
      <c r="J206" s="366">
        <v>2</v>
      </c>
      <c r="K206" s="366" t="s">
        <v>269</v>
      </c>
      <c r="L206" s="366"/>
    </row>
    <row r="207" spans="1:12" ht="15.75" customHeight="1">
      <c r="A207" s="359">
        <v>2</v>
      </c>
      <c r="B207" s="359">
        <v>7</v>
      </c>
      <c r="C207" s="359">
        <v>5</v>
      </c>
      <c r="D207" s="359" t="s">
        <v>160</v>
      </c>
      <c r="E207" s="391" t="s">
        <v>161</v>
      </c>
      <c r="F207" s="361" t="s">
        <v>25</v>
      </c>
      <c r="G207" s="362">
        <v>50863</v>
      </c>
      <c r="H207" s="363">
        <v>168</v>
      </c>
      <c r="I207" s="411" t="s">
        <v>265</v>
      </c>
      <c r="J207" s="366">
        <v>2</v>
      </c>
      <c r="K207" s="366" t="s">
        <v>270</v>
      </c>
      <c r="L207" s="366"/>
    </row>
    <row r="208" spans="1:12" ht="15.75" customHeight="1">
      <c r="A208" s="359">
        <v>2</v>
      </c>
      <c r="B208" s="359">
        <v>7</v>
      </c>
      <c r="C208" s="359">
        <v>5</v>
      </c>
      <c r="D208" s="359" t="s">
        <v>189</v>
      </c>
      <c r="E208" s="391" t="s">
        <v>190</v>
      </c>
      <c r="F208" s="361" t="s">
        <v>25</v>
      </c>
      <c r="G208" s="362">
        <v>50864</v>
      </c>
      <c r="H208" s="363">
        <v>279</v>
      </c>
      <c r="I208" s="411" t="s">
        <v>265</v>
      </c>
      <c r="J208" s="366">
        <v>2</v>
      </c>
      <c r="K208" s="366" t="s">
        <v>270</v>
      </c>
      <c r="L208" s="366"/>
    </row>
    <row r="209" spans="1:18" ht="15.75" customHeight="1">
      <c r="A209" s="359">
        <v>2</v>
      </c>
      <c r="B209" s="359">
        <v>7</v>
      </c>
      <c r="C209" s="359">
        <v>6</v>
      </c>
      <c r="D209" s="359" t="s">
        <v>100</v>
      </c>
      <c r="E209" s="391" t="s">
        <v>101</v>
      </c>
      <c r="F209" s="361" t="s">
        <v>31</v>
      </c>
      <c r="G209" s="362">
        <v>50692</v>
      </c>
      <c r="H209" s="363">
        <v>462</v>
      </c>
      <c r="I209" s="411" t="s">
        <v>265</v>
      </c>
      <c r="J209" s="366">
        <v>2</v>
      </c>
      <c r="K209" s="366" t="s">
        <v>327</v>
      </c>
      <c r="L209" s="366"/>
    </row>
    <row r="210" spans="1:18" ht="15.75" customHeight="1">
      <c r="A210" s="359">
        <v>2</v>
      </c>
      <c r="B210" s="359">
        <v>7</v>
      </c>
      <c r="C210" s="359">
        <v>7</v>
      </c>
      <c r="D210" s="359" t="s">
        <v>58</v>
      </c>
      <c r="E210" s="391" t="s">
        <v>59</v>
      </c>
      <c r="F210" s="361" t="s">
        <v>25</v>
      </c>
      <c r="G210" s="362">
        <v>50868</v>
      </c>
      <c r="H210" s="363">
        <v>416</v>
      </c>
      <c r="I210" s="411" t="s">
        <v>265</v>
      </c>
      <c r="J210" s="366">
        <v>2</v>
      </c>
      <c r="K210" s="366" t="s">
        <v>270</v>
      </c>
      <c r="L210" s="366"/>
    </row>
    <row r="211" spans="1:18" ht="15.75" customHeight="1">
      <c r="A211" s="159">
        <v>2</v>
      </c>
      <c r="B211" s="159">
        <v>7</v>
      </c>
      <c r="C211" s="159">
        <v>7</v>
      </c>
      <c r="D211" s="171" t="s">
        <v>97</v>
      </c>
      <c r="E211" s="166" t="s">
        <v>220</v>
      </c>
      <c r="F211" s="403" t="s">
        <v>25</v>
      </c>
      <c r="G211" s="156">
        <v>50869</v>
      </c>
      <c r="H211" s="404">
        <v>214</v>
      </c>
      <c r="I211" s="403" t="s">
        <v>272</v>
      </c>
      <c r="J211" s="397">
        <v>3</v>
      </c>
      <c r="K211" s="397" t="s">
        <v>273</v>
      </c>
      <c r="L211" s="397" t="s">
        <v>221</v>
      </c>
      <c r="M211" s="170"/>
      <c r="N211" s="170"/>
      <c r="O211" s="170"/>
      <c r="P211" s="170"/>
      <c r="Q211" s="170"/>
      <c r="R211" s="170"/>
    </row>
    <row r="212" spans="1:18" ht="15.75" customHeight="1">
      <c r="A212" s="359">
        <v>2</v>
      </c>
      <c r="B212" s="359">
        <v>7</v>
      </c>
      <c r="C212" s="359">
        <v>9</v>
      </c>
      <c r="D212" s="359" t="s">
        <v>222</v>
      </c>
      <c r="E212" s="391" t="s">
        <v>223</v>
      </c>
      <c r="F212" s="361" t="s">
        <v>25</v>
      </c>
      <c r="G212" s="362">
        <v>50870</v>
      </c>
      <c r="H212" s="363">
        <v>93</v>
      </c>
      <c r="I212" s="411" t="s">
        <v>272</v>
      </c>
      <c r="J212" s="366">
        <v>3</v>
      </c>
      <c r="K212" s="366" t="s">
        <v>273</v>
      </c>
      <c r="L212" s="366"/>
    </row>
    <row r="213" spans="1:18" ht="15.75" customHeight="1">
      <c r="A213" s="359">
        <v>2</v>
      </c>
      <c r="B213" s="359">
        <v>7</v>
      </c>
      <c r="C213" s="359">
        <v>9</v>
      </c>
      <c r="D213" s="359" t="s">
        <v>138</v>
      </c>
      <c r="E213" s="391" t="s">
        <v>139</v>
      </c>
      <c r="F213" s="361" t="s">
        <v>25</v>
      </c>
      <c r="G213" s="362">
        <v>50871</v>
      </c>
      <c r="H213" s="363">
        <v>433</v>
      </c>
      <c r="I213" s="411" t="s">
        <v>272</v>
      </c>
      <c r="J213" s="366">
        <v>3</v>
      </c>
      <c r="K213" s="366" t="s">
        <v>273</v>
      </c>
      <c r="L213" s="366"/>
    </row>
    <row r="214" spans="1:18" ht="15.75" customHeight="1">
      <c r="A214" s="159">
        <v>2</v>
      </c>
      <c r="B214" s="159">
        <v>7</v>
      </c>
      <c r="C214" s="159">
        <v>11</v>
      </c>
      <c r="D214" s="171" t="s">
        <v>224</v>
      </c>
      <c r="E214" s="166" t="s">
        <v>225</v>
      </c>
      <c r="F214" s="403" t="s">
        <v>25</v>
      </c>
      <c r="G214" s="156">
        <v>50872</v>
      </c>
      <c r="H214" s="404">
        <v>200</v>
      </c>
      <c r="I214" s="403" t="s">
        <v>272</v>
      </c>
      <c r="J214" s="397">
        <v>3</v>
      </c>
      <c r="K214" s="397" t="s">
        <v>273</v>
      </c>
      <c r="L214" s="397" t="s">
        <v>221</v>
      </c>
      <c r="M214" s="170"/>
      <c r="N214" s="170"/>
      <c r="O214" s="170"/>
      <c r="P214" s="170"/>
      <c r="Q214" s="170"/>
      <c r="R214" s="170"/>
    </row>
    <row r="215" spans="1:18" ht="15.75" customHeight="1">
      <c r="A215" s="324">
        <v>2</v>
      </c>
      <c r="B215" s="324">
        <v>7</v>
      </c>
      <c r="C215" s="324">
        <v>11</v>
      </c>
      <c r="D215" s="324" t="s">
        <v>212</v>
      </c>
      <c r="E215" s="373" t="s">
        <v>213</v>
      </c>
      <c r="F215" s="377" t="s">
        <v>25</v>
      </c>
      <c r="G215" s="375">
        <v>50873</v>
      </c>
      <c r="H215" s="376">
        <v>186</v>
      </c>
      <c r="I215" s="377"/>
      <c r="J215" s="378"/>
      <c r="K215" s="378"/>
      <c r="L215" s="378" t="s">
        <v>55</v>
      </c>
    </row>
    <row r="216" spans="1:18" ht="15.75" customHeight="1">
      <c r="A216" s="359">
        <v>2</v>
      </c>
      <c r="B216" s="359">
        <v>7</v>
      </c>
      <c r="C216" s="359">
        <v>11</v>
      </c>
      <c r="D216" s="359" t="s">
        <v>74</v>
      </c>
      <c r="E216" s="391" t="s">
        <v>75</v>
      </c>
      <c r="F216" s="361" t="s">
        <v>25</v>
      </c>
      <c r="G216" s="362">
        <v>50885</v>
      </c>
      <c r="H216" s="363">
        <v>222</v>
      </c>
      <c r="I216" s="411" t="s">
        <v>272</v>
      </c>
      <c r="J216" s="366">
        <v>3</v>
      </c>
      <c r="K216" s="366" t="s">
        <v>273</v>
      </c>
      <c r="L216" s="366"/>
    </row>
    <row r="217" spans="1:18" ht="15.75" customHeight="1">
      <c r="A217" s="359">
        <v>2</v>
      </c>
      <c r="B217" s="359">
        <v>7</v>
      </c>
      <c r="C217" s="359">
        <v>12</v>
      </c>
      <c r="D217" s="359" t="s">
        <v>226</v>
      </c>
      <c r="E217" s="391" t="s">
        <v>227</v>
      </c>
      <c r="F217" s="361" t="s">
        <v>34</v>
      </c>
      <c r="G217" s="362">
        <v>50662</v>
      </c>
      <c r="H217" s="363">
        <v>31</v>
      </c>
      <c r="I217" s="411" t="s">
        <v>272</v>
      </c>
      <c r="J217" s="366">
        <v>3</v>
      </c>
      <c r="K217" s="366" t="s">
        <v>273</v>
      </c>
      <c r="L217" s="366"/>
    </row>
    <row r="218" spans="1:18" ht="15.75" customHeight="1">
      <c r="A218" s="359">
        <v>2</v>
      </c>
      <c r="B218" s="359">
        <v>7</v>
      </c>
      <c r="C218" s="359">
        <v>12</v>
      </c>
      <c r="D218" s="359" t="s">
        <v>212</v>
      </c>
      <c r="E218" s="391" t="s">
        <v>213</v>
      </c>
      <c r="F218" s="361" t="s">
        <v>48</v>
      </c>
      <c r="G218" s="362">
        <v>10995</v>
      </c>
      <c r="H218" s="363">
        <v>170</v>
      </c>
      <c r="I218" s="411" t="s">
        <v>272</v>
      </c>
      <c r="J218" s="366">
        <v>3</v>
      </c>
      <c r="K218" s="366" t="s">
        <v>273</v>
      </c>
      <c r="L218" s="366"/>
    </row>
    <row r="219" spans="1:18" ht="15.75" customHeight="1">
      <c r="A219" s="359">
        <v>2</v>
      </c>
      <c r="B219" s="359">
        <v>7</v>
      </c>
      <c r="C219" s="359">
        <v>13</v>
      </c>
      <c r="D219" s="359" t="s">
        <v>66</v>
      </c>
      <c r="E219" s="391" t="s">
        <v>67</v>
      </c>
      <c r="F219" s="361" t="s">
        <v>31</v>
      </c>
      <c r="G219" s="362">
        <v>50323</v>
      </c>
      <c r="H219" s="363">
        <v>143</v>
      </c>
      <c r="I219" s="411" t="s">
        <v>272</v>
      </c>
      <c r="J219" s="366">
        <v>3</v>
      </c>
      <c r="K219" s="366" t="s">
        <v>273</v>
      </c>
      <c r="L219" s="366"/>
    </row>
    <row r="220" spans="1:18" ht="15.75" customHeight="1">
      <c r="A220" s="359">
        <v>2</v>
      </c>
      <c r="B220" s="359">
        <v>7</v>
      </c>
      <c r="C220" s="359">
        <v>13</v>
      </c>
      <c r="D220" s="359" t="s">
        <v>66</v>
      </c>
      <c r="E220" s="391" t="s">
        <v>67</v>
      </c>
      <c r="F220" s="361" t="s">
        <v>31</v>
      </c>
      <c r="G220" s="362">
        <v>50726</v>
      </c>
      <c r="H220" s="363">
        <v>166</v>
      </c>
      <c r="I220" s="411" t="s">
        <v>272</v>
      </c>
      <c r="J220" s="366">
        <v>3</v>
      </c>
      <c r="K220" s="366" t="s">
        <v>273</v>
      </c>
      <c r="L220" s="366"/>
    </row>
    <row r="221" spans="1:18" ht="15.75" customHeight="1">
      <c r="A221" s="359">
        <v>2</v>
      </c>
      <c r="B221" s="359">
        <v>7</v>
      </c>
      <c r="C221" s="359">
        <v>13</v>
      </c>
      <c r="D221" s="359" t="s">
        <v>66</v>
      </c>
      <c r="E221" s="391" t="s">
        <v>67</v>
      </c>
      <c r="F221" s="361" t="s">
        <v>34</v>
      </c>
      <c r="G221" s="362">
        <v>50087</v>
      </c>
      <c r="H221" s="363">
        <v>132</v>
      </c>
      <c r="I221" s="411" t="s">
        <v>265</v>
      </c>
      <c r="J221" s="366">
        <v>2</v>
      </c>
      <c r="K221" s="366" t="s">
        <v>284</v>
      </c>
      <c r="L221" s="366"/>
    </row>
    <row r="222" spans="1:18" ht="15.75" customHeight="1">
      <c r="A222" s="359">
        <v>2</v>
      </c>
      <c r="B222" s="359">
        <v>7</v>
      </c>
      <c r="C222" s="359">
        <v>13</v>
      </c>
      <c r="D222" s="359" t="s">
        <v>66</v>
      </c>
      <c r="E222" s="391" t="s">
        <v>67</v>
      </c>
      <c r="F222" s="361" t="s">
        <v>31</v>
      </c>
      <c r="G222" s="362">
        <v>50724</v>
      </c>
      <c r="H222" s="363">
        <v>224</v>
      </c>
      <c r="I222" s="411" t="s">
        <v>272</v>
      </c>
      <c r="J222" s="366">
        <v>3</v>
      </c>
      <c r="K222" s="366" t="s">
        <v>329</v>
      </c>
      <c r="L222" s="366"/>
    </row>
    <row r="223" spans="1:18" ht="15.75" customHeight="1">
      <c r="A223" s="324">
        <v>2</v>
      </c>
      <c r="B223" s="324">
        <v>7</v>
      </c>
      <c r="C223" s="324">
        <v>14</v>
      </c>
      <c r="D223" s="324" t="s">
        <v>228</v>
      </c>
      <c r="E223" s="373" t="s">
        <v>229</v>
      </c>
      <c r="F223" s="377" t="s">
        <v>25</v>
      </c>
      <c r="G223" s="375">
        <v>50855</v>
      </c>
      <c r="H223" s="376">
        <v>26</v>
      </c>
      <c r="I223" s="398"/>
      <c r="J223" s="399"/>
      <c r="K223" s="399"/>
      <c r="L223" s="378" t="s">
        <v>55</v>
      </c>
    </row>
    <row r="224" spans="1:18" ht="15.75" customHeight="1">
      <c r="A224" s="359">
        <v>2</v>
      </c>
      <c r="B224" s="359">
        <v>7</v>
      </c>
      <c r="C224" s="359">
        <v>16</v>
      </c>
      <c r="D224" s="359" t="s">
        <v>138</v>
      </c>
      <c r="E224" s="391" t="s">
        <v>139</v>
      </c>
      <c r="F224" s="361" t="s">
        <v>25</v>
      </c>
      <c r="G224" s="362">
        <v>50879</v>
      </c>
      <c r="H224" s="363">
        <v>477</v>
      </c>
      <c r="I224" s="411" t="s">
        <v>272</v>
      </c>
      <c r="J224" s="366">
        <v>3</v>
      </c>
      <c r="K224" s="366" t="s">
        <v>273</v>
      </c>
      <c r="L224" s="366"/>
    </row>
    <row r="225" spans="1:12" ht="15.75" customHeight="1">
      <c r="A225" s="359">
        <v>2</v>
      </c>
      <c r="B225" s="359">
        <v>7</v>
      </c>
      <c r="C225" s="359">
        <v>16</v>
      </c>
      <c r="D225" s="359" t="s">
        <v>122</v>
      </c>
      <c r="E225" s="391" t="s">
        <v>123</v>
      </c>
      <c r="F225" s="361" t="s">
        <v>25</v>
      </c>
      <c r="G225" s="362">
        <v>50888</v>
      </c>
      <c r="H225" s="363">
        <v>135</v>
      </c>
      <c r="I225" s="411" t="s">
        <v>272</v>
      </c>
      <c r="J225" s="366">
        <v>3</v>
      </c>
      <c r="K225" s="366" t="s">
        <v>273</v>
      </c>
      <c r="L225" s="366"/>
    </row>
    <row r="226" spans="1:12" ht="15.75" customHeight="1">
      <c r="A226" s="359">
        <v>2</v>
      </c>
      <c r="B226" s="359">
        <v>7</v>
      </c>
      <c r="C226" s="359">
        <v>17</v>
      </c>
      <c r="D226" s="359" t="s">
        <v>66</v>
      </c>
      <c r="E226" s="391" t="s">
        <v>67</v>
      </c>
      <c r="F226" s="361" t="s">
        <v>34</v>
      </c>
      <c r="G226" s="362">
        <v>50459</v>
      </c>
      <c r="H226" s="363">
        <v>126</v>
      </c>
      <c r="I226" s="411" t="s">
        <v>272</v>
      </c>
      <c r="J226" s="366">
        <v>3</v>
      </c>
      <c r="K226" s="366" t="s">
        <v>273</v>
      </c>
      <c r="L226" s="366"/>
    </row>
    <row r="227" spans="1:12" ht="15.75" customHeight="1">
      <c r="A227" s="359">
        <v>2</v>
      </c>
      <c r="B227" s="359">
        <v>7</v>
      </c>
      <c r="C227" s="359">
        <v>17</v>
      </c>
      <c r="D227" s="359" t="s">
        <v>66</v>
      </c>
      <c r="E227" s="391" t="s">
        <v>67</v>
      </c>
      <c r="F227" s="361" t="s">
        <v>34</v>
      </c>
      <c r="G227" s="362">
        <v>50602</v>
      </c>
      <c r="H227" s="363">
        <v>42</v>
      </c>
      <c r="I227" s="411" t="s">
        <v>265</v>
      </c>
      <c r="J227" s="366">
        <v>2</v>
      </c>
      <c r="K227" s="366" t="s">
        <v>317</v>
      </c>
      <c r="L227" s="366"/>
    </row>
    <row r="228" spans="1:12" ht="15.75" customHeight="1">
      <c r="A228" s="359">
        <v>2</v>
      </c>
      <c r="B228" s="359">
        <v>7</v>
      </c>
      <c r="C228" s="359">
        <v>18</v>
      </c>
      <c r="D228" s="359" t="s">
        <v>230</v>
      </c>
      <c r="E228" s="391" t="s">
        <v>231</v>
      </c>
      <c r="F228" s="361" t="s">
        <v>48</v>
      </c>
      <c r="G228" s="362">
        <v>50206</v>
      </c>
      <c r="H228" s="363">
        <v>73</v>
      </c>
      <c r="I228" s="411" t="s">
        <v>272</v>
      </c>
      <c r="J228" s="366">
        <v>3</v>
      </c>
      <c r="K228" s="366" t="s">
        <v>273</v>
      </c>
      <c r="L228" s="366"/>
    </row>
    <row r="229" spans="1:12" ht="15.75" customHeight="1">
      <c r="A229" s="359">
        <v>2</v>
      </c>
      <c r="B229" s="359">
        <v>7</v>
      </c>
      <c r="C229" s="359">
        <v>18</v>
      </c>
      <c r="D229" s="359" t="s">
        <v>232</v>
      </c>
      <c r="E229" s="391"/>
      <c r="F229" s="361" t="s">
        <v>68</v>
      </c>
      <c r="G229" s="362">
        <v>50779</v>
      </c>
      <c r="H229" s="363">
        <v>91</v>
      </c>
      <c r="I229" s="411" t="s">
        <v>272</v>
      </c>
      <c r="J229" s="366">
        <v>3</v>
      </c>
      <c r="K229" s="366" t="s">
        <v>273</v>
      </c>
      <c r="L229" s="366"/>
    </row>
    <row r="230" spans="1:12" ht="15.75" customHeight="1">
      <c r="A230" s="359">
        <v>2</v>
      </c>
      <c r="B230" s="359">
        <v>8</v>
      </c>
      <c r="C230" s="359">
        <v>2</v>
      </c>
      <c r="D230" s="359" t="s">
        <v>233</v>
      </c>
      <c r="E230" s="391" t="s">
        <v>234</v>
      </c>
      <c r="F230" s="361" t="s">
        <v>48</v>
      </c>
      <c r="G230" s="362">
        <v>50778</v>
      </c>
      <c r="H230" s="363">
        <v>118</v>
      </c>
      <c r="I230" s="411" t="s">
        <v>265</v>
      </c>
      <c r="J230" s="366">
        <v>2</v>
      </c>
      <c r="K230" s="366" t="s">
        <v>269</v>
      </c>
      <c r="L230" s="366"/>
    </row>
    <row r="231" spans="1:12" ht="15.75" customHeight="1">
      <c r="A231" s="359">
        <v>2</v>
      </c>
      <c r="B231" s="359">
        <v>8</v>
      </c>
      <c r="C231" s="359">
        <v>2</v>
      </c>
      <c r="D231" s="359" t="s">
        <v>233</v>
      </c>
      <c r="E231" s="391" t="s">
        <v>234</v>
      </c>
      <c r="F231" s="361" t="s">
        <v>34</v>
      </c>
      <c r="G231" s="362">
        <v>50587</v>
      </c>
      <c r="H231" s="363">
        <v>47</v>
      </c>
      <c r="I231" s="411" t="s">
        <v>272</v>
      </c>
      <c r="J231" s="366">
        <v>3</v>
      </c>
      <c r="K231" s="366" t="s">
        <v>273</v>
      </c>
      <c r="L231" s="366"/>
    </row>
    <row r="232" spans="1:12" ht="15.75" customHeight="1">
      <c r="A232" s="359">
        <v>2</v>
      </c>
      <c r="B232" s="359">
        <v>8</v>
      </c>
      <c r="C232" s="359">
        <v>3</v>
      </c>
      <c r="D232" s="359" t="s">
        <v>134</v>
      </c>
      <c r="E232" s="391" t="s">
        <v>135</v>
      </c>
      <c r="F232" s="361" t="s">
        <v>25</v>
      </c>
      <c r="G232" s="362">
        <v>50268</v>
      </c>
      <c r="H232" s="363">
        <v>210</v>
      </c>
      <c r="I232" s="411" t="s">
        <v>272</v>
      </c>
      <c r="J232" s="366">
        <v>3</v>
      </c>
      <c r="K232" s="366" t="s">
        <v>273</v>
      </c>
      <c r="L232" s="366"/>
    </row>
    <row r="233" spans="1:12" ht="15.75" customHeight="1">
      <c r="A233" s="359">
        <v>2</v>
      </c>
      <c r="B233" s="359">
        <v>8</v>
      </c>
      <c r="C233" s="359">
        <v>4</v>
      </c>
      <c r="D233" s="359" t="s">
        <v>132</v>
      </c>
      <c r="E233" s="391" t="s">
        <v>133</v>
      </c>
      <c r="F233" s="361" t="s">
        <v>68</v>
      </c>
      <c r="G233" s="362">
        <v>50454</v>
      </c>
      <c r="H233" s="363">
        <v>273</v>
      </c>
      <c r="I233" s="411" t="s">
        <v>272</v>
      </c>
      <c r="J233" s="366">
        <v>3</v>
      </c>
      <c r="K233" s="366" t="s">
        <v>273</v>
      </c>
      <c r="L233" s="366"/>
    </row>
    <row r="234" spans="1:12" ht="15.75" customHeight="1">
      <c r="A234" s="359">
        <v>2</v>
      </c>
      <c r="B234" s="359">
        <v>8</v>
      </c>
      <c r="C234" s="359">
        <v>4</v>
      </c>
      <c r="D234" s="359" t="s">
        <v>132</v>
      </c>
      <c r="E234" s="391" t="s">
        <v>133</v>
      </c>
      <c r="F234" s="361" t="s">
        <v>34</v>
      </c>
      <c r="G234" s="362">
        <v>50570</v>
      </c>
      <c r="H234" s="363">
        <v>226</v>
      </c>
      <c r="I234" s="411" t="s">
        <v>272</v>
      </c>
      <c r="J234" s="366">
        <v>3</v>
      </c>
      <c r="K234" s="366" t="s">
        <v>273</v>
      </c>
      <c r="L234" s="366"/>
    </row>
    <row r="235" spans="1:12" ht="15.75" customHeight="1">
      <c r="A235" s="359">
        <v>2</v>
      </c>
      <c r="B235" s="359">
        <v>8</v>
      </c>
      <c r="C235" s="359">
        <v>5</v>
      </c>
      <c r="D235" s="359" t="s">
        <v>142</v>
      </c>
      <c r="E235" s="391" t="s">
        <v>143</v>
      </c>
      <c r="F235" s="361" t="s">
        <v>31</v>
      </c>
      <c r="G235" s="362">
        <v>50824</v>
      </c>
      <c r="H235" s="363">
        <v>67</v>
      </c>
      <c r="I235" s="411" t="s">
        <v>272</v>
      </c>
      <c r="J235" s="366">
        <v>3</v>
      </c>
      <c r="K235" s="366" t="s">
        <v>273</v>
      </c>
      <c r="L235" s="366"/>
    </row>
    <row r="236" spans="1:12" ht="15.75" customHeight="1">
      <c r="A236" s="359">
        <v>2</v>
      </c>
      <c r="B236" s="359">
        <v>8</v>
      </c>
      <c r="C236" s="359">
        <v>5</v>
      </c>
      <c r="D236" s="359" t="s">
        <v>142</v>
      </c>
      <c r="E236" s="391" t="s">
        <v>143</v>
      </c>
      <c r="F236" s="361" t="s">
        <v>25</v>
      </c>
      <c r="G236" s="362">
        <v>50766</v>
      </c>
      <c r="H236" s="363">
        <v>26</v>
      </c>
      <c r="I236" s="411" t="s">
        <v>266</v>
      </c>
      <c r="J236" s="366">
        <v>1</v>
      </c>
      <c r="K236" s="366" t="s">
        <v>330</v>
      </c>
      <c r="L236" s="366"/>
    </row>
    <row r="237" spans="1:12" ht="15.75" customHeight="1">
      <c r="A237" s="359">
        <v>2</v>
      </c>
      <c r="B237" s="359">
        <v>8</v>
      </c>
      <c r="C237" s="359">
        <v>6</v>
      </c>
      <c r="D237" s="359" t="s">
        <v>37</v>
      </c>
      <c r="E237" s="391" t="s">
        <v>38</v>
      </c>
      <c r="F237" s="361" t="s">
        <v>31</v>
      </c>
      <c r="G237" s="362">
        <v>50826</v>
      </c>
      <c r="H237" s="363">
        <v>185</v>
      </c>
      <c r="I237" s="411" t="s">
        <v>272</v>
      </c>
      <c r="J237" s="366">
        <v>3</v>
      </c>
      <c r="K237" s="366" t="s">
        <v>273</v>
      </c>
      <c r="L237" s="366"/>
    </row>
    <row r="238" spans="1:12" ht="15.75" customHeight="1">
      <c r="A238" s="359">
        <v>2</v>
      </c>
      <c r="B238" s="359">
        <v>8</v>
      </c>
      <c r="C238" s="359">
        <v>6</v>
      </c>
      <c r="D238" s="359" t="s">
        <v>58</v>
      </c>
      <c r="E238" s="391" t="s">
        <v>59</v>
      </c>
      <c r="F238" s="361" t="s">
        <v>31</v>
      </c>
      <c r="G238" s="362">
        <v>50839</v>
      </c>
      <c r="H238" s="363">
        <v>215</v>
      </c>
      <c r="I238" s="411" t="s">
        <v>272</v>
      </c>
      <c r="J238" s="366">
        <v>3</v>
      </c>
      <c r="K238" s="366" t="s">
        <v>273</v>
      </c>
      <c r="L238" s="366"/>
    </row>
    <row r="239" spans="1:12" ht="15.75" customHeight="1">
      <c r="A239" s="359">
        <v>2</v>
      </c>
      <c r="B239" s="359">
        <v>8</v>
      </c>
      <c r="C239" s="359">
        <v>6</v>
      </c>
      <c r="D239" s="359" t="s">
        <v>173</v>
      </c>
      <c r="E239" s="391" t="s">
        <v>174</v>
      </c>
      <c r="F239" s="361" t="s">
        <v>31</v>
      </c>
      <c r="G239" s="362">
        <v>50825</v>
      </c>
      <c r="H239" s="363">
        <v>132</v>
      </c>
      <c r="I239" s="411" t="s">
        <v>265</v>
      </c>
      <c r="J239" s="413">
        <v>2</v>
      </c>
      <c r="K239" s="413" t="s">
        <v>269</v>
      </c>
      <c r="L239" s="366"/>
    </row>
    <row r="240" spans="1:12" ht="15.75" customHeight="1">
      <c r="A240" s="359">
        <v>2</v>
      </c>
      <c r="B240" s="359">
        <v>8</v>
      </c>
      <c r="C240" s="359">
        <v>7</v>
      </c>
      <c r="D240" s="359" t="s">
        <v>171</v>
      </c>
      <c r="E240" s="391" t="s">
        <v>172</v>
      </c>
      <c r="F240" s="361" t="s">
        <v>25</v>
      </c>
      <c r="G240" s="362">
        <v>50878</v>
      </c>
      <c r="H240" s="363">
        <v>396</v>
      </c>
      <c r="I240" s="411" t="s">
        <v>272</v>
      </c>
      <c r="J240" s="413">
        <v>3</v>
      </c>
      <c r="K240" s="413" t="s">
        <v>273</v>
      </c>
      <c r="L240" s="366"/>
    </row>
    <row r="241" spans="1:12" ht="15.75" customHeight="1">
      <c r="A241" s="270">
        <v>2</v>
      </c>
      <c r="B241" s="270">
        <v>8</v>
      </c>
      <c r="C241" s="270">
        <v>8</v>
      </c>
      <c r="D241" s="270" t="s">
        <v>235</v>
      </c>
      <c r="E241" s="367" t="s">
        <v>236</v>
      </c>
      <c r="F241" s="371" t="s">
        <v>34</v>
      </c>
      <c r="G241" s="369">
        <v>50569</v>
      </c>
      <c r="H241" s="402">
        <v>7</v>
      </c>
      <c r="I241" s="371"/>
      <c r="J241" s="380"/>
      <c r="K241" s="380"/>
      <c r="L241" s="380" t="s">
        <v>43</v>
      </c>
    </row>
    <row r="242" spans="1:12" ht="15.75" customHeight="1">
      <c r="A242" s="359">
        <v>2</v>
      </c>
      <c r="B242" s="359">
        <v>8</v>
      </c>
      <c r="C242" s="359">
        <v>8</v>
      </c>
      <c r="D242" s="359" t="s">
        <v>85</v>
      </c>
      <c r="E242" s="391" t="s">
        <v>86</v>
      </c>
      <c r="F242" s="361" t="s">
        <v>31</v>
      </c>
      <c r="G242" s="362">
        <v>50796</v>
      </c>
      <c r="H242" s="363">
        <v>256</v>
      </c>
      <c r="I242" s="411" t="s">
        <v>272</v>
      </c>
      <c r="J242" s="413">
        <v>3</v>
      </c>
      <c r="K242" s="413" t="s">
        <v>273</v>
      </c>
      <c r="L242" s="366"/>
    </row>
    <row r="243" spans="1:12" ht="15.75" customHeight="1">
      <c r="A243" s="359">
        <v>2</v>
      </c>
      <c r="B243" s="359">
        <v>8</v>
      </c>
      <c r="C243" s="359">
        <v>10</v>
      </c>
      <c r="D243" s="359" t="s">
        <v>169</v>
      </c>
      <c r="E243" s="391" t="s">
        <v>170</v>
      </c>
      <c r="F243" s="361" t="s">
        <v>25</v>
      </c>
      <c r="G243" s="362">
        <v>50883</v>
      </c>
      <c r="H243" s="363">
        <v>158</v>
      </c>
      <c r="I243" s="411" t="s">
        <v>272</v>
      </c>
      <c r="J243" s="413">
        <v>3</v>
      </c>
      <c r="K243" s="413" t="s">
        <v>273</v>
      </c>
      <c r="L243" s="366"/>
    </row>
    <row r="244" spans="1:12" ht="15.75" customHeight="1">
      <c r="A244" s="382">
        <v>2</v>
      </c>
      <c r="B244" s="359">
        <v>8</v>
      </c>
      <c r="C244" s="359">
        <v>10</v>
      </c>
      <c r="D244" s="359" t="s">
        <v>218</v>
      </c>
      <c r="E244" s="391" t="s">
        <v>219</v>
      </c>
      <c r="F244" s="361" t="s">
        <v>25</v>
      </c>
      <c r="G244" s="362">
        <v>50884</v>
      </c>
      <c r="H244" s="363">
        <v>262</v>
      </c>
      <c r="I244" s="411" t="s">
        <v>272</v>
      </c>
      <c r="J244" s="413">
        <v>3</v>
      </c>
      <c r="K244" s="413" t="s">
        <v>273</v>
      </c>
      <c r="L244" s="366"/>
    </row>
    <row r="245" spans="1:12" ht="15.75" customHeight="1">
      <c r="A245" s="359">
        <v>2</v>
      </c>
      <c r="B245" s="359">
        <v>8</v>
      </c>
      <c r="C245" s="359">
        <v>11</v>
      </c>
      <c r="D245" s="359" t="s">
        <v>237</v>
      </c>
      <c r="E245" s="391" t="s">
        <v>238</v>
      </c>
      <c r="F245" s="361" t="s">
        <v>25</v>
      </c>
      <c r="G245" s="362">
        <v>50751</v>
      </c>
      <c r="H245" s="363">
        <v>239</v>
      </c>
      <c r="I245" s="411" t="s">
        <v>265</v>
      </c>
      <c r="J245" s="366">
        <v>2</v>
      </c>
      <c r="K245" s="366" t="s">
        <v>270</v>
      </c>
      <c r="L245" s="366"/>
    </row>
    <row r="246" spans="1:12" ht="15.75" customHeight="1">
      <c r="A246" s="359">
        <v>2</v>
      </c>
      <c r="B246" s="359">
        <v>8</v>
      </c>
      <c r="C246" s="359">
        <v>11</v>
      </c>
      <c r="D246" s="359" t="s">
        <v>237</v>
      </c>
      <c r="E246" s="391" t="s">
        <v>238</v>
      </c>
      <c r="F246" s="361" t="s">
        <v>68</v>
      </c>
      <c r="G246" s="362">
        <v>50737</v>
      </c>
      <c r="H246" s="363">
        <v>31</v>
      </c>
      <c r="I246" s="411" t="s">
        <v>265</v>
      </c>
      <c r="J246" s="366">
        <v>2</v>
      </c>
      <c r="K246" s="366" t="s">
        <v>270</v>
      </c>
      <c r="L246" s="366"/>
    </row>
    <row r="247" spans="1:12" ht="15.75" customHeight="1">
      <c r="A247" s="324">
        <v>2</v>
      </c>
      <c r="B247" s="324">
        <v>8</v>
      </c>
      <c r="C247" s="324">
        <v>11</v>
      </c>
      <c r="D247" s="324" t="s">
        <v>237</v>
      </c>
      <c r="E247" s="373" t="s">
        <v>238</v>
      </c>
      <c r="F247" s="377" t="s">
        <v>34</v>
      </c>
      <c r="G247" s="375">
        <v>50543</v>
      </c>
      <c r="H247" s="376">
        <v>38</v>
      </c>
      <c r="I247" s="377"/>
      <c r="J247" s="378"/>
      <c r="K247" s="378"/>
      <c r="L247" s="378" t="s">
        <v>55</v>
      </c>
    </row>
    <row r="248" spans="1:12" ht="15.75" customHeight="1">
      <c r="A248" s="359">
        <v>2</v>
      </c>
      <c r="B248" s="359">
        <v>8</v>
      </c>
      <c r="C248" s="359">
        <v>11</v>
      </c>
      <c r="D248" s="359" t="s">
        <v>237</v>
      </c>
      <c r="E248" s="391" t="s">
        <v>238</v>
      </c>
      <c r="F248" s="361" t="s">
        <v>34</v>
      </c>
      <c r="G248" s="362">
        <v>50738</v>
      </c>
      <c r="H248" s="363">
        <v>54</v>
      </c>
      <c r="I248" s="411" t="s">
        <v>266</v>
      </c>
      <c r="J248" s="366">
        <v>1</v>
      </c>
      <c r="K248" s="366" t="s">
        <v>332</v>
      </c>
      <c r="L248" s="366"/>
    </row>
    <row r="249" spans="1:12" ht="15.75" customHeight="1">
      <c r="A249" s="359">
        <v>2</v>
      </c>
      <c r="B249" s="359">
        <v>8</v>
      </c>
      <c r="C249" s="359">
        <v>11</v>
      </c>
      <c r="D249" s="359" t="s">
        <v>237</v>
      </c>
      <c r="E249" s="391" t="s">
        <v>238</v>
      </c>
      <c r="F249" s="361" t="s">
        <v>68</v>
      </c>
      <c r="G249" s="362">
        <v>50644</v>
      </c>
      <c r="H249" s="363">
        <v>14</v>
      </c>
      <c r="I249" s="411" t="s">
        <v>266</v>
      </c>
      <c r="J249" s="366">
        <v>1</v>
      </c>
      <c r="K249" s="366" t="s">
        <v>332</v>
      </c>
      <c r="L249" s="366"/>
    </row>
    <row r="250" spans="1:12" ht="15.75" customHeight="1">
      <c r="A250" s="270">
        <v>2</v>
      </c>
      <c r="B250" s="270">
        <v>8</v>
      </c>
      <c r="C250" s="270">
        <v>11</v>
      </c>
      <c r="D250" s="270" t="s">
        <v>237</v>
      </c>
      <c r="E250" s="367" t="s">
        <v>238</v>
      </c>
      <c r="F250" s="371" t="s">
        <v>25</v>
      </c>
      <c r="G250" s="369">
        <v>50275</v>
      </c>
      <c r="H250" s="402">
        <v>24</v>
      </c>
      <c r="I250" s="371"/>
      <c r="J250" s="380"/>
      <c r="K250" s="380"/>
      <c r="L250" s="380" t="s">
        <v>43</v>
      </c>
    </row>
    <row r="251" spans="1:12" ht="15.75" customHeight="1">
      <c r="A251" s="270">
        <v>2</v>
      </c>
      <c r="B251" s="270">
        <v>8</v>
      </c>
      <c r="C251" s="270">
        <v>11</v>
      </c>
      <c r="D251" s="270" t="s">
        <v>237</v>
      </c>
      <c r="E251" s="367" t="s">
        <v>238</v>
      </c>
      <c r="F251" s="371" t="s">
        <v>34</v>
      </c>
      <c r="G251" s="369">
        <v>50709</v>
      </c>
      <c r="H251" s="402">
        <v>31</v>
      </c>
      <c r="I251" s="371"/>
      <c r="J251" s="380"/>
      <c r="K251" s="380"/>
      <c r="L251" s="380" t="s">
        <v>43</v>
      </c>
    </row>
    <row r="252" spans="1:12" ht="15.75" customHeight="1">
      <c r="A252" s="352">
        <v>2</v>
      </c>
      <c r="B252" s="352">
        <v>8</v>
      </c>
      <c r="C252" s="352">
        <v>12</v>
      </c>
      <c r="D252" s="352" t="s">
        <v>239</v>
      </c>
      <c r="E252" s="353" t="s">
        <v>240</v>
      </c>
      <c r="F252" s="357" t="s">
        <v>25</v>
      </c>
      <c r="G252" s="355">
        <v>30885</v>
      </c>
      <c r="H252" s="356">
        <v>408</v>
      </c>
      <c r="I252" s="357"/>
      <c r="J252" s="358"/>
      <c r="K252" s="358"/>
      <c r="L252" s="358" t="s">
        <v>26</v>
      </c>
    </row>
    <row r="253" spans="1:12" ht="15.75" customHeight="1">
      <c r="A253" s="359">
        <v>2</v>
      </c>
      <c r="B253" s="359">
        <v>8</v>
      </c>
      <c r="C253" s="359">
        <v>13</v>
      </c>
      <c r="D253" s="359" t="s">
        <v>134</v>
      </c>
      <c r="E253" s="391" t="s">
        <v>135</v>
      </c>
      <c r="F253" s="361" t="s">
        <v>25</v>
      </c>
      <c r="G253" s="362">
        <v>50142</v>
      </c>
      <c r="H253" s="363">
        <v>224</v>
      </c>
      <c r="I253" s="411" t="s">
        <v>272</v>
      </c>
      <c r="J253" s="366">
        <v>3</v>
      </c>
      <c r="K253" s="366" t="s">
        <v>273</v>
      </c>
      <c r="L253" s="366"/>
    </row>
    <row r="254" spans="1:12" ht="15.75" customHeight="1">
      <c r="A254" s="359">
        <v>2</v>
      </c>
      <c r="B254" s="359">
        <v>8</v>
      </c>
      <c r="C254" s="359">
        <v>13</v>
      </c>
      <c r="D254" s="359" t="s">
        <v>136</v>
      </c>
      <c r="E254" s="391" t="s">
        <v>137</v>
      </c>
      <c r="F254" s="361" t="s">
        <v>25</v>
      </c>
      <c r="G254" s="362">
        <v>50857</v>
      </c>
      <c r="H254" s="363">
        <v>106</v>
      </c>
      <c r="I254" s="411" t="s">
        <v>265</v>
      </c>
      <c r="J254" s="366">
        <v>2</v>
      </c>
      <c r="K254" s="366" t="s">
        <v>333</v>
      </c>
      <c r="L254" s="366"/>
    </row>
    <row r="255" spans="1:12" ht="15.75" customHeight="1">
      <c r="A255" s="359">
        <v>2</v>
      </c>
      <c r="B255" s="359">
        <v>8</v>
      </c>
      <c r="C255" s="359">
        <v>14</v>
      </c>
      <c r="D255" s="359" t="s">
        <v>241</v>
      </c>
      <c r="E255" s="391" t="s">
        <v>242</v>
      </c>
      <c r="F255" s="361" t="s">
        <v>25</v>
      </c>
      <c r="G255" s="362">
        <v>50876</v>
      </c>
      <c r="H255" s="363">
        <v>420</v>
      </c>
      <c r="I255" s="411" t="s">
        <v>272</v>
      </c>
      <c r="J255" s="366">
        <v>3</v>
      </c>
      <c r="K255" s="366" t="s">
        <v>273</v>
      </c>
      <c r="L255" s="366"/>
    </row>
    <row r="256" spans="1:12" ht="15.75" customHeight="1">
      <c r="A256" s="359">
        <v>2</v>
      </c>
      <c r="B256" s="359">
        <v>8</v>
      </c>
      <c r="C256" s="359">
        <v>15</v>
      </c>
      <c r="D256" s="359" t="s">
        <v>203</v>
      </c>
      <c r="E256" s="391" t="s">
        <v>204</v>
      </c>
      <c r="F256" s="361" t="s">
        <v>31</v>
      </c>
      <c r="G256" s="362">
        <v>50841</v>
      </c>
      <c r="H256" s="363">
        <v>390</v>
      </c>
      <c r="I256" s="411" t="s">
        <v>265</v>
      </c>
      <c r="J256" s="366">
        <v>2</v>
      </c>
      <c r="K256" s="366" t="s">
        <v>268</v>
      </c>
      <c r="L256" s="366"/>
    </row>
    <row r="257" spans="1:12" ht="15.75" customHeight="1">
      <c r="A257" s="359">
        <v>2</v>
      </c>
      <c r="B257" s="359">
        <v>8</v>
      </c>
      <c r="C257" s="359">
        <v>15</v>
      </c>
      <c r="D257" s="359" t="s">
        <v>203</v>
      </c>
      <c r="E257" s="391" t="s">
        <v>204</v>
      </c>
      <c r="F257" s="361" t="s">
        <v>25</v>
      </c>
      <c r="G257" s="362">
        <v>50657</v>
      </c>
      <c r="H257" s="363">
        <v>8</v>
      </c>
      <c r="I257" s="411" t="s">
        <v>265</v>
      </c>
      <c r="J257" s="366">
        <v>2</v>
      </c>
      <c r="K257" s="366" t="s">
        <v>268</v>
      </c>
      <c r="L257" s="366"/>
    </row>
    <row r="258" spans="1:12" ht="15.75" customHeight="1">
      <c r="A258" s="359">
        <v>2</v>
      </c>
      <c r="B258" s="359">
        <v>8</v>
      </c>
      <c r="C258" s="359">
        <v>15</v>
      </c>
      <c r="D258" s="359" t="s">
        <v>203</v>
      </c>
      <c r="E258" s="391" t="s">
        <v>204</v>
      </c>
      <c r="F258" s="361" t="s">
        <v>31</v>
      </c>
      <c r="G258" s="362">
        <v>50777</v>
      </c>
      <c r="H258" s="363">
        <v>9</v>
      </c>
      <c r="I258" s="411" t="s">
        <v>265</v>
      </c>
      <c r="J258" s="366">
        <v>2</v>
      </c>
      <c r="K258" s="366" t="s">
        <v>268</v>
      </c>
      <c r="L258" s="366"/>
    </row>
    <row r="259" spans="1:12" ht="15.75" customHeight="1">
      <c r="A259" s="359">
        <v>2</v>
      </c>
      <c r="B259" s="359">
        <v>8</v>
      </c>
      <c r="C259" s="359">
        <v>15</v>
      </c>
      <c r="D259" s="359" t="s">
        <v>203</v>
      </c>
      <c r="E259" s="391" t="s">
        <v>204</v>
      </c>
      <c r="F259" s="361" t="s">
        <v>31</v>
      </c>
      <c r="G259" s="362">
        <v>50799</v>
      </c>
      <c r="H259" s="363">
        <v>7</v>
      </c>
      <c r="I259" s="411" t="s">
        <v>265</v>
      </c>
      <c r="J259" s="366">
        <v>2</v>
      </c>
      <c r="K259" s="366" t="s">
        <v>268</v>
      </c>
      <c r="L259" s="366"/>
    </row>
    <row r="260" spans="1:12" ht="15.75" customHeight="1">
      <c r="A260" s="270">
        <v>2</v>
      </c>
      <c r="B260" s="270">
        <v>12</v>
      </c>
      <c r="C260" s="270">
        <v>22</v>
      </c>
      <c r="D260" s="270" t="s">
        <v>243</v>
      </c>
      <c r="E260" s="367" t="s">
        <v>244</v>
      </c>
      <c r="F260" s="371" t="s">
        <v>109</v>
      </c>
      <c r="G260" s="369">
        <v>30655</v>
      </c>
      <c r="H260" s="402">
        <v>6</v>
      </c>
      <c r="I260" s="371"/>
      <c r="J260" s="380"/>
      <c r="K260" s="380"/>
      <c r="L260" s="380" t="s">
        <v>43</v>
      </c>
    </row>
    <row r="261" spans="1:12" ht="15.75" customHeight="1">
      <c r="A261" s="407"/>
      <c r="B261" s="407"/>
      <c r="C261" s="407"/>
      <c r="D261" s="407"/>
      <c r="E261" s="408"/>
      <c r="F261" s="411"/>
      <c r="G261" s="407"/>
      <c r="H261" s="409"/>
      <c r="I261" s="411"/>
      <c r="J261" s="366"/>
      <c r="K261" s="366"/>
      <c r="L261" s="366"/>
    </row>
    <row r="262" spans="1:12" ht="15.75" customHeight="1">
      <c r="A262" s="412"/>
      <c r="B262" s="412"/>
      <c r="C262" s="412"/>
      <c r="D262" s="412"/>
      <c r="E262" s="345"/>
      <c r="F262" s="346"/>
      <c r="G262" s="412"/>
      <c r="H262" s="350"/>
      <c r="I262" s="346"/>
      <c r="J262" s="410"/>
      <c r="K262" s="410"/>
      <c r="L262" s="410"/>
    </row>
    <row r="263" spans="1:12">
      <c r="A263" s="412" t="s">
        <v>245</v>
      </c>
      <c r="B263" s="412"/>
      <c r="C263" s="412"/>
      <c r="D263" s="412"/>
      <c r="E263" s="345"/>
      <c r="F263" s="346"/>
      <c r="G263" s="412"/>
      <c r="H263" s="350"/>
      <c r="I263" s="346"/>
      <c r="J263" s="410"/>
      <c r="K263" s="410"/>
      <c r="L263" s="410"/>
    </row>
    <row r="264" spans="1:12">
      <c r="A264" s="412"/>
      <c r="B264" s="412"/>
      <c r="C264" s="412"/>
      <c r="D264" s="412"/>
      <c r="E264" s="345"/>
      <c r="F264" s="346"/>
      <c r="G264" s="412"/>
      <c r="H264" s="350"/>
      <c r="I264" s="346"/>
      <c r="J264" s="410"/>
      <c r="K264" s="410"/>
      <c r="L264" s="410"/>
    </row>
    <row r="265" spans="1:12">
      <c r="A265" s="412"/>
      <c r="B265" s="412"/>
      <c r="C265" s="412"/>
      <c r="D265" s="412"/>
      <c r="E265" s="345"/>
      <c r="F265" s="346"/>
      <c r="G265" s="412"/>
      <c r="H265" s="350"/>
      <c r="I265" s="346"/>
      <c r="J265" s="410"/>
      <c r="K265" s="410"/>
      <c r="L265" s="410"/>
    </row>
    <row r="266" spans="1:12">
      <c r="A266" s="412"/>
      <c r="B266" s="412"/>
      <c r="C266" s="412"/>
      <c r="D266" s="412"/>
      <c r="E266" s="345"/>
      <c r="F266" s="346"/>
      <c r="G266" s="412"/>
      <c r="H266" s="350"/>
      <c r="I266" s="346"/>
      <c r="J266" s="410"/>
      <c r="K266" s="410"/>
      <c r="L266" s="410"/>
    </row>
    <row r="267" spans="1:12">
      <c r="A267" s="412"/>
      <c r="B267" s="412"/>
      <c r="C267" s="412"/>
      <c r="D267" s="412"/>
      <c r="E267" s="345"/>
      <c r="F267" s="346"/>
      <c r="G267" s="412"/>
      <c r="H267" s="350"/>
      <c r="I267" s="346"/>
      <c r="J267" s="410"/>
      <c r="K267" s="410"/>
      <c r="L267" s="410"/>
    </row>
    <row r="268" spans="1:12">
      <c r="A268" s="412"/>
      <c r="B268" s="412"/>
      <c r="C268" s="412"/>
      <c r="D268" s="412"/>
      <c r="E268" s="345"/>
      <c r="F268" s="346"/>
      <c r="G268" s="412"/>
      <c r="H268" s="350"/>
      <c r="I268" s="346"/>
      <c r="J268" s="410"/>
      <c r="K268" s="410"/>
      <c r="L268" s="410"/>
    </row>
    <row r="269" spans="1:12">
      <c r="A269" s="412"/>
      <c r="B269" s="412"/>
      <c r="C269" s="412"/>
      <c r="D269" s="412"/>
      <c r="E269" s="345"/>
      <c r="F269" s="346"/>
      <c r="G269" s="412"/>
      <c r="H269" s="350"/>
      <c r="I269" s="346"/>
      <c r="J269" s="410"/>
      <c r="K269" s="410"/>
      <c r="L269" s="410"/>
    </row>
    <row r="270" spans="1:12">
      <c r="A270" s="412"/>
      <c r="B270" s="412"/>
      <c r="C270" s="412"/>
      <c r="D270" s="412"/>
      <c r="E270" s="345"/>
      <c r="F270" s="346"/>
      <c r="G270" s="412"/>
      <c r="H270" s="350"/>
      <c r="I270" s="346"/>
      <c r="J270" s="410"/>
      <c r="K270" s="410"/>
      <c r="L270" s="410"/>
    </row>
    <row r="271" spans="1:12">
      <c r="A271" s="412"/>
      <c r="B271" s="412"/>
      <c r="C271" s="412"/>
      <c r="D271" s="412"/>
      <c r="E271" s="345"/>
      <c r="F271" s="346"/>
      <c r="G271" s="412"/>
      <c r="H271" s="350"/>
      <c r="I271" s="346"/>
      <c r="J271" s="410"/>
      <c r="K271" s="410"/>
      <c r="L271" s="410"/>
    </row>
    <row r="272" spans="1:12">
      <c r="A272" s="412"/>
      <c r="B272" s="412"/>
      <c r="C272" s="412"/>
      <c r="D272" s="412"/>
      <c r="E272" s="345"/>
      <c r="F272" s="346"/>
      <c r="G272" s="412"/>
      <c r="H272" s="350"/>
      <c r="I272" s="346"/>
      <c r="J272" s="410"/>
      <c r="K272" s="410"/>
      <c r="L272" s="410"/>
    </row>
    <row r="273" spans="1:12">
      <c r="A273" s="412"/>
      <c r="B273" s="412"/>
      <c r="C273" s="412"/>
      <c r="D273" s="412"/>
      <c r="E273" s="345"/>
      <c r="F273" s="346"/>
      <c r="G273" s="412"/>
      <c r="H273" s="350"/>
      <c r="I273" s="346"/>
      <c r="J273" s="410"/>
      <c r="K273" s="410"/>
      <c r="L273" s="410"/>
    </row>
    <row r="274" spans="1:12">
      <c r="A274" s="412"/>
      <c r="B274" s="412"/>
      <c r="C274" s="412"/>
      <c r="D274" s="412"/>
      <c r="E274" s="345"/>
      <c r="F274" s="346"/>
      <c r="G274" s="412"/>
      <c r="H274" s="350"/>
      <c r="I274" s="346"/>
      <c r="J274" s="410"/>
      <c r="K274" s="410"/>
      <c r="L274" s="410"/>
    </row>
    <row r="275" spans="1:12">
      <c r="A275" s="412"/>
      <c r="B275" s="412"/>
      <c r="C275" s="412"/>
      <c r="D275" s="412"/>
      <c r="E275" s="345"/>
      <c r="F275" s="346"/>
      <c r="G275" s="412"/>
      <c r="H275" s="350"/>
      <c r="I275" s="346"/>
      <c r="J275" s="410"/>
      <c r="K275" s="410"/>
      <c r="L275" s="410"/>
    </row>
    <row r="276" spans="1:12">
      <c r="A276" s="412"/>
      <c r="B276" s="412"/>
      <c r="C276" s="412"/>
      <c r="D276" s="412"/>
      <c r="E276" s="345"/>
      <c r="F276" s="346"/>
      <c r="G276" s="412"/>
      <c r="H276" s="350"/>
      <c r="I276" s="346"/>
      <c r="J276" s="410"/>
      <c r="K276" s="410"/>
      <c r="L276" s="410"/>
    </row>
    <row r="277" spans="1:12">
      <c r="A277" s="412"/>
      <c r="B277" s="412"/>
      <c r="C277" s="412"/>
      <c r="D277" s="412"/>
      <c r="E277" s="345"/>
      <c r="F277" s="346"/>
      <c r="G277" s="412"/>
      <c r="H277" s="350"/>
      <c r="I277" s="346"/>
      <c r="J277" s="410"/>
      <c r="K277" s="410"/>
      <c r="L277" s="410"/>
    </row>
    <row r="278" spans="1:12">
      <c r="A278" s="412"/>
      <c r="B278" s="412"/>
      <c r="C278" s="412"/>
      <c r="D278" s="412"/>
      <c r="E278" s="345"/>
      <c r="F278" s="346"/>
      <c r="G278" s="412"/>
      <c r="H278" s="350"/>
      <c r="I278" s="346"/>
      <c r="J278" s="410"/>
      <c r="K278" s="410"/>
      <c r="L278" s="410"/>
    </row>
    <row r="279" spans="1:12">
      <c r="A279" s="412"/>
      <c r="B279" s="412"/>
      <c r="C279" s="412"/>
      <c r="D279" s="412"/>
      <c r="E279" s="345"/>
      <c r="F279" s="346"/>
      <c r="G279" s="412"/>
      <c r="H279" s="350"/>
      <c r="I279" s="346"/>
      <c r="J279" s="410"/>
      <c r="K279" s="410"/>
      <c r="L279" s="410"/>
    </row>
    <row r="280" spans="1:12">
      <c r="A280" s="412"/>
      <c r="B280" s="412"/>
      <c r="C280" s="412"/>
      <c r="D280" s="412"/>
      <c r="E280" s="345"/>
      <c r="F280" s="346"/>
      <c r="G280" s="412"/>
      <c r="H280" s="350"/>
      <c r="I280" s="346"/>
      <c r="J280" s="410"/>
      <c r="K280" s="410"/>
      <c r="L280" s="410"/>
    </row>
    <row r="281" spans="1:12">
      <c r="A281" s="412"/>
      <c r="B281" s="412"/>
      <c r="C281" s="412"/>
      <c r="D281" s="412"/>
      <c r="E281" s="345"/>
      <c r="F281" s="346"/>
      <c r="G281" s="412"/>
      <c r="H281" s="350"/>
      <c r="I281" s="346"/>
      <c r="J281" s="410"/>
      <c r="K281" s="410"/>
      <c r="L281" s="410"/>
    </row>
    <row r="282" spans="1:12">
      <c r="A282" s="412"/>
      <c r="B282" s="412"/>
      <c r="C282" s="412"/>
      <c r="D282" s="412"/>
      <c r="E282" s="345"/>
      <c r="F282" s="346"/>
      <c r="G282" s="412"/>
      <c r="H282" s="350"/>
      <c r="I282" s="346"/>
      <c r="J282" s="410"/>
      <c r="K282" s="410"/>
      <c r="L282" s="410"/>
    </row>
    <row r="283" spans="1:12">
      <c r="A283" s="412"/>
      <c r="B283" s="412"/>
      <c r="C283" s="412"/>
      <c r="D283" s="412"/>
      <c r="E283" s="345"/>
      <c r="F283" s="346"/>
      <c r="G283" s="412"/>
      <c r="H283" s="350"/>
      <c r="I283" s="346"/>
      <c r="J283" s="410"/>
      <c r="K283" s="410"/>
      <c r="L283" s="410"/>
    </row>
    <row r="284" spans="1:12">
      <c r="A284" s="412"/>
      <c r="B284" s="412"/>
      <c r="C284" s="412"/>
      <c r="D284" s="412"/>
      <c r="E284" s="345"/>
      <c r="F284" s="346"/>
      <c r="G284" s="412"/>
      <c r="H284" s="350"/>
      <c r="I284" s="346"/>
      <c r="J284" s="410"/>
      <c r="K284" s="410"/>
      <c r="L284" s="410"/>
    </row>
    <row r="285" spans="1:12">
      <c r="A285" s="412"/>
      <c r="B285" s="412"/>
      <c r="C285" s="412"/>
      <c r="D285" s="412"/>
      <c r="E285" s="345"/>
      <c r="F285" s="346"/>
      <c r="G285" s="412"/>
      <c r="H285" s="350"/>
      <c r="I285" s="346"/>
      <c r="J285" s="410"/>
      <c r="K285" s="410"/>
      <c r="L285" s="410"/>
    </row>
    <row r="286" spans="1:12">
      <c r="A286" s="412"/>
      <c r="B286" s="412"/>
      <c r="C286" s="412"/>
      <c r="D286" s="412"/>
      <c r="E286" s="345"/>
      <c r="F286" s="346"/>
      <c r="G286" s="412"/>
      <c r="H286" s="350"/>
      <c r="I286" s="346"/>
      <c r="J286" s="410"/>
      <c r="K286" s="410"/>
      <c r="L286" s="410"/>
    </row>
    <row r="287" spans="1:12">
      <c r="A287" s="412"/>
      <c r="B287" s="412"/>
      <c r="C287" s="412"/>
      <c r="D287" s="412"/>
      <c r="E287" s="345"/>
      <c r="F287" s="346"/>
      <c r="G287" s="412"/>
      <c r="H287" s="350"/>
      <c r="I287" s="346"/>
      <c r="J287" s="410"/>
      <c r="K287" s="410"/>
      <c r="L287" s="410"/>
    </row>
    <row r="288" spans="1:12">
      <c r="A288" s="412"/>
      <c r="B288" s="412"/>
      <c r="C288" s="412"/>
      <c r="D288" s="412"/>
      <c r="E288" s="345"/>
      <c r="F288" s="346"/>
      <c r="G288" s="412"/>
      <c r="H288" s="350"/>
      <c r="I288" s="346"/>
      <c r="J288" s="410"/>
      <c r="K288" s="410"/>
      <c r="L288" s="410"/>
    </row>
    <row r="289" spans="1:12">
      <c r="A289" s="412"/>
      <c r="B289" s="412"/>
      <c r="C289" s="412"/>
      <c r="D289" s="412"/>
      <c r="E289" s="345"/>
      <c r="F289" s="346"/>
      <c r="G289" s="412"/>
      <c r="H289" s="350"/>
      <c r="I289" s="346"/>
      <c r="J289" s="410"/>
      <c r="K289" s="410"/>
      <c r="L289" s="410"/>
    </row>
    <row r="290" spans="1:12">
      <c r="A290" s="412"/>
      <c r="B290" s="412"/>
      <c r="C290" s="412"/>
      <c r="D290" s="412"/>
      <c r="E290" s="345"/>
      <c r="F290" s="346"/>
      <c r="G290" s="412"/>
      <c r="H290" s="350"/>
      <c r="I290" s="346"/>
      <c r="J290" s="410"/>
      <c r="K290" s="410"/>
      <c r="L290" s="410"/>
    </row>
    <row r="291" spans="1:12">
      <c r="A291" s="412"/>
      <c r="B291" s="412"/>
      <c r="C291" s="412"/>
      <c r="D291" s="412"/>
      <c r="E291" s="345"/>
      <c r="F291" s="346"/>
      <c r="G291" s="412"/>
      <c r="H291" s="350"/>
      <c r="I291" s="346"/>
      <c r="J291" s="410"/>
      <c r="K291" s="410"/>
      <c r="L291" s="410"/>
    </row>
    <row r="292" spans="1:12">
      <c r="A292" s="412"/>
      <c r="B292" s="412"/>
      <c r="C292" s="412"/>
      <c r="D292" s="412"/>
      <c r="E292" s="345"/>
      <c r="F292" s="346"/>
      <c r="G292" s="412"/>
      <c r="H292" s="350"/>
      <c r="I292" s="346"/>
      <c r="J292" s="410"/>
      <c r="K292" s="410"/>
      <c r="L292" s="410"/>
    </row>
    <row r="293" spans="1:12">
      <c r="A293" s="412"/>
      <c r="B293" s="412"/>
      <c r="C293" s="412"/>
      <c r="D293" s="412"/>
      <c r="E293" s="345"/>
      <c r="F293" s="346"/>
      <c r="G293" s="412"/>
      <c r="H293" s="350"/>
      <c r="I293" s="346"/>
      <c r="J293" s="410"/>
      <c r="K293" s="410"/>
      <c r="L293" s="410"/>
    </row>
    <row r="294" spans="1:12">
      <c r="A294" s="412"/>
      <c r="B294" s="412"/>
      <c r="C294" s="412"/>
      <c r="D294" s="412"/>
      <c r="E294" s="345"/>
      <c r="F294" s="346"/>
      <c r="G294" s="412"/>
      <c r="H294" s="350"/>
      <c r="I294" s="346"/>
      <c r="J294" s="410"/>
      <c r="K294" s="410"/>
      <c r="L294" s="410"/>
    </row>
    <row r="295" spans="1:12">
      <c r="A295" s="412"/>
      <c r="B295" s="412"/>
      <c r="C295" s="412"/>
      <c r="D295" s="412"/>
      <c r="E295" s="345"/>
      <c r="F295" s="346"/>
      <c r="G295" s="412"/>
      <c r="H295" s="350"/>
      <c r="I295" s="346"/>
      <c r="J295" s="410"/>
      <c r="K295" s="410"/>
      <c r="L295" s="410"/>
    </row>
    <row r="296" spans="1:12">
      <c r="A296" s="412"/>
      <c r="B296" s="412"/>
      <c r="C296" s="412"/>
      <c r="D296" s="412"/>
      <c r="E296" s="345"/>
      <c r="F296" s="346"/>
      <c r="G296" s="412"/>
      <c r="H296" s="350"/>
      <c r="I296" s="346"/>
      <c r="J296" s="410"/>
      <c r="K296" s="410"/>
      <c r="L296" s="410"/>
    </row>
    <row r="297" spans="1:12">
      <c r="A297" s="412"/>
      <c r="B297" s="412"/>
      <c r="C297" s="412"/>
      <c r="D297" s="412"/>
      <c r="E297" s="345"/>
      <c r="F297" s="346"/>
      <c r="G297" s="412"/>
      <c r="H297" s="350"/>
      <c r="I297" s="346"/>
      <c r="J297" s="410"/>
      <c r="K297" s="410"/>
      <c r="L297" s="410"/>
    </row>
    <row r="298" spans="1:12">
      <c r="A298" s="412"/>
      <c r="B298" s="412"/>
      <c r="C298" s="412"/>
      <c r="D298" s="412"/>
      <c r="E298" s="345"/>
      <c r="F298" s="346"/>
      <c r="G298" s="412"/>
      <c r="H298" s="350"/>
      <c r="I298" s="346"/>
      <c r="J298" s="410"/>
      <c r="K298" s="410"/>
      <c r="L298" s="410"/>
    </row>
    <row r="299" spans="1:12">
      <c r="A299" s="412"/>
      <c r="B299" s="412"/>
      <c r="C299" s="412"/>
      <c r="D299" s="412"/>
      <c r="E299" s="345"/>
      <c r="F299" s="346"/>
      <c r="G299" s="412"/>
      <c r="H299" s="350"/>
      <c r="I299" s="346"/>
      <c r="J299" s="410"/>
      <c r="K299" s="410"/>
      <c r="L299" s="410"/>
    </row>
    <row r="300" spans="1:12">
      <c r="A300" s="412"/>
      <c r="B300" s="412"/>
      <c r="C300" s="412"/>
      <c r="D300" s="412"/>
      <c r="E300" s="345"/>
      <c r="F300" s="346"/>
      <c r="G300" s="412"/>
      <c r="H300" s="350"/>
      <c r="I300" s="346"/>
      <c r="J300" s="410"/>
      <c r="K300" s="410"/>
      <c r="L300" s="410"/>
    </row>
    <row r="301" spans="1:12">
      <c r="A301" s="412"/>
      <c r="B301" s="412"/>
      <c r="C301" s="412"/>
      <c r="D301" s="412"/>
      <c r="E301" s="345"/>
      <c r="F301" s="346"/>
      <c r="G301" s="412"/>
      <c r="H301" s="350"/>
      <c r="I301" s="346"/>
      <c r="J301" s="410"/>
      <c r="K301" s="410"/>
      <c r="L301" s="410"/>
    </row>
    <row r="302" spans="1:12">
      <c r="A302" s="412"/>
      <c r="B302" s="412"/>
      <c r="C302" s="412"/>
      <c r="D302" s="412"/>
      <c r="E302" s="345"/>
      <c r="F302" s="346"/>
      <c r="G302" s="412"/>
      <c r="H302" s="350"/>
      <c r="I302" s="346"/>
      <c r="J302" s="410"/>
      <c r="K302" s="410"/>
      <c r="L302" s="410"/>
    </row>
    <row r="303" spans="1:12">
      <c r="A303" s="412"/>
      <c r="B303" s="412"/>
      <c r="C303" s="412"/>
      <c r="D303" s="412"/>
      <c r="E303" s="345"/>
      <c r="F303" s="346"/>
      <c r="G303" s="412"/>
      <c r="H303" s="350"/>
      <c r="I303" s="346"/>
      <c r="J303" s="410"/>
      <c r="K303" s="410"/>
      <c r="L303" s="410"/>
    </row>
    <row r="304" spans="1:12">
      <c r="A304" s="412"/>
      <c r="B304" s="412"/>
      <c r="C304" s="412"/>
      <c r="D304" s="412"/>
      <c r="E304" s="345"/>
      <c r="F304" s="346"/>
      <c r="G304" s="412"/>
      <c r="H304" s="350"/>
      <c r="I304" s="346"/>
      <c r="J304" s="410"/>
      <c r="K304" s="410"/>
      <c r="L304" s="410"/>
    </row>
    <row r="305" spans="1:12">
      <c r="A305" s="412"/>
      <c r="B305" s="412"/>
      <c r="C305" s="412"/>
      <c r="D305" s="412"/>
      <c r="E305" s="345"/>
      <c r="F305" s="346"/>
      <c r="G305" s="412"/>
      <c r="H305" s="350"/>
      <c r="I305" s="346"/>
      <c r="J305" s="410"/>
      <c r="K305" s="410"/>
      <c r="L305" s="410"/>
    </row>
    <row r="306" spans="1:12">
      <c r="A306" s="412"/>
      <c r="B306" s="412"/>
      <c r="C306" s="412"/>
      <c r="D306" s="412"/>
      <c r="E306" s="345"/>
      <c r="F306" s="346"/>
      <c r="G306" s="412"/>
      <c r="H306" s="350"/>
      <c r="I306" s="346"/>
      <c r="J306" s="410"/>
      <c r="K306" s="410"/>
      <c r="L306" s="410"/>
    </row>
    <row r="307" spans="1:12">
      <c r="A307" s="412"/>
      <c r="B307" s="412"/>
      <c r="C307" s="412"/>
      <c r="D307" s="412"/>
      <c r="E307" s="345"/>
      <c r="F307" s="346"/>
      <c r="G307" s="412"/>
      <c r="H307" s="350"/>
      <c r="I307" s="346"/>
      <c r="J307" s="410"/>
      <c r="K307" s="410"/>
      <c r="L307" s="410"/>
    </row>
    <row r="308" spans="1:12">
      <c r="A308" s="412"/>
      <c r="B308" s="412"/>
      <c r="C308" s="412"/>
      <c r="D308" s="412"/>
      <c r="E308" s="345"/>
      <c r="F308" s="346"/>
      <c r="G308" s="412"/>
      <c r="H308" s="350"/>
      <c r="I308" s="346"/>
      <c r="J308" s="410"/>
      <c r="K308" s="410"/>
      <c r="L308" s="410"/>
    </row>
    <row r="309" spans="1:12">
      <c r="A309" s="412"/>
      <c r="B309" s="412"/>
      <c r="C309" s="412"/>
      <c r="D309" s="412"/>
      <c r="E309" s="345"/>
      <c r="F309" s="346"/>
      <c r="G309" s="412"/>
      <c r="H309" s="350"/>
      <c r="I309" s="346"/>
      <c r="J309" s="410"/>
      <c r="K309" s="410"/>
      <c r="L309" s="410"/>
    </row>
    <row r="310" spans="1:12">
      <c r="A310" s="412"/>
      <c r="B310" s="412"/>
      <c r="C310" s="412"/>
      <c r="D310" s="412"/>
      <c r="E310" s="345"/>
      <c r="F310" s="346"/>
      <c r="G310" s="412"/>
      <c r="H310" s="350"/>
      <c r="I310" s="346"/>
      <c r="J310" s="410"/>
      <c r="K310" s="410"/>
      <c r="L310" s="410"/>
    </row>
    <row r="311" spans="1:12">
      <c r="A311" s="412"/>
      <c r="B311" s="412"/>
      <c r="C311" s="412"/>
      <c r="D311" s="412"/>
      <c r="E311" s="345"/>
      <c r="F311" s="346"/>
      <c r="G311" s="412"/>
      <c r="H311" s="350"/>
      <c r="I311" s="346"/>
      <c r="J311" s="410"/>
      <c r="K311" s="410"/>
      <c r="L311" s="410"/>
    </row>
    <row r="312" spans="1:12">
      <c r="A312" s="412"/>
      <c r="B312" s="412"/>
      <c r="C312" s="412"/>
      <c r="D312" s="412"/>
      <c r="E312" s="345"/>
      <c r="F312" s="346"/>
      <c r="G312" s="412"/>
      <c r="H312" s="350"/>
      <c r="I312" s="346"/>
      <c r="J312" s="410"/>
      <c r="K312" s="410"/>
      <c r="L312" s="410"/>
    </row>
    <row r="313" spans="1:12">
      <c r="A313" s="412"/>
      <c r="B313" s="412"/>
      <c r="C313" s="412"/>
      <c r="D313" s="412"/>
      <c r="E313" s="345"/>
      <c r="F313" s="346"/>
      <c r="G313" s="412"/>
      <c r="H313" s="350"/>
      <c r="I313" s="346"/>
      <c r="J313" s="410"/>
      <c r="K313" s="410"/>
      <c r="L313" s="410"/>
    </row>
    <row r="314" spans="1:12">
      <c r="A314" s="412"/>
      <c r="B314" s="412"/>
      <c r="C314" s="412"/>
      <c r="D314" s="412"/>
      <c r="E314" s="345"/>
      <c r="F314" s="346"/>
      <c r="G314" s="412"/>
      <c r="H314" s="350"/>
      <c r="I314" s="346"/>
      <c r="J314" s="410"/>
      <c r="K314" s="410"/>
      <c r="L314" s="410"/>
    </row>
    <row r="315" spans="1:12">
      <c r="A315" s="412"/>
      <c r="B315" s="412"/>
      <c r="C315" s="412"/>
      <c r="D315" s="412"/>
      <c r="E315" s="345"/>
      <c r="F315" s="346"/>
      <c r="G315" s="412"/>
      <c r="H315" s="350"/>
      <c r="I315" s="346"/>
      <c r="J315" s="410"/>
      <c r="K315" s="410"/>
      <c r="L315" s="410"/>
    </row>
    <row r="316" spans="1:12">
      <c r="A316" s="412"/>
      <c r="B316" s="412"/>
      <c r="C316" s="412"/>
      <c r="D316" s="412"/>
      <c r="E316" s="345"/>
      <c r="F316" s="346"/>
      <c r="G316" s="412"/>
      <c r="H316" s="350"/>
      <c r="I316" s="346"/>
      <c r="J316" s="410"/>
      <c r="K316" s="410"/>
      <c r="L316" s="410"/>
    </row>
    <row r="317" spans="1:12">
      <c r="A317" s="412"/>
      <c r="B317" s="412"/>
      <c r="C317" s="412"/>
      <c r="D317" s="412"/>
      <c r="E317" s="345"/>
      <c r="F317" s="346"/>
      <c r="G317" s="412"/>
      <c r="H317" s="350"/>
      <c r="I317" s="346"/>
      <c r="J317" s="410"/>
      <c r="K317" s="410"/>
      <c r="L317" s="410"/>
    </row>
    <row r="318" spans="1:12">
      <c r="A318" s="412"/>
      <c r="B318" s="412"/>
      <c r="C318" s="412"/>
      <c r="D318" s="412"/>
      <c r="E318" s="345"/>
      <c r="F318" s="346"/>
      <c r="G318" s="412"/>
      <c r="H318" s="350"/>
      <c r="I318" s="346"/>
      <c r="J318" s="410"/>
      <c r="K318" s="410"/>
      <c r="L318" s="410"/>
    </row>
    <row r="319" spans="1:12">
      <c r="A319" s="412"/>
      <c r="B319" s="412"/>
      <c r="C319" s="412"/>
      <c r="D319" s="412"/>
      <c r="E319" s="345"/>
      <c r="F319" s="346"/>
      <c r="G319" s="412"/>
      <c r="H319" s="350"/>
      <c r="I319" s="346"/>
      <c r="J319" s="410"/>
      <c r="K319" s="410"/>
      <c r="L319" s="410"/>
    </row>
    <row r="320" spans="1:12">
      <c r="A320" s="412"/>
      <c r="B320" s="412"/>
      <c r="C320" s="412"/>
      <c r="D320" s="412"/>
      <c r="E320" s="345"/>
      <c r="F320" s="346"/>
      <c r="G320" s="412"/>
      <c r="H320" s="350"/>
      <c r="I320" s="346"/>
      <c r="J320" s="410"/>
      <c r="K320" s="410"/>
      <c r="L320" s="410"/>
    </row>
    <row r="321" spans="1:12">
      <c r="A321" s="412"/>
      <c r="B321" s="412"/>
      <c r="C321" s="412"/>
      <c r="D321" s="412"/>
      <c r="E321" s="345"/>
      <c r="F321" s="346"/>
      <c r="G321" s="412"/>
      <c r="H321" s="350"/>
      <c r="I321" s="346"/>
      <c r="J321" s="410"/>
      <c r="K321" s="410"/>
      <c r="L321" s="410"/>
    </row>
    <row r="322" spans="1:12">
      <c r="A322" s="412"/>
      <c r="B322" s="412"/>
      <c r="C322" s="412"/>
      <c r="D322" s="412"/>
      <c r="E322" s="345"/>
      <c r="F322" s="346"/>
      <c r="G322" s="412"/>
      <c r="H322" s="350"/>
      <c r="I322" s="346"/>
      <c r="J322" s="410"/>
      <c r="K322" s="410"/>
      <c r="L322" s="410"/>
    </row>
    <row r="323" spans="1:12">
      <c r="A323" s="412"/>
      <c r="B323" s="412"/>
      <c r="C323" s="412"/>
      <c r="D323" s="412"/>
      <c r="E323" s="345"/>
      <c r="F323" s="346"/>
      <c r="G323" s="412"/>
      <c r="H323" s="350"/>
      <c r="I323" s="346"/>
      <c r="J323" s="410"/>
      <c r="K323" s="410"/>
      <c r="L323" s="410"/>
    </row>
    <row r="324" spans="1:12">
      <c r="A324" s="412"/>
      <c r="B324" s="412"/>
      <c r="C324" s="412"/>
      <c r="D324" s="412"/>
      <c r="E324" s="345"/>
      <c r="F324" s="346"/>
      <c r="G324" s="412"/>
      <c r="H324" s="350"/>
      <c r="I324" s="346"/>
      <c r="J324" s="410"/>
      <c r="K324" s="410"/>
      <c r="L324" s="410"/>
    </row>
    <row r="325" spans="1:12">
      <c r="A325" s="412"/>
      <c r="B325" s="412"/>
      <c r="C325" s="412"/>
      <c r="D325" s="412"/>
      <c r="E325" s="345"/>
      <c r="F325" s="346"/>
      <c r="G325" s="412"/>
      <c r="H325" s="350"/>
      <c r="I325" s="346"/>
      <c r="J325" s="410"/>
      <c r="K325" s="410"/>
      <c r="L325" s="410"/>
    </row>
    <row r="326" spans="1:12">
      <c r="A326" s="412"/>
      <c r="B326" s="412"/>
      <c r="C326" s="412"/>
      <c r="D326" s="412"/>
      <c r="E326" s="345"/>
      <c r="F326" s="346"/>
      <c r="G326" s="412"/>
      <c r="H326" s="350"/>
      <c r="I326" s="346"/>
      <c r="J326" s="410"/>
      <c r="K326" s="410"/>
      <c r="L326" s="410"/>
    </row>
    <row r="327" spans="1:12">
      <c r="A327" s="412"/>
      <c r="B327" s="412"/>
      <c r="C327" s="412"/>
      <c r="D327" s="412"/>
      <c r="E327" s="345"/>
      <c r="F327" s="346"/>
      <c r="G327" s="412"/>
      <c r="H327" s="350"/>
      <c r="I327" s="346"/>
      <c r="J327" s="410"/>
      <c r="K327" s="410"/>
      <c r="L327" s="410"/>
    </row>
    <row r="328" spans="1:12">
      <c r="A328" s="412"/>
      <c r="B328" s="412"/>
      <c r="C328" s="412"/>
      <c r="D328" s="412"/>
      <c r="E328" s="345"/>
      <c r="F328" s="346"/>
      <c r="G328" s="412"/>
      <c r="H328" s="350"/>
      <c r="I328" s="346"/>
      <c r="J328" s="410"/>
      <c r="K328" s="410"/>
      <c r="L328" s="410"/>
    </row>
    <row r="329" spans="1:12">
      <c r="A329" s="412"/>
      <c r="B329" s="412"/>
      <c r="C329" s="412"/>
      <c r="D329" s="412"/>
      <c r="E329" s="345"/>
      <c r="F329" s="346"/>
      <c r="G329" s="412"/>
      <c r="H329" s="350"/>
      <c r="I329" s="346"/>
      <c r="J329" s="410"/>
      <c r="K329" s="410"/>
      <c r="L329" s="410"/>
    </row>
    <row r="330" spans="1:12">
      <c r="A330" s="412"/>
      <c r="B330" s="412"/>
      <c r="C330" s="412"/>
      <c r="D330" s="412"/>
      <c r="E330" s="345"/>
      <c r="F330" s="346"/>
      <c r="G330" s="412"/>
      <c r="H330" s="350"/>
      <c r="I330" s="346"/>
      <c r="J330" s="410"/>
      <c r="K330" s="410"/>
      <c r="L330" s="410"/>
    </row>
    <row r="331" spans="1:12">
      <c r="A331" s="412"/>
      <c r="B331" s="412"/>
      <c r="C331" s="412"/>
      <c r="D331" s="412"/>
      <c r="E331" s="345"/>
      <c r="F331" s="346"/>
      <c r="G331" s="412"/>
      <c r="H331" s="350"/>
      <c r="I331" s="346"/>
      <c r="J331" s="410"/>
      <c r="K331" s="410"/>
      <c r="L331" s="410"/>
    </row>
    <row r="332" spans="1:12">
      <c r="A332" s="412"/>
      <c r="B332" s="412"/>
      <c r="C332" s="412"/>
      <c r="D332" s="412"/>
      <c r="E332" s="345"/>
      <c r="F332" s="346"/>
      <c r="G332" s="412"/>
      <c r="H332" s="350"/>
      <c r="I332" s="346"/>
      <c r="J332" s="410"/>
      <c r="K332" s="410"/>
      <c r="L332" s="410"/>
    </row>
    <row r="333" spans="1:12">
      <c r="A333" s="412"/>
      <c r="B333" s="412"/>
      <c r="C333" s="412"/>
      <c r="D333" s="412"/>
      <c r="E333" s="345"/>
      <c r="F333" s="346"/>
      <c r="G333" s="412"/>
      <c r="H333" s="350"/>
      <c r="I333" s="346"/>
      <c r="J333" s="410"/>
      <c r="K333" s="410"/>
      <c r="L333" s="410"/>
    </row>
    <row r="334" spans="1:12">
      <c r="A334" s="412"/>
      <c r="B334" s="412"/>
      <c r="C334" s="412"/>
      <c r="D334" s="412"/>
      <c r="E334" s="345"/>
      <c r="F334" s="346"/>
      <c r="G334" s="412"/>
      <c r="H334" s="350"/>
      <c r="I334" s="346"/>
      <c r="J334" s="410"/>
      <c r="K334" s="410"/>
      <c r="L334" s="410"/>
    </row>
    <row r="335" spans="1:12">
      <c r="A335" s="412"/>
      <c r="B335" s="412"/>
      <c r="C335" s="412"/>
      <c r="D335" s="412"/>
      <c r="E335" s="345"/>
      <c r="F335" s="346"/>
      <c r="G335" s="412"/>
      <c r="H335" s="350"/>
      <c r="I335" s="346"/>
      <c r="J335" s="410"/>
      <c r="K335" s="410"/>
      <c r="L335" s="410"/>
    </row>
    <row r="336" spans="1:12">
      <c r="A336" s="412"/>
      <c r="B336" s="412"/>
      <c r="C336" s="412"/>
      <c r="D336" s="412"/>
      <c r="E336" s="345"/>
      <c r="F336" s="346"/>
      <c r="G336" s="412"/>
      <c r="H336" s="350"/>
      <c r="I336" s="346"/>
      <c r="J336" s="410"/>
      <c r="K336" s="410"/>
      <c r="L336" s="410"/>
    </row>
    <row r="337" spans="1:12">
      <c r="A337" s="412"/>
      <c r="B337" s="412"/>
      <c r="C337" s="412"/>
      <c r="D337" s="412"/>
      <c r="E337" s="345"/>
      <c r="F337" s="346"/>
      <c r="G337" s="412"/>
      <c r="H337" s="350"/>
      <c r="I337" s="346"/>
      <c r="J337" s="410"/>
      <c r="K337" s="410"/>
      <c r="L337" s="410"/>
    </row>
    <row r="338" spans="1:12">
      <c r="A338" s="412"/>
      <c r="B338" s="412"/>
      <c r="C338" s="412"/>
      <c r="D338" s="412"/>
      <c r="E338" s="345"/>
      <c r="F338" s="346"/>
      <c r="G338" s="412"/>
      <c r="H338" s="350"/>
      <c r="I338" s="346"/>
      <c r="J338" s="410"/>
      <c r="K338" s="410"/>
      <c r="L338" s="410"/>
    </row>
    <row r="339" spans="1:12">
      <c r="A339" s="412"/>
      <c r="B339" s="412"/>
      <c r="C339" s="412"/>
      <c r="D339" s="412"/>
      <c r="E339" s="345"/>
      <c r="F339" s="346"/>
      <c r="G339" s="412"/>
      <c r="H339" s="350"/>
      <c r="I339" s="346"/>
      <c r="J339" s="410"/>
      <c r="K339" s="410"/>
      <c r="L339" s="410"/>
    </row>
    <row r="340" spans="1:12">
      <c r="A340" s="412"/>
      <c r="B340" s="412"/>
      <c r="C340" s="412"/>
      <c r="D340" s="412"/>
      <c r="E340" s="345"/>
      <c r="F340" s="346"/>
      <c r="G340" s="412"/>
      <c r="H340" s="350"/>
      <c r="I340" s="346"/>
      <c r="J340" s="410"/>
      <c r="K340" s="410"/>
      <c r="L340" s="410"/>
    </row>
    <row r="341" spans="1:12">
      <c r="A341" s="412"/>
      <c r="B341" s="412"/>
      <c r="C341" s="412"/>
      <c r="D341" s="412"/>
      <c r="E341" s="345"/>
      <c r="F341" s="346"/>
      <c r="G341" s="412"/>
      <c r="H341" s="350"/>
      <c r="I341" s="346"/>
      <c r="J341" s="410"/>
      <c r="K341" s="410"/>
      <c r="L341" s="410"/>
    </row>
    <row r="342" spans="1:12">
      <c r="A342" s="412"/>
      <c r="B342" s="412"/>
      <c r="C342" s="412"/>
      <c r="D342" s="412"/>
      <c r="E342" s="345"/>
      <c r="F342" s="346"/>
      <c r="G342" s="412"/>
      <c r="H342" s="350"/>
      <c r="I342" s="346"/>
      <c r="J342" s="410"/>
      <c r="K342" s="410"/>
      <c r="L342" s="410"/>
    </row>
    <row r="343" spans="1:12">
      <c r="A343" s="412"/>
      <c r="B343" s="412"/>
      <c r="C343" s="412"/>
      <c r="D343" s="412"/>
      <c r="E343" s="345"/>
      <c r="F343" s="346"/>
      <c r="G343" s="412"/>
      <c r="H343" s="350"/>
      <c r="I343" s="346"/>
      <c r="J343" s="410"/>
      <c r="K343" s="410"/>
      <c r="L343" s="410"/>
    </row>
    <row r="344" spans="1:12">
      <c r="A344" s="412"/>
      <c r="B344" s="412"/>
      <c r="C344" s="412"/>
      <c r="D344" s="412"/>
      <c r="E344" s="345"/>
      <c r="F344" s="346"/>
      <c r="G344" s="412"/>
      <c r="H344" s="350"/>
      <c r="I344" s="346"/>
      <c r="J344" s="410"/>
      <c r="K344" s="410"/>
      <c r="L344" s="410"/>
    </row>
    <row r="345" spans="1:12">
      <c r="A345" s="412"/>
      <c r="B345" s="412"/>
      <c r="C345" s="412"/>
      <c r="D345" s="412"/>
      <c r="E345" s="345"/>
      <c r="F345" s="346"/>
      <c r="G345" s="412"/>
      <c r="H345" s="350"/>
      <c r="I345" s="346"/>
      <c r="J345" s="410"/>
      <c r="K345" s="410"/>
      <c r="L345" s="410"/>
    </row>
    <row r="346" spans="1:12">
      <c r="A346" s="412"/>
      <c r="B346" s="412"/>
      <c r="C346" s="412"/>
      <c r="D346" s="412"/>
      <c r="E346" s="345"/>
      <c r="F346" s="346"/>
      <c r="G346" s="412"/>
      <c r="H346" s="350"/>
      <c r="I346" s="346"/>
      <c r="J346" s="410"/>
      <c r="K346" s="410"/>
      <c r="L346" s="410"/>
    </row>
    <row r="347" spans="1:12">
      <c r="A347" s="412"/>
      <c r="B347" s="412"/>
      <c r="C347" s="412"/>
      <c r="D347" s="412"/>
      <c r="E347" s="345"/>
      <c r="F347" s="346"/>
      <c r="G347" s="412"/>
      <c r="H347" s="350"/>
      <c r="I347" s="346"/>
      <c r="J347" s="410"/>
      <c r="K347" s="410"/>
      <c r="L347" s="410"/>
    </row>
    <row r="348" spans="1:12">
      <c r="A348" s="412"/>
      <c r="B348" s="412"/>
      <c r="C348" s="412"/>
      <c r="D348" s="412"/>
      <c r="E348" s="345"/>
      <c r="F348" s="346"/>
      <c r="G348" s="412"/>
      <c r="H348" s="350"/>
      <c r="I348" s="346"/>
      <c r="J348" s="410"/>
      <c r="K348" s="410"/>
      <c r="L348" s="410"/>
    </row>
    <row r="349" spans="1:12">
      <c r="A349" s="412"/>
      <c r="B349" s="412"/>
      <c r="C349" s="412"/>
      <c r="D349" s="412"/>
      <c r="E349" s="345"/>
      <c r="F349" s="346"/>
      <c r="G349" s="412"/>
      <c r="H349" s="350"/>
      <c r="I349" s="346"/>
      <c r="J349" s="410"/>
      <c r="K349" s="410"/>
      <c r="L349" s="410"/>
    </row>
    <row r="350" spans="1:12">
      <c r="A350" s="412"/>
      <c r="B350" s="412"/>
      <c r="C350" s="412"/>
      <c r="D350" s="412"/>
      <c r="E350" s="345"/>
      <c r="F350" s="346"/>
      <c r="G350" s="412"/>
      <c r="H350" s="350"/>
      <c r="I350" s="346"/>
      <c r="J350" s="410"/>
      <c r="K350" s="410"/>
      <c r="L350" s="410"/>
    </row>
    <row r="351" spans="1:12">
      <c r="A351" s="412"/>
      <c r="B351" s="412"/>
      <c r="C351" s="412"/>
      <c r="D351" s="412"/>
      <c r="E351" s="345"/>
      <c r="F351" s="346"/>
      <c r="G351" s="412"/>
      <c r="H351" s="350"/>
      <c r="I351" s="346"/>
      <c r="J351" s="410"/>
      <c r="K351" s="410"/>
      <c r="L351" s="410"/>
    </row>
    <row r="352" spans="1:12">
      <c r="A352" s="412"/>
      <c r="B352" s="412"/>
      <c r="C352" s="412"/>
      <c r="D352" s="412"/>
      <c r="E352" s="345"/>
      <c r="F352" s="346"/>
      <c r="G352" s="412"/>
      <c r="H352" s="350"/>
      <c r="I352" s="346"/>
      <c r="J352" s="410"/>
      <c r="K352" s="410"/>
      <c r="L352" s="410"/>
    </row>
    <row r="353" spans="1:12">
      <c r="A353" s="412"/>
      <c r="B353" s="412"/>
      <c r="C353" s="412"/>
      <c r="D353" s="412"/>
      <c r="E353" s="345"/>
      <c r="F353" s="346"/>
      <c r="G353" s="412"/>
      <c r="H353" s="350"/>
      <c r="I353" s="346"/>
      <c r="J353" s="410"/>
      <c r="K353" s="410"/>
      <c r="L353" s="410"/>
    </row>
    <row r="354" spans="1:12">
      <c r="A354" s="412"/>
      <c r="B354" s="412"/>
      <c r="C354" s="412"/>
      <c r="D354" s="412"/>
      <c r="E354" s="345"/>
      <c r="F354" s="346"/>
      <c r="G354" s="412"/>
      <c r="H354" s="350"/>
      <c r="I354" s="346"/>
      <c r="J354" s="410"/>
      <c r="K354" s="410"/>
      <c r="L354" s="410"/>
    </row>
    <row r="355" spans="1:12">
      <c r="A355" s="412"/>
      <c r="B355" s="412"/>
      <c r="C355" s="412"/>
      <c r="D355" s="412"/>
      <c r="E355" s="345"/>
      <c r="F355" s="346"/>
      <c r="G355" s="412"/>
      <c r="H355" s="350"/>
      <c r="I355" s="346"/>
      <c r="J355" s="410"/>
      <c r="K355" s="410"/>
      <c r="L355" s="410"/>
    </row>
    <row r="356" spans="1:12">
      <c r="A356" s="412"/>
      <c r="B356" s="412"/>
      <c r="C356" s="412"/>
      <c r="D356" s="412"/>
      <c r="E356" s="345"/>
      <c r="F356" s="346"/>
      <c r="G356" s="412"/>
      <c r="H356" s="350"/>
      <c r="I356" s="346"/>
      <c r="J356" s="410"/>
      <c r="K356" s="410"/>
      <c r="L356" s="410"/>
    </row>
    <row r="357" spans="1:12">
      <c r="A357" s="412"/>
      <c r="B357" s="412"/>
      <c r="C357" s="412"/>
      <c r="D357" s="412"/>
      <c r="E357" s="345"/>
      <c r="F357" s="346"/>
      <c r="G357" s="412"/>
      <c r="H357" s="350"/>
      <c r="I357" s="346"/>
      <c r="J357" s="410"/>
      <c r="K357" s="410"/>
      <c r="L357" s="410"/>
    </row>
    <row r="358" spans="1:12">
      <c r="A358" s="412"/>
      <c r="B358" s="412"/>
      <c r="C358" s="412"/>
      <c r="D358" s="412"/>
      <c r="E358" s="345"/>
      <c r="F358" s="346"/>
      <c r="G358" s="412"/>
      <c r="H358" s="350"/>
      <c r="I358" s="346"/>
      <c r="J358" s="410"/>
      <c r="K358" s="410"/>
      <c r="L358" s="410"/>
    </row>
    <row r="359" spans="1:12">
      <c r="A359" s="412"/>
      <c r="B359" s="412"/>
      <c r="C359" s="412"/>
      <c r="D359" s="412"/>
      <c r="E359" s="345"/>
      <c r="F359" s="346"/>
      <c r="G359" s="412"/>
      <c r="H359" s="350"/>
      <c r="I359" s="346"/>
      <c r="J359" s="410"/>
      <c r="K359" s="410"/>
      <c r="L359" s="410"/>
    </row>
    <row r="360" spans="1:12">
      <c r="A360" s="412"/>
      <c r="B360" s="412"/>
      <c r="C360" s="412"/>
      <c r="D360" s="412"/>
      <c r="E360" s="345"/>
      <c r="F360" s="346"/>
      <c r="G360" s="412"/>
      <c r="H360" s="350"/>
      <c r="I360" s="346"/>
      <c r="J360" s="410"/>
      <c r="K360" s="410"/>
      <c r="L360" s="410"/>
    </row>
    <row r="361" spans="1:12">
      <c r="A361" s="412"/>
      <c r="B361" s="412"/>
      <c r="C361" s="412"/>
      <c r="D361" s="412"/>
      <c r="E361" s="345"/>
      <c r="F361" s="346"/>
      <c r="G361" s="412"/>
      <c r="H361" s="350"/>
      <c r="I361" s="346"/>
      <c r="J361" s="410"/>
      <c r="K361" s="410"/>
      <c r="L361" s="410"/>
    </row>
    <row r="362" spans="1:12">
      <c r="A362" s="412"/>
      <c r="B362" s="412"/>
      <c r="C362" s="412"/>
      <c r="D362" s="412"/>
      <c r="E362" s="345"/>
      <c r="F362" s="346"/>
      <c r="G362" s="412"/>
      <c r="H362" s="350"/>
      <c r="I362" s="346"/>
      <c r="J362" s="410"/>
      <c r="K362" s="410"/>
      <c r="L362" s="410"/>
    </row>
    <row r="363" spans="1:12">
      <c r="A363" s="412"/>
      <c r="B363" s="412"/>
      <c r="C363" s="412"/>
      <c r="D363" s="412"/>
      <c r="E363" s="345"/>
      <c r="F363" s="346"/>
      <c r="G363" s="412"/>
      <c r="H363" s="350"/>
      <c r="I363" s="346"/>
      <c r="J363" s="410"/>
      <c r="K363" s="410"/>
      <c r="L363" s="410"/>
    </row>
    <row r="364" spans="1:12">
      <c r="A364" s="412"/>
      <c r="B364" s="412"/>
      <c r="C364" s="412"/>
      <c r="D364" s="412"/>
      <c r="E364" s="345"/>
      <c r="F364" s="346"/>
      <c r="G364" s="412"/>
      <c r="H364" s="350"/>
      <c r="I364" s="346"/>
      <c r="J364" s="410"/>
      <c r="K364" s="410"/>
      <c r="L364" s="410"/>
    </row>
    <row r="365" spans="1:12">
      <c r="A365" s="412"/>
      <c r="B365" s="412"/>
      <c r="C365" s="412"/>
      <c r="D365" s="412"/>
      <c r="E365" s="345"/>
      <c r="F365" s="346"/>
      <c r="G365" s="412"/>
      <c r="H365" s="350"/>
      <c r="I365" s="346"/>
      <c r="J365" s="410"/>
      <c r="K365" s="410"/>
      <c r="L365" s="410"/>
    </row>
    <row r="366" spans="1:12">
      <c r="A366" s="412"/>
      <c r="B366" s="412"/>
      <c r="C366" s="412"/>
      <c r="D366" s="412"/>
      <c r="E366" s="345"/>
      <c r="F366" s="346"/>
      <c r="G366" s="412"/>
      <c r="H366" s="350"/>
      <c r="I366" s="346"/>
      <c r="J366" s="410"/>
      <c r="K366" s="410"/>
      <c r="L366" s="410"/>
    </row>
    <row r="367" spans="1:12">
      <c r="A367" s="412"/>
      <c r="B367" s="412"/>
      <c r="C367" s="412"/>
      <c r="D367" s="412"/>
      <c r="E367" s="345"/>
      <c r="F367" s="346"/>
      <c r="G367" s="412"/>
      <c r="H367" s="350"/>
      <c r="I367" s="346"/>
      <c r="J367" s="410"/>
      <c r="K367" s="410"/>
      <c r="L367" s="410"/>
    </row>
    <row r="368" spans="1:12">
      <c r="A368" s="412"/>
      <c r="B368" s="412"/>
      <c r="C368" s="412"/>
      <c r="D368" s="412"/>
      <c r="E368" s="345"/>
      <c r="F368" s="346"/>
      <c r="G368" s="412"/>
      <c r="H368" s="350"/>
      <c r="I368" s="346"/>
      <c r="J368" s="410"/>
      <c r="K368" s="410"/>
      <c r="L368" s="410"/>
    </row>
    <row r="369" spans="1:12">
      <c r="A369" s="412"/>
      <c r="B369" s="412"/>
      <c r="C369" s="412"/>
      <c r="D369" s="412"/>
      <c r="E369" s="345"/>
      <c r="F369" s="346"/>
      <c r="G369" s="412"/>
      <c r="H369" s="350"/>
      <c r="I369" s="346"/>
      <c r="J369" s="410"/>
      <c r="K369" s="410"/>
      <c r="L369" s="410"/>
    </row>
    <row r="370" spans="1:12">
      <c r="A370" s="412"/>
      <c r="B370" s="412"/>
      <c r="C370" s="412"/>
      <c r="D370" s="412"/>
      <c r="E370" s="345"/>
      <c r="F370" s="346"/>
      <c r="G370" s="412"/>
      <c r="H370" s="350"/>
      <c r="I370" s="346"/>
      <c r="J370" s="410"/>
      <c r="K370" s="410"/>
      <c r="L370" s="410"/>
    </row>
    <row r="371" spans="1:12">
      <c r="A371" s="412"/>
      <c r="B371" s="412"/>
      <c r="C371" s="412"/>
      <c r="D371" s="412"/>
      <c r="E371" s="345"/>
      <c r="F371" s="346"/>
      <c r="G371" s="412"/>
      <c r="H371" s="350"/>
      <c r="I371" s="346"/>
      <c r="J371" s="410"/>
      <c r="K371" s="410"/>
      <c r="L371" s="410"/>
    </row>
    <row r="372" spans="1:12">
      <c r="A372" s="412"/>
      <c r="B372" s="412"/>
      <c r="C372" s="412"/>
      <c r="D372" s="412"/>
      <c r="E372" s="345"/>
      <c r="F372" s="346"/>
      <c r="G372" s="412"/>
      <c r="H372" s="350"/>
      <c r="I372" s="346"/>
      <c r="J372" s="410"/>
      <c r="K372" s="410"/>
      <c r="L372" s="410"/>
    </row>
    <row r="373" spans="1:12">
      <c r="A373" s="412"/>
      <c r="B373" s="412"/>
      <c r="C373" s="412"/>
      <c r="D373" s="412"/>
      <c r="E373" s="345"/>
      <c r="F373" s="346"/>
      <c r="G373" s="412"/>
      <c r="H373" s="350"/>
      <c r="I373" s="346"/>
      <c r="J373" s="410"/>
      <c r="K373" s="410"/>
      <c r="L373" s="410"/>
    </row>
    <row r="374" spans="1:12">
      <c r="A374" s="412"/>
      <c r="B374" s="412"/>
      <c r="C374" s="412"/>
      <c r="D374" s="412"/>
      <c r="E374" s="345"/>
      <c r="F374" s="346"/>
      <c r="G374" s="412"/>
      <c r="H374" s="350"/>
      <c r="I374" s="346"/>
      <c r="J374" s="410"/>
      <c r="K374" s="410"/>
      <c r="L374" s="410"/>
    </row>
    <row r="375" spans="1:12">
      <c r="A375" s="412"/>
      <c r="B375" s="412"/>
      <c r="C375" s="412"/>
      <c r="D375" s="412"/>
      <c r="E375" s="345"/>
      <c r="F375" s="346"/>
      <c r="G375" s="412"/>
      <c r="H375" s="350"/>
      <c r="I375" s="346"/>
      <c r="J375" s="410"/>
      <c r="K375" s="410"/>
      <c r="L375" s="410"/>
    </row>
    <row r="376" spans="1:12">
      <c r="A376" s="412"/>
      <c r="B376" s="412"/>
      <c r="C376" s="412"/>
      <c r="D376" s="412"/>
      <c r="E376" s="345"/>
      <c r="F376" s="346"/>
      <c r="G376" s="412"/>
      <c r="H376" s="350"/>
      <c r="I376" s="346"/>
      <c r="J376" s="410"/>
      <c r="K376" s="410"/>
      <c r="L376" s="410"/>
    </row>
    <row r="377" spans="1:12">
      <c r="A377" s="412"/>
      <c r="B377" s="412"/>
      <c r="C377" s="412"/>
      <c r="D377" s="412"/>
      <c r="E377" s="345"/>
      <c r="F377" s="346"/>
      <c r="G377" s="412"/>
      <c r="H377" s="350"/>
      <c r="I377" s="346"/>
      <c r="J377" s="410"/>
      <c r="K377" s="410"/>
      <c r="L377" s="410"/>
    </row>
    <row r="378" spans="1:12">
      <c r="A378" s="412"/>
      <c r="B378" s="412"/>
      <c r="C378" s="412"/>
      <c r="D378" s="412"/>
      <c r="E378" s="345"/>
      <c r="F378" s="346"/>
      <c r="G378" s="412"/>
      <c r="H378" s="350"/>
      <c r="I378" s="346"/>
      <c r="J378" s="410"/>
      <c r="K378" s="410"/>
      <c r="L378" s="410"/>
    </row>
    <row r="379" spans="1:12">
      <c r="A379" s="412"/>
      <c r="B379" s="412"/>
      <c r="C379" s="412"/>
      <c r="D379" s="412"/>
      <c r="E379" s="345"/>
      <c r="F379" s="346"/>
      <c r="G379" s="412"/>
      <c r="H379" s="350"/>
      <c r="I379" s="346"/>
      <c r="J379" s="410"/>
      <c r="K379" s="410"/>
      <c r="L379" s="410"/>
    </row>
    <row r="380" spans="1:12">
      <c r="A380" s="412"/>
      <c r="B380" s="412"/>
      <c r="C380" s="412"/>
      <c r="D380" s="412"/>
      <c r="E380" s="345"/>
      <c r="F380" s="346"/>
      <c r="G380" s="412"/>
      <c r="H380" s="350"/>
      <c r="I380" s="346"/>
      <c r="J380" s="410"/>
      <c r="K380" s="410"/>
      <c r="L380" s="410"/>
    </row>
    <row r="381" spans="1:12">
      <c r="A381" s="412"/>
      <c r="B381" s="412"/>
      <c r="C381" s="412"/>
      <c r="D381" s="412"/>
      <c r="E381" s="345"/>
      <c r="F381" s="346"/>
      <c r="G381" s="412"/>
      <c r="H381" s="350"/>
      <c r="I381" s="346"/>
      <c r="J381" s="410"/>
      <c r="K381" s="410"/>
      <c r="L381" s="410"/>
    </row>
    <row r="382" spans="1:12">
      <c r="A382" s="412"/>
      <c r="B382" s="412"/>
      <c r="C382" s="412"/>
      <c r="D382" s="412"/>
      <c r="E382" s="345"/>
      <c r="F382" s="346"/>
      <c r="G382" s="412"/>
      <c r="H382" s="350"/>
      <c r="I382" s="346"/>
      <c r="J382" s="410"/>
      <c r="K382" s="410"/>
      <c r="L382" s="410"/>
    </row>
    <row r="383" spans="1:12">
      <c r="A383" s="412"/>
      <c r="B383" s="412"/>
      <c r="C383" s="412"/>
      <c r="D383" s="412"/>
      <c r="E383" s="345"/>
      <c r="F383" s="346"/>
      <c r="G383" s="412"/>
      <c r="H383" s="350"/>
      <c r="I383" s="346"/>
      <c r="J383" s="410"/>
      <c r="K383" s="410"/>
      <c r="L383" s="410"/>
    </row>
    <row r="384" spans="1:12">
      <c r="A384" s="412"/>
      <c r="B384" s="412"/>
      <c r="C384" s="412"/>
      <c r="D384" s="412"/>
      <c r="E384" s="345"/>
      <c r="F384" s="346"/>
      <c r="G384" s="412"/>
      <c r="H384" s="350"/>
      <c r="I384" s="346"/>
      <c r="J384" s="410"/>
      <c r="K384" s="410"/>
      <c r="L384" s="410"/>
    </row>
    <row r="385" spans="1:12">
      <c r="A385" s="412"/>
      <c r="B385" s="412"/>
      <c r="C385" s="412"/>
      <c r="D385" s="412"/>
      <c r="E385" s="345"/>
      <c r="F385" s="346"/>
      <c r="G385" s="412"/>
      <c r="H385" s="350"/>
      <c r="I385" s="346"/>
      <c r="J385" s="410"/>
      <c r="K385" s="410"/>
      <c r="L385" s="410"/>
    </row>
    <row r="386" spans="1:12">
      <c r="A386" s="412"/>
      <c r="B386" s="412"/>
      <c r="C386" s="412"/>
      <c r="D386" s="412"/>
      <c r="E386" s="345"/>
      <c r="F386" s="346"/>
      <c r="G386" s="412"/>
      <c r="H386" s="350"/>
      <c r="I386" s="346"/>
      <c r="J386" s="410"/>
      <c r="K386" s="410"/>
      <c r="L386" s="410"/>
    </row>
    <row r="387" spans="1:12">
      <c r="A387" s="412"/>
      <c r="B387" s="412"/>
      <c r="C387" s="412"/>
      <c r="D387" s="412"/>
      <c r="E387" s="345"/>
      <c r="F387" s="346"/>
      <c r="G387" s="412"/>
      <c r="H387" s="350"/>
      <c r="I387" s="346"/>
      <c r="J387" s="410"/>
      <c r="K387" s="410"/>
      <c r="L387" s="410"/>
    </row>
    <row r="388" spans="1:12">
      <c r="A388" s="412"/>
      <c r="B388" s="412"/>
      <c r="C388" s="412"/>
      <c r="D388" s="412"/>
      <c r="E388" s="345"/>
      <c r="F388" s="346"/>
      <c r="G388" s="412"/>
      <c r="H388" s="350"/>
      <c r="I388" s="346"/>
      <c r="J388" s="410"/>
      <c r="K388" s="410"/>
      <c r="L388" s="410"/>
    </row>
    <row r="389" spans="1:12">
      <c r="A389" s="412"/>
      <c r="B389" s="412"/>
      <c r="C389" s="412"/>
      <c r="D389" s="412"/>
      <c r="E389" s="345"/>
      <c r="F389" s="346"/>
      <c r="G389" s="412"/>
      <c r="H389" s="350"/>
      <c r="I389" s="346"/>
      <c r="J389" s="410"/>
      <c r="K389" s="410"/>
      <c r="L389" s="410"/>
    </row>
    <row r="390" spans="1:12">
      <c r="A390" s="412"/>
      <c r="B390" s="412"/>
      <c r="C390" s="412"/>
      <c r="D390" s="412"/>
      <c r="E390" s="345"/>
      <c r="F390" s="346"/>
      <c r="G390" s="412"/>
      <c r="H390" s="350"/>
      <c r="I390" s="346"/>
      <c r="J390" s="410"/>
      <c r="K390" s="410"/>
      <c r="L390" s="410"/>
    </row>
    <row r="391" spans="1:12">
      <c r="A391" s="412"/>
      <c r="B391" s="412"/>
      <c r="C391" s="412"/>
      <c r="D391" s="412"/>
      <c r="E391" s="345"/>
      <c r="F391" s="346"/>
      <c r="G391" s="412"/>
      <c r="H391" s="350"/>
      <c r="I391" s="346"/>
      <c r="J391" s="410"/>
      <c r="K391" s="410"/>
      <c r="L391" s="410"/>
    </row>
    <row r="392" spans="1:12">
      <c r="A392" s="412"/>
      <c r="B392" s="412"/>
      <c r="C392" s="412"/>
      <c r="D392" s="412"/>
      <c r="E392" s="345"/>
      <c r="F392" s="346"/>
      <c r="G392" s="412"/>
      <c r="H392" s="350"/>
      <c r="I392" s="346"/>
      <c r="J392" s="410"/>
      <c r="K392" s="410"/>
      <c r="L392" s="410"/>
    </row>
    <row r="393" spans="1:12">
      <c r="A393" s="412"/>
      <c r="B393" s="412"/>
      <c r="C393" s="412"/>
      <c r="D393" s="412"/>
      <c r="E393" s="345"/>
      <c r="F393" s="346"/>
      <c r="G393" s="412"/>
      <c r="H393" s="350"/>
      <c r="I393" s="346"/>
      <c r="J393" s="410"/>
      <c r="K393" s="410"/>
      <c r="L393" s="410"/>
    </row>
    <row r="394" spans="1:12">
      <c r="A394" s="412"/>
      <c r="B394" s="412"/>
      <c r="C394" s="412"/>
      <c r="D394" s="412"/>
      <c r="E394" s="345"/>
      <c r="F394" s="346"/>
      <c r="G394" s="412"/>
      <c r="H394" s="350"/>
      <c r="I394" s="346"/>
      <c r="J394" s="410"/>
      <c r="K394" s="410"/>
      <c r="L394" s="410"/>
    </row>
    <row r="395" spans="1:12">
      <c r="A395" s="412"/>
      <c r="B395" s="412"/>
      <c r="C395" s="412"/>
      <c r="D395" s="412"/>
      <c r="E395" s="345"/>
      <c r="F395" s="346"/>
      <c r="G395" s="412"/>
      <c r="H395" s="350"/>
      <c r="I395" s="346"/>
      <c r="J395" s="410"/>
      <c r="K395" s="410"/>
      <c r="L395" s="410"/>
    </row>
    <row r="396" spans="1:12">
      <c r="A396" s="412"/>
      <c r="B396" s="412"/>
      <c r="C396" s="412"/>
      <c r="D396" s="412"/>
      <c r="E396" s="345"/>
      <c r="F396" s="346"/>
      <c r="G396" s="412"/>
      <c r="H396" s="350"/>
      <c r="I396" s="346"/>
      <c r="J396" s="410"/>
      <c r="K396" s="410"/>
      <c r="L396" s="410"/>
    </row>
    <row r="397" spans="1:12">
      <c r="A397" s="412"/>
      <c r="B397" s="412"/>
      <c r="C397" s="412"/>
      <c r="D397" s="412"/>
      <c r="E397" s="345"/>
      <c r="F397" s="346"/>
      <c r="G397" s="412"/>
      <c r="H397" s="350"/>
      <c r="I397" s="346"/>
      <c r="J397" s="410"/>
      <c r="K397" s="410"/>
      <c r="L397" s="410"/>
    </row>
    <row r="398" spans="1:12">
      <c r="A398" s="412"/>
      <c r="B398" s="412"/>
      <c r="C398" s="412"/>
      <c r="D398" s="412"/>
      <c r="E398" s="345"/>
      <c r="F398" s="346"/>
      <c r="G398" s="412"/>
      <c r="H398" s="350"/>
      <c r="I398" s="346"/>
      <c r="J398" s="410"/>
      <c r="K398" s="410"/>
      <c r="L398" s="410"/>
    </row>
    <row r="399" spans="1:12">
      <c r="A399" s="412"/>
      <c r="B399" s="412"/>
      <c r="C399" s="412"/>
      <c r="D399" s="412"/>
      <c r="E399" s="345"/>
      <c r="F399" s="346"/>
      <c r="G399" s="412"/>
      <c r="H399" s="350"/>
      <c r="I399" s="346"/>
      <c r="J399" s="410"/>
      <c r="K399" s="410"/>
      <c r="L399" s="410"/>
    </row>
    <row r="400" spans="1:12">
      <c r="A400" s="412"/>
      <c r="B400" s="412"/>
      <c r="C400" s="412"/>
      <c r="D400" s="412"/>
      <c r="E400" s="345"/>
      <c r="F400" s="346"/>
      <c r="G400" s="412"/>
      <c r="H400" s="350"/>
      <c r="I400" s="346"/>
      <c r="J400" s="410"/>
      <c r="K400" s="410"/>
      <c r="L400" s="410"/>
    </row>
    <row r="401" spans="1:12">
      <c r="A401" s="412"/>
      <c r="B401" s="412"/>
      <c r="C401" s="412"/>
      <c r="D401" s="412"/>
      <c r="E401" s="345"/>
      <c r="F401" s="346"/>
      <c r="G401" s="412"/>
      <c r="H401" s="350"/>
      <c r="I401" s="346"/>
      <c r="J401" s="410"/>
      <c r="K401" s="410"/>
      <c r="L401" s="410"/>
    </row>
    <row r="402" spans="1:12">
      <c r="A402" s="412"/>
      <c r="B402" s="412"/>
      <c r="C402" s="412"/>
      <c r="D402" s="412"/>
      <c r="E402" s="345"/>
      <c r="F402" s="346"/>
      <c r="G402" s="412"/>
      <c r="H402" s="350"/>
      <c r="I402" s="346"/>
      <c r="J402" s="410"/>
      <c r="K402" s="410"/>
      <c r="L402" s="410"/>
    </row>
    <row r="403" spans="1:12">
      <c r="A403" s="412"/>
      <c r="B403" s="412"/>
      <c r="C403" s="412"/>
      <c r="D403" s="412"/>
      <c r="E403" s="345"/>
      <c r="F403" s="346"/>
      <c r="G403" s="412"/>
      <c r="H403" s="350"/>
      <c r="I403" s="346"/>
      <c r="J403" s="410"/>
      <c r="K403" s="410"/>
      <c r="L403" s="410"/>
    </row>
    <row r="404" spans="1:12">
      <c r="A404" s="412"/>
      <c r="B404" s="412"/>
      <c r="C404" s="412"/>
      <c r="D404" s="412"/>
      <c r="E404" s="345"/>
      <c r="F404" s="346"/>
      <c r="G404" s="412"/>
      <c r="H404" s="350"/>
      <c r="I404" s="346"/>
      <c r="J404" s="410"/>
      <c r="K404" s="410"/>
      <c r="L404" s="410"/>
    </row>
    <row r="405" spans="1:12">
      <c r="A405" s="412"/>
      <c r="B405" s="412"/>
      <c r="C405" s="412"/>
      <c r="D405" s="412"/>
      <c r="E405" s="345"/>
      <c r="F405" s="346"/>
      <c r="G405" s="412"/>
      <c r="H405" s="350"/>
      <c r="I405" s="346"/>
      <c r="J405" s="410"/>
      <c r="K405" s="410"/>
      <c r="L405" s="410"/>
    </row>
    <row r="406" spans="1:12">
      <c r="A406" s="412"/>
      <c r="B406" s="412"/>
      <c r="C406" s="412"/>
      <c r="D406" s="412"/>
      <c r="E406" s="345"/>
      <c r="F406" s="346"/>
      <c r="G406" s="412"/>
      <c r="H406" s="350"/>
      <c r="I406" s="346"/>
      <c r="J406" s="410"/>
      <c r="K406" s="410"/>
      <c r="L406" s="410"/>
    </row>
    <row r="407" spans="1:12">
      <c r="A407" s="412"/>
      <c r="B407" s="412"/>
      <c r="C407" s="412"/>
      <c r="D407" s="412"/>
      <c r="E407" s="345"/>
      <c r="F407" s="346"/>
      <c r="G407" s="412"/>
      <c r="H407" s="350"/>
      <c r="I407" s="346"/>
      <c r="J407" s="410"/>
      <c r="K407" s="410"/>
      <c r="L407" s="410"/>
    </row>
    <row r="408" spans="1:12">
      <c r="A408" s="412"/>
      <c r="B408" s="412"/>
      <c r="C408" s="412"/>
      <c r="D408" s="412"/>
      <c r="E408" s="345"/>
      <c r="F408" s="346"/>
      <c r="G408" s="412"/>
      <c r="H408" s="350"/>
      <c r="I408" s="346"/>
      <c r="J408" s="410"/>
      <c r="K408" s="410"/>
      <c r="L408" s="410"/>
    </row>
    <row r="409" spans="1:12">
      <c r="A409" s="412"/>
      <c r="B409" s="412"/>
      <c r="C409" s="412"/>
      <c r="D409" s="412"/>
      <c r="E409" s="345"/>
      <c r="F409" s="346"/>
      <c r="G409" s="412"/>
      <c r="H409" s="350"/>
      <c r="I409" s="346"/>
      <c r="J409" s="410"/>
      <c r="K409" s="410"/>
      <c r="L409" s="410"/>
    </row>
    <row r="410" spans="1:12">
      <c r="A410" s="412"/>
      <c r="B410" s="412"/>
      <c r="C410" s="412"/>
      <c r="D410" s="412"/>
      <c r="E410" s="345"/>
      <c r="F410" s="346"/>
      <c r="G410" s="412"/>
      <c r="H410" s="350"/>
      <c r="I410" s="346"/>
      <c r="J410" s="410"/>
      <c r="K410" s="410"/>
      <c r="L410" s="410"/>
    </row>
    <row r="411" spans="1:12">
      <c r="A411" s="412"/>
      <c r="B411" s="412"/>
      <c r="C411" s="412"/>
      <c r="D411" s="412"/>
      <c r="E411" s="345"/>
      <c r="F411" s="346"/>
      <c r="G411" s="412"/>
      <c r="H411" s="350"/>
      <c r="I411" s="346"/>
      <c r="J411" s="410"/>
      <c r="K411" s="410"/>
      <c r="L411" s="410"/>
    </row>
    <row r="412" spans="1:12">
      <c r="A412" s="412"/>
      <c r="B412" s="412"/>
      <c r="C412" s="412"/>
      <c r="D412" s="412"/>
      <c r="E412" s="345"/>
      <c r="F412" s="346"/>
      <c r="G412" s="412"/>
      <c r="H412" s="350"/>
      <c r="I412" s="346"/>
      <c r="J412" s="410"/>
      <c r="K412" s="410"/>
      <c r="L412" s="410"/>
    </row>
    <row r="413" spans="1:12">
      <c r="A413" s="412"/>
      <c r="B413" s="412"/>
      <c r="C413" s="412"/>
      <c r="D413" s="412"/>
      <c r="E413" s="345"/>
      <c r="F413" s="346"/>
      <c r="G413" s="412"/>
      <c r="H413" s="350"/>
      <c r="I413" s="346"/>
      <c r="J413" s="410"/>
      <c r="K413" s="410"/>
      <c r="L413" s="410"/>
    </row>
    <row r="414" spans="1:12">
      <c r="A414" s="412"/>
      <c r="B414" s="412"/>
      <c r="C414" s="412"/>
      <c r="D414" s="412"/>
      <c r="E414" s="345"/>
      <c r="F414" s="346"/>
      <c r="G414" s="412"/>
      <c r="H414" s="350"/>
      <c r="I414" s="346"/>
      <c r="J414" s="410"/>
      <c r="K414" s="410"/>
      <c r="L414" s="410"/>
    </row>
    <row r="415" spans="1:12">
      <c r="A415" s="412"/>
      <c r="B415" s="412"/>
      <c r="C415" s="412"/>
      <c r="D415" s="412"/>
      <c r="E415" s="345"/>
      <c r="F415" s="346"/>
      <c r="G415" s="412"/>
      <c r="H415" s="350"/>
      <c r="I415" s="346"/>
      <c r="J415" s="410"/>
      <c r="K415" s="410"/>
      <c r="L415" s="410"/>
    </row>
    <row r="416" spans="1:12">
      <c r="A416" s="412"/>
      <c r="B416" s="412"/>
      <c r="C416" s="412"/>
      <c r="D416" s="412"/>
      <c r="E416" s="345"/>
      <c r="F416" s="346"/>
      <c r="G416" s="412"/>
      <c r="H416" s="350"/>
      <c r="I416" s="346"/>
      <c r="J416" s="410"/>
      <c r="K416" s="410"/>
      <c r="L416" s="410"/>
    </row>
    <row r="417" spans="1:12">
      <c r="A417" s="412"/>
      <c r="B417" s="412"/>
      <c r="C417" s="412"/>
      <c r="D417" s="412"/>
      <c r="E417" s="345"/>
      <c r="F417" s="346"/>
      <c r="G417" s="412"/>
      <c r="H417" s="350"/>
      <c r="I417" s="346"/>
      <c r="J417" s="410"/>
      <c r="K417" s="410"/>
      <c r="L417" s="410"/>
    </row>
    <row r="418" spans="1:12">
      <c r="A418" s="412"/>
      <c r="B418" s="412"/>
      <c r="C418" s="412"/>
      <c r="D418" s="412"/>
      <c r="E418" s="345"/>
      <c r="F418" s="346"/>
      <c r="G418" s="412"/>
      <c r="H418" s="350"/>
      <c r="I418" s="346"/>
      <c r="J418" s="410"/>
      <c r="K418" s="410"/>
      <c r="L418" s="410"/>
    </row>
    <row r="419" spans="1:12">
      <c r="A419" s="412"/>
      <c r="B419" s="412"/>
      <c r="C419" s="412"/>
      <c r="D419" s="412"/>
      <c r="E419" s="345"/>
      <c r="F419" s="346"/>
      <c r="G419" s="412"/>
      <c r="H419" s="350"/>
      <c r="I419" s="346"/>
      <c r="J419" s="410"/>
      <c r="K419" s="410"/>
      <c r="L419" s="410"/>
    </row>
    <row r="420" spans="1:12">
      <c r="A420" s="412"/>
      <c r="B420" s="412"/>
      <c r="C420" s="412"/>
      <c r="D420" s="412"/>
      <c r="E420" s="345"/>
      <c r="F420" s="346"/>
      <c r="G420" s="412"/>
      <c r="H420" s="350"/>
      <c r="I420" s="346"/>
      <c r="J420" s="410"/>
      <c r="K420" s="410"/>
      <c r="L420" s="410"/>
    </row>
    <row r="421" spans="1:12">
      <c r="A421" s="412"/>
      <c r="B421" s="412"/>
      <c r="C421" s="412"/>
      <c r="D421" s="412"/>
      <c r="E421" s="345"/>
      <c r="F421" s="346"/>
      <c r="G421" s="412"/>
      <c r="H421" s="350"/>
      <c r="I421" s="346"/>
      <c r="J421" s="410"/>
      <c r="K421" s="410"/>
      <c r="L421" s="410"/>
    </row>
    <row r="422" spans="1:12">
      <c r="A422" s="412"/>
      <c r="B422" s="412"/>
      <c r="C422" s="412"/>
      <c r="D422" s="412"/>
      <c r="E422" s="345"/>
      <c r="F422" s="346"/>
      <c r="G422" s="412"/>
      <c r="H422" s="350"/>
      <c r="I422" s="346"/>
      <c r="J422" s="410"/>
      <c r="K422" s="410"/>
      <c r="L422" s="410"/>
    </row>
    <row r="423" spans="1:12">
      <c r="A423" s="412"/>
      <c r="B423" s="412"/>
      <c r="C423" s="412"/>
      <c r="D423" s="412"/>
      <c r="E423" s="345"/>
      <c r="F423" s="346"/>
      <c r="G423" s="412"/>
      <c r="H423" s="350"/>
      <c r="I423" s="346"/>
      <c r="J423" s="410"/>
      <c r="K423" s="410"/>
      <c r="L423" s="410"/>
    </row>
    <row r="424" spans="1:12">
      <c r="A424" s="412"/>
      <c r="B424" s="412"/>
      <c r="C424" s="412"/>
      <c r="D424" s="412"/>
      <c r="E424" s="345"/>
      <c r="F424" s="346"/>
      <c r="G424" s="412"/>
      <c r="H424" s="350"/>
      <c r="I424" s="346"/>
      <c r="J424" s="410"/>
      <c r="K424" s="410"/>
      <c r="L424" s="410"/>
    </row>
    <row r="425" spans="1:12">
      <c r="A425" s="412"/>
      <c r="B425" s="412"/>
      <c r="C425" s="412"/>
      <c r="D425" s="412"/>
      <c r="E425" s="345"/>
      <c r="F425" s="346"/>
      <c r="G425" s="412"/>
      <c r="H425" s="350"/>
      <c r="I425" s="346"/>
      <c r="J425" s="410"/>
      <c r="K425" s="410"/>
      <c r="L425" s="410"/>
    </row>
    <row r="426" spans="1:12">
      <c r="A426" s="412"/>
      <c r="B426" s="412"/>
      <c r="C426" s="412"/>
      <c r="D426" s="412"/>
      <c r="E426" s="345"/>
      <c r="F426" s="346"/>
      <c r="G426" s="412"/>
      <c r="H426" s="350"/>
      <c r="I426" s="346"/>
      <c r="J426" s="410"/>
      <c r="K426" s="410"/>
      <c r="L426" s="410"/>
    </row>
    <row r="427" spans="1:12">
      <c r="A427" s="412"/>
      <c r="B427" s="412"/>
      <c r="C427" s="412"/>
      <c r="D427" s="412"/>
      <c r="E427" s="345"/>
      <c r="F427" s="346"/>
      <c r="G427" s="412"/>
      <c r="H427" s="350"/>
      <c r="I427" s="346"/>
      <c r="J427" s="410"/>
      <c r="K427" s="410"/>
      <c r="L427" s="410"/>
    </row>
    <row r="428" spans="1:12">
      <c r="A428" s="412"/>
      <c r="B428" s="412"/>
      <c r="C428" s="412"/>
      <c r="D428" s="412"/>
      <c r="E428" s="345"/>
      <c r="F428" s="346"/>
      <c r="G428" s="412"/>
      <c r="H428" s="350"/>
      <c r="I428" s="346"/>
      <c r="J428" s="410"/>
      <c r="K428" s="410"/>
      <c r="L428" s="410"/>
    </row>
    <row r="429" spans="1:12">
      <c r="A429" s="412"/>
      <c r="B429" s="412"/>
      <c r="C429" s="412"/>
      <c r="D429" s="412"/>
      <c r="E429" s="345"/>
      <c r="F429" s="346"/>
      <c r="G429" s="412"/>
      <c r="H429" s="350"/>
      <c r="I429" s="346"/>
      <c r="J429" s="410"/>
      <c r="K429" s="410"/>
      <c r="L429" s="410"/>
    </row>
    <row r="430" spans="1:12">
      <c r="A430" s="412"/>
      <c r="B430" s="412"/>
      <c r="C430" s="412"/>
      <c r="D430" s="412"/>
      <c r="E430" s="345"/>
      <c r="F430" s="346"/>
      <c r="G430" s="412"/>
      <c r="H430" s="350"/>
      <c r="I430" s="346"/>
      <c r="J430" s="410"/>
      <c r="K430" s="410"/>
      <c r="L430" s="410"/>
    </row>
    <row r="431" spans="1:12">
      <c r="A431" s="412"/>
      <c r="B431" s="412"/>
      <c r="C431" s="412"/>
      <c r="D431" s="412"/>
      <c r="E431" s="345"/>
      <c r="F431" s="346"/>
      <c r="G431" s="412"/>
      <c r="H431" s="350"/>
      <c r="I431" s="346"/>
      <c r="J431" s="410"/>
      <c r="K431" s="410"/>
      <c r="L431" s="410"/>
    </row>
    <row r="432" spans="1:12">
      <c r="A432" s="412"/>
      <c r="B432" s="412"/>
      <c r="C432" s="412"/>
      <c r="D432" s="412"/>
      <c r="E432" s="345"/>
      <c r="F432" s="346"/>
      <c r="G432" s="412"/>
      <c r="H432" s="350"/>
      <c r="I432" s="346"/>
      <c r="J432" s="410"/>
      <c r="K432" s="410"/>
      <c r="L432" s="410"/>
    </row>
    <row r="433" spans="1:12">
      <c r="A433" s="412"/>
      <c r="B433" s="412"/>
      <c r="C433" s="412"/>
      <c r="D433" s="412"/>
      <c r="E433" s="345"/>
      <c r="F433" s="346"/>
      <c r="G433" s="412"/>
      <c r="H433" s="350"/>
      <c r="I433" s="346"/>
      <c r="J433" s="410"/>
      <c r="K433" s="410"/>
      <c r="L433" s="410"/>
    </row>
    <row r="434" spans="1:12">
      <c r="A434" s="412"/>
      <c r="B434" s="412"/>
      <c r="C434" s="412"/>
      <c r="D434" s="412"/>
      <c r="E434" s="345"/>
      <c r="F434" s="346"/>
      <c r="G434" s="412"/>
      <c r="H434" s="350"/>
      <c r="I434" s="346"/>
      <c r="J434" s="410"/>
      <c r="K434" s="410"/>
      <c r="L434" s="410"/>
    </row>
    <row r="435" spans="1:12">
      <c r="A435" s="412"/>
      <c r="B435" s="412"/>
      <c r="C435" s="412"/>
      <c r="D435" s="412"/>
      <c r="E435" s="345"/>
      <c r="F435" s="346"/>
      <c r="G435" s="412"/>
      <c r="H435" s="350"/>
      <c r="I435" s="346"/>
      <c r="J435" s="410"/>
      <c r="K435" s="410"/>
      <c r="L435" s="410"/>
    </row>
    <row r="436" spans="1:12">
      <c r="A436" s="412"/>
      <c r="B436" s="412"/>
      <c r="C436" s="412"/>
      <c r="D436" s="412"/>
      <c r="E436" s="345"/>
      <c r="F436" s="346"/>
      <c r="G436" s="412"/>
      <c r="H436" s="350"/>
      <c r="I436" s="346"/>
      <c r="J436" s="410"/>
      <c r="K436" s="410"/>
      <c r="L436" s="410"/>
    </row>
    <row r="437" spans="1:12">
      <c r="A437" s="412"/>
      <c r="B437" s="412"/>
      <c r="C437" s="412"/>
      <c r="D437" s="412"/>
      <c r="E437" s="345"/>
      <c r="F437" s="346"/>
      <c r="G437" s="412"/>
      <c r="H437" s="350"/>
      <c r="I437" s="346"/>
      <c r="J437" s="410"/>
      <c r="K437" s="410"/>
      <c r="L437" s="410"/>
    </row>
    <row r="438" spans="1:12">
      <c r="A438" s="412"/>
      <c r="B438" s="412"/>
      <c r="C438" s="412"/>
      <c r="D438" s="412"/>
      <c r="E438" s="345"/>
      <c r="F438" s="346"/>
      <c r="G438" s="412"/>
      <c r="H438" s="350"/>
      <c r="I438" s="346"/>
      <c r="J438" s="410"/>
      <c r="K438" s="410"/>
      <c r="L438" s="410"/>
    </row>
    <row r="439" spans="1:12">
      <c r="A439" s="412"/>
      <c r="B439" s="412"/>
      <c r="C439" s="412"/>
      <c r="D439" s="412"/>
      <c r="E439" s="345"/>
      <c r="F439" s="346"/>
      <c r="G439" s="412"/>
      <c r="H439" s="350"/>
      <c r="I439" s="346"/>
      <c r="J439" s="410"/>
      <c r="K439" s="410"/>
      <c r="L439" s="410"/>
    </row>
    <row r="440" spans="1:12">
      <c r="A440" s="412"/>
      <c r="B440" s="412"/>
      <c r="C440" s="412"/>
      <c r="D440" s="412"/>
      <c r="E440" s="345"/>
      <c r="F440" s="346"/>
      <c r="G440" s="412"/>
      <c r="H440" s="350"/>
      <c r="I440" s="346"/>
      <c r="J440" s="410"/>
      <c r="K440" s="410"/>
      <c r="L440" s="410"/>
    </row>
    <row r="441" spans="1:12">
      <c r="A441" s="412"/>
      <c r="B441" s="412"/>
      <c r="C441" s="412"/>
      <c r="D441" s="412"/>
      <c r="E441" s="345"/>
      <c r="F441" s="346"/>
      <c r="G441" s="412"/>
      <c r="H441" s="350"/>
      <c r="I441" s="346"/>
      <c r="J441" s="410"/>
      <c r="K441" s="410"/>
      <c r="L441" s="410"/>
    </row>
    <row r="442" spans="1:12">
      <c r="A442" s="412"/>
      <c r="B442" s="412"/>
      <c r="C442" s="412"/>
      <c r="D442" s="412"/>
      <c r="E442" s="345"/>
      <c r="F442" s="346"/>
      <c r="G442" s="412"/>
      <c r="H442" s="350"/>
      <c r="I442" s="346"/>
      <c r="J442" s="410"/>
      <c r="K442" s="410"/>
      <c r="L442" s="410"/>
    </row>
    <row r="443" spans="1:12">
      <c r="A443" s="412"/>
      <c r="B443" s="412"/>
      <c r="C443" s="412"/>
      <c r="D443" s="412"/>
      <c r="E443" s="345"/>
      <c r="F443" s="346"/>
      <c r="G443" s="412"/>
      <c r="H443" s="350"/>
      <c r="I443" s="346"/>
      <c r="J443" s="410"/>
      <c r="K443" s="410"/>
      <c r="L443" s="410"/>
    </row>
    <row r="444" spans="1:12">
      <c r="A444" s="412"/>
      <c r="B444" s="412"/>
      <c r="C444" s="412"/>
      <c r="D444" s="412"/>
      <c r="E444" s="345"/>
      <c r="F444" s="346"/>
      <c r="G444" s="412"/>
      <c r="H444" s="350"/>
      <c r="I444" s="346"/>
      <c r="J444" s="410"/>
      <c r="K444" s="410"/>
      <c r="L444" s="410"/>
    </row>
    <row r="445" spans="1:12">
      <c r="A445" s="412"/>
      <c r="B445" s="412"/>
      <c r="C445" s="412"/>
      <c r="D445" s="412"/>
      <c r="E445" s="345"/>
      <c r="F445" s="346"/>
      <c r="G445" s="412"/>
      <c r="H445" s="350"/>
      <c r="I445" s="346"/>
      <c r="J445" s="410"/>
      <c r="K445" s="410"/>
      <c r="L445" s="410"/>
    </row>
    <row r="446" spans="1:12">
      <c r="A446" s="412"/>
      <c r="B446" s="412"/>
      <c r="C446" s="412"/>
      <c r="D446" s="412"/>
      <c r="E446" s="345"/>
      <c r="F446" s="346"/>
      <c r="G446" s="412"/>
      <c r="H446" s="350"/>
      <c r="I446" s="346"/>
      <c r="J446" s="410"/>
      <c r="K446" s="410"/>
      <c r="L446" s="410"/>
    </row>
    <row r="447" spans="1:12">
      <c r="A447" s="412"/>
      <c r="B447" s="412"/>
      <c r="C447" s="412"/>
      <c r="D447" s="412"/>
      <c r="E447" s="345"/>
      <c r="F447" s="346"/>
      <c r="G447" s="412"/>
      <c r="H447" s="350"/>
      <c r="I447" s="346"/>
      <c r="J447" s="410"/>
      <c r="K447" s="410"/>
      <c r="L447" s="410"/>
    </row>
    <row r="448" spans="1:12">
      <c r="A448" s="412"/>
      <c r="B448" s="412"/>
      <c r="C448" s="412"/>
      <c r="D448" s="412"/>
      <c r="E448" s="345"/>
      <c r="F448" s="346"/>
      <c r="G448" s="412"/>
      <c r="H448" s="350"/>
      <c r="I448" s="346"/>
      <c r="J448" s="410"/>
      <c r="K448" s="410"/>
      <c r="L448" s="410"/>
    </row>
    <row r="449" spans="1:12">
      <c r="A449" s="412"/>
      <c r="B449" s="412"/>
      <c r="C449" s="412"/>
      <c r="D449" s="412"/>
      <c r="E449" s="345"/>
      <c r="F449" s="346"/>
      <c r="G449" s="412"/>
      <c r="H449" s="350"/>
      <c r="I449" s="346"/>
      <c r="J449" s="410"/>
      <c r="K449" s="410"/>
      <c r="L449" s="410"/>
    </row>
    <row r="450" spans="1:12">
      <c r="A450" s="412"/>
      <c r="B450" s="412"/>
      <c r="C450" s="412"/>
      <c r="D450" s="412"/>
      <c r="E450" s="345"/>
      <c r="F450" s="346"/>
      <c r="G450" s="412"/>
      <c r="H450" s="350"/>
      <c r="I450" s="346"/>
      <c r="J450" s="410"/>
      <c r="K450" s="410"/>
      <c r="L450" s="410"/>
    </row>
    <row r="451" spans="1:12">
      <c r="A451" s="412"/>
      <c r="B451" s="412"/>
      <c r="C451" s="412"/>
      <c r="D451" s="412"/>
      <c r="E451" s="345"/>
      <c r="F451" s="346"/>
      <c r="G451" s="412"/>
      <c r="H451" s="350"/>
      <c r="I451" s="346"/>
      <c r="J451" s="410"/>
      <c r="K451" s="410"/>
      <c r="L451" s="410"/>
    </row>
    <row r="452" spans="1:12">
      <c r="A452" s="412"/>
      <c r="B452" s="412"/>
      <c r="C452" s="412"/>
      <c r="D452" s="412"/>
      <c r="E452" s="345"/>
      <c r="F452" s="346"/>
      <c r="G452" s="412"/>
      <c r="H452" s="350"/>
      <c r="I452" s="346"/>
      <c r="J452" s="410"/>
      <c r="K452" s="410"/>
      <c r="L452" s="410"/>
    </row>
    <row r="453" spans="1:12">
      <c r="A453" s="412"/>
      <c r="B453" s="412"/>
      <c r="C453" s="412"/>
      <c r="D453" s="412"/>
      <c r="E453" s="345"/>
      <c r="F453" s="346"/>
      <c r="G453" s="412"/>
      <c r="H453" s="350"/>
      <c r="I453" s="346"/>
      <c r="J453" s="410"/>
      <c r="K453" s="410"/>
      <c r="L453" s="410"/>
    </row>
    <row r="454" spans="1:12">
      <c r="A454" s="412"/>
      <c r="B454" s="412"/>
      <c r="C454" s="412"/>
      <c r="D454" s="412"/>
      <c r="E454" s="345"/>
      <c r="F454" s="346"/>
      <c r="G454" s="412"/>
      <c r="H454" s="350"/>
      <c r="I454" s="346"/>
      <c r="J454" s="410"/>
      <c r="K454" s="410"/>
      <c r="L454" s="410"/>
    </row>
    <row r="455" spans="1:12">
      <c r="A455" s="412"/>
      <c r="B455" s="412"/>
      <c r="C455" s="412"/>
      <c r="D455" s="412"/>
      <c r="E455" s="345"/>
      <c r="F455" s="346"/>
      <c r="G455" s="412"/>
      <c r="H455" s="350"/>
      <c r="I455" s="346"/>
      <c r="J455" s="410"/>
      <c r="K455" s="410"/>
      <c r="L455" s="410"/>
    </row>
    <row r="456" spans="1:12">
      <c r="A456" s="412"/>
      <c r="B456" s="412"/>
      <c r="C456" s="412"/>
      <c r="D456" s="412"/>
      <c r="E456" s="345"/>
      <c r="F456" s="346"/>
      <c r="G456" s="412"/>
      <c r="H456" s="350"/>
      <c r="I456" s="346"/>
      <c r="J456" s="410"/>
      <c r="K456" s="410"/>
      <c r="L456" s="410"/>
    </row>
    <row r="457" spans="1:12">
      <c r="A457" s="412"/>
      <c r="B457" s="412"/>
      <c r="C457" s="412"/>
      <c r="D457" s="412"/>
      <c r="E457" s="345"/>
      <c r="F457" s="346"/>
      <c r="G457" s="412"/>
      <c r="H457" s="350"/>
      <c r="I457" s="346"/>
      <c r="J457" s="410"/>
      <c r="K457" s="410"/>
      <c r="L457" s="410"/>
    </row>
    <row r="458" spans="1:12">
      <c r="A458" s="412"/>
      <c r="B458" s="412"/>
      <c r="C458" s="412"/>
      <c r="D458" s="412"/>
      <c r="E458" s="345"/>
      <c r="F458" s="346"/>
      <c r="G458" s="412"/>
      <c r="H458" s="350"/>
      <c r="I458" s="346"/>
      <c r="J458" s="410"/>
      <c r="K458" s="410"/>
      <c r="L458" s="410"/>
    </row>
    <row r="459" spans="1:12">
      <c r="A459" s="412"/>
      <c r="B459" s="412"/>
      <c r="C459" s="412"/>
      <c r="D459" s="412"/>
      <c r="E459" s="345"/>
      <c r="F459" s="346"/>
      <c r="G459" s="412"/>
      <c r="H459" s="350"/>
      <c r="I459" s="346"/>
      <c r="J459" s="410"/>
      <c r="K459" s="410"/>
      <c r="L459" s="410"/>
    </row>
    <row r="460" spans="1:12">
      <c r="A460" s="412"/>
      <c r="B460" s="412"/>
      <c r="C460" s="412"/>
      <c r="D460" s="412"/>
      <c r="E460" s="345"/>
      <c r="F460" s="346"/>
      <c r="G460" s="412"/>
      <c r="H460" s="350"/>
      <c r="I460" s="346"/>
      <c r="J460" s="410"/>
      <c r="K460" s="410"/>
      <c r="L460" s="410"/>
    </row>
    <row r="461" spans="1:12">
      <c r="A461" s="412"/>
      <c r="B461" s="412"/>
      <c r="C461" s="412"/>
      <c r="D461" s="412"/>
      <c r="E461" s="345"/>
      <c r="F461" s="346"/>
      <c r="G461" s="412"/>
      <c r="H461" s="350"/>
      <c r="I461" s="346"/>
      <c r="J461" s="410"/>
      <c r="K461" s="410"/>
      <c r="L461" s="410"/>
    </row>
    <row r="462" spans="1:12">
      <c r="A462" s="412"/>
      <c r="B462" s="412"/>
      <c r="C462" s="412"/>
      <c r="D462" s="412"/>
      <c r="E462" s="345"/>
      <c r="F462" s="346"/>
      <c r="G462" s="412"/>
      <c r="H462" s="350"/>
      <c r="I462" s="346"/>
      <c r="J462" s="410"/>
      <c r="K462" s="410"/>
      <c r="L462" s="410"/>
    </row>
    <row r="463" spans="1:12">
      <c r="A463" s="412"/>
      <c r="B463" s="412"/>
      <c r="C463" s="412"/>
      <c r="D463" s="412"/>
      <c r="E463" s="345"/>
      <c r="F463" s="346"/>
      <c r="G463" s="412"/>
      <c r="H463" s="350"/>
      <c r="I463" s="346"/>
      <c r="J463" s="410"/>
      <c r="K463" s="410"/>
      <c r="L463" s="410"/>
    </row>
    <row r="464" spans="1:12">
      <c r="A464" s="412"/>
      <c r="B464" s="412"/>
      <c r="C464" s="412"/>
      <c r="D464" s="412"/>
      <c r="E464" s="345"/>
      <c r="F464" s="346"/>
      <c r="G464" s="412"/>
      <c r="H464" s="350"/>
      <c r="I464" s="346"/>
      <c r="J464" s="410"/>
      <c r="K464" s="410"/>
      <c r="L464" s="410"/>
    </row>
    <row r="465" spans="1:12">
      <c r="A465" s="412"/>
      <c r="B465" s="412"/>
      <c r="C465" s="412"/>
      <c r="D465" s="412"/>
      <c r="E465" s="345"/>
      <c r="F465" s="346"/>
      <c r="G465" s="412"/>
      <c r="H465" s="350"/>
      <c r="I465" s="346"/>
      <c r="J465" s="410"/>
      <c r="K465" s="410"/>
      <c r="L465" s="410"/>
    </row>
    <row r="466" spans="1:12">
      <c r="A466" s="412"/>
      <c r="B466" s="412"/>
      <c r="C466" s="412"/>
      <c r="D466" s="412"/>
      <c r="E466" s="345"/>
      <c r="F466" s="346"/>
      <c r="G466" s="412"/>
      <c r="H466" s="350"/>
      <c r="I466" s="346"/>
      <c r="J466" s="410"/>
      <c r="K466" s="410"/>
      <c r="L466" s="410"/>
    </row>
    <row r="467" spans="1:12">
      <c r="A467" s="412"/>
      <c r="B467" s="412"/>
      <c r="C467" s="412"/>
      <c r="D467" s="412"/>
      <c r="E467" s="345"/>
      <c r="F467" s="346"/>
      <c r="G467" s="412"/>
      <c r="H467" s="350"/>
      <c r="I467" s="346"/>
      <c r="J467" s="410"/>
      <c r="K467" s="410"/>
      <c r="L467" s="410"/>
    </row>
    <row r="468" spans="1:12">
      <c r="A468" s="412"/>
      <c r="B468" s="412"/>
      <c r="C468" s="412"/>
      <c r="D468" s="412"/>
      <c r="E468" s="345"/>
      <c r="F468" s="346"/>
      <c r="G468" s="412"/>
      <c r="H468" s="350"/>
      <c r="I468" s="346"/>
      <c r="J468" s="410"/>
      <c r="K468" s="410"/>
      <c r="L468" s="410"/>
    </row>
    <row r="469" spans="1:12">
      <c r="A469" s="412"/>
      <c r="B469" s="412"/>
      <c r="C469" s="412"/>
      <c r="D469" s="412"/>
      <c r="E469" s="345"/>
      <c r="F469" s="346"/>
      <c r="G469" s="412"/>
      <c r="H469" s="350"/>
      <c r="I469" s="346"/>
      <c r="J469" s="410"/>
      <c r="K469" s="410"/>
      <c r="L469" s="410"/>
    </row>
    <row r="470" spans="1:12">
      <c r="A470" s="412"/>
      <c r="B470" s="412"/>
      <c r="C470" s="412"/>
      <c r="D470" s="412"/>
      <c r="E470" s="345"/>
      <c r="F470" s="346"/>
      <c r="G470" s="412"/>
      <c r="H470" s="350"/>
      <c r="I470" s="346"/>
      <c r="J470" s="410"/>
      <c r="K470" s="410"/>
      <c r="L470" s="410"/>
    </row>
    <row r="471" spans="1:12">
      <c r="A471" s="412"/>
      <c r="B471" s="412"/>
      <c r="C471" s="412"/>
      <c r="D471" s="412"/>
      <c r="E471" s="345"/>
      <c r="F471" s="346"/>
      <c r="G471" s="412"/>
      <c r="H471" s="350"/>
      <c r="I471" s="346"/>
      <c r="J471" s="410"/>
      <c r="K471" s="410"/>
      <c r="L471" s="410"/>
    </row>
    <row r="472" spans="1:12">
      <c r="A472" s="412"/>
      <c r="B472" s="412"/>
      <c r="C472" s="412"/>
      <c r="D472" s="412"/>
      <c r="E472" s="345"/>
      <c r="F472" s="346"/>
      <c r="G472" s="412"/>
      <c r="H472" s="350"/>
      <c r="I472" s="346"/>
      <c r="J472" s="410"/>
      <c r="K472" s="410"/>
      <c r="L472" s="410"/>
    </row>
    <row r="473" spans="1:12">
      <c r="A473" s="412"/>
      <c r="B473" s="412"/>
      <c r="C473" s="412"/>
      <c r="D473" s="412"/>
      <c r="E473" s="345"/>
      <c r="F473" s="346"/>
      <c r="G473" s="412"/>
      <c r="H473" s="350"/>
      <c r="I473" s="346"/>
      <c r="J473" s="410"/>
      <c r="K473" s="410"/>
      <c r="L473" s="410"/>
    </row>
    <row r="474" spans="1:12">
      <c r="A474" s="412"/>
      <c r="B474" s="412"/>
      <c r="C474" s="412"/>
      <c r="D474" s="412"/>
      <c r="E474" s="345"/>
      <c r="F474" s="346"/>
      <c r="G474" s="412"/>
      <c r="H474" s="350"/>
      <c r="I474" s="346"/>
      <c r="J474" s="410"/>
      <c r="K474" s="410"/>
      <c r="L474" s="410"/>
    </row>
    <row r="475" spans="1:12">
      <c r="A475" s="412"/>
      <c r="B475" s="412"/>
      <c r="C475" s="412"/>
      <c r="D475" s="412"/>
      <c r="E475" s="345"/>
      <c r="F475" s="346"/>
      <c r="G475" s="412"/>
      <c r="H475" s="350"/>
      <c r="I475" s="346"/>
      <c r="J475" s="410"/>
      <c r="K475" s="410"/>
      <c r="L475" s="410"/>
    </row>
    <row r="476" spans="1:12">
      <c r="A476" s="412"/>
      <c r="B476" s="412"/>
      <c r="C476" s="412"/>
      <c r="D476" s="412"/>
      <c r="E476" s="345"/>
      <c r="F476" s="346"/>
      <c r="G476" s="412"/>
      <c r="H476" s="350"/>
      <c r="I476" s="346"/>
      <c r="J476" s="410"/>
      <c r="K476" s="410"/>
      <c r="L476" s="410"/>
    </row>
    <row r="477" spans="1:12">
      <c r="A477" s="412"/>
      <c r="B477" s="412"/>
      <c r="C477" s="412"/>
      <c r="D477" s="412"/>
      <c r="E477" s="345"/>
      <c r="F477" s="346"/>
      <c r="G477" s="412"/>
      <c r="H477" s="350"/>
      <c r="I477" s="346"/>
      <c r="J477" s="410"/>
      <c r="K477" s="410"/>
      <c r="L477" s="410"/>
    </row>
    <row r="478" spans="1:12">
      <c r="A478" s="412"/>
      <c r="B478" s="412"/>
      <c r="C478" s="412"/>
      <c r="D478" s="412"/>
      <c r="E478" s="345"/>
      <c r="F478" s="346"/>
      <c r="G478" s="412"/>
      <c r="H478" s="350"/>
      <c r="I478" s="346"/>
      <c r="J478" s="410"/>
      <c r="K478" s="410"/>
      <c r="L478" s="410"/>
    </row>
    <row r="479" spans="1:12">
      <c r="A479" s="412"/>
      <c r="B479" s="412"/>
      <c r="C479" s="412"/>
      <c r="D479" s="412"/>
      <c r="E479" s="345"/>
      <c r="F479" s="346"/>
      <c r="G479" s="412"/>
      <c r="H479" s="350"/>
      <c r="I479" s="346"/>
      <c r="J479" s="410"/>
      <c r="K479" s="410"/>
      <c r="L479" s="410"/>
    </row>
    <row r="480" spans="1:12">
      <c r="A480" s="412"/>
      <c r="B480" s="412"/>
      <c r="C480" s="412"/>
      <c r="D480" s="412"/>
      <c r="E480" s="345"/>
      <c r="F480" s="346"/>
      <c r="G480" s="412"/>
      <c r="H480" s="350"/>
      <c r="I480" s="346"/>
      <c r="J480" s="410"/>
      <c r="K480" s="410"/>
      <c r="L480" s="410"/>
    </row>
    <row r="481" spans="1:12">
      <c r="A481" s="412"/>
      <c r="B481" s="412"/>
      <c r="C481" s="412"/>
      <c r="D481" s="412"/>
      <c r="E481" s="345"/>
      <c r="F481" s="346"/>
      <c r="G481" s="412"/>
      <c r="H481" s="350"/>
      <c r="I481" s="346"/>
      <c r="J481" s="410"/>
      <c r="K481" s="410"/>
      <c r="L481" s="410"/>
    </row>
    <row r="482" spans="1:12">
      <c r="A482" s="412"/>
      <c r="B482" s="412"/>
      <c r="C482" s="412"/>
      <c r="D482" s="412"/>
      <c r="E482" s="345"/>
      <c r="F482" s="346"/>
      <c r="G482" s="412"/>
      <c r="H482" s="350"/>
      <c r="I482" s="346"/>
      <c r="J482" s="410"/>
      <c r="K482" s="410"/>
      <c r="L482" s="410"/>
    </row>
    <row r="483" spans="1:12">
      <c r="A483" s="412"/>
      <c r="B483" s="412"/>
      <c r="C483" s="412"/>
      <c r="D483" s="412"/>
      <c r="E483" s="345"/>
      <c r="F483" s="346"/>
      <c r="G483" s="412"/>
      <c r="H483" s="350"/>
      <c r="I483" s="346"/>
      <c r="J483" s="410"/>
      <c r="K483" s="410"/>
      <c r="L483" s="410"/>
    </row>
    <row r="484" spans="1:12">
      <c r="A484" s="412"/>
      <c r="B484" s="412"/>
      <c r="C484" s="412"/>
      <c r="D484" s="412"/>
      <c r="E484" s="345"/>
      <c r="F484" s="346"/>
      <c r="G484" s="412"/>
      <c r="H484" s="350"/>
      <c r="I484" s="346"/>
      <c r="J484" s="410"/>
      <c r="K484" s="410"/>
      <c r="L484" s="410"/>
    </row>
    <row r="485" spans="1:12">
      <c r="A485" s="412"/>
      <c r="B485" s="412"/>
      <c r="C485" s="412"/>
      <c r="D485" s="412"/>
      <c r="E485" s="345"/>
      <c r="F485" s="346"/>
      <c r="G485" s="412"/>
      <c r="H485" s="350"/>
      <c r="I485" s="346"/>
      <c r="J485" s="410"/>
      <c r="K485" s="410"/>
      <c r="L485" s="410"/>
    </row>
    <row r="486" spans="1:12">
      <c r="A486" s="412"/>
      <c r="B486" s="412"/>
      <c r="C486" s="412"/>
      <c r="D486" s="412"/>
      <c r="E486" s="345"/>
      <c r="F486" s="346"/>
      <c r="G486" s="412"/>
      <c r="H486" s="350"/>
      <c r="I486" s="346"/>
      <c r="J486" s="410"/>
      <c r="K486" s="410"/>
      <c r="L486" s="410"/>
    </row>
    <row r="487" spans="1:12">
      <c r="A487" s="412"/>
      <c r="B487" s="412"/>
      <c r="C487" s="412"/>
      <c r="D487" s="412"/>
      <c r="E487" s="345"/>
      <c r="F487" s="346"/>
      <c r="G487" s="412"/>
      <c r="H487" s="350"/>
      <c r="I487" s="346"/>
      <c r="J487" s="410"/>
      <c r="K487" s="410"/>
      <c r="L487" s="410"/>
    </row>
    <row r="488" spans="1:12">
      <c r="A488" s="412"/>
      <c r="B488" s="412"/>
      <c r="C488" s="412"/>
      <c r="D488" s="412"/>
      <c r="E488" s="345"/>
      <c r="F488" s="346"/>
      <c r="G488" s="412"/>
      <c r="H488" s="350"/>
      <c r="I488" s="346"/>
      <c r="J488" s="410"/>
      <c r="K488" s="410"/>
      <c r="L488" s="410"/>
    </row>
    <row r="489" spans="1:12">
      <c r="A489" s="412"/>
      <c r="B489" s="412"/>
      <c r="C489" s="412"/>
      <c r="D489" s="412"/>
      <c r="E489" s="345"/>
      <c r="F489" s="346"/>
      <c r="G489" s="412"/>
      <c r="H489" s="350"/>
      <c r="I489" s="346"/>
      <c r="J489" s="410"/>
      <c r="K489" s="410"/>
      <c r="L489" s="410"/>
    </row>
    <row r="490" spans="1:12">
      <c r="A490" s="412"/>
      <c r="B490" s="412"/>
      <c r="C490" s="412"/>
      <c r="D490" s="412"/>
      <c r="E490" s="345"/>
      <c r="F490" s="346"/>
      <c r="G490" s="412"/>
      <c r="H490" s="350"/>
      <c r="I490" s="346"/>
      <c r="J490" s="410"/>
      <c r="K490" s="410"/>
      <c r="L490" s="410"/>
    </row>
    <row r="491" spans="1:12">
      <c r="A491" s="412"/>
      <c r="B491" s="412"/>
      <c r="C491" s="412"/>
      <c r="D491" s="412"/>
      <c r="E491" s="345"/>
      <c r="F491" s="346"/>
      <c r="G491" s="412"/>
      <c r="H491" s="350"/>
      <c r="I491" s="346"/>
      <c r="J491" s="410"/>
      <c r="K491" s="410"/>
      <c r="L491" s="410"/>
    </row>
    <row r="492" spans="1:12">
      <c r="A492" s="412"/>
      <c r="B492" s="412"/>
      <c r="C492" s="412"/>
      <c r="D492" s="412"/>
      <c r="E492" s="345"/>
      <c r="F492" s="346"/>
      <c r="G492" s="412"/>
      <c r="H492" s="350"/>
      <c r="I492" s="346"/>
      <c r="J492" s="410"/>
      <c r="K492" s="410"/>
      <c r="L492" s="410"/>
    </row>
    <row r="493" spans="1:12">
      <c r="A493" s="412"/>
      <c r="B493" s="412"/>
      <c r="C493" s="412"/>
      <c r="D493" s="412"/>
      <c r="E493" s="345"/>
      <c r="F493" s="346"/>
      <c r="G493" s="412"/>
      <c r="H493" s="350"/>
      <c r="I493" s="346"/>
      <c r="J493" s="410"/>
      <c r="K493" s="410"/>
      <c r="L493" s="410"/>
    </row>
    <row r="494" spans="1:12">
      <c r="A494" s="412"/>
      <c r="B494" s="412"/>
      <c r="C494" s="412"/>
      <c r="D494" s="412"/>
      <c r="E494" s="345"/>
      <c r="F494" s="346"/>
      <c r="G494" s="412"/>
      <c r="H494" s="350"/>
      <c r="I494" s="346"/>
      <c r="J494" s="410"/>
      <c r="K494" s="410"/>
      <c r="L494" s="410"/>
    </row>
    <row r="495" spans="1:12">
      <c r="A495" s="412"/>
      <c r="B495" s="412"/>
      <c r="C495" s="412"/>
      <c r="D495" s="412"/>
      <c r="E495" s="345"/>
      <c r="F495" s="346"/>
      <c r="G495" s="412"/>
      <c r="H495" s="350"/>
      <c r="I495" s="346"/>
      <c r="J495" s="410"/>
      <c r="K495" s="410"/>
      <c r="L495" s="410"/>
    </row>
    <row r="496" spans="1:12">
      <c r="A496" s="412"/>
      <c r="B496" s="412"/>
      <c r="C496" s="412"/>
      <c r="D496" s="412"/>
      <c r="E496" s="345"/>
      <c r="F496" s="346"/>
      <c r="G496" s="412"/>
      <c r="H496" s="350"/>
      <c r="I496" s="346"/>
      <c r="J496" s="410"/>
      <c r="K496" s="410"/>
      <c r="L496" s="410"/>
    </row>
    <row r="497" spans="1:12">
      <c r="A497" s="412"/>
      <c r="B497" s="412"/>
      <c r="C497" s="412"/>
      <c r="D497" s="412"/>
      <c r="E497" s="345"/>
      <c r="F497" s="346"/>
      <c r="G497" s="412"/>
      <c r="H497" s="350"/>
      <c r="I497" s="346"/>
      <c r="J497" s="410"/>
      <c r="K497" s="410"/>
      <c r="L497" s="410"/>
    </row>
    <row r="498" spans="1:12">
      <c r="A498" s="412"/>
      <c r="B498" s="412"/>
      <c r="C498" s="412"/>
      <c r="D498" s="412"/>
      <c r="E498" s="345"/>
      <c r="F498" s="346"/>
      <c r="G498" s="412"/>
      <c r="H498" s="350"/>
      <c r="I498" s="346"/>
      <c r="J498" s="410"/>
      <c r="K498" s="410"/>
      <c r="L498" s="410"/>
    </row>
    <row r="499" spans="1:12">
      <c r="A499" s="412"/>
      <c r="B499" s="412"/>
      <c r="C499" s="412"/>
      <c r="D499" s="412"/>
      <c r="E499" s="345"/>
      <c r="F499" s="346"/>
      <c r="G499" s="412"/>
      <c r="H499" s="350"/>
      <c r="I499" s="346"/>
      <c r="J499" s="410"/>
      <c r="K499" s="410"/>
      <c r="L499" s="410"/>
    </row>
    <row r="500" spans="1:12">
      <c r="A500" s="412"/>
      <c r="B500" s="412"/>
      <c r="C500" s="412"/>
      <c r="D500" s="412"/>
      <c r="E500" s="345"/>
      <c r="F500" s="346"/>
      <c r="G500" s="412"/>
      <c r="H500" s="350"/>
      <c r="I500" s="346"/>
      <c r="J500" s="410"/>
      <c r="K500" s="410"/>
      <c r="L500" s="410"/>
    </row>
    <row r="501" spans="1:12">
      <c r="A501" s="412"/>
      <c r="B501" s="412"/>
      <c r="C501" s="412"/>
      <c r="D501" s="412"/>
      <c r="E501" s="345"/>
      <c r="F501" s="346"/>
      <c r="G501" s="412"/>
      <c r="H501" s="350"/>
      <c r="I501" s="346"/>
      <c r="J501" s="410"/>
      <c r="K501" s="410"/>
      <c r="L501" s="410"/>
    </row>
    <row r="502" spans="1:12">
      <c r="A502" s="412"/>
      <c r="B502" s="412"/>
      <c r="C502" s="412"/>
      <c r="D502" s="412"/>
      <c r="E502" s="345"/>
      <c r="F502" s="346"/>
      <c r="G502" s="412"/>
      <c r="H502" s="350"/>
      <c r="I502" s="346"/>
      <c r="J502" s="410"/>
      <c r="K502" s="410"/>
      <c r="L502" s="410"/>
    </row>
    <row r="503" spans="1:12">
      <c r="A503" s="412"/>
      <c r="B503" s="412"/>
      <c r="C503" s="412"/>
      <c r="D503" s="412"/>
      <c r="E503" s="345"/>
      <c r="F503" s="346"/>
      <c r="G503" s="412"/>
      <c r="H503" s="350"/>
      <c r="I503" s="346"/>
      <c r="J503" s="410"/>
      <c r="K503" s="410"/>
      <c r="L503" s="410"/>
    </row>
    <row r="504" spans="1:12">
      <c r="A504" s="412"/>
      <c r="B504" s="412"/>
      <c r="C504" s="412"/>
      <c r="D504" s="412"/>
      <c r="E504" s="345"/>
      <c r="F504" s="346"/>
      <c r="G504" s="412"/>
      <c r="H504" s="350"/>
      <c r="I504" s="346"/>
      <c r="J504" s="410"/>
      <c r="K504" s="410"/>
      <c r="L504" s="410"/>
    </row>
    <row r="505" spans="1:12">
      <c r="A505" s="412"/>
      <c r="B505" s="412"/>
      <c r="C505" s="412"/>
      <c r="D505" s="412"/>
      <c r="E505" s="345"/>
      <c r="F505" s="346"/>
      <c r="G505" s="412"/>
      <c r="H505" s="350"/>
      <c r="I505" s="346"/>
      <c r="J505" s="410"/>
      <c r="K505" s="410"/>
      <c r="L505" s="410"/>
    </row>
    <row r="506" spans="1:12">
      <c r="A506" s="412"/>
      <c r="B506" s="412"/>
      <c r="C506" s="412"/>
      <c r="D506" s="412"/>
      <c r="E506" s="345"/>
      <c r="F506" s="346"/>
      <c r="G506" s="412"/>
      <c r="H506" s="350"/>
      <c r="I506" s="346"/>
      <c r="J506" s="410"/>
      <c r="K506" s="410"/>
      <c r="L506" s="410"/>
    </row>
    <row r="507" spans="1:12">
      <c r="A507" s="412"/>
      <c r="B507" s="412"/>
      <c r="C507" s="412"/>
      <c r="D507" s="412"/>
      <c r="E507" s="345"/>
      <c r="F507" s="346"/>
      <c r="G507" s="412"/>
      <c r="H507" s="350"/>
      <c r="I507" s="346"/>
      <c r="J507" s="410"/>
      <c r="K507" s="410"/>
      <c r="L507" s="410"/>
    </row>
    <row r="508" spans="1:12">
      <c r="A508" s="412"/>
      <c r="B508" s="412"/>
      <c r="C508" s="412"/>
      <c r="D508" s="412"/>
      <c r="E508" s="345"/>
      <c r="F508" s="346"/>
      <c r="G508" s="412"/>
      <c r="H508" s="350"/>
      <c r="I508" s="346"/>
      <c r="J508" s="410"/>
      <c r="K508" s="410"/>
      <c r="L508" s="410"/>
    </row>
    <row r="509" spans="1:12">
      <c r="A509" s="412"/>
      <c r="B509" s="412"/>
      <c r="C509" s="412"/>
      <c r="D509" s="412"/>
      <c r="E509" s="345"/>
      <c r="F509" s="346"/>
      <c r="G509" s="412"/>
      <c r="H509" s="350"/>
      <c r="I509" s="346"/>
      <c r="J509" s="410"/>
      <c r="K509" s="410"/>
      <c r="L509" s="410"/>
    </row>
    <row r="510" spans="1:12">
      <c r="A510" s="412"/>
      <c r="B510" s="412"/>
      <c r="C510" s="412"/>
      <c r="D510" s="412"/>
      <c r="E510" s="345"/>
      <c r="F510" s="346"/>
      <c r="G510" s="412"/>
      <c r="H510" s="350"/>
      <c r="I510" s="346"/>
      <c r="J510" s="410"/>
      <c r="K510" s="410"/>
      <c r="L510" s="410"/>
    </row>
    <row r="511" spans="1:12">
      <c r="A511" s="412"/>
      <c r="B511" s="412"/>
      <c r="C511" s="412"/>
      <c r="D511" s="412"/>
      <c r="E511" s="345"/>
      <c r="F511" s="346"/>
      <c r="G511" s="412"/>
      <c r="H511" s="350"/>
      <c r="I511" s="346"/>
      <c r="J511" s="410"/>
      <c r="K511" s="410"/>
      <c r="L511" s="410"/>
    </row>
    <row r="512" spans="1:12">
      <c r="A512" s="412"/>
      <c r="B512" s="412"/>
      <c r="C512" s="412"/>
      <c r="D512" s="412"/>
      <c r="E512" s="345"/>
      <c r="F512" s="346"/>
      <c r="G512" s="412"/>
      <c r="H512" s="350"/>
      <c r="I512" s="346"/>
      <c r="J512" s="410"/>
      <c r="K512" s="410"/>
      <c r="L512" s="410"/>
    </row>
    <row r="513" spans="1:12">
      <c r="A513" s="412"/>
      <c r="B513" s="412"/>
      <c r="C513" s="412"/>
      <c r="D513" s="412"/>
      <c r="E513" s="345"/>
      <c r="F513" s="346"/>
      <c r="G513" s="412"/>
      <c r="H513" s="350"/>
      <c r="I513" s="346"/>
      <c r="J513" s="410"/>
      <c r="K513" s="410"/>
      <c r="L513" s="410"/>
    </row>
    <row r="514" spans="1:12">
      <c r="A514" s="412"/>
      <c r="B514" s="412"/>
      <c r="C514" s="412"/>
      <c r="D514" s="412"/>
      <c r="E514" s="345"/>
      <c r="F514" s="346"/>
      <c r="G514" s="412"/>
      <c r="H514" s="350"/>
      <c r="I514" s="346"/>
      <c r="J514" s="410"/>
      <c r="K514" s="410"/>
      <c r="L514" s="410"/>
    </row>
    <row r="515" spans="1:12">
      <c r="A515" s="412"/>
      <c r="B515" s="412"/>
      <c r="C515" s="412"/>
      <c r="D515" s="412"/>
      <c r="E515" s="345"/>
      <c r="F515" s="346"/>
      <c r="G515" s="412"/>
      <c r="H515" s="350"/>
      <c r="I515" s="346"/>
      <c r="J515" s="410"/>
      <c r="K515" s="410"/>
      <c r="L515" s="410"/>
    </row>
    <row r="516" spans="1:12">
      <c r="A516" s="412"/>
      <c r="B516" s="412"/>
      <c r="C516" s="412"/>
      <c r="D516" s="412"/>
      <c r="E516" s="345"/>
      <c r="F516" s="346"/>
      <c r="G516" s="412"/>
      <c r="H516" s="350"/>
      <c r="I516" s="346"/>
      <c r="J516" s="410"/>
      <c r="K516" s="410"/>
      <c r="L516" s="410"/>
    </row>
    <row r="517" spans="1:12">
      <c r="A517" s="412"/>
      <c r="B517" s="412"/>
      <c r="C517" s="412"/>
      <c r="D517" s="412"/>
      <c r="E517" s="345"/>
      <c r="F517" s="346"/>
      <c r="G517" s="412"/>
      <c r="H517" s="350"/>
      <c r="I517" s="346"/>
      <c r="J517" s="410"/>
      <c r="K517" s="410"/>
      <c r="L517" s="410"/>
    </row>
    <row r="518" spans="1:12">
      <c r="A518" s="412"/>
      <c r="B518" s="412"/>
      <c r="C518" s="412"/>
      <c r="D518" s="412"/>
      <c r="E518" s="345"/>
      <c r="F518" s="346"/>
      <c r="G518" s="412"/>
      <c r="H518" s="350"/>
      <c r="I518" s="346"/>
      <c r="J518" s="410"/>
      <c r="K518" s="410"/>
      <c r="L518" s="410"/>
    </row>
    <row r="519" spans="1:12">
      <c r="A519" s="412"/>
      <c r="B519" s="412"/>
      <c r="C519" s="412"/>
      <c r="D519" s="412"/>
      <c r="E519" s="345"/>
      <c r="F519" s="346"/>
      <c r="G519" s="412"/>
      <c r="H519" s="350"/>
      <c r="I519" s="346"/>
      <c r="J519" s="410"/>
      <c r="K519" s="410"/>
      <c r="L519" s="410"/>
    </row>
    <row r="520" spans="1:12">
      <c r="A520" s="412"/>
      <c r="B520" s="412"/>
      <c r="C520" s="412"/>
      <c r="D520" s="412"/>
      <c r="E520" s="345"/>
      <c r="F520" s="346"/>
      <c r="G520" s="412"/>
      <c r="H520" s="350"/>
      <c r="I520" s="346"/>
      <c r="J520" s="410"/>
      <c r="K520" s="410"/>
      <c r="L520" s="410"/>
    </row>
    <row r="521" spans="1:12">
      <c r="A521" s="412"/>
      <c r="B521" s="412"/>
      <c r="C521" s="412"/>
      <c r="D521" s="412"/>
      <c r="E521" s="345"/>
      <c r="F521" s="346"/>
      <c r="G521" s="412"/>
      <c r="H521" s="350"/>
      <c r="I521" s="346"/>
      <c r="J521" s="410"/>
      <c r="K521" s="410"/>
      <c r="L521" s="410"/>
    </row>
    <row r="522" spans="1:12">
      <c r="A522" s="412"/>
      <c r="B522" s="412"/>
      <c r="C522" s="412"/>
      <c r="D522" s="412"/>
      <c r="E522" s="345"/>
      <c r="F522" s="346"/>
      <c r="G522" s="412"/>
      <c r="H522" s="350"/>
      <c r="I522" s="346"/>
      <c r="J522" s="410"/>
      <c r="K522" s="410"/>
      <c r="L522" s="410"/>
    </row>
    <row r="523" spans="1:12">
      <c r="A523" s="412"/>
      <c r="B523" s="412"/>
      <c r="C523" s="412"/>
      <c r="D523" s="412"/>
      <c r="E523" s="345"/>
      <c r="F523" s="346"/>
      <c r="G523" s="412"/>
      <c r="H523" s="350"/>
      <c r="I523" s="346"/>
      <c r="J523" s="410"/>
      <c r="K523" s="410"/>
      <c r="L523" s="410"/>
    </row>
    <row r="524" spans="1:12">
      <c r="A524" s="412"/>
      <c r="B524" s="412"/>
      <c r="C524" s="412"/>
      <c r="D524" s="412"/>
      <c r="E524" s="345"/>
      <c r="F524" s="346"/>
      <c r="G524" s="412"/>
      <c r="H524" s="350"/>
      <c r="I524" s="346"/>
      <c r="J524" s="410"/>
      <c r="K524" s="410"/>
      <c r="L524" s="410"/>
    </row>
    <row r="525" spans="1:12">
      <c r="A525" s="412"/>
      <c r="B525" s="412"/>
      <c r="C525" s="412"/>
      <c r="D525" s="412"/>
      <c r="E525" s="345"/>
      <c r="F525" s="346"/>
      <c r="G525" s="412"/>
      <c r="H525" s="350"/>
      <c r="I525" s="346"/>
      <c r="J525" s="410"/>
      <c r="K525" s="410"/>
      <c r="L525" s="410"/>
    </row>
    <row r="526" spans="1:12">
      <c r="A526" s="412"/>
      <c r="B526" s="412"/>
      <c r="C526" s="412"/>
      <c r="D526" s="412"/>
      <c r="E526" s="345"/>
      <c r="F526" s="346"/>
      <c r="G526" s="412"/>
      <c r="H526" s="350"/>
      <c r="I526" s="346"/>
      <c r="J526" s="410"/>
      <c r="K526" s="410"/>
      <c r="L526" s="410"/>
    </row>
    <row r="527" spans="1:12">
      <c r="A527" s="412"/>
      <c r="B527" s="412"/>
      <c r="C527" s="412"/>
      <c r="D527" s="412"/>
      <c r="E527" s="345"/>
      <c r="F527" s="346"/>
      <c r="G527" s="412"/>
      <c r="H527" s="350"/>
      <c r="I527" s="346"/>
      <c r="J527" s="410"/>
      <c r="K527" s="410"/>
      <c r="L527" s="410"/>
    </row>
    <row r="528" spans="1:12">
      <c r="A528" s="412"/>
      <c r="B528" s="412"/>
      <c r="C528" s="412"/>
      <c r="D528" s="412"/>
      <c r="E528" s="345"/>
      <c r="F528" s="346"/>
      <c r="G528" s="412"/>
      <c r="H528" s="350"/>
      <c r="I528" s="346"/>
      <c r="J528" s="410"/>
      <c r="K528" s="410"/>
      <c r="L528" s="410"/>
    </row>
    <row r="529" spans="1:12">
      <c r="A529" s="412"/>
      <c r="B529" s="412"/>
      <c r="C529" s="412"/>
      <c r="D529" s="412"/>
      <c r="E529" s="345"/>
      <c r="F529" s="346"/>
      <c r="G529" s="412"/>
      <c r="H529" s="350"/>
      <c r="I529" s="346"/>
      <c r="J529" s="410"/>
      <c r="K529" s="410"/>
      <c r="L529" s="410"/>
    </row>
    <row r="530" spans="1:12">
      <c r="A530" s="412"/>
      <c r="B530" s="412"/>
      <c r="C530" s="412"/>
      <c r="D530" s="412"/>
      <c r="E530" s="345"/>
      <c r="F530" s="346"/>
      <c r="G530" s="412"/>
      <c r="H530" s="350"/>
      <c r="I530" s="346"/>
      <c r="J530" s="410"/>
      <c r="K530" s="410"/>
      <c r="L530" s="410"/>
    </row>
    <row r="531" spans="1:12">
      <c r="A531" s="412"/>
      <c r="B531" s="412"/>
      <c r="C531" s="412"/>
      <c r="D531" s="412"/>
      <c r="E531" s="345"/>
      <c r="F531" s="346"/>
      <c r="G531" s="412"/>
      <c r="H531" s="350"/>
      <c r="I531" s="346"/>
      <c r="J531" s="410"/>
      <c r="K531" s="410"/>
      <c r="L531" s="410"/>
    </row>
    <row r="532" spans="1:12">
      <c r="A532" s="412"/>
      <c r="B532" s="412"/>
      <c r="C532" s="412"/>
      <c r="D532" s="412"/>
      <c r="E532" s="345"/>
      <c r="F532" s="346"/>
      <c r="G532" s="412"/>
      <c r="H532" s="350"/>
      <c r="I532" s="346"/>
      <c r="J532" s="410"/>
      <c r="K532" s="410"/>
      <c r="L532" s="410"/>
    </row>
    <row r="533" spans="1:12">
      <c r="A533" s="412"/>
      <c r="B533" s="412"/>
      <c r="C533" s="412"/>
      <c r="D533" s="412"/>
      <c r="E533" s="345"/>
      <c r="F533" s="346"/>
      <c r="G533" s="412"/>
      <c r="H533" s="350"/>
      <c r="I533" s="346"/>
      <c r="J533" s="410"/>
      <c r="K533" s="410"/>
      <c r="L533" s="410"/>
    </row>
    <row r="534" spans="1:12">
      <c r="A534" s="412"/>
      <c r="B534" s="412"/>
      <c r="C534" s="412"/>
      <c r="D534" s="412"/>
      <c r="E534" s="345"/>
      <c r="F534" s="346"/>
      <c r="G534" s="412"/>
      <c r="H534" s="350"/>
      <c r="I534" s="346"/>
      <c r="J534" s="410"/>
      <c r="K534" s="410"/>
      <c r="L534" s="410"/>
    </row>
    <row r="535" spans="1:12">
      <c r="A535" s="412"/>
      <c r="B535" s="412"/>
      <c r="C535" s="412"/>
      <c r="D535" s="412"/>
      <c r="E535" s="345"/>
      <c r="F535" s="346"/>
      <c r="G535" s="412"/>
      <c r="H535" s="350"/>
      <c r="I535" s="346"/>
      <c r="J535" s="410"/>
      <c r="K535" s="410"/>
      <c r="L535" s="410"/>
    </row>
    <row r="536" spans="1:12">
      <c r="A536" s="412"/>
      <c r="B536" s="412"/>
      <c r="C536" s="412"/>
      <c r="D536" s="412"/>
      <c r="E536" s="345"/>
      <c r="F536" s="346"/>
      <c r="G536" s="412"/>
      <c r="H536" s="350"/>
      <c r="I536" s="346"/>
      <c r="J536" s="410"/>
      <c r="K536" s="410"/>
      <c r="L536" s="410"/>
    </row>
    <row r="537" spans="1:12">
      <c r="A537" s="412"/>
      <c r="B537" s="412"/>
      <c r="C537" s="412"/>
      <c r="D537" s="412"/>
      <c r="E537" s="345"/>
      <c r="F537" s="346"/>
      <c r="G537" s="412"/>
      <c r="H537" s="350"/>
      <c r="I537" s="346"/>
      <c r="J537" s="410"/>
      <c r="K537" s="410"/>
      <c r="L537" s="410"/>
    </row>
    <row r="538" spans="1:12">
      <c r="A538" s="412"/>
      <c r="B538" s="412"/>
      <c r="C538" s="412"/>
      <c r="D538" s="412"/>
      <c r="E538" s="345"/>
      <c r="F538" s="346"/>
      <c r="G538" s="412"/>
      <c r="H538" s="350"/>
      <c r="I538" s="346"/>
      <c r="J538" s="410"/>
      <c r="K538" s="410"/>
      <c r="L538" s="410"/>
    </row>
    <row r="539" spans="1:12">
      <c r="A539" s="412"/>
      <c r="B539" s="412"/>
      <c r="C539" s="412"/>
      <c r="D539" s="412"/>
      <c r="E539" s="345"/>
      <c r="F539" s="346"/>
      <c r="G539" s="412"/>
      <c r="H539" s="350"/>
      <c r="I539" s="346"/>
      <c r="J539" s="410"/>
      <c r="K539" s="410"/>
      <c r="L539" s="410"/>
    </row>
    <row r="540" spans="1:12">
      <c r="A540" s="412"/>
      <c r="B540" s="412"/>
      <c r="C540" s="412"/>
      <c r="D540" s="412"/>
      <c r="E540" s="345"/>
      <c r="F540" s="346"/>
      <c r="G540" s="412"/>
      <c r="H540" s="350"/>
      <c r="I540" s="346"/>
      <c r="J540" s="410"/>
      <c r="K540" s="410"/>
      <c r="L540" s="410"/>
    </row>
    <row r="541" spans="1:12">
      <c r="A541" s="412"/>
      <c r="B541" s="412"/>
      <c r="C541" s="412"/>
      <c r="D541" s="412"/>
      <c r="E541" s="345"/>
      <c r="F541" s="346"/>
      <c r="G541" s="412"/>
      <c r="H541" s="350"/>
      <c r="I541" s="346"/>
      <c r="J541" s="410"/>
      <c r="K541" s="410"/>
      <c r="L541" s="410"/>
    </row>
    <row r="542" spans="1:12">
      <c r="A542" s="412"/>
      <c r="B542" s="412"/>
      <c r="C542" s="412"/>
      <c r="D542" s="412"/>
      <c r="E542" s="345"/>
      <c r="F542" s="346"/>
      <c r="G542" s="412"/>
      <c r="H542" s="350"/>
      <c r="I542" s="346"/>
      <c r="J542" s="410"/>
      <c r="K542" s="410"/>
      <c r="L542" s="410"/>
    </row>
    <row r="543" spans="1:12">
      <c r="A543" s="412"/>
      <c r="B543" s="412"/>
      <c r="C543" s="412"/>
      <c r="D543" s="412"/>
      <c r="E543" s="345"/>
      <c r="F543" s="346"/>
      <c r="G543" s="412"/>
      <c r="H543" s="350"/>
      <c r="I543" s="346"/>
      <c r="J543" s="410"/>
      <c r="K543" s="410"/>
      <c r="L543" s="410"/>
    </row>
    <row r="544" spans="1:12">
      <c r="A544" s="412"/>
      <c r="B544" s="412"/>
      <c r="C544" s="412"/>
      <c r="D544" s="412"/>
      <c r="E544" s="345"/>
      <c r="F544" s="346"/>
      <c r="G544" s="412"/>
      <c r="H544" s="350"/>
      <c r="I544" s="346"/>
      <c r="J544" s="410"/>
      <c r="K544" s="410"/>
      <c r="L544" s="410"/>
    </row>
    <row r="545" spans="1:12">
      <c r="A545" s="412"/>
      <c r="B545" s="412"/>
      <c r="C545" s="412"/>
      <c r="D545" s="412"/>
      <c r="E545" s="345"/>
      <c r="F545" s="346"/>
      <c r="G545" s="412"/>
      <c r="H545" s="350"/>
      <c r="I545" s="346"/>
      <c r="J545" s="410"/>
      <c r="K545" s="410"/>
      <c r="L545" s="410"/>
    </row>
    <row r="546" spans="1:12">
      <c r="A546" s="412"/>
      <c r="B546" s="412"/>
      <c r="C546" s="412"/>
      <c r="D546" s="412"/>
      <c r="E546" s="345"/>
      <c r="F546" s="346"/>
      <c r="G546" s="412"/>
      <c r="H546" s="350"/>
      <c r="I546" s="346"/>
      <c r="J546" s="410"/>
      <c r="K546" s="410"/>
      <c r="L546" s="410"/>
    </row>
    <row r="547" spans="1:12">
      <c r="A547" s="412"/>
      <c r="B547" s="412"/>
      <c r="C547" s="412"/>
      <c r="D547" s="412"/>
      <c r="E547" s="345"/>
      <c r="F547" s="346"/>
      <c r="G547" s="412"/>
      <c r="H547" s="350"/>
      <c r="I547" s="346"/>
      <c r="J547" s="410"/>
      <c r="K547" s="410"/>
      <c r="L547" s="410"/>
    </row>
    <row r="548" spans="1:12">
      <c r="A548" s="412"/>
      <c r="B548" s="412"/>
      <c r="C548" s="412"/>
      <c r="D548" s="412"/>
      <c r="E548" s="345"/>
      <c r="F548" s="346"/>
      <c r="G548" s="412"/>
      <c r="H548" s="350"/>
      <c r="I548" s="346"/>
      <c r="J548" s="410"/>
      <c r="K548" s="410"/>
      <c r="L548" s="410"/>
    </row>
    <row r="549" spans="1:12">
      <c r="A549" s="412"/>
      <c r="B549" s="412"/>
      <c r="C549" s="412"/>
      <c r="D549" s="412"/>
      <c r="E549" s="345"/>
      <c r="F549" s="346"/>
      <c r="G549" s="412"/>
      <c r="H549" s="350"/>
      <c r="I549" s="346"/>
      <c r="J549" s="410"/>
      <c r="K549" s="410"/>
      <c r="L549" s="410"/>
    </row>
    <row r="550" spans="1:12">
      <c r="A550" s="412"/>
      <c r="B550" s="412"/>
      <c r="C550" s="412"/>
      <c r="D550" s="412"/>
      <c r="E550" s="345"/>
      <c r="F550" s="346"/>
      <c r="G550" s="412"/>
      <c r="H550" s="350"/>
      <c r="I550" s="346"/>
      <c r="J550" s="410"/>
      <c r="K550" s="410"/>
      <c r="L550" s="410"/>
    </row>
    <row r="551" spans="1:12">
      <c r="A551" s="412"/>
      <c r="B551" s="412"/>
      <c r="C551" s="412"/>
      <c r="D551" s="412"/>
      <c r="E551" s="345"/>
      <c r="F551" s="346"/>
      <c r="G551" s="412"/>
      <c r="H551" s="350"/>
      <c r="I551" s="346"/>
      <c r="J551" s="410"/>
      <c r="K551" s="410"/>
      <c r="L551" s="410"/>
    </row>
    <row r="552" spans="1:12">
      <c r="A552" s="412"/>
      <c r="B552" s="412"/>
      <c r="C552" s="412"/>
      <c r="D552" s="412"/>
      <c r="E552" s="345"/>
      <c r="F552" s="346"/>
      <c r="G552" s="412"/>
      <c r="H552" s="350"/>
      <c r="I552" s="346"/>
      <c r="J552" s="410"/>
      <c r="K552" s="410"/>
      <c r="L552" s="410"/>
    </row>
    <row r="553" spans="1:12">
      <c r="A553" s="412"/>
      <c r="B553" s="412"/>
      <c r="C553" s="412"/>
      <c r="D553" s="412"/>
      <c r="E553" s="345"/>
      <c r="F553" s="346"/>
      <c r="G553" s="412"/>
      <c r="H553" s="350"/>
      <c r="I553" s="346"/>
      <c r="J553" s="410"/>
      <c r="K553" s="410"/>
      <c r="L553" s="410"/>
    </row>
    <row r="554" spans="1:12">
      <c r="A554" s="412"/>
      <c r="B554" s="412"/>
      <c r="C554" s="412"/>
      <c r="D554" s="412"/>
      <c r="E554" s="345"/>
      <c r="F554" s="346"/>
      <c r="G554" s="412"/>
      <c r="H554" s="350"/>
      <c r="I554" s="346"/>
      <c r="J554" s="410"/>
      <c r="K554" s="410"/>
      <c r="L554" s="410"/>
    </row>
    <row r="555" spans="1:12">
      <c r="A555" s="412"/>
      <c r="B555" s="412"/>
      <c r="C555" s="412"/>
      <c r="D555" s="412"/>
      <c r="E555" s="345"/>
      <c r="F555" s="346"/>
      <c r="G555" s="412"/>
      <c r="H555" s="350"/>
      <c r="I555" s="346"/>
      <c r="J555" s="410"/>
      <c r="K555" s="410"/>
      <c r="L555" s="410"/>
    </row>
    <row r="556" spans="1:12">
      <c r="A556" s="412"/>
      <c r="B556" s="412"/>
      <c r="C556" s="412"/>
      <c r="D556" s="412"/>
      <c r="E556" s="345"/>
      <c r="F556" s="346"/>
      <c r="G556" s="412"/>
      <c r="H556" s="350"/>
      <c r="I556" s="346"/>
      <c r="J556" s="410"/>
      <c r="K556" s="410"/>
      <c r="L556" s="410"/>
    </row>
    <row r="557" spans="1:12">
      <c r="A557" s="412"/>
      <c r="B557" s="412"/>
      <c r="C557" s="412"/>
      <c r="D557" s="412"/>
      <c r="E557" s="345"/>
      <c r="F557" s="346"/>
      <c r="G557" s="412"/>
      <c r="H557" s="350"/>
      <c r="I557" s="346"/>
      <c r="J557" s="410"/>
      <c r="K557" s="410"/>
      <c r="L557" s="410"/>
    </row>
    <row r="558" spans="1:12">
      <c r="A558" s="412"/>
      <c r="B558" s="412"/>
      <c r="C558" s="412"/>
      <c r="D558" s="412"/>
      <c r="E558" s="345"/>
      <c r="F558" s="346"/>
      <c r="G558" s="412"/>
      <c r="H558" s="350"/>
      <c r="I558" s="346"/>
      <c r="J558" s="410"/>
      <c r="K558" s="410"/>
      <c r="L558" s="410"/>
    </row>
    <row r="559" spans="1:12">
      <c r="A559" s="412"/>
      <c r="B559" s="412"/>
      <c r="C559" s="412"/>
      <c r="D559" s="412"/>
      <c r="E559" s="345"/>
      <c r="F559" s="346"/>
      <c r="G559" s="412"/>
      <c r="H559" s="350"/>
      <c r="I559" s="346"/>
      <c r="J559" s="410"/>
      <c r="K559" s="410"/>
      <c r="L559" s="410"/>
    </row>
    <row r="560" spans="1:12">
      <c r="A560" s="412"/>
      <c r="B560" s="412"/>
      <c r="C560" s="412"/>
      <c r="D560" s="412"/>
      <c r="E560" s="345"/>
      <c r="F560" s="346"/>
      <c r="G560" s="412"/>
      <c r="H560" s="350"/>
      <c r="I560" s="346"/>
      <c r="J560" s="410"/>
      <c r="K560" s="410"/>
      <c r="L560" s="410"/>
    </row>
    <row r="561" spans="1:12">
      <c r="A561" s="412"/>
      <c r="B561" s="412"/>
      <c r="C561" s="412"/>
      <c r="D561" s="412"/>
      <c r="E561" s="345"/>
      <c r="F561" s="346"/>
      <c r="G561" s="412"/>
      <c r="H561" s="350"/>
      <c r="I561" s="346"/>
      <c r="J561" s="410"/>
      <c r="K561" s="410"/>
      <c r="L561" s="410"/>
    </row>
    <row r="562" spans="1:12">
      <c r="A562" s="412"/>
      <c r="B562" s="412"/>
      <c r="C562" s="412"/>
      <c r="D562" s="412"/>
      <c r="E562" s="345"/>
      <c r="F562" s="346"/>
      <c r="G562" s="412"/>
      <c r="H562" s="350"/>
      <c r="I562" s="346"/>
      <c r="J562" s="410"/>
      <c r="K562" s="410"/>
      <c r="L562" s="410"/>
    </row>
    <row r="563" spans="1:12">
      <c r="A563" s="412"/>
      <c r="B563" s="412"/>
      <c r="C563" s="412"/>
      <c r="D563" s="412"/>
      <c r="E563" s="345"/>
      <c r="F563" s="346"/>
      <c r="G563" s="412"/>
      <c r="H563" s="350"/>
      <c r="I563" s="346"/>
      <c r="J563" s="410"/>
      <c r="K563" s="410"/>
      <c r="L563" s="410"/>
    </row>
    <row r="564" spans="1:12">
      <c r="A564" s="412"/>
      <c r="B564" s="412"/>
      <c r="C564" s="412"/>
      <c r="D564" s="412"/>
      <c r="E564" s="345"/>
      <c r="F564" s="346"/>
      <c r="G564" s="412"/>
      <c r="H564" s="350"/>
      <c r="I564" s="346"/>
      <c r="J564" s="410"/>
      <c r="K564" s="410"/>
      <c r="L564" s="410"/>
    </row>
    <row r="565" spans="1:12">
      <c r="A565" s="412"/>
      <c r="B565" s="412"/>
      <c r="C565" s="412"/>
      <c r="D565" s="412"/>
      <c r="E565" s="345"/>
      <c r="F565" s="346"/>
      <c r="G565" s="412"/>
      <c r="H565" s="350"/>
      <c r="I565" s="346"/>
      <c r="J565" s="410"/>
      <c r="K565" s="410"/>
      <c r="L565" s="410"/>
    </row>
    <row r="566" spans="1:12">
      <c r="A566" s="412"/>
      <c r="B566" s="412"/>
      <c r="C566" s="412"/>
      <c r="D566" s="412"/>
      <c r="E566" s="345"/>
      <c r="F566" s="346"/>
      <c r="G566" s="412"/>
      <c r="H566" s="350"/>
      <c r="I566" s="346"/>
      <c r="J566" s="410"/>
      <c r="K566" s="410"/>
      <c r="L566" s="410"/>
    </row>
    <row r="567" spans="1:12">
      <c r="A567" s="412"/>
      <c r="B567" s="412"/>
      <c r="C567" s="412"/>
      <c r="D567" s="412"/>
      <c r="E567" s="345"/>
      <c r="F567" s="346"/>
      <c r="G567" s="412"/>
      <c r="H567" s="350"/>
      <c r="I567" s="346"/>
      <c r="J567" s="410"/>
      <c r="K567" s="410"/>
      <c r="L567" s="410"/>
    </row>
    <row r="568" spans="1:12">
      <c r="A568" s="412"/>
      <c r="B568" s="412"/>
      <c r="C568" s="412"/>
      <c r="D568" s="412"/>
      <c r="E568" s="345"/>
      <c r="F568" s="346"/>
      <c r="G568" s="412"/>
      <c r="H568" s="350"/>
      <c r="I568" s="346"/>
      <c r="J568" s="410"/>
      <c r="K568" s="410"/>
      <c r="L568" s="410"/>
    </row>
    <row r="569" spans="1:12">
      <c r="A569" s="412"/>
      <c r="B569" s="412"/>
      <c r="C569" s="412"/>
      <c r="D569" s="412"/>
      <c r="E569" s="345"/>
      <c r="F569" s="346"/>
      <c r="G569" s="412"/>
      <c r="H569" s="350"/>
      <c r="I569" s="346"/>
      <c r="J569" s="410"/>
      <c r="K569" s="410"/>
      <c r="L569" s="410"/>
    </row>
    <row r="570" spans="1:12">
      <c r="A570" s="412"/>
      <c r="B570" s="412"/>
      <c r="C570" s="412"/>
      <c r="D570" s="412"/>
      <c r="E570" s="345"/>
      <c r="F570" s="346"/>
      <c r="G570" s="412"/>
      <c r="H570" s="350"/>
      <c r="I570" s="346"/>
      <c r="J570" s="410"/>
      <c r="K570" s="410"/>
      <c r="L570" s="410"/>
    </row>
    <row r="571" spans="1:12">
      <c r="A571" s="412"/>
      <c r="B571" s="412"/>
      <c r="C571" s="412"/>
      <c r="D571" s="412"/>
      <c r="E571" s="345"/>
      <c r="F571" s="346"/>
      <c r="G571" s="412"/>
      <c r="H571" s="350"/>
      <c r="I571" s="346"/>
      <c r="J571" s="410"/>
      <c r="K571" s="410"/>
      <c r="L571" s="410"/>
    </row>
    <row r="572" spans="1:12">
      <c r="A572" s="412"/>
      <c r="B572" s="412"/>
      <c r="C572" s="412"/>
      <c r="D572" s="412"/>
      <c r="E572" s="345"/>
      <c r="F572" s="346"/>
      <c r="G572" s="412"/>
      <c r="H572" s="350"/>
      <c r="I572" s="346"/>
      <c r="J572" s="410"/>
      <c r="K572" s="410"/>
      <c r="L572" s="410"/>
    </row>
    <row r="573" spans="1:12">
      <c r="A573" s="412"/>
      <c r="B573" s="412"/>
      <c r="C573" s="412"/>
      <c r="D573" s="412"/>
      <c r="E573" s="345"/>
      <c r="F573" s="346"/>
      <c r="G573" s="412"/>
      <c r="H573" s="350"/>
      <c r="I573" s="346"/>
      <c r="J573" s="410"/>
      <c r="K573" s="410"/>
      <c r="L573" s="410"/>
    </row>
    <row r="574" spans="1:12">
      <c r="A574" s="412"/>
      <c r="B574" s="412"/>
      <c r="C574" s="412"/>
      <c r="D574" s="412"/>
      <c r="E574" s="345"/>
      <c r="F574" s="346"/>
      <c r="G574" s="412"/>
      <c r="H574" s="350"/>
      <c r="I574" s="346"/>
      <c r="J574" s="410"/>
      <c r="K574" s="410"/>
      <c r="L574" s="410"/>
    </row>
    <row r="575" spans="1:12">
      <c r="A575" s="412"/>
      <c r="B575" s="412"/>
      <c r="C575" s="412"/>
      <c r="D575" s="412"/>
      <c r="E575" s="345"/>
      <c r="F575" s="346"/>
      <c r="G575" s="412"/>
      <c r="H575" s="350"/>
      <c r="I575" s="346"/>
      <c r="J575" s="410"/>
      <c r="K575" s="410"/>
      <c r="L575" s="410"/>
    </row>
    <row r="576" spans="1:12">
      <c r="A576" s="412"/>
      <c r="B576" s="412"/>
      <c r="C576" s="412"/>
      <c r="D576" s="412"/>
      <c r="E576" s="345"/>
      <c r="F576" s="346"/>
      <c r="G576" s="412"/>
      <c r="H576" s="350"/>
      <c r="I576" s="346"/>
      <c r="J576" s="410"/>
      <c r="K576" s="410"/>
      <c r="L576" s="410"/>
    </row>
    <row r="577" spans="1:12">
      <c r="A577" s="412"/>
      <c r="B577" s="412"/>
      <c r="C577" s="412"/>
      <c r="D577" s="412"/>
      <c r="E577" s="345"/>
      <c r="F577" s="346"/>
      <c r="G577" s="412"/>
      <c r="H577" s="350"/>
      <c r="I577" s="346"/>
      <c r="J577" s="410"/>
      <c r="K577" s="410"/>
      <c r="L577" s="410"/>
    </row>
    <row r="578" spans="1:12">
      <c r="A578" s="412"/>
      <c r="B578" s="412"/>
      <c r="C578" s="412"/>
      <c r="D578" s="412"/>
      <c r="E578" s="345"/>
      <c r="F578" s="346"/>
      <c r="G578" s="412"/>
      <c r="H578" s="350"/>
      <c r="I578" s="346"/>
      <c r="J578" s="410"/>
      <c r="K578" s="410"/>
      <c r="L578" s="410"/>
    </row>
    <row r="579" spans="1:12">
      <c r="A579" s="412"/>
      <c r="B579" s="412"/>
      <c r="C579" s="412"/>
      <c r="D579" s="412"/>
      <c r="E579" s="345"/>
      <c r="F579" s="346"/>
      <c r="G579" s="412"/>
      <c r="H579" s="350"/>
      <c r="I579" s="346"/>
      <c r="J579" s="410"/>
      <c r="K579" s="410"/>
      <c r="L579" s="410"/>
    </row>
    <row r="580" spans="1:12">
      <c r="A580" s="412"/>
      <c r="B580" s="412"/>
      <c r="C580" s="412"/>
      <c r="D580" s="412"/>
      <c r="E580" s="345"/>
      <c r="F580" s="346"/>
      <c r="G580" s="412"/>
      <c r="H580" s="350"/>
      <c r="I580" s="346"/>
      <c r="J580" s="410"/>
      <c r="K580" s="410"/>
      <c r="L580" s="410"/>
    </row>
    <row r="581" spans="1:12">
      <c r="A581" s="412"/>
      <c r="B581" s="412"/>
      <c r="C581" s="412"/>
      <c r="D581" s="412"/>
      <c r="E581" s="345"/>
      <c r="F581" s="346"/>
      <c r="G581" s="412"/>
      <c r="H581" s="350"/>
      <c r="I581" s="346"/>
      <c r="J581" s="410"/>
      <c r="K581" s="410"/>
      <c r="L581" s="410"/>
    </row>
    <row r="582" spans="1:12">
      <c r="A582" s="412"/>
      <c r="B582" s="412"/>
      <c r="C582" s="412"/>
      <c r="D582" s="412"/>
      <c r="E582" s="345"/>
      <c r="F582" s="346"/>
      <c r="G582" s="412"/>
      <c r="H582" s="350"/>
      <c r="I582" s="346"/>
      <c r="J582" s="410"/>
      <c r="K582" s="410"/>
      <c r="L582" s="410"/>
    </row>
    <row r="583" spans="1:12">
      <c r="A583" s="412"/>
      <c r="B583" s="412"/>
      <c r="C583" s="412"/>
      <c r="D583" s="412"/>
      <c r="E583" s="345"/>
      <c r="F583" s="346"/>
      <c r="G583" s="412"/>
      <c r="H583" s="350"/>
      <c r="I583" s="346"/>
      <c r="J583" s="410"/>
      <c r="K583" s="410"/>
      <c r="L583" s="410"/>
    </row>
    <row r="584" spans="1:12">
      <c r="A584" s="412"/>
      <c r="B584" s="412"/>
      <c r="C584" s="412"/>
      <c r="D584" s="412"/>
      <c r="E584" s="345"/>
      <c r="F584" s="346"/>
      <c r="G584" s="412"/>
      <c r="H584" s="350"/>
      <c r="I584" s="346"/>
      <c r="J584" s="410"/>
      <c r="K584" s="410"/>
      <c r="L584" s="410"/>
    </row>
    <row r="585" spans="1:12">
      <c r="A585" s="412"/>
      <c r="B585" s="412"/>
      <c r="C585" s="412"/>
      <c r="D585" s="412"/>
      <c r="E585" s="345"/>
      <c r="F585" s="346"/>
      <c r="G585" s="412"/>
      <c r="H585" s="350"/>
      <c r="I585" s="346"/>
      <c r="J585" s="410"/>
      <c r="K585" s="410"/>
      <c r="L585" s="410"/>
    </row>
    <row r="586" spans="1:12">
      <c r="A586" s="412"/>
      <c r="B586" s="412"/>
      <c r="C586" s="412"/>
      <c r="D586" s="412"/>
      <c r="E586" s="345"/>
      <c r="F586" s="346"/>
      <c r="G586" s="412"/>
      <c r="H586" s="350"/>
      <c r="I586" s="346"/>
      <c r="J586" s="410"/>
      <c r="K586" s="410"/>
      <c r="L586" s="410"/>
    </row>
    <row r="587" spans="1:12">
      <c r="A587" s="412"/>
      <c r="B587" s="412"/>
      <c r="C587" s="412"/>
      <c r="D587" s="412"/>
      <c r="E587" s="345"/>
      <c r="F587" s="346"/>
      <c r="G587" s="412"/>
      <c r="H587" s="350"/>
      <c r="I587" s="346"/>
      <c r="J587" s="410"/>
      <c r="K587" s="410"/>
      <c r="L587" s="410"/>
    </row>
    <row r="588" spans="1:12">
      <c r="A588" s="412"/>
      <c r="B588" s="412"/>
      <c r="C588" s="412"/>
      <c r="D588" s="412"/>
      <c r="E588" s="345"/>
      <c r="F588" s="346"/>
      <c r="G588" s="412"/>
      <c r="H588" s="350"/>
      <c r="I588" s="346"/>
      <c r="J588" s="410"/>
      <c r="K588" s="410"/>
      <c r="L588" s="410"/>
    </row>
    <row r="589" spans="1:12">
      <c r="A589" s="412"/>
      <c r="B589" s="412"/>
      <c r="C589" s="412"/>
      <c r="D589" s="412"/>
      <c r="E589" s="345"/>
      <c r="F589" s="346"/>
      <c r="G589" s="412"/>
      <c r="H589" s="350"/>
      <c r="I589" s="346"/>
      <c r="J589" s="410"/>
      <c r="K589" s="410"/>
      <c r="L589" s="410"/>
    </row>
    <row r="590" spans="1:12">
      <c r="A590" s="412"/>
      <c r="B590" s="412"/>
      <c r="C590" s="412"/>
      <c r="D590" s="412"/>
      <c r="E590" s="345"/>
      <c r="F590" s="346"/>
      <c r="G590" s="412"/>
      <c r="H590" s="350"/>
      <c r="I590" s="346"/>
      <c r="J590" s="410"/>
      <c r="K590" s="410"/>
      <c r="L590" s="410"/>
    </row>
    <row r="591" spans="1:12">
      <c r="A591" s="412"/>
      <c r="B591" s="412"/>
      <c r="C591" s="412"/>
      <c r="D591" s="412"/>
      <c r="E591" s="345"/>
      <c r="F591" s="346"/>
      <c r="G591" s="412"/>
      <c r="H591" s="350"/>
      <c r="I591" s="346"/>
      <c r="J591" s="410"/>
      <c r="K591" s="410"/>
      <c r="L591" s="410"/>
    </row>
    <row r="592" spans="1:12">
      <c r="A592" s="412"/>
      <c r="B592" s="412"/>
      <c r="C592" s="412"/>
      <c r="D592" s="412"/>
      <c r="E592" s="345"/>
      <c r="F592" s="346"/>
      <c r="G592" s="412"/>
      <c r="H592" s="350"/>
      <c r="I592" s="346"/>
      <c r="J592" s="410"/>
      <c r="K592" s="410"/>
      <c r="L592" s="410"/>
    </row>
    <row r="593" spans="1:12">
      <c r="A593" s="412"/>
      <c r="B593" s="412"/>
      <c r="C593" s="412"/>
      <c r="D593" s="412"/>
      <c r="E593" s="345"/>
      <c r="F593" s="346"/>
      <c r="G593" s="412"/>
      <c r="H593" s="350"/>
      <c r="I593" s="346"/>
      <c r="J593" s="410"/>
      <c r="K593" s="410"/>
      <c r="L593" s="410"/>
    </row>
    <row r="594" spans="1:12">
      <c r="A594" s="412"/>
      <c r="B594" s="412"/>
      <c r="C594" s="412"/>
      <c r="D594" s="412"/>
      <c r="E594" s="345"/>
      <c r="F594" s="346"/>
      <c r="G594" s="412"/>
      <c r="H594" s="350"/>
      <c r="I594" s="346"/>
      <c r="J594" s="410"/>
      <c r="K594" s="410"/>
      <c r="L594" s="410"/>
    </row>
    <row r="595" spans="1:12">
      <c r="A595" s="412"/>
      <c r="B595" s="412"/>
      <c r="C595" s="412"/>
      <c r="D595" s="412"/>
      <c r="E595" s="345"/>
      <c r="F595" s="346"/>
      <c r="G595" s="412"/>
      <c r="H595" s="350"/>
      <c r="I595" s="346"/>
      <c r="J595" s="410"/>
      <c r="K595" s="410"/>
      <c r="L595" s="410"/>
    </row>
    <row r="596" spans="1:12">
      <c r="A596" s="412"/>
      <c r="B596" s="412"/>
      <c r="C596" s="412"/>
      <c r="D596" s="412"/>
      <c r="E596" s="345"/>
      <c r="F596" s="346"/>
      <c r="G596" s="412"/>
      <c r="H596" s="350"/>
      <c r="I596" s="346"/>
      <c r="J596" s="410"/>
      <c r="K596" s="410"/>
      <c r="L596" s="410"/>
    </row>
    <row r="597" spans="1:12">
      <c r="A597" s="412"/>
      <c r="B597" s="412"/>
      <c r="C597" s="412"/>
      <c r="D597" s="412"/>
      <c r="E597" s="345"/>
      <c r="F597" s="346"/>
      <c r="G597" s="412"/>
      <c r="H597" s="350"/>
      <c r="I597" s="346"/>
      <c r="J597" s="410"/>
      <c r="K597" s="410"/>
      <c r="L597" s="410"/>
    </row>
    <row r="598" spans="1:12">
      <c r="A598" s="412"/>
      <c r="B598" s="412"/>
      <c r="C598" s="412"/>
      <c r="D598" s="412"/>
      <c r="E598" s="345"/>
      <c r="F598" s="346"/>
      <c r="G598" s="412"/>
      <c r="H598" s="350"/>
      <c r="I598" s="346"/>
      <c r="J598" s="410"/>
      <c r="K598" s="410"/>
      <c r="L598" s="410"/>
    </row>
    <row r="599" spans="1:12">
      <c r="A599" s="412"/>
      <c r="B599" s="412"/>
      <c r="C599" s="412"/>
      <c r="D599" s="412"/>
      <c r="E599" s="345"/>
      <c r="F599" s="346"/>
      <c r="G599" s="412"/>
      <c r="H599" s="350"/>
      <c r="I599" s="346"/>
      <c r="J599" s="410"/>
      <c r="K599" s="410"/>
      <c r="L599" s="410"/>
    </row>
    <row r="600" spans="1:12">
      <c r="A600" s="412"/>
      <c r="B600" s="412"/>
      <c r="C600" s="412"/>
      <c r="D600" s="412"/>
      <c r="E600" s="345"/>
      <c r="F600" s="346"/>
      <c r="G600" s="412"/>
      <c r="H600" s="350"/>
      <c r="I600" s="346"/>
      <c r="J600" s="410"/>
      <c r="K600" s="410"/>
      <c r="L600" s="410"/>
    </row>
    <row r="601" spans="1:12">
      <c r="A601" s="412"/>
      <c r="B601" s="412"/>
      <c r="C601" s="412"/>
      <c r="D601" s="412"/>
      <c r="E601" s="345"/>
      <c r="F601" s="346"/>
      <c r="G601" s="412"/>
      <c r="H601" s="350"/>
      <c r="I601" s="346"/>
      <c r="J601" s="410"/>
      <c r="K601" s="410"/>
      <c r="L601" s="410"/>
    </row>
    <row r="602" spans="1:12">
      <c r="A602" s="412"/>
      <c r="B602" s="412"/>
      <c r="C602" s="412"/>
      <c r="D602" s="412"/>
      <c r="E602" s="345"/>
      <c r="F602" s="346"/>
      <c r="G602" s="412"/>
      <c r="H602" s="350"/>
      <c r="I602" s="346"/>
      <c r="J602" s="410"/>
      <c r="K602" s="410"/>
      <c r="L602" s="410"/>
    </row>
    <row r="603" spans="1:12">
      <c r="A603" s="412"/>
      <c r="B603" s="412"/>
      <c r="C603" s="412"/>
      <c r="D603" s="412"/>
      <c r="E603" s="345"/>
      <c r="F603" s="346"/>
      <c r="G603" s="412"/>
      <c r="H603" s="350"/>
      <c r="I603" s="346"/>
      <c r="J603" s="410"/>
      <c r="K603" s="410"/>
      <c r="L603" s="410"/>
    </row>
    <row r="604" spans="1:12">
      <c r="A604" s="412"/>
      <c r="B604" s="412"/>
      <c r="C604" s="412"/>
      <c r="D604" s="412"/>
      <c r="E604" s="345"/>
      <c r="F604" s="346"/>
      <c r="G604" s="412"/>
      <c r="H604" s="350"/>
      <c r="I604" s="346"/>
      <c r="J604" s="410"/>
      <c r="K604" s="410"/>
      <c r="L604" s="410"/>
    </row>
    <row r="605" spans="1:12">
      <c r="A605" s="412"/>
      <c r="B605" s="412"/>
      <c r="C605" s="412"/>
      <c r="D605" s="412"/>
      <c r="E605" s="345"/>
      <c r="F605" s="346"/>
      <c r="G605" s="412"/>
      <c r="H605" s="350"/>
      <c r="I605" s="346"/>
      <c r="J605" s="410"/>
      <c r="K605" s="410"/>
      <c r="L605" s="410"/>
    </row>
    <row r="606" spans="1:12">
      <c r="A606" s="412"/>
      <c r="B606" s="412"/>
      <c r="C606" s="412"/>
      <c r="D606" s="412"/>
      <c r="E606" s="345"/>
      <c r="F606" s="346"/>
      <c r="G606" s="412"/>
      <c r="H606" s="350"/>
      <c r="I606" s="346"/>
      <c r="J606" s="410"/>
      <c r="K606" s="410"/>
      <c r="L606" s="410"/>
    </row>
    <row r="607" spans="1:12">
      <c r="A607" s="412"/>
      <c r="B607" s="412"/>
      <c r="C607" s="412"/>
      <c r="D607" s="412"/>
      <c r="E607" s="345"/>
      <c r="F607" s="346"/>
      <c r="G607" s="412"/>
      <c r="H607" s="350"/>
      <c r="I607" s="346"/>
      <c r="J607" s="410"/>
      <c r="K607" s="410"/>
      <c r="L607" s="410"/>
    </row>
    <row r="608" spans="1:12">
      <c r="A608" s="412"/>
      <c r="B608" s="412"/>
      <c r="C608" s="412"/>
      <c r="D608" s="412"/>
      <c r="E608" s="345"/>
      <c r="F608" s="346"/>
      <c r="G608" s="412"/>
      <c r="H608" s="350"/>
      <c r="I608" s="346"/>
      <c r="J608" s="410"/>
      <c r="K608" s="410"/>
      <c r="L608" s="410"/>
    </row>
    <row r="609" spans="1:12">
      <c r="A609" s="412"/>
      <c r="B609" s="412"/>
      <c r="C609" s="412"/>
      <c r="D609" s="412"/>
      <c r="E609" s="345"/>
      <c r="F609" s="346"/>
      <c r="G609" s="412"/>
      <c r="H609" s="350"/>
      <c r="I609" s="346"/>
      <c r="J609" s="410"/>
      <c r="K609" s="410"/>
      <c r="L609" s="410"/>
    </row>
    <row r="610" spans="1:12">
      <c r="A610" s="412"/>
      <c r="B610" s="412"/>
      <c r="C610" s="412"/>
      <c r="D610" s="412"/>
      <c r="E610" s="345"/>
      <c r="F610" s="346"/>
      <c r="G610" s="412"/>
      <c r="H610" s="350"/>
      <c r="I610" s="346"/>
      <c r="J610" s="410"/>
      <c r="K610" s="410"/>
      <c r="L610" s="410"/>
    </row>
    <row r="611" spans="1:12">
      <c r="A611" s="412"/>
      <c r="B611" s="412"/>
      <c r="C611" s="412"/>
      <c r="D611" s="412"/>
      <c r="E611" s="345"/>
      <c r="F611" s="346"/>
      <c r="G611" s="412"/>
      <c r="H611" s="350"/>
      <c r="I611" s="346"/>
      <c r="J611" s="410"/>
      <c r="K611" s="410"/>
      <c r="L611" s="410"/>
    </row>
    <row r="612" spans="1:12">
      <c r="A612" s="412"/>
      <c r="B612" s="412"/>
      <c r="C612" s="412"/>
      <c r="D612" s="412"/>
      <c r="E612" s="345"/>
      <c r="F612" s="346"/>
      <c r="G612" s="412"/>
      <c r="H612" s="350"/>
      <c r="I612" s="346"/>
      <c r="J612" s="410"/>
      <c r="K612" s="410"/>
      <c r="L612" s="410"/>
    </row>
    <row r="613" spans="1:12">
      <c r="A613" s="412"/>
      <c r="B613" s="412"/>
      <c r="C613" s="412"/>
      <c r="D613" s="412"/>
      <c r="E613" s="345"/>
      <c r="F613" s="346"/>
      <c r="G613" s="412"/>
      <c r="H613" s="350"/>
      <c r="I613" s="346"/>
      <c r="J613" s="410"/>
      <c r="K613" s="410"/>
      <c r="L613" s="410"/>
    </row>
    <row r="614" spans="1:12">
      <c r="A614" s="412"/>
      <c r="B614" s="412"/>
      <c r="C614" s="412"/>
      <c r="D614" s="412"/>
      <c r="E614" s="345"/>
      <c r="F614" s="346"/>
      <c r="G614" s="412"/>
      <c r="H614" s="350"/>
      <c r="I614" s="346"/>
      <c r="J614" s="410"/>
      <c r="K614" s="410"/>
      <c r="L614" s="410"/>
    </row>
    <row r="615" spans="1:12">
      <c r="A615" s="412"/>
      <c r="B615" s="412"/>
      <c r="C615" s="412"/>
      <c r="D615" s="412"/>
      <c r="E615" s="345"/>
      <c r="F615" s="346"/>
      <c r="G615" s="412"/>
      <c r="H615" s="350"/>
      <c r="I615" s="346"/>
      <c r="J615" s="410"/>
      <c r="K615" s="410"/>
      <c r="L615" s="410"/>
    </row>
    <row r="616" spans="1:12">
      <c r="A616" s="412"/>
      <c r="B616" s="412"/>
      <c r="C616" s="412"/>
      <c r="D616" s="412"/>
      <c r="E616" s="345"/>
      <c r="F616" s="346"/>
      <c r="G616" s="412"/>
      <c r="H616" s="350"/>
      <c r="I616" s="346"/>
      <c r="J616" s="410"/>
      <c r="K616" s="410"/>
      <c r="L616" s="410"/>
    </row>
    <row r="617" spans="1:12">
      <c r="A617" s="412"/>
      <c r="B617" s="412"/>
      <c r="C617" s="412"/>
      <c r="D617" s="412"/>
      <c r="E617" s="345"/>
      <c r="F617" s="346"/>
      <c r="G617" s="412"/>
      <c r="H617" s="350"/>
      <c r="I617" s="346"/>
      <c r="J617" s="410"/>
      <c r="K617" s="410"/>
      <c r="L617" s="410"/>
    </row>
    <row r="618" spans="1:12">
      <c r="A618" s="412"/>
      <c r="B618" s="412"/>
      <c r="C618" s="412"/>
      <c r="D618" s="412"/>
      <c r="E618" s="345"/>
      <c r="F618" s="346"/>
      <c r="G618" s="412"/>
      <c r="H618" s="350"/>
      <c r="I618" s="346"/>
      <c r="J618" s="410"/>
      <c r="K618" s="410"/>
      <c r="L618" s="410"/>
    </row>
    <row r="619" spans="1:12">
      <c r="A619" s="412"/>
      <c r="B619" s="412"/>
      <c r="C619" s="412"/>
      <c r="D619" s="412"/>
      <c r="E619" s="345"/>
      <c r="F619" s="346"/>
      <c r="G619" s="412"/>
      <c r="H619" s="350"/>
      <c r="I619" s="346"/>
      <c r="J619" s="410"/>
      <c r="K619" s="410"/>
      <c r="L619" s="410"/>
    </row>
    <row r="620" spans="1:12">
      <c r="A620" s="412"/>
      <c r="B620" s="412"/>
      <c r="C620" s="412"/>
      <c r="D620" s="412"/>
      <c r="E620" s="345"/>
      <c r="F620" s="346"/>
      <c r="G620" s="412"/>
      <c r="H620" s="350"/>
      <c r="I620" s="346"/>
      <c r="J620" s="410"/>
      <c r="K620" s="410"/>
      <c r="L620" s="410"/>
    </row>
    <row r="621" spans="1:12">
      <c r="A621" s="412"/>
      <c r="B621" s="412"/>
      <c r="C621" s="412"/>
      <c r="D621" s="412"/>
      <c r="E621" s="345"/>
      <c r="F621" s="346"/>
      <c r="G621" s="412"/>
      <c r="H621" s="350"/>
      <c r="I621" s="346"/>
      <c r="J621" s="410"/>
      <c r="K621" s="410"/>
      <c r="L621" s="410"/>
    </row>
    <row r="622" spans="1:12">
      <c r="A622" s="412"/>
      <c r="B622" s="412"/>
      <c r="C622" s="412"/>
      <c r="D622" s="412"/>
      <c r="E622" s="345"/>
      <c r="F622" s="346"/>
      <c r="G622" s="412"/>
      <c r="H622" s="350"/>
      <c r="I622" s="346"/>
      <c r="J622" s="410"/>
      <c r="K622" s="410"/>
      <c r="L622" s="410"/>
    </row>
    <row r="623" spans="1:12">
      <c r="A623" s="412"/>
      <c r="B623" s="412"/>
      <c r="C623" s="412"/>
      <c r="D623" s="412"/>
      <c r="E623" s="345"/>
      <c r="F623" s="346"/>
      <c r="G623" s="412"/>
      <c r="H623" s="350"/>
      <c r="I623" s="346"/>
      <c r="J623" s="410"/>
      <c r="K623" s="410"/>
      <c r="L623" s="410"/>
    </row>
    <row r="624" spans="1:12">
      <c r="A624" s="412"/>
      <c r="B624" s="412"/>
      <c r="C624" s="412"/>
      <c r="D624" s="412"/>
      <c r="E624" s="345"/>
      <c r="F624" s="346"/>
      <c r="G624" s="412"/>
      <c r="H624" s="350"/>
      <c r="I624" s="346"/>
      <c r="J624" s="410"/>
      <c r="K624" s="410"/>
      <c r="L624" s="410"/>
    </row>
    <row r="625" spans="1:12">
      <c r="A625" s="412"/>
      <c r="B625" s="412"/>
      <c r="C625" s="412"/>
      <c r="D625" s="412"/>
      <c r="E625" s="345"/>
      <c r="F625" s="346"/>
      <c r="G625" s="412"/>
      <c r="H625" s="350"/>
      <c r="I625" s="346"/>
      <c r="J625" s="410"/>
      <c r="K625" s="410"/>
      <c r="L625" s="410"/>
    </row>
    <row r="626" spans="1:12">
      <c r="A626" s="412"/>
      <c r="B626" s="412"/>
      <c r="C626" s="412"/>
      <c r="D626" s="412"/>
      <c r="E626" s="345"/>
      <c r="F626" s="346"/>
      <c r="G626" s="412"/>
      <c r="H626" s="350"/>
      <c r="I626" s="346"/>
      <c r="J626" s="410"/>
      <c r="K626" s="410"/>
      <c r="L626" s="410"/>
    </row>
    <row r="627" spans="1:12">
      <c r="A627" s="412"/>
      <c r="B627" s="412"/>
      <c r="C627" s="412"/>
      <c r="D627" s="412"/>
      <c r="E627" s="345"/>
      <c r="F627" s="346"/>
      <c r="G627" s="412"/>
      <c r="H627" s="350"/>
      <c r="I627" s="346"/>
      <c r="J627" s="410"/>
      <c r="K627" s="410"/>
      <c r="L627" s="410"/>
    </row>
    <row r="628" spans="1:12">
      <c r="A628" s="412"/>
      <c r="B628" s="412"/>
      <c r="C628" s="412"/>
      <c r="D628" s="412"/>
      <c r="E628" s="345"/>
      <c r="F628" s="346"/>
      <c r="G628" s="412"/>
      <c r="H628" s="350"/>
      <c r="I628" s="346"/>
      <c r="J628" s="410"/>
      <c r="K628" s="410"/>
      <c r="L628" s="410"/>
    </row>
    <row r="629" spans="1:12">
      <c r="A629" s="412"/>
      <c r="B629" s="412"/>
      <c r="C629" s="412"/>
      <c r="D629" s="412"/>
      <c r="E629" s="345"/>
      <c r="F629" s="346"/>
      <c r="G629" s="412"/>
      <c r="H629" s="350"/>
      <c r="I629" s="346"/>
      <c r="J629" s="410"/>
      <c r="K629" s="410"/>
      <c r="L629" s="410"/>
    </row>
    <row r="630" spans="1:12">
      <c r="A630" s="412"/>
      <c r="B630" s="412"/>
      <c r="C630" s="412"/>
      <c r="D630" s="412"/>
      <c r="E630" s="345"/>
      <c r="F630" s="346"/>
      <c r="G630" s="412"/>
      <c r="H630" s="350"/>
      <c r="I630" s="346"/>
      <c r="J630" s="410"/>
      <c r="K630" s="410"/>
      <c r="L630" s="410"/>
    </row>
    <row r="631" spans="1:12">
      <c r="A631" s="412"/>
      <c r="B631" s="412"/>
      <c r="C631" s="412"/>
      <c r="D631" s="412"/>
      <c r="E631" s="345"/>
      <c r="F631" s="346"/>
      <c r="G631" s="412"/>
      <c r="H631" s="350"/>
      <c r="I631" s="346"/>
      <c r="J631" s="410"/>
      <c r="K631" s="410"/>
      <c r="L631" s="410"/>
    </row>
    <row r="632" spans="1:12">
      <c r="A632" s="412"/>
      <c r="B632" s="412"/>
      <c r="C632" s="412"/>
      <c r="D632" s="412"/>
      <c r="E632" s="345"/>
      <c r="F632" s="346"/>
      <c r="G632" s="412"/>
      <c r="H632" s="350"/>
      <c r="I632" s="346"/>
      <c r="J632" s="410"/>
      <c r="K632" s="410"/>
      <c r="L632" s="410"/>
    </row>
    <row r="633" spans="1:12">
      <c r="A633" s="412"/>
      <c r="B633" s="412"/>
      <c r="C633" s="412"/>
      <c r="D633" s="412"/>
      <c r="E633" s="345"/>
      <c r="F633" s="346"/>
      <c r="G633" s="412"/>
      <c r="H633" s="350"/>
      <c r="I633" s="346"/>
      <c r="J633" s="410"/>
      <c r="K633" s="410"/>
      <c r="L633" s="410"/>
    </row>
    <row r="634" spans="1:12">
      <c r="A634" s="412"/>
      <c r="B634" s="412"/>
      <c r="C634" s="412"/>
      <c r="D634" s="412"/>
      <c r="E634" s="345"/>
      <c r="F634" s="346"/>
      <c r="G634" s="412"/>
      <c r="H634" s="350"/>
      <c r="I634" s="346"/>
      <c r="J634" s="410"/>
      <c r="K634" s="410"/>
      <c r="L634" s="410"/>
    </row>
    <row r="635" spans="1:12">
      <c r="A635" s="412"/>
      <c r="B635" s="412"/>
      <c r="C635" s="412"/>
      <c r="D635" s="412"/>
      <c r="E635" s="345"/>
      <c r="F635" s="346"/>
      <c r="G635" s="412"/>
      <c r="H635" s="350"/>
      <c r="I635" s="346"/>
      <c r="J635" s="410"/>
      <c r="K635" s="410"/>
      <c r="L635" s="410"/>
    </row>
    <row r="636" spans="1:12">
      <c r="A636" s="412"/>
      <c r="B636" s="412"/>
      <c r="C636" s="412"/>
      <c r="D636" s="412"/>
      <c r="E636" s="345"/>
      <c r="F636" s="346"/>
      <c r="G636" s="412"/>
      <c r="H636" s="350"/>
      <c r="I636" s="346"/>
      <c r="J636" s="410"/>
      <c r="K636" s="410"/>
      <c r="L636" s="410"/>
    </row>
    <row r="637" spans="1:12">
      <c r="A637" s="412"/>
      <c r="B637" s="412"/>
      <c r="C637" s="412"/>
      <c r="D637" s="412"/>
      <c r="E637" s="345"/>
      <c r="F637" s="346"/>
      <c r="G637" s="412"/>
      <c r="H637" s="350"/>
      <c r="I637" s="346"/>
      <c r="J637" s="410"/>
      <c r="K637" s="410"/>
      <c r="L637" s="410"/>
    </row>
    <row r="638" spans="1:12">
      <c r="A638" s="412"/>
      <c r="B638" s="412"/>
      <c r="C638" s="412"/>
      <c r="D638" s="412"/>
      <c r="E638" s="345"/>
      <c r="F638" s="346"/>
      <c r="G638" s="412"/>
      <c r="H638" s="350"/>
      <c r="I638" s="346"/>
      <c r="J638" s="410"/>
      <c r="K638" s="410"/>
      <c r="L638" s="410"/>
    </row>
    <row r="639" spans="1:12">
      <c r="A639" s="412"/>
      <c r="B639" s="412"/>
      <c r="C639" s="412"/>
      <c r="D639" s="412"/>
      <c r="E639" s="345"/>
      <c r="F639" s="346"/>
      <c r="G639" s="412"/>
      <c r="H639" s="350"/>
      <c r="I639" s="346"/>
      <c r="J639" s="410"/>
      <c r="K639" s="410"/>
      <c r="L639" s="410"/>
    </row>
    <row r="640" spans="1:12">
      <c r="A640" s="412"/>
      <c r="B640" s="412"/>
      <c r="C640" s="412"/>
      <c r="D640" s="412"/>
      <c r="E640" s="345"/>
      <c r="F640" s="346"/>
      <c r="G640" s="412"/>
      <c r="H640" s="350"/>
      <c r="I640" s="346"/>
      <c r="J640" s="410"/>
      <c r="K640" s="410"/>
      <c r="L640" s="410"/>
    </row>
    <row r="641" spans="1:12">
      <c r="A641" s="412"/>
      <c r="B641" s="412"/>
      <c r="C641" s="412"/>
      <c r="D641" s="412"/>
      <c r="E641" s="345"/>
      <c r="F641" s="346"/>
      <c r="G641" s="412"/>
      <c r="H641" s="350"/>
      <c r="I641" s="346"/>
      <c r="J641" s="410"/>
      <c r="K641" s="410"/>
      <c r="L641" s="410"/>
    </row>
    <row r="642" spans="1:12">
      <c r="A642" s="412"/>
      <c r="B642" s="412"/>
      <c r="C642" s="412"/>
      <c r="D642" s="412"/>
      <c r="E642" s="345"/>
      <c r="F642" s="346"/>
      <c r="G642" s="412"/>
      <c r="H642" s="350"/>
      <c r="I642" s="346"/>
      <c r="J642" s="410"/>
      <c r="K642" s="410"/>
      <c r="L642" s="410"/>
    </row>
    <row r="643" spans="1:12">
      <c r="A643" s="412"/>
      <c r="B643" s="412"/>
      <c r="C643" s="412"/>
      <c r="D643" s="412"/>
      <c r="E643" s="345"/>
      <c r="F643" s="346"/>
      <c r="G643" s="412"/>
      <c r="H643" s="350"/>
      <c r="I643" s="346"/>
      <c r="J643" s="410"/>
      <c r="K643" s="410"/>
      <c r="L643" s="410"/>
    </row>
    <row r="644" spans="1:12">
      <c r="A644" s="412"/>
      <c r="B644" s="412"/>
      <c r="C644" s="412"/>
      <c r="D644" s="412"/>
      <c r="E644" s="345"/>
      <c r="F644" s="346"/>
      <c r="G644" s="412"/>
      <c r="H644" s="350"/>
      <c r="I644" s="346"/>
      <c r="J644" s="410"/>
      <c r="K644" s="410"/>
      <c r="L644" s="410"/>
    </row>
    <row r="645" spans="1:12">
      <c r="A645" s="412"/>
      <c r="B645" s="412"/>
      <c r="C645" s="412"/>
      <c r="D645" s="412"/>
      <c r="E645" s="345"/>
      <c r="F645" s="346"/>
      <c r="G645" s="412"/>
      <c r="H645" s="350"/>
      <c r="I645" s="346"/>
      <c r="J645" s="410"/>
      <c r="K645" s="410"/>
      <c r="L645" s="410"/>
    </row>
    <row r="646" spans="1:12">
      <c r="A646" s="412"/>
      <c r="B646" s="412"/>
      <c r="C646" s="412"/>
      <c r="D646" s="412"/>
      <c r="E646" s="345"/>
      <c r="F646" s="346"/>
      <c r="G646" s="412"/>
      <c r="H646" s="350"/>
      <c r="I646" s="346"/>
      <c r="J646" s="410"/>
      <c r="K646" s="410"/>
      <c r="L646" s="410"/>
    </row>
    <row r="647" spans="1:12">
      <c r="A647" s="412"/>
      <c r="B647" s="412"/>
      <c r="C647" s="412"/>
      <c r="D647" s="412"/>
      <c r="E647" s="345"/>
      <c r="F647" s="346"/>
      <c r="G647" s="412"/>
      <c r="H647" s="350"/>
      <c r="I647" s="346"/>
      <c r="J647" s="410"/>
      <c r="K647" s="410"/>
      <c r="L647" s="410"/>
    </row>
    <row r="648" spans="1:12">
      <c r="A648" s="412"/>
      <c r="B648" s="412"/>
      <c r="C648" s="412"/>
      <c r="D648" s="412"/>
      <c r="E648" s="345"/>
      <c r="F648" s="346"/>
      <c r="G648" s="412"/>
      <c r="H648" s="350"/>
      <c r="I648" s="346"/>
      <c r="J648" s="410"/>
      <c r="K648" s="410"/>
      <c r="L648" s="410"/>
    </row>
    <row r="649" spans="1:12">
      <c r="A649" s="412"/>
      <c r="B649" s="412"/>
      <c r="C649" s="412"/>
      <c r="D649" s="412"/>
      <c r="E649" s="345"/>
      <c r="F649" s="346"/>
      <c r="G649" s="412"/>
      <c r="H649" s="350"/>
      <c r="I649" s="346"/>
      <c r="J649" s="410"/>
      <c r="K649" s="410"/>
      <c r="L649" s="410"/>
    </row>
    <row r="650" spans="1:12">
      <c r="A650" s="412"/>
      <c r="B650" s="412"/>
      <c r="C650" s="412"/>
      <c r="D650" s="412"/>
      <c r="E650" s="345"/>
      <c r="F650" s="346"/>
      <c r="G650" s="412"/>
      <c r="H650" s="350"/>
      <c r="I650" s="346"/>
      <c r="J650" s="410"/>
      <c r="K650" s="410"/>
      <c r="L650" s="410"/>
    </row>
    <row r="651" spans="1:12">
      <c r="A651" s="412"/>
      <c r="B651" s="412"/>
      <c r="C651" s="412"/>
      <c r="D651" s="412"/>
      <c r="E651" s="345"/>
      <c r="F651" s="346"/>
      <c r="G651" s="412"/>
      <c r="H651" s="350"/>
      <c r="I651" s="346"/>
      <c r="J651" s="410"/>
      <c r="K651" s="410"/>
      <c r="L651" s="410"/>
    </row>
    <row r="652" spans="1:12">
      <c r="A652" s="412"/>
      <c r="B652" s="412"/>
      <c r="C652" s="412"/>
      <c r="D652" s="412"/>
      <c r="E652" s="345"/>
      <c r="F652" s="346"/>
      <c r="G652" s="412"/>
      <c r="H652" s="350"/>
      <c r="I652" s="346"/>
      <c r="J652" s="410"/>
      <c r="K652" s="410"/>
      <c r="L652" s="410"/>
    </row>
    <row r="653" spans="1:12">
      <c r="A653" s="412"/>
      <c r="B653" s="412"/>
      <c r="C653" s="412"/>
      <c r="D653" s="412"/>
      <c r="E653" s="345"/>
      <c r="F653" s="346"/>
      <c r="G653" s="412"/>
      <c r="H653" s="350"/>
      <c r="I653" s="346"/>
      <c r="J653" s="410"/>
      <c r="K653" s="410"/>
      <c r="L653" s="410"/>
    </row>
    <row r="654" spans="1:12">
      <c r="A654" s="412"/>
      <c r="B654" s="412"/>
      <c r="C654" s="412"/>
      <c r="D654" s="412"/>
      <c r="E654" s="345"/>
      <c r="F654" s="346"/>
      <c r="G654" s="412"/>
      <c r="H654" s="350"/>
      <c r="I654" s="346"/>
      <c r="J654" s="410"/>
      <c r="K654" s="410"/>
      <c r="L654" s="410"/>
    </row>
    <row r="655" spans="1:12">
      <c r="A655" s="412"/>
      <c r="B655" s="412"/>
      <c r="C655" s="412"/>
      <c r="D655" s="412"/>
      <c r="E655" s="345"/>
      <c r="F655" s="346"/>
      <c r="G655" s="412"/>
      <c r="H655" s="350"/>
      <c r="I655" s="346"/>
      <c r="J655" s="410"/>
      <c r="K655" s="410"/>
      <c r="L655" s="410"/>
    </row>
    <row r="656" spans="1:12">
      <c r="A656" s="412"/>
      <c r="B656" s="412"/>
      <c r="C656" s="412"/>
      <c r="D656" s="412"/>
      <c r="E656" s="345"/>
      <c r="F656" s="346"/>
      <c r="G656" s="412"/>
      <c r="H656" s="350"/>
      <c r="I656" s="346"/>
      <c r="J656" s="410"/>
      <c r="K656" s="410"/>
      <c r="L656" s="410"/>
    </row>
    <row r="657" spans="1:12">
      <c r="A657" s="412"/>
      <c r="B657" s="412"/>
      <c r="C657" s="412"/>
      <c r="D657" s="412"/>
      <c r="E657" s="345"/>
      <c r="F657" s="346"/>
      <c r="G657" s="412"/>
      <c r="H657" s="350"/>
      <c r="I657" s="346"/>
      <c r="J657" s="410"/>
      <c r="K657" s="410"/>
      <c r="L657" s="410"/>
    </row>
    <row r="658" spans="1:12">
      <c r="A658" s="412"/>
      <c r="B658" s="412"/>
      <c r="C658" s="412"/>
      <c r="D658" s="412"/>
      <c r="E658" s="345"/>
      <c r="F658" s="346"/>
      <c r="G658" s="412"/>
      <c r="H658" s="350"/>
      <c r="I658" s="346"/>
      <c r="J658" s="410"/>
      <c r="K658" s="410"/>
      <c r="L658" s="410"/>
    </row>
    <row r="659" spans="1:12">
      <c r="A659" s="412"/>
      <c r="B659" s="412"/>
      <c r="C659" s="412"/>
      <c r="D659" s="412"/>
      <c r="E659" s="345"/>
      <c r="F659" s="346"/>
      <c r="G659" s="412"/>
      <c r="H659" s="350"/>
      <c r="I659" s="346"/>
      <c r="J659" s="410"/>
      <c r="K659" s="410"/>
      <c r="L659" s="410"/>
    </row>
    <row r="660" spans="1:12">
      <c r="A660" s="412"/>
      <c r="B660" s="412"/>
      <c r="C660" s="412"/>
      <c r="D660" s="412"/>
      <c r="E660" s="345"/>
      <c r="F660" s="346"/>
      <c r="G660" s="412"/>
      <c r="H660" s="350"/>
      <c r="I660" s="346"/>
      <c r="J660" s="410"/>
      <c r="K660" s="410"/>
      <c r="L660" s="410"/>
    </row>
    <row r="661" spans="1:12">
      <c r="A661" s="412"/>
      <c r="B661" s="412"/>
      <c r="C661" s="412"/>
      <c r="D661" s="412"/>
      <c r="E661" s="345"/>
      <c r="F661" s="346"/>
      <c r="G661" s="412"/>
      <c r="H661" s="350"/>
      <c r="I661" s="346"/>
      <c r="J661" s="410"/>
      <c r="K661" s="410"/>
      <c r="L661" s="410"/>
    </row>
    <row r="662" spans="1:12">
      <c r="A662" s="412"/>
      <c r="B662" s="412"/>
      <c r="C662" s="412"/>
      <c r="D662" s="412"/>
      <c r="E662" s="345"/>
      <c r="F662" s="346"/>
      <c r="G662" s="412"/>
      <c r="H662" s="350"/>
      <c r="I662" s="346"/>
      <c r="J662" s="410"/>
      <c r="K662" s="410"/>
      <c r="L662" s="410"/>
    </row>
    <row r="663" spans="1:12">
      <c r="A663" s="412"/>
      <c r="B663" s="412"/>
      <c r="C663" s="412"/>
      <c r="D663" s="412"/>
      <c r="E663" s="345"/>
      <c r="F663" s="346"/>
      <c r="G663" s="412"/>
      <c r="H663" s="350"/>
      <c r="I663" s="346"/>
      <c r="J663" s="410"/>
      <c r="K663" s="410"/>
      <c r="L663" s="410"/>
    </row>
    <row r="664" spans="1:12">
      <c r="A664" s="412"/>
      <c r="B664" s="412"/>
      <c r="C664" s="412"/>
      <c r="D664" s="412"/>
      <c r="E664" s="345"/>
      <c r="F664" s="346"/>
      <c r="G664" s="412"/>
      <c r="H664" s="350"/>
      <c r="I664" s="346"/>
      <c r="J664" s="410"/>
      <c r="K664" s="410"/>
      <c r="L664" s="410"/>
    </row>
    <row r="665" spans="1:12">
      <c r="A665" s="412"/>
      <c r="B665" s="412"/>
      <c r="C665" s="412"/>
      <c r="D665" s="412"/>
      <c r="E665" s="345"/>
      <c r="F665" s="346"/>
      <c r="G665" s="412"/>
      <c r="H665" s="350"/>
      <c r="I665" s="346"/>
      <c r="J665" s="410"/>
      <c r="K665" s="410"/>
      <c r="L665" s="410"/>
    </row>
    <row r="666" spans="1:12">
      <c r="A666" s="412"/>
      <c r="B666" s="412"/>
      <c r="C666" s="412"/>
      <c r="D666" s="412"/>
      <c r="E666" s="345"/>
      <c r="F666" s="346"/>
      <c r="G666" s="412"/>
      <c r="H666" s="350"/>
      <c r="I666" s="346"/>
      <c r="J666" s="410"/>
      <c r="K666" s="410"/>
      <c r="L666" s="410"/>
    </row>
    <row r="667" spans="1:12">
      <c r="A667" s="412"/>
      <c r="B667" s="412"/>
      <c r="C667" s="412"/>
      <c r="D667" s="412"/>
      <c r="E667" s="345"/>
      <c r="F667" s="346"/>
      <c r="G667" s="412"/>
      <c r="H667" s="350"/>
      <c r="I667" s="346"/>
      <c r="J667" s="410"/>
      <c r="K667" s="410"/>
      <c r="L667" s="410"/>
    </row>
    <row r="668" spans="1:12">
      <c r="A668" s="412"/>
      <c r="B668" s="412"/>
      <c r="C668" s="412"/>
      <c r="D668" s="412"/>
      <c r="E668" s="345"/>
      <c r="F668" s="346"/>
      <c r="G668" s="412"/>
      <c r="H668" s="350"/>
      <c r="I668" s="346"/>
      <c r="J668" s="410"/>
      <c r="K668" s="410"/>
      <c r="L668" s="410"/>
    </row>
    <row r="669" spans="1:12">
      <c r="A669" s="412"/>
      <c r="B669" s="412"/>
      <c r="C669" s="412"/>
      <c r="D669" s="412"/>
      <c r="E669" s="345"/>
      <c r="F669" s="346"/>
      <c r="G669" s="412"/>
      <c r="H669" s="350"/>
      <c r="I669" s="346"/>
      <c r="J669" s="410"/>
      <c r="K669" s="410"/>
      <c r="L669" s="410"/>
    </row>
    <row r="670" spans="1:12">
      <c r="A670" s="412"/>
      <c r="B670" s="412"/>
      <c r="C670" s="412"/>
      <c r="D670" s="412"/>
      <c r="E670" s="345"/>
      <c r="F670" s="346"/>
      <c r="G670" s="412"/>
      <c r="H670" s="350"/>
      <c r="I670" s="346"/>
      <c r="J670" s="410"/>
      <c r="K670" s="410"/>
      <c r="L670" s="410"/>
    </row>
    <row r="671" spans="1:12">
      <c r="A671" s="412"/>
      <c r="B671" s="412"/>
      <c r="C671" s="412"/>
      <c r="D671" s="412"/>
      <c r="E671" s="345"/>
      <c r="F671" s="346"/>
      <c r="G671" s="412"/>
      <c r="H671" s="350"/>
      <c r="I671" s="346"/>
      <c r="J671" s="410"/>
      <c r="K671" s="410"/>
      <c r="L671" s="410"/>
    </row>
    <row r="672" spans="1:12">
      <c r="A672" s="412"/>
      <c r="B672" s="412"/>
      <c r="C672" s="412"/>
      <c r="D672" s="412"/>
      <c r="E672" s="345"/>
      <c r="F672" s="346"/>
      <c r="G672" s="412"/>
      <c r="H672" s="350"/>
      <c r="I672" s="346"/>
      <c r="J672" s="410"/>
      <c r="K672" s="410"/>
      <c r="L672" s="410"/>
    </row>
    <row r="673" spans="1:12">
      <c r="A673" s="412"/>
      <c r="B673" s="412"/>
      <c r="C673" s="412"/>
      <c r="D673" s="412"/>
      <c r="E673" s="345"/>
      <c r="F673" s="346"/>
      <c r="G673" s="412"/>
      <c r="H673" s="350"/>
      <c r="I673" s="346"/>
      <c r="J673" s="410"/>
      <c r="K673" s="410"/>
      <c r="L673" s="410"/>
    </row>
    <row r="674" spans="1:12">
      <c r="A674" s="412"/>
      <c r="B674" s="412"/>
      <c r="C674" s="412"/>
      <c r="D674" s="412"/>
      <c r="E674" s="345"/>
      <c r="F674" s="346"/>
      <c r="G674" s="412"/>
      <c r="H674" s="350"/>
      <c r="I674" s="346"/>
      <c r="J674" s="410"/>
      <c r="K674" s="410"/>
      <c r="L674" s="410"/>
    </row>
    <row r="675" spans="1:12">
      <c r="A675" s="412"/>
      <c r="B675" s="412"/>
      <c r="C675" s="412"/>
      <c r="D675" s="412"/>
      <c r="E675" s="345"/>
      <c r="F675" s="346"/>
      <c r="G675" s="412"/>
      <c r="H675" s="350"/>
      <c r="I675" s="346"/>
      <c r="J675" s="410"/>
      <c r="K675" s="410"/>
      <c r="L675" s="410"/>
    </row>
    <row r="676" spans="1:12">
      <c r="A676" s="412"/>
      <c r="B676" s="412"/>
      <c r="C676" s="412"/>
      <c r="D676" s="412"/>
      <c r="E676" s="345"/>
      <c r="F676" s="346"/>
      <c r="G676" s="412"/>
      <c r="H676" s="350"/>
      <c r="I676" s="346"/>
      <c r="J676" s="410"/>
      <c r="K676" s="410"/>
      <c r="L676" s="410"/>
    </row>
    <row r="677" spans="1:12">
      <c r="A677" s="412"/>
      <c r="B677" s="412"/>
      <c r="C677" s="412"/>
      <c r="D677" s="412"/>
      <c r="E677" s="345"/>
      <c r="F677" s="346"/>
      <c r="G677" s="412"/>
      <c r="H677" s="350"/>
      <c r="I677" s="346"/>
      <c r="J677" s="410"/>
      <c r="K677" s="410"/>
      <c r="L677" s="410"/>
    </row>
    <row r="678" spans="1:12">
      <c r="A678" s="412"/>
      <c r="B678" s="412"/>
      <c r="C678" s="412"/>
      <c r="D678" s="412"/>
      <c r="E678" s="345"/>
      <c r="F678" s="346"/>
      <c r="G678" s="412"/>
      <c r="H678" s="350"/>
      <c r="I678" s="346"/>
      <c r="J678" s="410"/>
      <c r="K678" s="410"/>
      <c r="L678" s="410"/>
    </row>
    <row r="679" spans="1:12">
      <c r="A679" s="412"/>
      <c r="B679" s="412"/>
      <c r="C679" s="412"/>
      <c r="D679" s="412"/>
      <c r="E679" s="345"/>
      <c r="F679" s="346"/>
      <c r="G679" s="412"/>
      <c r="H679" s="350"/>
      <c r="I679" s="346"/>
      <c r="J679" s="410"/>
      <c r="K679" s="410"/>
      <c r="L679" s="410"/>
    </row>
    <row r="680" spans="1:12">
      <c r="A680" s="412"/>
      <c r="B680" s="412"/>
      <c r="C680" s="412"/>
      <c r="D680" s="412"/>
      <c r="E680" s="345"/>
      <c r="F680" s="346"/>
      <c r="G680" s="412"/>
      <c r="H680" s="350"/>
      <c r="I680" s="346"/>
      <c r="J680" s="410"/>
      <c r="K680" s="410"/>
      <c r="L680" s="410"/>
    </row>
    <row r="681" spans="1:12">
      <c r="A681" s="412"/>
      <c r="B681" s="412"/>
      <c r="C681" s="412"/>
      <c r="D681" s="412"/>
      <c r="E681" s="345"/>
      <c r="F681" s="346"/>
      <c r="G681" s="412"/>
      <c r="H681" s="350"/>
      <c r="I681" s="346"/>
      <c r="J681" s="410"/>
      <c r="K681" s="410"/>
      <c r="L681" s="410"/>
    </row>
    <row r="682" spans="1:12">
      <c r="A682" s="412"/>
      <c r="B682" s="412"/>
      <c r="C682" s="412"/>
      <c r="D682" s="412"/>
      <c r="E682" s="345"/>
      <c r="F682" s="346"/>
      <c r="G682" s="412"/>
      <c r="H682" s="350"/>
      <c r="I682" s="346"/>
      <c r="J682" s="410"/>
      <c r="K682" s="410"/>
      <c r="L682" s="410"/>
    </row>
    <row r="683" spans="1:12">
      <c r="A683" s="412"/>
      <c r="B683" s="412"/>
      <c r="C683" s="412"/>
      <c r="D683" s="412"/>
      <c r="E683" s="345"/>
      <c r="F683" s="346"/>
      <c r="G683" s="412"/>
      <c r="H683" s="350"/>
      <c r="I683" s="346"/>
      <c r="J683" s="410"/>
      <c r="K683" s="410"/>
      <c r="L683" s="410"/>
    </row>
    <row r="684" spans="1:12">
      <c r="A684" s="412"/>
      <c r="B684" s="412"/>
      <c r="C684" s="412"/>
      <c r="D684" s="412"/>
      <c r="E684" s="345"/>
      <c r="F684" s="346"/>
      <c r="G684" s="412"/>
      <c r="H684" s="350"/>
      <c r="I684" s="346"/>
      <c r="J684" s="410"/>
      <c r="K684" s="410"/>
      <c r="L684" s="410"/>
    </row>
    <row r="685" spans="1:12">
      <c r="A685" s="412"/>
      <c r="B685" s="412"/>
      <c r="C685" s="412"/>
      <c r="D685" s="412"/>
      <c r="E685" s="345"/>
      <c r="F685" s="346"/>
      <c r="G685" s="412"/>
      <c r="H685" s="350"/>
      <c r="I685" s="346"/>
      <c r="J685" s="410"/>
      <c r="K685" s="410"/>
      <c r="L685" s="410"/>
    </row>
    <row r="686" spans="1:12">
      <c r="A686" s="412"/>
      <c r="B686" s="412"/>
      <c r="C686" s="412"/>
      <c r="D686" s="412"/>
      <c r="E686" s="345"/>
      <c r="F686" s="346"/>
      <c r="G686" s="412"/>
      <c r="H686" s="350"/>
      <c r="I686" s="346"/>
      <c r="J686" s="410"/>
      <c r="K686" s="410"/>
      <c r="L686" s="410"/>
    </row>
    <row r="687" spans="1:12">
      <c r="A687" s="412"/>
      <c r="B687" s="412"/>
      <c r="C687" s="412"/>
      <c r="D687" s="412"/>
      <c r="E687" s="345"/>
      <c r="F687" s="346"/>
      <c r="G687" s="412"/>
      <c r="H687" s="350"/>
      <c r="I687" s="346"/>
      <c r="J687" s="410"/>
      <c r="K687" s="410"/>
      <c r="L687" s="410"/>
    </row>
    <row r="688" spans="1:12">
      <c r="A688" s="412"/>
      <c r="B688" s="412"/>
      <c r="C688" s="412"/>
      <c r="D688" s="412"/>
      <c r="E688" s="345"/>
      <c r="F688" s="346"/>
      <c r="G688" s="412"/>
      <c r="H688" s="350"/>
      <c r="I688" s="346"/>
      <c r="J688" s="410"/>
      <c r="K688" s="410"/>
      <c r="L688" s="410"/>
    </row>
    <row r="689" spans="1:12">
      <c r="A689" s="412"/>
      <c r="B689" s="412"/>
      <c r="C689" s="412"/>
      <c r="D689" s="412"/>
      <c r="E689" s="345"/>
      <c r="F689" s="346"/>
      <c r="G689" s="412"/>
      <c r="H689" s="350"/>
      <c r="I689" s="346"/>
      <c r="J689" s="410"/>
      <c r="K689" s="410"/>
      <c r="L689" s="410"/>
    </row>
    <row r="690" spans="1:12">
      <c r="A690" s="412"/>
      <c r="B690" s="412"/>
      <c r="C690" s="412"/>
      <c r="D690" s="412"/>
      <c r="E690" s="345"/>
      <c r="F690" s="346"/>
      <c r="G690" s="412"/>
      <c r="H690" s="350"/>
      <c r="I690" s="346"/>
      <c r="J690" s="410"/>
      <c r="K690" s="410"/>
      <c r="L690" s="410"/>
    </row>
    <row r="691" spans="1:12">
      <c r="A691" s="412"/>
      <c r="B691" s="412"/>
      <c r="C691" s="412"/>
      <c r="D691" s="412"/>
      <c r="E691" s="345"/>
      <c r="F691" s="346"/>
      <c r="G691" s="412"/>
      <c r="H691" s="350"/>
      <c r="I691" s="346"/>
      <c r="J691" s="410"/>
      <c r="K691" s="410"/>
      <c r="L691" s="410"/>
    </row>
    <row r="692" spans="1:12">
      <c r="A692" s="412"/>
      <c r="B692" s="412"/>
      <c r="C692" s="412"/>
      <c r="D692" s="412"/>
      <c r="E692" s="345"/>
      <c r="F692" s="346"/>
      <c r="G692" s="412"/>
      <c r="H692" s="350"/>
      <c r="I692" s="346"/>
      <c r="J692" s="410"/>
      <c r="K692" s="410"/>
      <c r="L692" s="410"/>
    </row>
    <row r="693" spans="1:12">
      <c r="A693" s="412"/>
      <c r="B693" s="412"/>
      <c r="C693" s="412"/>
      <c r="D693" s="412"/>
      <c r="E693" s="345"/>
      <c r="F693" s="346"/>
      <c r="G693" s="412"/>
      <c r="H693" s="350"/>
      <c r="I693" s="346"/>
      <c r="J693" s="410"/>
      <c r="K693" s="410"/>
      <c r="L693" s="410"/>
    </row>
    <row r="694" spans="1:12">
      <c r="A694" s="412"/>
      <c r="B694" s="412"/>
      <c r="C694" s="412"/>
      <c r="D694" s="412"/>
      <c r="E694" s="345"/>
      <c r="F694" s="346"/>
      <c r="G694" s="412"/>
      <c r="H694" s="350"/>
      <c r="I694" s="346"/>
      <c r="J694" s="410"/>
      <c r="K694" s="410"/>
      <c r="L694" s="410"/>
    </row>
    <row r="695" spans="1:12">
      <c r="A695" s="412"/>
      <c r="B695" s="412"/>
      <c r="C695" s="412"/>
      <c r="D695" s="412"/>
      <c r="E695" s="345"/>
      <c r="F695" s="346"/>
      <c r="G695" s="412"/>
      <c r="H695" s="350"/>
      <c r="I695" s="346"/>
      <c r="J695" s="410"/>
      <c r="K695" s="410"/>
      <c r="L695" s="410"/>
    </row>
    <row r="696" spans="1:12">
      <c r="A696" s="412"/>
      <c r="B696" s="412"/>
      <c r="C696" s="412"/>
      <c r="D696" s="412"/>
      <c r="E696" s="345"/>
      <c r="F696" s="346"/>
      <c r="G696" s="412"/>
      <c r="H696" s="350"/>
      <c r="I696" s="346"/>
      <c r="J696" s="410"/>
      <c r="K696" s="410"/>
      <c r="L696" s="410"/>
    </row>
    <row r="697" spans="1:12">
      <c r="A697" s="412"/>
      <c r="B697" s="412"/>
      <c r="C697" s="412"/>
      <c r="D697" s="412"/>
      <c r="E697" s="345"/>
      <c r="F697" s="346"/>
      <c r="G697" s="412"/>
      <c r="H697" s="350"/>
      <c r="I697" s="346"/>
      <c r="J697" s="410"/>
      <c r="K697" s="410"/>
      <c r="L697" s="410"/>
    </row>
    <row r="698" spans="1:12">
      <c r="A698" s="412"/>
      <c r="B698" s="412"/>
      <c r="C698" s="412"/>
      <c r="D698" s="412"/>
      <c r="E698" s="345"/>
      <c r="F698" s="346"/>
      <c r="G698" s="412"/>
      <c r="H698" s="350"/>
      <c r="I698" s="346"/>
      <c r="J698" s="410"/>
      <c r="K698" s="410"/>
      <c r="L698" s="410"/>
    </row>
    <row r="699" spans="1:12">
      <c r="A699" s="412"/>
      <c r="B699" s="412"/>
      <c r="C699" s="412"/>
      <c r="D699" s="412"/>
      <c r="E699" s="345"/>
      <c r="F699" s="346"/>
      <c r="G699" s="412"/>
      <c r="H699" s="350"/>
      <c r="I699" s="346"/>
      <c r="J699" s="410"/>
      <c r="K699" s="410"/>
      <c r="L699" s="410"/>
    </row>
    <row r="700" spans="1:12">
      <c r="A700" s="412"/>
      <c r="B700" s="412"/>
      <c r="C700" s="412"/>
      <c r="D700" s="412"/>
      <c r="E700" s="345"/>
      <c r="F700" s="346"/>
      <c r="G700" s="412"/>
      <c r="H700" s="350"/>
      <c r="I700" s="346"/>
      <c r="J700" s="410"/>
      <c r="K700" s="410"/>
      <c r="L700" s="410"/>
    </row>
    <row r="701" spans="1:12">
      <c r="A701" s="412"/>
      <c r="B701" s="412"/>
      <c r="C701" s="412"/>
      <c r="D701" s="412"/>
      <c r="E701" s="345"/>
      <c r="F701" s="346"/>
      <c r="G701" s="412"/>
      <c r="H701" s="350"/>
      <c r="I701" s="346"/>
      <c r="J701" s="410"/>
      <c r="K701" s="410"/>
      <c r="L701" s="410"/>
    </row>
    <row r="702" spans="1:12">
      <c r="A702" s="412"/>
      <c r="B702" s="412"/>
      <c r="C702" s="412"/>
      <c r="D702" s="412"/>
      <c r="E702" s="345"/>
      <c r="F702" s="346"/>
      <c r="G702" s="412"/>
      <c r="H702" s="350"/>
      <c r="I702" s="346"/>
      <c r="J702" s="410"/>
      <c r="K702" s="410"/>
      <c r="L702" s="410"/>
    </row>
    <row r="703" spans="1:12">
      <c r="A703" s="412"/>
      <c r="B703" s="412"/>
      <c r="C703" s="412"/>
      <c r="D703" s="412"/>
      <c r="E703" s="345"/>
      <c r="F703" s="346"/>
      <c r="G703" s="412"/>
      <c r="H703" s="350"/>
      <c r="I703" s="346"/>
      <c r="J703" s="410"/>
      <c r="K703" s="410"/>
      <c r="L703" s="410"/>
    </row>
    <row r="704" spans="1:12">
      <c r="A704" s="412"/>
      <c r="B704" s="412"/>
      <c r="C704" s="412"/>
      <c r="D704" s="412"/>
      <c r="E704" s="345"/>
      <c r="F704" s="346"/>
      <c r="G704" s="412"/>
      <c r="H704" s="350"/>
      <c r="I704" s="346"/>
      <c r="J704" s="410"/>
      <c r="K704" s="410"/>
      <c r="L704" s="410"/>
    </row>
    <row r="705" spans="1:12">
      <c r="A705" s="412"/>
      <c r="B705" s="412"/>
      <c r="C705" s="412"/>
      <c r="D705" s="412"/>
      <c r="E705" s="345"/>
      <c r="F705" s="346"/>
      <c r="G705" s="412"/>
      <c r="H705" s="350"/>
      <c r="I705" s="346"/>
      <c r="J705" s="410"/>
      <c r="K705" s="410"/>
      <c r="L705" s="410"/>
    </row>
    <row r="706" spans="1:12">
      <c r="A706" s="412"/>
      <c r="B706" s="412"/>
      <c r="C706" s="412"/>
      <c r="D706" s="412"/>
      <c r="E706" s="345"/>
      <c r="F706" s="346"/>
      <c r="G706" s="412"/>
      <c r="H706" s="350"/>
      <c r="I706" s="346"/>
      <c r="J706" s="410"/>
      <c r="K706" s="410"/>
      <c r="L706" s="410"/>
    </row>
    <row r="707" spans="1:12">
      <c r="A707" s="412"/>
      <c r="B707" s="412"/>
      <c r="C707" s="412"/>
      <c r="D707" s="412"/>
      <c r="E707" s="345"/>
      <c r="F707" s="346"/>
      <c r="G707" s="412"/>
      <c r="H707" s="350"/>
      <c r="I707" s="346"/>
      <c r="J707" s="410"/>
      <c r="K707" s="410"/>
      <c r="L707" s="410"/>
    </row>
    <row r="708" spans="1:12">
      <c r="A708" s="412"/>
      <c r="B708" s="412"/>
      <c r="C708" s="412"/>
      <c r="D708" s="412"/>
      <c r="E708" s="345"/>
      <c r="F708" s="346"/>
      <c r="G708" s="412"/>
      <c r="H708" s="350"/>
      <c r="I708" s="346"/>
      <c r="J708" s="410"/>
      <c r="K708" s="410"/>
      <c r="L708" s="410"/>
    </row>
    <row r="709" spans="1:12">
      <c r="A709" s="412"/>
      <c r="B709" s="412"/>
      <c r="C709" s="412"/>
      <c r="D709" s="412"/>
      <c r="E709" s="345"/>
      <c r="F709" s="346"/>
      <c r="G709" s="412"/>
      <c r="H709" s="350"/>
      <c r="I709" s="346"/>
      <c r="J709" s="410"/>
      <c r="K709" s="410"/>
      <c r="L709" s="410"/>
    </row>
    <row r="710" spans="1:12">
      <c r="A710" s="412"/>
      <c r="B710" s="412"/>
      <c r="C710" s="412"/>
      <c r="D710" s="412"/>
      <c r="E710" s="345"/>
      <c r="F710" s="346"/>
      <c r="G710" s="412"/>
      <c r="H710" s="350"/>
      <c r="I710" s="346"/>
      <c r="J710" s="410"/>
      <c r="K710" s="410"/>
      <c r="L710" s="410"/>
    </row>
    <row r="711" spans="1:12">
      <c r="A711" s="412"/>
      <c r="B711" s="412"/>
      <c r="C711" s="412"/>
      <c r="D711" s="412"/>
      <c r="E711" s="345"/>
      <c r="F711" s="346"/>
      <c r="G711" s="412"/>
      <c r="H711" s="350"/>
      <c r="I711" s="346"/>
      <c r="J711" s="410"/>
      <c r="K711" s="410"/>
      <c r="L711" s="410"/>
    </row>
    <row r="712" spans="1:12">
      <c r="A712" s="412"/>
      <c r="B712" s="412"/>
      <c r="C712" s="412"/>
      <c r="D712" s="412"/>
      <c r="E712" s="345"/>
      <c r="F712" s="346"/>
      <c r="G712" s="412"/>
      <c r="H712" s="350"/>
      <c r="I712" s="346"/>
      <c r="J712" s="410"/>
      <c r="K712" s="410"/>
      <c r="L712" s="410"/>
    </row>
    <row r="713" spans="1:12">
      <c r="A713" s="412"/>
      <c r="B713" s="412"/>
      <c r="C713" s="412"/>
      <c r="D713" s="412"/>
      <c r="E713" s="345"/>
      <c r="F713" s="346"/>
      <c r="G713" s="412"/>
      <c r="H713" s="350"/>
      <c r="I713" s="346"/>
      <c r="J713" s="410"/>
      <c r="K713" s="410"/>
      <c r="L713" s="410"/>
    </row>
    <row r="714" spans="1:12">
      <c r="A714" s="412"/>
      <c r="B714" s="412"/>
      <c r="C714" s="412"/>
      <c r="D714" s="412"/>
      <c r="E714" s="345"/>
      <c r="F714" s="346"/>
      <c r="G714" s="412"/>
      <c r="H714" s="350"/>
      <c r="I714" s="346"/>
      <c r="J714" s="410"/>
      <c r="K714" s="410"/>
      <c r="L714" s="410"/>
    </row>
    <row r="715" spans="1:12">
      <c r="A715" s="412"/>
      <c r="B715" s="412"/>
      <c r="C715" s="412"/>
      <c r="D715" s="412"/>
      <c r="E715" s="345"/>
      <c r="F715" s="346"/>
      <c r="G715" s="412"/>
      <c r="H715" s="350"/>
      <c r="I715" s="346"/>
      <c r="J715" s="410"/>
      <c r="K715" s="410"/>
      <c r="L715" s="410"/>
    </row>
    <row r="716" spans="1:12">
      <c r="A716" s="412"/>
      <c r="B716" s="412"/>
      <c r="C716" s="412"/>
      <c r="D716" s="412"/>
      <c r="E716" s="345"/>
      <c r="F716" s="346"/>
      <c r="G716" s="412"/>
      <c r="H716" s="350"/>
      <c r="I716" s="346"/>
      <c r="J716" s="410"/>
      <c r="K716" s="410"/>
      <c r="L716" s="410"/>
    </row>
    <row r="717" spans="1:12">
      <c r="A717" s="412"/>
      <c r="B717" s="412"/>
      <c r="C717" s="412"/>
      <c r="D717" s="412"/>
      <c r="E717" s="345"/>
      <c r="F717" s="346"/>
      <c r="G717" s="412"/>
      <c r="H717" s="350"/>
      <c r="I717" s="346"/>
      <c r="J717" s="410"/>
      <c r="K717" s="410"/>
      <c r="L717" s="410"/>
    </row>
    <row r="718" spans="1:12">
      <c r="A718" s="412"/>
      <c r="B718" s="412"/>
      <c r="C718" s="412"/>
      <c r="D718" s="412"/>
      <c r="E718" s="345"/>
      <c r="F718" s="346"/>
      <c r="G718" s="412"/>
      <c r="H718" s="350"/>
      <c r="I718" s="346"/>
      <c r="J718" s="410"/>
      <c r="K718" s="410"/>
      <c r="L718" s="410"/>
    </row>
    <row r="719" spans="1:12">
      <c r="A719" s="412"/>
      <c r="B719" s="412"/>
      <c r="C719" s="412"/>
      <c r="D719" s="412"/>
      <c r="E719" s="345"/>
      <c r="F719" s="346"/>
      <c r="G719" s="412"/>
      <c r="H719" s="350"/>
      <c r="I719" s="346"/>
      <c r="J719" s="410"/>
      <c r="K719" s="410"/>
      <c r="L719" s="410"/>
    </row>
    <row r="720" spans="1:12">
      <c r="A720" s="412"/>
      <c r="B720" s="412"/>
      <c r="C720" s="412"/>
      <c r="D720" s="412"/>
      <c r="E720" s="345"/>
      <c r="F720" s="346"/>
      <c r="G720" s="412"/>
      <c r="H720" s="350"/>
      <c r="I720" s="346"/>
      <c r="J720" s="410"/>
      <c r="K720" s="410"/>
      <c r="L720" s="410"/>
    </row>
    <row r="721" spans="1:12">
      <c r="A721" s="412"/>
      <c r="B721" s="412"/>
      <c r="C721" s="412"/>
      <c r="D721" s="412"/>
      <c r="E721" s="345"/>
      <c r="F721" s="346"/>
      <c r="G721" s="412"/>
      <c r="H721" s="350"/>
      <c r="I721" s="346"/>
      <c r="J721" s="410"/>
      <c r="K721" s="410"/>
      <c r="L721" s="410"/>
    </row>
    <row r="722" spans="1:12">
      <c r="A722" s="412"/>
      <c r="B722" s="412"/>
      <c r="C722" s="412"/>
      <c r="D722" s="412"/>
      <c r="E722" s="345"/>
      <c r="F722" s="346"/>
      <c r="G722" s="412"/>
      <c r="H722" s="350"/>
      <c r="I722" s="346"/>
      <c r="J722" s="410"/>
      <c r="K722" s="410"/>
      <c r="L722" s="410"/>
    </row>
    <row r="723" spans="1:12">
      <c r="A723" s="412"/>
      <c r="B723" s="412"/>
      <c r="C723" s="412"/>
      <c r="D723" s="412"/>
      <c r="E723" s="345"/>
      <c r="F723" s="346"/>
      <c r="G723" s="412"/>
      <c r="H723" s="350"/>
      <c r="I723" s="346"/>
      <c r="J723" s="410"/>
      <c r="K723" s="410"/>
      <c r="L723" s="410"/>
    </row>
    <row r="724" spans="1:12">
      <c r="A724" s="412"/>
      <c r="B724" s="412"/>
      <c r="C724" s="412"/>
      <c r="D724" s="412"/>
      <c r="E724" s="345"/>
      <c r="F724" s="346"/>
      <c r="G724" s="412"/>
      <c r="H724" s="350"/>
      <c r="I724" s="346"/>
      <c r="J724" s="410"/>
      <c r="K724" s="410"/>
      <c r="L724" s="410"/>
    </row>
    <row r="725" spans="1:12">
      <c r="A725" s="412"/>
      <c r="B725" s="412"/>
      <c r="C725" s="412"/>
      <c r="D725" s="412"/>
      <c r="E725" s="345"/>
      <c r="F725" s="346"/>
      <c r="G725" s="412"/>
      <c r="H725" s="350"/>
      <c r="I725" s="346"/>
      <c r="J725" s="410"/>
      <c r="K725" s="410"/>
      <c r="L725" s="410"/>
    </row>
    <row r="726" spans="1:12">
      <c r="A726" s="412"/>
      <c r="B726" s="412"/>
      <c r="C726" s="412"/>
      <c r="D726" s="412"/>
      <c r="E726" s="345"/>
      <c r="F726" s="346"/>
      <c r="G726" s="412"/>
      <c r="H726" s="350"/>
      <c r="I726" s="346"/>
      <c r="J726" s="410"/>
      <c r="K726" s="410"/>
      <c r="L726" s="410"/>
    </row>
    <row r="727" spans="1:12">
      <c r="A727" s="412"/>
      <c r="B727" s="412"/>
      <c r="C727" s="412"/>
      <c r="D727" s="412"/>
      <c r="E727" s="345"/>
      <c r="F727" s="346"/>
      <c r="G727" s="412"/>
      <c r="H727" s="350"/>
      <c r="I727" s="346"/>
      <c r="J727" s="410"/>
      <c r="K727" s="410"/>
      <c r="L727" s="410"/>
    </row>
    <row r="728" spans="1:12">
      <c r="A728" s="412"/>
      <c r="B728" s="412"/>
      <c r="C728" s="412"/>
      <c r="D728" s="412"/>
      <c r="E728" s="345"/>
      <c r="F728" s="346"/>
      <c r="G728" s="412"/>
      <c r="H728" s="350"/>
      <c r="I728" s="346"/>
      <c r="J728" s="410"/>
      <c r="K728" s="410"/>
      <c r="L728" s="410"/>
    </row>
    <row r="729" spans="1:12">
      <c r="A729" s="412"/>
      <c r="B729" s="412"/>
      <c r="C729" s="412"/>
      <c r="D729" s="412"/>
      <c r="E729" s="345"/>
      <c r="F729" s="346"/>
      <c r="G729" s="412"/>
      <c r="H729" s="350"/>
      <c r="I729" s="346"/>
      <c r="J729" s="410"/>
      <c r="K729" s="410"/>
      <c r="L729" s="410"/>
    </row>
    <row r="730" spans="1:12">
      <c r="A730" s="412"/>
      <c r="B730" s="412"/>
      <c r="C730" s="412"/>
      <c r="D730" s="412"/>
      <c r="E730" s="345"/>
      <c r="F730" s="346"/>
      <c r="G730" s="412"/>
      <c r="H730" s="350"/>
      <c r="I730" s="346"/>
      <c r="J730" s="410"/>
      <c r="K730" s="410"/>
      <c r="L730" s="410"/>
    </row>
    <row r="731" spans="1:12">
      <c r="A731" s="412"/>
      <c r="B731" s="412"/>
      <c r="C731" s="412"/>
      <c r="D731" s="412"/>
      <c r="E731" s="345"/>
      <c r="F731" s="346"/>
      <c r="G731" s="412"/>
      <c r="H731" s="350"/>
      <c r="I731" s="346"/>
      <c r="J731" s="410"/>
      <c r="K731" s="410"/>
      <c r="L731" s="410"/>
    </row>
    <row r="732" spans="1:12">
      <c r="A732" s="412"/>
      <c r="B732" s="412"/>
      <c r="C732" s="412"/>
      <c r="D732" s="412"/>
      <c r="E732" s="345"/>
      <c r="F732" s="346"/>
      <c r="G732" s="412"/>
      <c r="H732" s="350"/>
      <c r="I732" s="346"/>
      <c r="J732" s="410"/>
      <c r="K732" s="410"/>
      <c r="L732" s="410"/>
    </row>
    <row r="733" spans="1:12">
      <c r="A733" s="412"/>
      <c r="B733" s="412"/>
      <c r="C733" s="412"/>
      <c r="D733" s="412"/>
      <c r="E733" s="345"/>
      <c r="F733" s="346"/>
      <c r="G733" s="412"/>
      <c r="H733" s="350"/>
      <c r="I733" s="346"/>
      <c r="J733" s="410"/>
      <c r="K733" s="410"/>
      <c r="L733" s="410"/>
    </row>
    <row r="734" spans="1:12">
      <c r="A734" s="412"/>
      <c r="B734" s="412"/>
      <c r="C734" s="412"/>
      <c r="D734" s="412"/>
      <c r="E734" s="345"/>
      <c r="F734" s="346"/>
      <c r="G734" s="412"/>
      <c r="H734" s="350"/>
      <c r="I734" s="346"/>
      <c r="J734" s="410"/>
      <c r="K734" s="410"/>
      <c r="L734" s="410"/>
    </row>
    <row r="735" spans="1:12">
      <c r="A735" s="412"/>
      <c r="B735" s="412"/>
      <c r="C735" s="412"/>
      <c r="D735" s="412"/>
      <c r="E735" s="345"/>
      <c r="F735" s="346"/>
      <c r="G735" s="412"/>
      <c r="H735" s="350"/>
      <c r="I735" s="346"/>
      <c r="J735" s="410"/>
      <c r="K735" s="410"/>
      <c r="L735" s="410"/>
    </row>
    <row r="736" spans="1:12">
      <c r="A736" s="412"/>
      <c r="B736" s="412"/>
      <c r="C736" s="412"/>
      <c r="D736" s="412"/>
      <c r="E736" s="345"/>
      <c r="F736" s="346"/>
      <c r="G736" s="412"/>
      <c r="H736" s="350"/>
      <c r="I736" s="346"/>
      <c r="J736" s="410"/>
      <c r="K736" s="410"/>
      <c r="L736" s="410"/>
    </row>
    <row r="737" spans="1:12">
      <c r="A737" s="412"/>
      <c r="B737" s="412"/>
      <c r="C737" s="412"/>
      <c r="D737" s="412"/>
      <c r="E737" s="345"/>
      <c r="F737" s="346"/>
      <c r="G737" s="412"/>
      <c r="H737" s="350"/>
      <c r="I737" s="346"/>
      <c r="J737" s="410"/>
      <c r="K737" s="410"/>
      <c r="L737" s="410"/>
    </row>
    <row r="738" spans="1:12">
      <c r="A738" s="412"/>
      <c r="B738" s="412"/>
      <c r="C738" s="412"/>
      <c r="D738" s="412"/>
      <c r="E738" s="345"/>
      <c r="F738" s="346"/>
      <c r="G738" s="412"/>
      <c r="H738" s="350"/>
      <c r="I738" s="346"/>
      <c r="J738" s="410"/>
      <c r="K738" s="410"/>
      <c r="L738" s="410"/>
    </row>
    <row r="739" spans="1:12">
      <c r="A739" s="412"/>
      <c r="B739" s="412"/>
      <c r="C739" s="412"/>
      <c r="D739" s="412"/>
      <c r="E739" s="345"/>
      <c r="F739" s="346"/>
      <c r="G739" s="412"/>
      <c r="H739" s="350"/>
      <c r="I739" s="346"/>
      <c r="J739" s="410"/>
      <c r="K739" s="410"/>
      <c r="L739" s="410"/>
    </row>
    <row r="740" spans="1:12">
      <c r="A740" s="412"/>
      <c r="B740" s="412"/>
      <c r="C740" s="412"/>
      <c r="D740" s="412"/>
      <c r="E740" s="345"/>
      <c r="F740" s="346"/>
      <c r="G740" s="412"/>
      <c r="H740" s="350"/>
      <c r="I740" s="346"/>
      <c r="J740" s="410"/>
      <c r="K740" s="410"/>
      <c r="L740" s="410"/>
    </row>
    <row r="741" spans="1:12">
      <c r="A741" s="412"/>
      <c r="B741" s="412"/>
      <c r="C741" s="412"/>
      <c r="D741" s="412"/>
      <c r="E741" s="345"/>
      <c r="F741" s="346"/>
      <c r="G741" s="412"/>
      <c r="H741" s="350"/>
      <c r="I741" s="346"/>
      <c r="J741" s="410"/>
      <c r="K741" s="410"/>
      <c r="L741" s="410"/>
    </row>
    <row r="742" spans="1:12">
      <c r="A742" s="412"/>
      <c r="B742" s="412"/>
      <c r="C742" s="412"/>
      <c r="D742" s="412"/>
      <c r="E742" s="345"/>
      <c r="F742" s="346"/>
      <c r="G742" s="412"/>
      <c r="H742" s="350"/>
      <c r="I742" s="346"/>
      <c r="J742" s="410"/>
      <c r="K742" s="410"/>
      <c r="L742" s="410"/>
    </row>
    <row r="743" spans="1:12">
      <c r="A743" s="412"/>
      <c r="B743" s="412"/>
      <c r="C743" s="412"/>
      <c r="D743" s="412"/>
      <c r="E743" s="345"/>
      <c r="F743" s="346"/>
      <c r="G743" s="412"/>
      <c r="H743" s="350"/>
      <c r="I743" s="346"/>
      <c r="J743" s="410"/>
      <c r="K743" s="410"/>
      <c r="L743" s="410"/>
    </row>
    <row r="744" spans="1:12">
      <c r="A744" s="412"/>
      <c r="B744" s="412"/>
      <c r="C744" s="412"/>
      <c r="D744" s="412"/>
      <c r="E744" s="345"/>
      <c r="F744" s="346"/>
      <c r="G744" s="412"/>
      <c r="H744" s="350"/>
      <c r="I744" s="346"/>
      <c r="J744" s="410"/>
      <c r="K744" s="410"/>
      <c r="L744" s="410"/>
    </row>
    <row r="745" spans="1:12">
      <c r="A745" s="412"/>
      <c r="B745" s="412"/>
      <c r="C745" s="412"/>
      <c r="D745" s="412"/>
      <c r="E745" s="345"/>
      <c r="F745" s="346"/>
      <c r="G745" s="412"/>
      <c r="H745" s="350"/>
      <c r="I745" s="346"/>
      <c r="J745" s="410"/>
      <c r="K745" s="410"/>
      <c r="L745" s="410"/>
    </row>
    <row r="746" spans="1:12">
      <c r="A746" s="412"/>
      <c r="B746" s="412"/>
      <c r="C746" s="412"/>
      <c r="D746" s="412"/>
      <c r="E746" s="345"/>
      <c r="F746" s="346"/>
      <c r="G746" s="412"/>
      <c r="H746" s="350"/>
      <c r="I746" s="346"/>
      <c r="J746" s="410"/>
      <c r="K746" s="410"/>
      <c r="L746" s="410"/>
    </row>
    <row r="747" spans="1:12">
      <c r="A747" s="412"/>
      <c r="B747" s="412"/>
      <c r="C747" s="412"/>
      <c r="D747" s="412"/>
      <c r="E747" s="345"/>
      <c r="F747" s="346"/>
      <c r="G747" s="412"/>
      <c r="H747" s="350"/>
      <c r="I747" s="346"/>
      <c r="J747" s="410"/>
      <c r="K747" s="410"/>
      <c r="L747" s="410"/>
    </row>
    <row r="748" spans="1:12">
      <c r="A748" s="412"/>
      <c r="B748" s="412"/>
      <c r="C748" s="412"/>
      <c r="D748" s="412"/>
      <c r="E748" s="345"/>
      <c r="F748" s="346"/>
      <c r="G748" s="412"/>
      <c r="H748" s="350"/>
      <c r="I748" s="346"/>
      <c r="J748" s="410"/>
      <c r="K748" s="410"/>
      <c r="L748" s="410"/>
    </row>
    <row r="749" spans="1:12">
      <c r="A749" s="412"/>
      <c r="B749" s="412"/>
      <c r="C749" s="412"/>
      <c r="D749" s="412"/>
      <c r="E749" s="345"/>
      <c r="F749" s="346"/>
      <c r="G749" s="412"/>
      <c r="H749" s="350"/>
      <c r="I749" s="346"/>
      <c r="J749" s="410"/>
      <c r="K749" s="410"/>
      <c r="L749" s="410"/>
    </row>
    <row r="750" spans="1:12">
      <c r="A750" s="412"/>
      <c r="B750" s="412"/>
      <c r="C750" s="412"/>
      <c r="D750" s="412"/>
      <c r="E750" s="345"/>
      <c r="F750" s="346"/>
      <c r="G750" s="412"/>
      <c r="H750" s="350"/>
      <c r="I750" s="346"/>
      <c r="J750" s="410"/>
      <c r="K750" s="410"/>
      <c r="L750" s="410"/>
    </row>
    <row r="751" spans="1:12">
      <c r="A751" s="412"/>
      <c r="B751" s="412"/>
      <c r="C751" s="412"/>
      <c r="D751" s="412"/>
      <c r="E751" s="345"/>
      <c r="F751" s="346"/>
      <c r="G751" s="412"/>
      <c r="H751" s="350"/>
      <c r="I751" s="346"/>
      <c r="J751" s="410"/>
      <c r="K751" s="410"/>
      <c r="L751" s="410"/>
    </row>
    <row r="752" spans="1:12">
      <c r="A752" s="412"/>
      <c r="B752" s="412"/>
      <c r="C752" s="412"/>
      <c r="D752" s="412"/>
      <c r="E752" s="345"/>
      <c r="F752" s="346"/>
      <c r="G752" s="412"/>
      <c r="H752" s="350"/>
      <c r="I752" s="346"/>
      <c r="J752" s="410"/>
      <c r="K752" s="410"/>
      <c r="L752" s="410"/>
    </row>
    <row r="753" spans="1:12">
      <c r="A753" s="412"/>
      <c r="B753" s="412"/>
      <c r="C753" s="412"/>
      <c r="D753" s="412"/>
      <c r="E753" s="345"/>
      <c r="F753" s="346"/>
      <c r="G753" s="412"/>
      <c r="H753" s="350"/>
      <c r="I753" s="346"/>
      <c r="J753" s="410"/>
      <c r="K753" s="410"/>
      <c r="L753" s="410"/>
    </row>
    <row r="754" spans="1:12">
      <c r="A754" s="412"/>
      <c r="B754" s="412"/>
      <c r="C754" s="412"/>
      <c r="D754" s="412"/>
      <c r="E754" s="345"/>
      <c r="F754" s="346"/>
      <c r="G754" s="412"/>
      <c r="H754" s="350"/>
      <c r="I754" s="346"/>
      <c r="J754" s="410"/>
      <c r="K754" s="410"/>
      <c r="L754" s="410"/>
    </row>
    <row r="755" spans="1:12">
      <c r="A755" s="412"/>
      <c r="B755" s="412"/>
      <c r="C755" s="412"/>
      <c r="D755" s="412"/>
      <c r="E755" s="345"/>
      <c r="F755" s="346"/>
      <c r="G755" s="412"/>
      <c r="H755" s="350"/>
      <c r="I755" s="346"/>
      <c r="J755" s="410"/>
      <c r="K755" s="410"/>
      <c r="L755" s="410"/>
    </row>
    <row r="756" spans="1:12">
      <c r="A756" s="412"/>
      <c r="B756" s="412"/>
      <c r="C756" s="412"/>
      <c r="D756" s="412"/>
      <c r="E756" s="345"/>
      <c r="F756" s="346"/>
      <c r="G756" s="412"/>
      <c r="H756" s="350"/>
      <c r="I756" s="346"/>
      <c r="J756" s="410"/>
      <c r="K756" s="410"/>
      <c r="L756" s="410"/>
    </row>
    <row r="757" spans="1:12">
      <c r="A757" s="412"/>
      <c r="B757" s="412"/>
      <c r="C757" s="412"/>
      <c r="D757" s="412"/>
      <c r="E757" s="345"/>
      <c r="F757" s="346"/>
      <c r="G757" s="412"/>
      <c r="H757" s="350"/>
      <c r="I757" s="346"/>
      <c r="J757" s="410"/>
      <c r="K757" s="410"/>
      <c r="L757" s="410"/>
    </row>
    <row r="758" spans="1:12">
      <c r="A758" s="412"/>
      <c r="B758" s="412"/>
      <c r="C758" s="412"/>
      <c r="D758" s="412"/>
      <c r="E758" s="345"/>
      <c r="F758" s="346"/>
      <c r="G758" s="412"/>
      <c r="H758" s="350"/>
      <c r="I758" s="346"/>
      <c r="J758" s="410"/>
      <c r="K758" s="410"/>
      <c r="L758" s="410"/>
    </row>
    <row r="759" spans="1:12">
      <c r="A759" s="412"/>
      <c r="B759" s="412"/>
      <c r="C759" s="412"/>
      <c r="D759" s="412"/>
      <c r="E759" s="345"/>
      <c r="F759" s="346"/>
      <c r="G759" s="412"/>
      <c r="H759" s="350"/>
      <c r="I759" s="346"/>
      <c r="J759" s="410"/>
      <c r="K759" s="410"/>
      <c r="L759" s="410"/>
    </row>
    <row r="760" spans="1:12">
      <c r="A760" s="412"/>
      <c r="B760" s="412"/>
      <c r="C760" s="412"/>
      <c r="D760" s="412"/>
      <c r="E760" s="345"/>
      <c r="F760" s="346"/>
      <c r="G760" s="412"/>
      <c r="H760" s="350"/>
      <c r="I760" s="346"/>
      <c r="J760" s="410"/>
      <c r="K760" s="410"/>
      <c r="L760" s="410"/>
    </row>
    <row r="761" spans="1:12">
      <c r="A761" s="412"/>
      <c r="B761" s="412"/>
      <c r="C761" s="412"/>
      <c r="D761" s="412"/>
      <c r="E761" s="345"/>
      <c r="F761" s="346"/>
      <c r="G761" s="412"/>
      <c r="H761" s="350"/>
      <c r="I761" s="346"/>
      <c r="J761" s="410"/>
      <c r="K761" s="410"/>
      <c r="L761" s="410"/>
    </row>
    <row r="762" spans="1:12">
      <c r="A762" s="412"/>
      <c r="B762" s="412"/>
      <c r="C762" s="412"/>
      <c r="D762" s="412"/>
      <c r="E762" s="345"/>
      <c r="F762" s="346"/>
      <c r="G762" s="412"/>
      <c r="H762" s="350"/>
      <c r="I762" s="346"/>
      <c r="J762" s="410"/>
      <c r="K762" s="410"/>
      <c r="L762" s="410"/>
    </row>
    <row r="763" spans="1:12">
      <c r="A763" s="412"/>
      <c r="B763" s="412"/>
      <c r="C763" s="412"/>
      <c r="D763" s="412"/>
      <c r="E763" s="345"/>
      <c r="F763" s="346"/>
      <c r="G763" s="412"/>
      <c r="H763" s="350"/>
      <c r="I763" s="346"/>
      <c r="J763" s="410"/>
      <c r="K763" s="410"/>
      <c r="L763" s="410"/>
    </row>
    <row r="764" spans="1:12">
      <c r="A764" s="412"/>
      <c r="B764" s="412"/>
      <c r="C764" s="412"/>
      <c r="D764" s="412"/>
      <c r="E764" s="345"/>
      <c r="F764" s="346"/>
      <c r="G764" s="412"/>
      <c r="H764" s="350"/>
      <c r="I764" s="346"/>
      <c r="J764" s="410"/>
      <c r="K764" s="410"/>
      <c r="L764" s="410"/>
    </row>
    <row r="765" spans="1:12">
      <c r="A765" s="412"/>
      <c r="B765" s="412"/>
      <c r="C765" s="412"/>
      <c r="D765" s="412"/>
      <c r="E765" s="345"/>
      <c r="F765" s="346"/>
      <c r="G765" s="412"/>
      <c r="H765" s="350"/>
      <c r="I765" s="346"/>
      <c r="J765" s="410"/>
      <c r="K765" s="410"/>
      <c r="L765" s="410"/>
    </row>
    <row r="766" spans="1:12">
      <c r="A766" s="412"/>
      <c r="B766" s="412"/>
      <c r="C766" s="412"/>
      <c r="D766" s="412"/>
      <c r="E766" s="345"/>
      <c r="F766" s="346"/>
      <c r="G766" s="412"/>
      <c r="H766" s="350"/>
      <c r="I766" s="346"/>
      <c r="J766" s="410"/>
      <c r="K766" s="410"/>
      <c r="L766" s="410"/>
    </row>
    <row r="767" spans="1:12">
      <c r="A767" s="412"/>
      <c r="B767" s="412"/>
      <c r="C767" s="412"/>
      <c r="D767" s="412"/>
      <c r="E767" s="345"/>
      <c r="F767" s="346"/>
      <c r="G767" s="412"/>
      <c r="H767" s="350"/>
      <c r="I767" s="346"/>
      <c r="J767" s="410"/>
      <c r="K767" s="410"/>
      <c r="L767" s="410"/>
    </row>
    <row r="768" spans="1:12">
      <c r="A768" s="412"/>
      <c r="B768" s="412"/>
      <c r="C768" s="412"/>
      <c r="D768" s="412"/>
      <c r="E768" s="345"/>
      <c r="F768" s="346"/>
      <c r="G768" s="412"/>
      <c r="H768" s="350"/>
      <c r="I768" s="346"/>
      <c r="J768" s="410"/>
      <c r="K768" s="410"/>
      <c r="L768" s="410"/>
    </row>
    <row r="769" spans="1:12">
      <c r="A769" s="412"/>
      <c r="B769" s="412"/>
      <c r="C769" s="412"/>
      <c r="D769" s="412"/>
      <c r="E769" s="345"/>
      <c r="F769" s="346"/>
      <c r="G769" s="412"/>
      <c r="H769" s="350"/>
      <c r="I769" s="346"/>
      <c r="J769" s="410"/>
      <c r="K769" s="410"/>
      <c r="L769" s="410"/>
    </row>
    <row r="770" spans="1:12">
      <c r="A770" s="412"/>
      <c r="B770" s="412"/>
      <c r="C770" s="412"/>
      <c r="D770" s="412"/>
      <c r="E770" s="345"/>
      <c r="F770" s="346"/>
      <c r="G770" s="412"/>
      <c r="H770" s="350"/>
      <c r="I770" s="346"/>
      <c r="J770" s="410"/>
      <c r="K770" s="410"/>
      <c r="L770" s="410"/>
    </row>
    <row r="771" spans="1:12">
      <c r="A771" s="412"/>
      <c r="B771" s="412"/>
      <c r="C771" s="412"/>
      <c r="D771" s="412"/>
      <c r="E771" s="345"/>
      <c r="F771" s="346"/>
      <c r="G771" s="412"/>
      <c r="H771" s="350"/>
      <c r="I771" s="346"/>
      <c r="J771" s="410"/>
      <c r="K771" s="410"/>
      <c r="L771" s="410"/>
    </row>
    <row r="772" spans="1:12">
      <c r="A772" s="412"/>
      <c r="B772" s="412"/>
      <c r="C772" s="412"/>
      <c r="D772" s="412"/>
      <c r="E772" s="345"/>
      <c r="F772" s="346"/>
      <c r="G772" s="412"/>
      <c r="H772" s="350"/>
      <c r="I772" s="346"/>
      <c r="J772" s="410"/>
      <c r="K772" s="410"/>
      <c r="L772" s="410"/>
    </row>
    <row r="773" spans="1:12">
      <c r="A773" s="412"/>
      <c r="B773" s="412"/>
      <c r="C773" s="412"/>
      <c r="D773" s="412"/>
      <c r="E773" s="345"/>
      <c r="F773" s="346"/>
      <c r="G773" s="412"/>
      <c r="H773" s="350"/>
      <c r="I773" s="346"/>
      <c r="J773" s="410"/>
      <c r="K773" s="410"/>
      <c r="L773" s="410"/>
    </row>
    <row r="774" spans="1:12">
      <c r="A774" s="412"/>
      <c r="B774" s="412"/>
      <c r="C774" s="412"/>
      <c r="D774" s="412"/>
      <c r="E774" s="345"/>
      <c r="F774" s="346"/>
      <c r="G774" s="412"/>
      <c r="H774" s="350"/>
      <c r="I774" s="346"/>
      <c r="J774" s="410"/>
      <c r="K774" s="410"/>
      <c r="L774" s="410"/>
    </row>
    <row r="775" spans="1:12">
      <c r="A775" s="412"/>
      <c r="B775" s="412"/>
      <c r="C775" s="412"/>
      <c r="D775" s="412"/>
      <c r="E775" s="345"/>
      <c r="F775" s="346"/>
      <c r="G775" s="412"/>
      <c r="H775" s="350"/>
      <c r="I775" s="346"/>
      <c r="J775" s="410"/>
      <c r="K775" s="410"/>
      <c r="L775" s="410"/>
    </row>
    <row r="776" spans="1:12">
      <c r="A776" s="412"/>
      <c r="B776" s="412"/>
      <c r="C776" s="412"/>
      <c r="D776" s="412"/>
      <c r="E776" s="345"/>
      <c r="F776" s="346"/>
      <c r="G776" s="412"/>
      <c r="H776" s="350"/>
      <c r="I776" s="346"/>
      <c r="J776" s="410"/>
      <c r="K776" s="410"/>
      <c r="L776" s="410"/>
    </row>
    <row r="777" spans="1:12">
      <c r="A777" s="412"/>
      <c r="B777" s="412"/>
      <c r="C777" s="412"/>
      <c r="D777" s="412"/>
      <c r="E777" s="345"/>
      <c r="F777" s="346"/>
      <c r="G777" s="412"/>
      <c r="H777" s="350"/>
      <c r="I777" s="346"/>
      <c r="J777" s="410"/>
      <c r="K777" s="410"/>
      <c r="L777" s="410"/>
    </row>
    <row r="778" spans="1:12">
      <c r="A778" s="412"/>
      <c r="B778" s="412"/>
      <c r="C778" s="412"/>
      <c r="D778" s="412"/>
      <c r="E778" s="345"/>
      <c r="F778" s="346"/>
      <c r="G778" s="412"/>
      <c r="H778" s="350"/>
      <c r="I778" s="346"/>
      <c r="J778" s="410"/>
      <c r="K778" s="410"/>
      <c r="L778" s="410"/>
    </row>
    <row r="779" spans="1:12">
      <c r="A779" s="412"/>
      <c r="B779" s="412"/>
      <c r="C779" s="412"/>
      <c r="D779" s="412"/>
      <c r="E779" s="345"/>
      <c r="F779" s="346"/>
      <c r="G779" s="412"/>
      <c r="H779" s="350"/>
      <c r="I779" s="346"/>
      <c r="J779" s="410"/>
      <c r="K779" s="410"/>
      <c r="L779" s="410"/>
    </row>
    <row r="780" spans="1:12">
      <c r="A780" s="412"/>
      <c r="B780" s="412"/>
      <c r="C780" s="412"/>
      <c r="D780" s="412"/>
      <c r="E780" s="345"/>
      <c r="F780" s="346"/>
      <c r="G780" s="412"/>
      <c r="H780" s="350"/>
      <c r="I780" s="346"/>
      <c r="J780" s="410"/>
      <c r="K780" s="410"/>
      <c r="L780" s="410"/>
    </row>
    <row r="781" spans="1:12">
      <c r="A781" s="412"/>
      <c r="B781" s="412"/>
      <c r="C781" s="412"/>
      <c r="D781" s="412"/>
      <c r="E781" s="345"/>
      <c r="F781" s="346"/>
      <c r="G781" s="412"/>
      <c r="H781" s="350"/>
      <c r="I781" s="346"/>
      <c r="J781" s="410"/>
      <c r="K781" s="410"/>
      <c r="L781" s="410"/>
    </row>
    <row r="782" spans="1:12">
      <c r="A782" s="412"/>
      <c r="B782" s="412"/>
      <c r="C782" s="412"/>
      <c r="D782" s="412"/>
      <c r="E782" s="345"/>
      <c r="F782" s="346"/>
      <c r="G782" s="412"/>
      <c r="H782" s="350"/>
      <c r="I782" s="346"/>
      <c r="J782" s="410"/>
      <c r="K782" s="410"/>
      <c r="L782" s="410"/>
    </row>
    <row r="783" spans="1:12">
      <c r="A783" s="412"/>
      <c r="B783" s="412"/>
      <c r="C783" s="412"/>
      <c r="D783" s="412"/>
      <c r="E783" s="345"/>
      <c r="F783" s="346"/>
      <c r="G783" s="412"/>
      <c r="H783" s="350"/>
      <c r="I783" s="346"/>
      <c r="J783" s="410"/>
      <c r="K783" s="410"/>
      <c r="L783" s="410"/>
    </row>
    <row r="784" spans="1:12">
      <c r="A784" s="412"/>
      <c r="B784" s="412"/>
      <c r="C784" s="412"/>
      <c r="D784" s="412"/>
      <c r="E784" s="345"/>
      <c r="F784" s="346"/>
      <c r="G784" s="412"/>
      <c r="H784" s="350"/>
      <c r="I784" s="346"/>
      <c r="J784" s="410"/>
      <c r="K784" s="410"/>
      <c r="L784" s="410"/>
    </row>
    <row r="785" spans="1:12">
      <c r="A785" s="412"/>
      <c r="B785" s="412"/>
      <c r="C785" s="412"/>
      <c r="D785" s="412"/>
      <c r="E785" s="345"/>
      <c r="F785" s="346"/>
      <c r="G785" s="412"/>
      <c r="H785" s="350"/>
      <c r="I785" s="346"/>
      <c r="J785" s="410"/>
      <c r="K785" s="410"/>
      <c r="L785" s="410"/>
    </row>
    <row r="786" spans="1:12">
      <c r="A786" s="412"/>
      <c r="B786" s="412"/>
      <c r="C786" s="412"/>
      <c r="D786" s="412"/>
      <c r="E786" s="345"/>
      <c r="F786" s="346"/>
      <c r="G786" s="412"/>
      <c r="H786" s="350"/>
      <c r="I786" s="346"/>
      <c r="J786" s="410"/>
      <c r="K786" s="410"/>
      <c r="L786" s="410"/>
    </row>
    <row r="787" spans="1:12">
      <c r="A787" s="412"/>
      <c r="B787" s="412"/>
      <c r="C787" s="412"/>
      <c r="D787" s="412"/>
      <c r="E787" s="345"/>
      <c r="F787" s="346"/>
      <c r="G787" s="412"/>
      <c r="H787" s="350"/>
      <c r="I787" s="346"/>
      <c r="J787" s="410"/>
      <c r="K787" s="410"/>
      <c r="L787" s="410"/>
    </row>
    <row r="788" spans="1:12">
      <c r="A788" s="412"/>
      <c r="B788" s="412"/>
      <c r="C788" s="412"/>
      <c r="D788" s="412"/>
      <c r="E788" s="345"/>
      <c r="F788" s="346"/>
      <c r="G788" s="412"/>
      <c r="H788" s="350"/>
      <c r="I788" s="346"/>
      <c r="J788" s="410"/>
      <c r="K788" s="410"/>
      <c r="L788" s="410"/>
    </row>
    <row r="789" spans="1:12">
      <c r="A789" s="412"/>
      <c r="B789" s="412"/>
      <c r="C789" s="412"/>
      <c r="D789" s="412"/>
      <c r="E789" s="345"/>
      <c r="F789" s="346"/>
      <c r="G789" s="412"/>
      <c r="H789" s="350"/>
      <c r="I789" s="346"/>
      <c r="J789" s="410"/>
      <c r="K789" s="410"/>
      <c r="L789" s="410"/>
    </row>
    <row r="790" spans="1:12">
      <c r="A790" s="412"/>
      <c r="B790" s="412"/>
      <c r="C790" s="412"/>
      <c r="D790" s="412"/>
      <c r="E790" s="345"/>
      <c r="F790" s="346"/>
      <c r="G790" s="412"/>
      <c r="H790" s="350"/>
      <c r="I790" s="346"/>
      <c r="J790" s="410"/>
      <c r="K790" s="410"/>
      <c r="L790" s="410"/>
    </row>
    <row r="791" spans="1:12">
      <c r="A791" s="412"/>
      <c r="B791" s="412"/>
      <c r="C791" s="412"/>
      <c r="D791" s="412"/>
      <c r="E791" s="345"/>
      <c r="F791" s="346"/>
      <c r="G791" s="412"/>
      <c r="H791" s="350"/>
      <c r="I791" s="346"/>
      <c r="J791" s="410"/>
      <c r="K791" s="410"/>
      <c r="L791" s="410"/>
    </row>
    <row r="792" spans="1:12">
      <c r="A792" s="412"/>
      <c r="B792" s="412"/>
      <c r="C792" s="412"/>
      <c r="D792" s="412"/>
      <c r="E792" s="345"/>
      <c r="F792" s="346"/>
      <c r="G792" s="412"/>
      <c r="H792" s="350"/>
      <c r="I792" s="346"/>
      <c r="J792" s="410"/>
      <c r="K792" s="410"/>
      <c r="L792" s="410"/>
    </row>
    <row r="793" spans="1:12">
      <c r="A793" s="412"/>
      <c r="B793" s="412"/>
      <c r="C793" s="412"/>
      <c r="D793" s="412"/>
      <c r="E793" s="345"/>
      <c r="F793" s="346"/>
      <c r="G793" s="412"/>
      <c r="H793" s="350"/>
      <c r="I793" s="346"/>
      <c r="J793" s="410"/>
      <c r="K793" s="410"/>
      <c r="L793" s="410"/>
    </row>
    <row r="794" spans="1:12">
      <c r="A794" s="412"/>
      <c r="B794" s="412"/>
      <c r="C794" s="412"/>
      <c r="D794" s="412"/>
      <c r="E794" s="345"/>
      <c r="F794" s="346"/>
      <c r="G794" s="412"/>
      <c r="H794" s="350"/>
      <c r="I794" s="346"/>
      <c r="J794" s="410"/>
      <c r="K794" s="410"/>
      <c r="L794" s="410"/>
    </row>
    <row r="795" spans="1:12">
      <c r="A795" s="412"/>
      <c r="B795" s="412"/>
      <c r="C795" s="412"/>
      <c r="D795" s="412"/>
      <c r="E795" s="345"/>
      <c r="F795" s="346"/>
      <c r="G795" s="412"/>
      <c r="H795" s="350"/>
      <c r="I795" s="346"/>
      <c r="J795" s="410"/>
      <c r="K795" s="410"/>
      <c r="L795" s="410"/>
    </row>
    <row r="796" spans="1:12">
      <c r="A796" s="412"/>
      <c r="B796" s="412"/>
      <c r="C796" s="412"/>
      <c r="D796" s="412"/>
      <c r="E796" s="345"/>
      <c r="F796" s="346"/>
      <c r="G796" s="412"/>
      <c r="H796" s="350"/>
      <c r="I796" s="346"/>
      <c r="J796" s="410"/>
      <c r="K796" s="410"/>
      <c r="L796" s="410"/>
    </row>
    <row r="797" spans="1:12">
      <c r="A797" s="412"/>
      <c r="B797" s="412"/>
      <c r="C797" s="412"/>
      <c r="D797" s="412"/>
      <c r="E797" s="345"/>
      <c r="F797" s="346"/>
      <c r="G797" s="412"/>
      <c r="H797" s="350"/>
      <c r="I797" s="346"/>
      <c r="J797" s="410"/>
      <c r="K797" s="410"/>
      <c r="L797" s="410"/>
    </row>
    <row r="798" spans="1:12">
      <c r="A798" s="412"/>
      <c r="B798" s="412"/>
      <c r="C798" s="412"/>
      <c r="D798" s="412"/>
      <c r="E798" s="345"/>
      <c r="F798" s="346"/>
      <c r="G798" s="412"/>
      <c r="H798" s="350"/>
      <c r="I798" s="346"/>
      <c r="J798" s="410"/>
      <c r="K798" s="410"/>
      <c r="L798" s="410"/>
    </row>
    <row r="799" spans="1:12">
      <c r="A799" s="412"/>
      <c r="B799" s="412"/>
      <c r="C799" s="412"/>
      <c r="D799" s="412"/>
      <c r="E799" s="345"/>
      <c r="F799" s="346"/>
      <c r="G799" s="412"/>
      <c r="H799" s="350"/>
      <c r="I799" s="346"/>
      <c r="J799" s="410"/>
      <c r="K799" s="410"/>
      <c r="L799" s="410"/>
    </row>
    <row r="800" spans="1:12">
      <c r="A800" s="412"/>
      <c r="B800" s="412"/>
      <c r="C800" s="412"/>
      <c r="D800" s="412"/>
      <c r="E800" s="345"/>
      <c r="F800" s="346"/>
      <c r="G800" s="412"/>
      <c r="H800" s="350"/>
      <c r="I800" s="346"/>
      <c r="J800" s="410"/>
      <c r="K800" s="410"/>
      <c r="L800" s="410"/>
    </row>
    <row r="801" spans="1:12">
      <c r="A801" s="412"/>
      <c r="B801" s="412"/>
      <c r="C801" s="412"/>
      <c r="D801" s="412"/>
      <c r="E801" s="345"/>
      <c r="F801" s="346"/>
      <c r="G801" s="412"/>
      <c r="H801" s="350"/>
      <c r="I801" s="346"/>
      <c r="J801" s="410"/>
      <c r="K801" s="410"/>
      <c r="L801" s="410"/>
    </row>
    <row r="802" spans="1:12">
      <c r="A802" s="412"/>
      <c r="B802" s="412"/>
      <c r="C802" s="412"/>
      <c r="D802" s="412"/>
      <c r="E802" s="345"/>
      <c r="F802" s="346"/>
      <c r="G802" s="412"/>
      <c r="H802" s="350"/>
      <c r="I802" s="346"/>
      <c r="J802" s="410"/>
      <c r="K802" s="410"/>
      <c r="L802" s="410"/>
    </row>
    <row r="803" spans="1:12">
      <c r="A803" s="412"/>
      <c r="B803" s="412"/>
      <c r="C803" s="412"/>
      <c r="D803" s="412"/>
      <c r="E803" s="345"/>
      <c r="F803" s="346"/>
      <c r="G803" s="412"/>
      <c r="H803" s="350"/>
      <c r="I803" s="346"/>
      <c r="J803" s="410"/>
      <c r="K803" s="410"/>
      <c r="L803" s="410"/>
    </row>
    <row r="804" spans="1:12">
      <c r="A804" s="412"/>
      <c r="B804" s="412"/>
      <c r="C804" s="412"/>
      <c r="D804" s="412"/>
      <c r="E804" s="345"/>
      <c r="F804" s="346"/>
      <c r="G804" s="412"/>
      <c r="H804" s="350"/>
      <c r="I804" s="346"/>
      <c r="J804" s="410"/>
      <c r="K804" s="410"/>
      <c r="L804" s="410"/>
    </row>
    <row r="805" spans="1:12">
      <c r="A805" s="412"/>
      <c r="B805" s="412"/>
      <c r="C805" s="412"/>
      <c r="D805" s="412"/>
      <c r="E805" s="345"/>
      <c r="F805" s="346"/>
      <c r="G805" s="412"/>
      <c r="H805" s="350"/>
      <c r="I805" s="346"/>
      <c r="J805" s="410"/>
      <c r="K805" s="410"/>
      <c r="L805" s="410"/>
    </row>
    <row r="806" spans="1:12">
      <c r="A806" s="412"/>
      <c r="B806" s="412"/>
      <c r="C806" s="412"/>
      <c r="D806" s="412"/>
      <c r="E806" s="345"/>
      <c r="F806" s="346"/>
      <c r="G806" s="412"/>
      <c r="H806" s="350"/>
      <c r="I806" s="346"/>
      <c r="J806" s="410"/>
      <c r="K806" s="410"/>
      <c r="L806" s="410"/>
    </row>
    <row r="807" spans="1:12">
      <c r="A807" s="412"/>
      <c r="B807" s="412"/>
      <c r="C807" s="412"/>
      <c r="D807" s="412"/>
      <c r="E807" s="345"/>
      <c r="F807" s="346"/>
      <c r="G807" s="412"/>
      <c r="H807" s="350"/>
      <c r="I807" s="346"/>
      <c r="J807" s="410"/>
      <c r="K807" s="410"/>
      <c r="L807" s="410"/>
    </row>
    <row r="808" spans="1:12">
      <c r="A808" s="412"/>
      <c r="B808" s="412"/>
      <c r="C808" s="412"/>
      <c r="D808" s="412"/>
      <c r="E808" s="345"/>
      <c r="F808" s="346"/>
      <c r="G808" s="412"/>
      <c r="H808" s="350"/>
      <c r="I808" s="346"/>
      <c r="J808" s="410"/>
      <c r="K808" s="410"/>
      <c r="L808" s="410"/>
    </row>
    <row r="809" spans="1:12">
      <c r="A809" s="412"/>
      <c r="B809" s="412"/>
      <c r="C809" s="412"/>
      <c r="D809" s="412"/>
      <c r="E809" s="345"/>
      <c r="F809" s="346"/>
      <c r="G809" s="412"/>
      <c r="H809" s="350"/>
      <c r="I809" s="346"/>
      <c r="J809" s="410"/>
      <c r="K809" s="410"/>
      <c r="L809" s="410"/>
    </row>
    <row r="810" spans="1:12">
      <c r="A810" s="412"/>
      <c r="B810" s="412"/>
      <c r="C810" s="412"/>
      <c r="D810" s="412"/>
      <c r="E810" s="345"/>
      <c r="F810" s="346"/>
      <c r="G810" s="412"/>
      <c r="H810" s="350"/>
      <c r="I810" s="346"/>
      <c r="J810" s="410"/>
      <c r="K810" s="410"/>
      <c r="L810" s="410"/>
    </row>
    <row r="811" spans="1:12">
      <c r="A811" s="412"/>
      <c r="B811" s="412"/>
      <c r="C811" s="412"/>
      <c r="D811" s="412"/>
      <c r="E811" s="345"/>
      <c r="F811" s="346"/>
      <c r="G811" s="412"/>
      <c r="H811" s="350"/>
      <c r="I811" s="346"/>
      <c r="J811" s="410"/>
      <c r="K811" s="410"/>
      <c r="L811" s="410"/>
    </row>
    <row r="812" spans="1:12">
      <c r="A812" s="412"/>
      <c r="B812" s="412"/>
      <c r="C812" s="412"/>
      <c r="D812" s="412"/>
      <c r="E812" s="345"/>
      <c r="F812" s="346"/>
      <c r="G812" s="412"/>
      <c r="H812" s="350"/>
      <c r="I812" s="346"/>
      <c r="J812" s="410"/>
      <c r="K812" s="410"/>
      <c r="L812" s="410"/>
    </row>
    <row r="813" spans="1:12">
      <c r="A813" s="412"/>
      <c r="B813" s="412"/>
      <c r="C813" s="412"/>
      <c r="D813" s="412"/>
      <c r="E813" s="345"/>
      <c r="F813" s="346"/>
      <c r="G813" s="412"/>
      <c r="H813" s="350"/>
      <c r="I813" s="346"/>
      <c r="J813" s="410"/>
      <c r="K813" s="410"/>
      <c r="L813" s="410"/>
    </row>
    <row r="814" spans="1:12">
      <c r="A814" s="412"/>
      <c r="B814" s="412"/>
      <c r="C814" s="412"/>
      <c r="D814" s="412"/>
      <c r="E814" s="345"/>
      <c r="F814" s="346"/>
      <c r="G814" s="412"/>
      <c r="H814" s="350"/>
      <c r="I814" s="346"/>
      <c r="J814" s="410"/>
      <c r="K814" s="410"/>
      <c r="L814" s="410"/>
    </row>
    <row r="815" spans="1:12">
      <c r="A815" s="412"/>
      <c r="B815" s="412"/>
      <c r="C815" s="412"/>
      <c r="D815" s="412"/>
      <c r="E815" s="345"/>
      <c r="F815" s="346"/>
      <c r="G815" s="412"/>
      <c r="H815" s="350"/>
      <c r="I815" s="346"/>
      <c r="J815" s="410"/>
      <c r="K815" s="410"/>
      <c r="L815" s="410"/>
    </row>
    <row r="816" spans="1:12">
      <c r="A816" s="412"/>
      <c r="B816" s="412"/>
      <c r="C816" s="412"/>
      <c r="D816" s="412"/>
      <c r="E816" s="345"/>
      <c r="F816" s="346"/>
      <c r="G816" s="412"/>
      <c r="H816" s="350"/>
      <c r="I816" s="346"/>
      <c r="J816" s="410"/>
      <c r="K816" s="410"/>
      <c r="L816" s="410"/>
    </row>
    <row r="817" spans="1:12">
      <c r="A817" s="412"/>
      <c r="B817" s="412"/>
      <c r="C817" s="412"/>
      <c r="D817" s="412"/>
      <c r="E817" s="345"/>
      <c r="F817" s="346"/>
      <c r="G817" s="412"/>
      <c r="H817" s="350"/>
      <c r="I817" s="346"/>
      <c r="J817" s="410"/>
      <c r="K817" s="410"/>
      <c r="L817" s="410"/>
    </row>
    <row r="818" spans="1:12">
      <c r="A818" s="412"/>
      <c r="B818" s="412"/>
      <c r="C818" s="412"/>
      <c r="D818" s="412"/>
      <c r="E818" s="345"/>
      <c r="F818" s="346"/>
      <c r="G818" s="412"/>
      <c r="H818" s="350"/>
      <c r="I818" s="346"/>
      <c r="J818" s="410"/>
      <c r="K818" s="410"/>
      <c r="L818" s="410"/>
    </row>
    <row r="819" spans="1:12">
      <c r="A819" s="412"/>
      <c r="B819" s="412"/>
      <c r="C819" s="412"/>
      <c r="D819" s="412"/>
      <c r="E819" s="345"/>
      <c r="F819" s="346"/>
      <c r="G819" s="412"/>
      <c r="H819" s="350"/>
      <c r="I819" s="346"/>
      <c r="J819" s="410"/>
      <c r="K819" s="410"/>
      <c r="L819" s="410"/>
    </row>
    <row r="820" spans="1:12">
      <c r="A820" s="412"/>
      <c r="B820" s="412"/>
      <c r="C820" s="412"/>
      <c r="D820" s="412"/>
      <c r="E820" s="345"/>
      <c r="F820" s="346"/>
      <c r="G820" s="412"/>
      <c r="H820" s="350"/>
      <c r="I820" s="346"/>
      <c r="J820" s="410"/>
      <c r="K820" s="410"/>
      <c r="L820" s="410"/>
    </row>
    <row r="821" spans="1:12">
      <c r="A821" s="412"/>
      <c r="B821" s="412"/>
      <c r="C821" s="412"/>
      <c r="D821" s="412"/>
      <c r="E821" s="345"/>
      <c r="F821" s="346"/>
      <c r="G821" s="412"/>
      <c r="H821" s="350"/>
      <c r="I821" s="346"/>
      <c r="J821" s="410"/>
      <c r="K821" s="410"/>
      <c r="L821" s="410"/>
    </row>
    <row r="822" spans="1:12">
      <c r="A822" s="412"/>
      <c r="B822" s="412"/>
      <c r="C822" s="412"/>
      <c r="D822" s="412"/>
      <c r="E822" s="345"/>
      <c r="F822" s="346"/>
      <c r="G822" s="412"/>
      <c r="H822" s="350"/>
      <c r="I822" s="346"/>
      <c r="J822" s="410"/>
      <c r="K822" s="410"/>
      <c r="L822" s="410"/>
    </row>
    <row r="823" spans="1:12">
      <c r="A823" s="412"/>
      <c r="B823" s="412"/>
      <c r="C823" s="412"/>
      <c r="D823" s="412"/>
      <c r="E823" s="345"/>
      <c r="F823" s="346"/>
      <c r="G823" s="412"/>
      <c r="H823" s="350"/>
      <c r="I823" s="346"/>
      <c r="J823" s="410"/>
      <c r="K823" s="410"/>
      <c r="L823" s="410"/>
    </row>
    <row r="824" spans="1:12">
      <c r="A824" s="412"/>
      <c r="B824" s="412"/>
      <c r="C824" s="412"/>
      <c r="D824" s="412"/>
      <c r="E824" s="345"/>
      <c r="F824" s="346"/>
      <c r="G824" s="412"/>
      <c r="H824" s="350"/>
      <c r="I824" s="346"/>
      <c r="J824" s="410"/>
      <c r="K824" s="410"/>
      <c r="L824" s="410"/>
    </row>
    <row r="825" spans="1:12">
      <c r="A825" s="412"/>
      <c r="B825" s="412"/>
      <c r="C825" s="412"/>
      <c r="D825" s="412"/>
      <c r="E825" s="345"/>
      <c r="F825" s="346"/>
      <c r="G825" s="412"/>
      <c r="H825" s="350"/>
      <c r="I825" s="346"/>
      <c r="J825" s="410"/>
      <c r="K825" s="410"/>
      <c r="L825" s="410"/>
    </row>
    <row r="826" spans="1:12">
      <c r="A826" s="412"/>
      <c r="B826" s="412"/>
      <c r="C826" s="412"/>
      <c r="D826" s="412"/>
      <c r="E826" s="345"/>
      <c r="F826" s="346"/>
      <c r="G826" s="412"/>
      <c r="H826" s="350"/>
      <c r="I826" s="346"/>
      <c r="J826" s="410"/>
      <c r="K826" s="410"/>
      <c r="L826" s="410"/>
    </row>
    <row r="827" spans="1:12">
      <c r="A827" s="412"/>
      <c r="B827" s="412"/>
      <c r="C827" s="412"/>
      <c r="D827" s="412"/>
      <c r="E827" s="345"/>
      <c r="F827" s="346"/>
      <c r="G827" s="412"/>
      <c r="H827" s="350"/>
      <c r="I827" s="346"/>
      <c r="J827" s="410"/>
      <c r="K827" s="410"/>
      <c r="L827" s="410"/>
    </row>
    <row r="828" spans="1:12">
      <c r="A828" s="412"/>
      <c r="B828" s="412"/>
      <c r="C828" s="412"/>
      <c r="D828" s="412"/>
      <c r="E828" s="345"/>
      <c r="F828" s="346"/>
      <c r="G828" s="412"/>
      <c r="H828" s="350"/>
      <c r="I828" s="346"/>
      <c r="J828" s="410"/>
      <c r="K828" s="410"/>
      <c r="L828" s="410"/>
    </row>
    <row r="829" spans="1:12">
      <c r="A829" s="412"/>
      <c r="B829" s="412"/>
      <c r="C829" s="412"/>
      <c r="D829" s="412"/>
      <c r="E829" s="345"/>
      <c r="F829" s="346"/>
      <c r="G829" s="412"/>
      <c r="H829" s="350"/>
      <c r="I829" s="346"/>
      <c r="J829" s="410"/>
      <c r="K829" s="410"/>
      <c r="L829" s="410"/>
    </row>
    <row r="830" spans="1:12">
      <c r="A830" s="412"/>
      <c r="B830" s="412"/>
      <c r="C830" s="412"/>
      <c r="D830" s="412"/>
      <c r="E830" s="345"/>
      <c r="F830" s="346"/>
      <c r="G830" s="412"/>
      <c r="H830" s="350"/>
      <c r="I830" s="346"/>
      <c r="J830" s="410"/>
      <c r="K830" s="410"/>
      <c r="L830" s="410"/>
    </row>
    <row r="831" spans="1:12">
      <c r="A831" s="412"/>
      <c r="B831" s="412"/>
      <c r="C831" s="412"/>
      <c r="D831" s="412"/>
      <c r="E831" s="345"/>
      <c r="F831" s="346"/>
      <c r="G831" s="412"/>
      <c r="H831" s="350"/>
      <c r="I831" s="346"/>
      <c r="J831" s="410"/>
      <c r="K831" s="410"/>
      <c r="L831" s="410"/>
    </row>
    <row r="832" spans="1:12">
      <c r="A832" s="412"/>
      <c r="B832" s="412"/>
      <c r="C832" s="412"/>
      <c r="D832" s="412"/>
      <c r="E832" s="345"/>
      <c r="F832" s="346"/>
      <c r="G832" s="412"/>
      <c r="H832" s="350"/>
      <c r="I832" s="346"/>
      <c r="J832" s="410"/>
      <c r="K832" s="410"/>
      <c r="L832" s="410"/>
    </row>
    <row r="833" spans="1:12">
      <c r="A833" s="412"/>
      <c r="B833" s="412"/>
      <c r="C833" s="412"/>
      <c r="D833" s="412"/>
      <c r="E833" s="345"/>
      <c r="F833" s="346"/>
      <c r="G833" s="412"/>
      <c r="H833" s="350"/>
      <c r="I833" s="346"/>
      <c r="J833" s="410"/>
      <c r="K833" s="410"/>
      <c r="L833" s="410"/>
    </row>
    <row r="834" spans="1:12">
      <c r="A834" s="412"/>
      <c r="B834" s="412"/>
      <c r="C834" s="412"/>
      <c r="D834" s="412"/>
      <c r="E834" s="345"/>
      <c r="F834" s="346"/>
      <c r="G834" s="412"/>
      <c r="H834" s="350"/>
      <c r="I834" s="346"/>
      <c r="J834" s="410"/>
      <c r="K834" s="410"/>
      <c r="L834" s="410"/>
    </row>
    <row r="835" spans="1:12">
      <c r="A835" s="412"/>
      <c r="B835" s="412"/>
      <c r="C835" s="412"/>
      <c r="D835" s="412"/>
      <c r="E835" s="345"/>
      <c r="F835" s="346"/>
      <c r="G835" s="412"/>
      <c r="H835" s="350"/>
      <c r="I835" s="346"/>
      <c r="J835" s="410"/>
      <c r="K835" s="410"/>
      <c r="L835" s="410"/>
    </row>
    <row r="836" spans="1:12">
      <c r="A836" s="412"/>
      <c r="B836" s="412"/>
      <c r="C836" s="412"/>
      <c r="D836" s="412"/>
      <c r="E836" s="345"/>
      <c r="F836" s="346"/>
      <c r="G836" s="412"/>
      <c r="H836" s="350"/>
      <c r="I836" s="346"/>
      <c r="J836" s="410"/>
      <c r="K836" s="410"/>
      <c r="L836" s="410"/>
    </row>
    <row r="837" spans="1:12">
      <c r="A837" s="412"/>
      <c r="B837" s="412"/>
      <c r="C837" s="412"/>
      <c r="D837" s="412"/>
      <c r="E837" s="345"/>
      <c r="F837" s="346"/>
      <c r="G837" s="412"/>
      <c r="H837" s="350"/>
      <c r="I837" s="346"/>
      <c r="J837" s="410"/>
      <c r="K837" s="410"/>
      <c r="L837" s="410"/>
    </row>
    <row r="838" spans="1:12">
      <c r="A838" s="412"/>
      <c r="B838" s="412"/>
      <c r="C838" s="412"/>
      <c r="D838" s="412"/>
      <c r="E838" s="345"/>
      <c r="F838" s="346"/>
      <c r="G838" s="412"/>
      <c r="H838" s="350"/>
      <c r="I838" s="346"/>
      <c r="J838" s="410"/>
      <c r="K838" s="410"/>
      <c r="L838" s="410"/>
    </row>
    <row r="839" spans="1:12">
      <c r="A839" s="412"/>
      <c r="B839" s="412"/>
      <c r="C839" s="412"/>
      <c r="D839" s="412"/>
      <c r="E839" s="345"/>
      <c r="F839" s="346"/>
      <c r="G839" s="412"/>
      <c r="H839" s="350"/>
      <c r="I839" s="346"/>
      <c r="J839" s="410"/>
      <c r="K839" s="410"/>
      <c r="L839" s="410"/>
    </row>
    <row r="840" spans="1:12">
      <c r="A840" s="412"/>
      <c r="B840" s="412"/>
      <c r="C840" s="412"/>
      <c r="D840" s="412"/>
      <c r="E840" s="345"/>
      <c r="F840" s="346"/>
      <c r="G840" s="412"/>
      <c r="H840" s="350"/>
      <c r="I840" s="346"/>
      <c r="J840" s="410"/>
      <c r="K840" s="410"/>
      <c r="L840" s="410"/>
    </row>
    <row r="841" spans="1:12">
      <c r="A841" s="412"/>
      <c r="B841" s="412"/>
      <c r="C841" s="412"/>
      <c r="D841" s="412"/>
      <c r="E841" s="345"/>
      <c r="F841" s="346"/>
      <c r="G841" s="412"/>
      <c r="H841" s="350"/>
      <c r="I841" s="346"/>
      <c r="J841" s="410"/>
      <c r="K841" s="410"/>
      <c r="L841" s="410"/>
    </row>
    <row r="842" spans="1:12">
      <c r="A842" s="412"/>
      <c r="B842" s="412"/>
      <c r="C842" s="412"/>
      <c r="D842" s="412"/>
      <c r="E842" s="345"/>
      <c r="F842" s="346"/>
      <c r="G842" s="412"/>
      <c r="H842" s="350"/>
      <c r="I842" s="346"/>
      <c r="J842" s="410"/>
      <c r="K842" s="410"/>
      <c r="L842" s="410"/>
    </row>
    <row r="843" spans="1:12">
      <c r="A843" s="412"/>
      <c r="B843" s="412"/>
      <c r="C843" s="412"/>
      <c r="D843" s="412"/>
      <c r="E843" s="345"/>
      <c r="F843" s="346"/>
      <c r="G843" s="412"/>
      <c r="H843" s="350"/>
      <c r="I843" s="346"/>
      <c r="J843" s="410"/>
      <c r="K843" s="410"/>
      <c r="L843" s="410"/>
    </row>
    <row r="844" spans="1:12">
      <c r="A844" s="412"/>
      <c r="B844" s="412"/>
      <c r="C844" s="412"/>
      <c r="D844" s="412"/>
      <c r="E844" s="345"/>
      <c r="F844" s="346"/>
      <c r="G844" s="412"/>
      <c r="H844" s="350"/>
      <c r="I844" s="346"/>
      <c r="J844" s="410"/>
      <c r="K844" s="410"/>
      <c r="L844" s="410"/>
    </row>
    <row r="845" spans="1:12">
      <c r="A845" s="412"/>
      <c r="B845" s="412"/>
      <c r="C845" s="412"/>
      <c r="D845" s="412"/>
      <c r="E845" s="345"/>
      <c r="F845" s="346"/>
      <c r="G845" s="412"/>
      <c r="H845" s="350"/>
      <c r="I845" s="346"/>
      <c r="J845" s="410"/>
      <c r="K845" s="410"/>
      <c r="L845" s="410"/>
    </row>
    <row r="846" spans="1:12">
      <c r="A846" s="412"/>
      <c r="B846" s="412"/>
      <c r="C846" s="412"/>
      <c r="D846" s="412"/>
      <c r="E846" s="345"/>
      <c r="F846" s="346"/>
      <c r="G846" s="412"/>
      <c r="H846" s="350"/>
      <c r="I846" s="346"/>
      <c r="J846" s="410"/>
      <c r="K846" s="410"/>
      <c r="L846" s="410"/>
    </row>
    <row r="847" spans="1:12">
      <c r="A847" s="412"/>
      <c r="B847" s="412"/>
      <c r="C847" s="412"/>
      <c r="D847" s="412"/>
      <c r="E847" s="345"/>
      <c r="F847" s="346"/>
      <c r="G847" s="412"/>
      <c r="H847" s="350"/>
      <c r="I847" s="346"/>
      <c r="J847" s="410"/>
      <c r="K847" s="410"/>
      <c r="L847" s="410"/>
    </row>
    <row r="848" spans="1:12">
      <c r="A848" s="412"/>
      <c r="B848" s="412"/>
      <c r="C848" s="412"/>
      <c r="D848" s="412"/>
      <c r="E848" s="345"/>
      <c r="F848" s="346"/>
      <c r="G848" s="412"/>
      <c r="H848" s="350"/>
      <c r="I848" s="346"/>
      <c r="J848" s="410"/>
      <c r="K848" s="410"/>
      <c r="L848" s="410"/>
    </row>
    <row r="849" spans="1:12">
      <c r="A849" s="412"/>
      <c r="B849" s="412"/>
      <c r="C849" s="412"/>
      <c r="D849" s="412"/>
      <c r="E849" s="345"/>
      <c r="F849" s="346"/>
      <c r="G849" s="412"/>
      <c r="H849" s="350"/>
      <c r="I849" s="346"/>
      <c r="J849" s="410"/>
      <c r="K849" s="410"/>
      <c r="L849" s="410"/>
    </row>
    <row r="850" spans="1:12">
      <c r="A850" s="412"/>
      <c r="B850" s="412"/>
      <c r="C850" s="412"/>
      <c r="D850" s="412"/>
      <c r="E850" s="345"/>
      <c r="F850" s="346"/>
      <c r="G850" s="412"/>
      <c r="H850" s="350"/>
      <c r="I850" s="346"/>
      <c r="J850" s="410"/>
      <c r="K850" s="410"/>
      <c r="L850" s="410"/>
    </row>
    <row r="851" spans="1:12">
      <c r="A851" s="412"/>
      <c r="B851" s="412"/>
      <c r="C851" s="412"/>
      <c r="D851" s="412"/>
      <c r="E851" s="345"/>
      <c r="F851" s="346"/>
      <c r="G851" s="412"/>
      <c r="H851" s="350"/>
      <c r="I851" s="346"/>
      <c r="J851" s="410"/>
      <c r="K851" s="410"/>
      <c r="L851" s="410"/>
    </row>
    <row r="852" spans="1:12">
      <c r="A852" s="412"/>
      <c r="B852" s="412"/>
      <c r="C852" s="412"/>
      <c r="D852" s="412"/>
      <c r="E852" s="345"/>
      <c r="F852" s="346"/>
      <c r="G852" s="412"/>
      <c r="H852" s="350"/>
      <c r="I852" s="346"/>
      <c r="J852" s="410"/>
      <c r="K852" s="410"/>
      <c r="L852" s="410"/>
    </row>
    <row r="853" spans="1:12">
      <c r="A853" s="412"/>
      <c r="B853" s="412"/>
      <c r="C853" s="412"/>
      <c r="D853" s="412"/>
      <c r="E853" s="345"/>
      <c r="F853" s="346"/>
      <c r="G853" s="412"/>
      <c r="H853" s="350"/>
      <c r="I853" s="346"/>
      <c r="J853" s="410"/>
      <c r="K853" s="410"/>
      <c r="L853" s="410"/>
    </row>
    <row r="854" spans="1:12">
      <c r="A854" s="412"/>
      <c r="B854" s="412"/>
      <c r="C854" s="412"/>
      <c r="D854" s="412"/>
      <c r="E854" s="345"/>
      <c r="F854" s="346"/>
      <c r="G854" s="412"/>
      <c r="H854" s="350"/>
      <c r="I854" s="346"/>
      <c r="J854" s="410"/>
      <c r="K854" s="410"/>
      <c r="L854" s="410"/>
    </row>
    <row r="855" spans="1:12">
      <c r="A855" s="412"/>
      <c r="B855" s="412"/>
      <c r="C855" s="412"/>
      <c r="D855" s="412"/>
      <c r="E855" s="345"/>
      <c r="F855" s="346"/>
      <c r="G855" s="412"/>
      <c r="H855" s="350"/>
      <c r="I855" s="346"/>
      <c r="J855" s="410"/>
      <c r="K855" s="410"/>
      <c r="L855" s="410"/>
    </row>
    <row r="856" spans="1:12">
      <c r="A856" s="412"/>
      <c r="B856" s="412"/>
      <c r="C856" s="412"/>
      <c r="D856" s="412"/>
      <c r="E856" s="345"/>
      <c r="F856" s="346"/>
      <c r="G856" s="412"/>
      <c r="H856" s="350"/>
      <c r="I856" s="346"/>
      <c r="J856" s="410"/>
      <c r="K856" s="410"/>
      <c r="L856" s="410"/>
    </row>
    <row r="857" spans="1:12">
      <c r="A857" s="412"/>
      <c r="B857" s="412"/>
      <c r="C857" s="412"/>
      <c r="D857" s="412"/>
      <c r="E857" s="345"/>
      <c r="F857" s="346"/>
      <c r="G857" s="412"/>
      <c r="H857" s="350"/>
      <c r="I857" s="346"/>
      <c r="J857" s="410"/>
      <c r="K857" s="410"/>
      <c r="L857" s="410"/>
    </row>
    <row r="858" spans="1:12">
      <c r="A858" s="412"/>
      <c r="B858" s="412"/>
      <c r="C858" s="412"/>
      <c r="D858" s="412"/>
      <c r="E858" s="345"/>
      <c r="F858" s="346"/>
      <c r="G858" s="412"/>
      <c r="H858" s="350"/>
      <c r="I858" s="346"/>
      <c r="J858" s="410"/>
      <c r="K858" s="410"/>
      <c r="L858" s="410"/>
    </row>
    <row r="859" spans="1:12">
      <c r="A859" s="412"/>
      <c r="B859" s="412"/>
      <c r="C859" s="412"/>
      <c r="D859" s="412"/>
      <c r="E859" s="345"/>
      <c r="F859" s="346"/>
      <c r="G859" s="412"/>
      <c r="H859" s="350"/>
      <c r="I859" s="346"/>
      <c r="J859" s="410"/>
      <c r="K859" s="410"/>
      <c r="L859" s="410"/>
    </row>
    <row r="860" spans="1:12">
      <c r="A860" s="412"/>
      <c r="B860" s="412"/>
      <c r="C860" s="412"/>
      <c r="D860" s="412"/>
      <c r="E860" s="345"/>
      <c r="F860" s="346"/>
      <c r="G860" s="412"/>
      <c r="H860" s="350"/>
      <c r="I860" s="346"/>
      <c r="J860" s="410"/>
      <c r="K860" s="410"/>
      <c r="L860" s="410"/>
    </row>
    <row r="861" spans="1:12">
      <c r="A861" s="412"/>
      <c r="B861" s="412"/>
      <c r="C861" s="412"/>
      <c r="D861" s="412"/>
      <c r="E861" s="345"/>
      <c r="F861" s="346"/>
      <c r="G861" s="412"/>
      <c r="H861" s="350"/>
      <c r="I861" s="346"/>
      <c r="J861" s="410"/>
      <c r="K861" s="410"/>
      <c r="L861" s="410"/>
    </row>
    <row r="862" spans="1:12">
      <c r="A862" s="412"/>
      <c r="B862" s="412"/>
      <c r="C862" s="412"/>
      <c r="D862" s="412"/>
      <c r="E862" s="345"/>
      <c r="F862" s="346"/>
      <c r="G862" s="412"/>
      <c r="H862" s="350"/>
      <c r="I862" s="346"/>
      <c r="J862" s="410"/>
      <c r="K862" s="410"/>
      <c r="L862" s="410"/>
    </row>
    <row r="863" spans="1:12">
      <c r="A863" s="412"/>
      <c r="B863" s="412"/>
      <c r="C863" s="412"/>
      <c r="D863" s="412"/>
      <c r="E863" s="345"/>
      <c r="F863" s="346"/>
      <c r="G863" s="412"/>
      <c r="H863" s="350"/>
      <c r="I863" s="346"/>
      <c r="J863" s="410"/>
      <c r="K863" s="410"/>
      <c r="L863" s="410"/>
    </row>
    <row r="864" spans="1:12">
      <c r="A864" s="412"/>
      <c r="B864" s="412"/>
      <c r="C864" s="412"/>
      <c r="D864" s="412"/>
      <c r="E864" s="345"/>
      <c r="F864" s="346"/>
      <c r="G864" s="412"/>
      <c r="H864" s="350"/>
      <c r="I864" s="346"/>
      <c r="J864" s="410"/>
      <c r="K864" s="410"/>
      <c r="L864" s="410"/>
    </row>
    <row r="865" spans="1:12">
      <c r="A865" s="412"/>
      <c r="B865" s="412"/>
      <c r="C865" s="412"/>
      <c r="D865" s="412"/>
      <c r="E865" s="345"/>
      <c r="F865" s="346"/>
      <c r="G865" s="412"/>
      <c r="H865" s="350"/>
      <c r="I865" s="346"/>
      <c r="J865" s="410"/>
      <c r="K865" s="410"/>
      <c r="L865" s="410"/>
    </row>
    <row r="866" spans="1:12">
      <c r="A866" s="412"/>
      <c r="B866" s="412"/>
      <c r="C866" s="412"/>
      <c r="D866" s="412"/>
      <c r="E866" s="345"/>
      <c r="F866" s="346"/>
      <c r="G866" s="412"/>
      <c r="H866" s="350"/>
      <c r="I866" s="346"/>
      <c r="J866" s="410"/>
      <c r="K866" s="410"/>
      <c r="L866" s="410"/>
    </row>
    <row r="867" spans="1:12">
      <c r="A867" s="412"/>
      <c r="B867" s="412"/>
      <c r="C867" s="412"/>
      <c r="D867" s="412"/>
      <c r="E867" s="345"/>
      <c r="F867" s="346"/>
      <c r="G867" s="412"/>
      <c r="H867" s="350"/>
      <c r="I867" s="346"/>
      <c r="J867" s="410"/>
      <c r="K867" s="410"/>
      <c r="L867" s="410"/>
    </row>
    <row r="868" spans="1:12">
      <c r="A868" s="412"/>
      <c r="B868" s="412"/>
      <c r="C868" s="412"/>
      <c r="D868" s="412"/>
      <c r="E868" s="345"/>
      <c r="F868" s="346"/>
      <c r="G868" s="412"/>
      <c r="H868" s="350"/>
      <c r="I868" s="346"/>
      <c r="J868" s="410"/>
      <c r="K868" s="410"/>
      <c r="L868" s="410"/>
    </row>
    <row r="869" spans="1:12">
      <c r="A869" s="412"/>
      <c r="B869" s="412"/>
      <c r="C869" s="412"/>
      <c r="D869" s="412"/>
      <c r="E869" s="345"/>
      <c r="F869" s="346"/>
      <c r="G869" s="412"/>
      <c r="H869" s="350"/>
      <c r="I869" s="346"/>
      <c r="J869" s="410"/>
      <c r="K869" s="410"/>
      <c r="L869" s="410"/>
    </row>
    <row r="870" spans="1:12">
      <c r="A870" s="412"/>
      <c r="B870" s="412"/>
      <c r="C870" s="412"/>
      <c r="D870" s="412"/>
      <c r="E870" s="345"/>
      <c r="F870" s="346"/>
      <c r="G870" s="412"/>
      <c r="H870" s="350"/>
      <c r="I870" s="346"/>
      <c r="J870" s="410"/>
      <c r="K870" s="410"/>
      <c r="L870" s="410"/>
    </row>
    <row r="871" spans="1:12">
      <c r="A871" s="412"/>
      <c r="B871" s="412"/>
      <c r="C871" s="412"/>
      <c r="D871" s="412"/>
      <c r="E871" s="345"/>
      <c r="F871" s="346"/>
      <c r="G871" s="412"/>
      <c r="H871" s="350"/>
      <c r="I871" s="346"/>
      <c r="J871" s="410"/>
      <c r="K871" s="410"/>
      <c r="L871" s="410"/>
    </row>
    <row r="872" spans="1:12">
      <c r="A872" s="412"/>
      <c r="B872" s="412"/>
      <c r="C872" s="412"/>
      <c r="D872" s="412"/>
      <c r="E872" s="345"/>
      <c r="F872" s="346"/>
      <c r="G872" s="412"/>
      <c r="H872" s="350"/>
      <c r="I872" s="346"/>
      <c r="J872" s="410"/>
      <c r="K872" s="410"/>
      <c r="L872" s="410"/>
    </row>
    <row r="873" spans="1:12">
      <c r="A873" s="412"/>
      <c r="B873" s="412"/>
      <c r="C873" s="412"/>
      <c r="D873" s="412"/>
      <c r="E873" s="345"/>
      <c r="F873" s="346"/>
      <c r="G873" s="412"/>
      <c r="H873" s="350"/>
      <c r="I873" s="346"/>
      <c r="J873" s="410"/>
      <c r="K873" s="410"/>
      <c r="L873" s="410"/>
    </row>
    <row r="874" spans="1:12">
      <c r="A874" s="412"/>
      <c r="B874" s="412"/>
      <c r="C874" s="412"/>
      <c r="D874" s="412"/>
      <c r="E874" s="345"/>
      <c r="F874" s="346"/>
      <c r="G874" s="412"/>
      <c r="H874" s="350"/>
      <c r="I874" s="346"/>
      <c r="J874" s="410"/>
      <c r="K874" s="410"/>
      <c r="L874" s="410"/>
    </row>
    <row r="875" spans="1:12">
      <c r="A875" s="412"/>
      <c r="B875" s="412"/>
      <c r="C875" s="412"/>
      <c r="D875" s="412"/>
      <c r="E875" s="345"/>
      <c r="F875" s="346"/>
      <c r="G875" s="412"/>
      <c r="H875" s="350"/>
      <c r="I875" s="346"/>
      <c r="J875" s="410"/>
      <c r="K875" s="410"/>
      <c r="L875" s="410"/>
    </row>
    <row r="876" spans="1:12">
      <c r="A876" s="412"/>
      <c r="B876" s="412"/>
      <c r="C876" s="412"/>
      <c r="D876" s="412"/>
      <c r="E876" s="345"/>
      <c r="F876" s="346"/>
      <c r="G876" s="412"/>
      <c r="H876" s="350"/>
      <c r="I876" s="346"/>
      <c r="J876" s="410"/>
      <c r="K876" s="410"/>
      <c r="L876" s="410"/>
    </row>
    <row r="877" spans="1:12">
      <c r="A877" s="412"/>
      <c r="B877" s="412"/>
      <c r="C877" s="412"/>
      <c r="D877" s="412"/>
      <c r="E877" s="345"/>
      <c r="F877" s="346"/>
      <c r="G877" s="412"/>
      <c r="H877" s="350"/>
      <c r="I877" s="346"/>
      <c r="J877" s="410"/>
      <c r="K877" s="410"/>
      <c r="L877" s="410"/>
    </row>
    <row r="878" spans="1:12">
      <c r="A878" s="412"/>
      <c r="B878" s="412"/>
      <c r="C878" s="412"/>
      <c r="D878" s="412"/>
      <c r="E878" s="345"/>
      <c r="F878" s="346"/>
      <c r="G878" s="412"/>
      <c r="H878" s="350"/>
      <c r="I878" s="346"/>
      <c r="J878" s="410"/>
      <c r="K878" s="410"/>
      <c r="L878" s="410"/>
    </row>
    <row r="879" spans="1:12">
      <c r="A879" s="412"/>
      <c r="B879" s="412"/>
      <c r="C879" s="412"/>
      <c r="D879" s="412"/>
      <c r="E879" s="345"/>
      <c r="F879" s="346"/>
      <c r="G879" s="412"/>
      <c r="H879" s="350"/>
      <c r="I879" s="346"/>
      <c r="J879" s="410"/>
      <c r="K879" s="410"/>
      <c r="L879" s="410"/>
    </row>
    <row r="880" spans="1:12">
      <c r="A880" s="412"/>
      <c r="B880" s="412"/>
      <c r="C880" s="412"/>
      <c r="D880" s="412"/>
      <c r="E880" s="345"/>
      <c r="F880" s="346"/>
      <c r="G880" s="412"/>
      <c r="H880" s="350"/>
      <c r="I880" s="346"/>
      <c r="J880" s="410"/>
      <c r="K880" s="410"/>
      <c r="L880" s="410"/>
    </row>
    <row r="881" spans="1:12">
      <c r="A881" s="412"/>
      <c r="B881" s="412"/>
      <c r="C881" s="412"/>
      <c r="D881" s="412"/>
      <c r="E881" s="345"/>
      <c r="F881" s="346"/>
      <c r="G881" s="412"/>
      <c r="H881" s="350"/>
      <c r="I881" s="346"/>
      <c r="J881" s="410"/>
      <c r="K881" s="410"/>
      <c r="L881" s="410"/>
    </row>
    <row r="882" spans="1:12">
      <c r="A882" s="412"/>
      <c r="B882" s="412"/>
      <c r="C882" s="412"/>
      <c r="D882" s="412"/>
      <c r="E882" s="345"/>
      <c r="F882" s="346"/>
      <c r="G882" s="412"/>
      <c r="H882" s="350"/>
      <c r="I882" s="346"/>
      <c r="J882" s="410"/>
      <c r="K882" s="410"/>
      <c r="L882" s="410"/>
    </row>
    <row r="883" spans="1:12">
      <c r="A883" s="412"/>
      <c r="B883" s="412"/>
      <c r="C883" s="412"/>
      <c r="D883" s="412"/>
      <c r="E883" s="345"/>
      <c r="F883" s="346"/>
      <c r="G883" s="412"/>
      <c r="H883" s="350"/>
      <c r="I883" s="346"/>
      <c r="J883" s="410"/>
      <c r="K883" s="410"/>
      <c r="L883" s="410"/>
    </row>
    <row r="884" spans="1:12">
      <c r="A884" s="412"/>
      <c r="B884" s="412"/>
      <c r="C884" s="412"/>
      <c r="D884" s="412"/>
      <c r="E884" s="345"/>
      <c r="F884" s="346"/>
      <c r="G884" s="412"/>
      <c r="H884" s="350"/>
      <c r="I884" s="346"/>
      <c r="J884" s="410"/>
      <c r="K884" s="410"/>
      <c r="L884" s="410"/>
    </row>
    <row r="885" spans="1:12">
      <c r="A885" s="412"/>
      <c r="B885" s="412"/>
      <c r="C885" s="412"/>
      <c r="D885" s="412"/>
      <c r="E885" s="345"/>
      <c r="F885" s="346"/>
      <c r="G885" s="412"/>
      <c r="H885" s="350"/>
      <c r="I885" s="346"/>
      <c r="J885" s="410"/>
      <c r="K885" s="410"/>
      <c r="L885" s="410"/>
    </row>
    <row r="886" spans="1:12">
      <c r="A886" s="412"/>
      <c r="B886" s="412"/>
      <c r="C886" s="412"/>
      <c r="D886" s="412"/>
      <c r="E886" s="345"/>
      <c r="F886" s="346"/>
      <c r="G886" s="412"/>
      <c r="H886" s="350"/>
      <c r="I886" s="346"/>
      <c r="J886" s="410"/>
      <c r="K886" s="410"/>
      <c r="L886" s="410"/>
    </row>
    <row r="887" spans="1:12">
      <c r="A887" s="412"/>
      <c r="B887" s="412"/>
      <c r="C887" s="412"/>
      <c r="D887" s="412"/>
      <c r="E887" s="345"/>
      <c r="F887" s="346"/>
      <c r="G887" s="412"/>
      <c r="H887" s="350"/>
      <c r="I887" s="346"/>
      <c r="J887" s="410"/>
      <c r="K887" s="410"/>
      <c r="L887" s="410"/>
    </row>
    <row r="888" spans="1:12">
      <c r="A888" s="412"/>
      <c r="B888" s="412"/>
      <c r="C888" s="412"/>
      <c r="D888" s="412"/>
      <c r="E888" s="345"/>
      <c r="F888" s="346"/>
      <c r="G888" s="412"/>
      <c r="H888" s="350"/>
      <c r="I888" s="346"/>
      <c r="J888" s="410"/>
      <c r="K888" s="410"/>
      <c r="L888" s="410"/>
    </row>
    <row r="889" spans="1:12">
      <c r="A889" s="412"/>
      <c r="B889" s="412"/>
      <c r="C889" s="412"/>
      <c r="D889" s="412"/>
      <c r="E889" s="345"/>
      <c r="F889" s="346"/>
      <c r="G889" s="412"/>
      <c r="H889" s="350"/>
      <c r="I889" s="346"/>
      <c r="J889" s="410"/>
      <c r="K889" s="410"/>
      <c r="L889" s="410"/>
    </row>
    <row r="890" spans="1:12">
      <c r="A890" s="412"/>
      <c r="B890" s="412"/>
      <c r="C890" s="412"/>
      <c r="D890" s="412"/>
      <c r="E890" s="345"/>
      <c r="F890" s="346"/>
      <c r="G890" s="412"/>
      <c r="H890" s="350"/>
      <c r="I890" s="346"/>
      <c r="J890" s="410"/>
      <c r="K890" s="410"/>
      <c r="L890" s="410"/>
    </row>
    <row r="891" spans="1:12">
      <c r="A891" s="412"/>
      <c r="B891" s="412"/>
      <c r="C891" s="412"/>
      <c r="D891" s="412"/>
      <c r="E891" s="345"/>
      <c r="F891" s="346"/>
      <c r="G891" s="412"/>
      <c r="H891" s="350"/>
      <c r="I891" s="346"/>
      <c r="J891" s="410"/>
      <c r="K891" s="410"/>
      <c r="L891" s="410"/>
    </row>
    <row r="892" spans="1:12">
      <c r="A892" s="412"/>
      <c r="B892" s="412"/>
      <c r="C892" s="412"/>
      <c r="D892" s="412"/>
      <c r="E892" s="345"/>
      <c r="F892" s="346"/>
      <c r="G892" s="412"/>
      <c r="H892" s="350"/>
      <c r="I892" s="346"/>
      <c r="J892" s="410"/>
      <c r="K892" s="410"/>
      <c r="L892" s="410"/>
    </row>
    <row r="893" spans="1:12">
      <c r="A893" s="412"/>
      <c r="B893" s="412"/>
      <c r="C893" s="412"/>
      <c r="D893" s="412"/>
      <c r="E893" s="345"/>
      <c r="F893" s="346"/>
      <c r="G893" s="412"/>
      <c r="H893" s="350"/>
      <c r="I893" s="346"/>
      <c r="J893" s="410"/>
      <c r="K893" s="410"/>
      <c r="L893" s="410"/>
    </row>
    <row r="894" spans="1:12">
      <c r="A894" s="412"/>
      <c r="B894" s="412"/>
      <c r="C894" s="412"/>
      <c r="D894" s="412"/>
      <c r="E894" s="345"/>
      <c r="F894" s="346"/>
      <c r="G894" s="412"/>
      <c r="H894" s="350"/>
      <c r="I894" s="346"/>
      <c r="J894" s="410"/>
      <c r="K894" s="410"/>
      <c r="L894" s="410"/>
    </row>
    <row r="895" spans="1:12">
      <c r="A895" s="412"/>
      <c r="B895" s="412"/>
      <c r="C895" s="412"/>
      <c r="D895" s="412"/>
      <c r="E895" s="345"/>
      <c r="F895" s="346"/>
      <c r="G895" s="412"/>
      <c r="H895" s="350"/>
      <c r="I895" s="346"/>
      <c r="J895" s="410"/>
      <c r="K895" s="410"/>
      <c r="L895" s="410"/>
    </row>
    <row r="896" spans="1:12">
      <c r="A896" s="412"/>
      <c r="B896" s="412"/>
      <c r="C896" s="412"/>
      <c r="D896" s="412"/>
      <c r="E896" s="345"/>
      <c r="F896" s="346"/>
      <c r="G896" s="412"/>
      <c r="H896" s="350"/>
      <c r="I896" s="346"/>
      <c r="J896" s="410"/>
      <c r="K896" s="410"/>
      <c r="L896" s="410"/>
    </row>
    <row r="897" spans="1:12">
      <c r="A897" s="412"/>
      <c r="B897" s="412"/>
      <c r="C897" s="412"/>
      <c r="D897" s="412"/>
      <c r="E897" s="345"/>
      <c r="F897" s="346"/>
      <c r="G897" s="412"/>
      <c r="H897" s="350"/>
      <c r="I897" s="346"/>
      <c r="J897" s="410"/>
      <c r="K897" s="410"/>
      <c r="L897" s="410"/>
    </row>
    <row r="898" spans="1:12">
      <c r="A898" s="412"/>
      <c r="B898" s="412"/>
      <c r="C898" s="412"/>
      <c r="D898" s="412"/>
      <c r="E898" s="345"/>
      <c r="F898" s="346"/>
      <c r="G898" s="412"/>
      <c r="H898" s="350"/>
      <c r="I898" s="346"/>
      <c r="J898" s="410"/>
      <c r="K898" s="410"/>
      <c r="L898" s="410"/>
    </row>
    <row r="899" spans="1:12">
      <c r="A899" s="412"/>
      <c r="B899" s="412"/>
      <c r="C899" s="412"/>
      <c r="D899" s="412"/>
      <c r="E899" s="345"/>
      <c r="F899" s="346"/>
      <c r="G899" s="412"/>
      <c r="H899" s="350"/>
      <c r="I899" s="346"/>
      <c r="J899" s="410"/>
      <c r="K899" s="410"/>
      <c r="L899" s="410"/>
    </row>
    <row r="900" spans="1:12">
      <c r="A900" s="412"/>
      <c r="B900" s="412"/>
      <c r="C900" s="412"/>
      <c r="D900" s="412"/>
      <c r="E900" s="345"/>
      <c r="F900" s="346"/>
      <c r="G900" s="412"/>
      <c r="H900" s="350"/>
      <c r="I900" s="346"/>
      <c r="J900" s="410"/>
      <c r="K900" s="410"/>
      <c r="L900" s="410"/>
    </row>
    <row r="901" spans="1:12">
      <c r="A901" s="412"/>
      <c r="B901" s="412"/>
      <c r="C901" s="412"/>
      <c r="D901" s="412"/>
      <c r="E901" s="345"/>
      <c r="F901" s="346"/>
      <c r="G901" s="412"/>
      <c r="H901" s="350"/>
      <c r="I901" s="346"/>
      <c r="J901" s="410"/>
      <c r="K901" s="410"/>
      <c r="L901" s="410"/>
    </row>
    <row r="902" spans="1:12">
      <c r="A902" s="412"/>
      <c r="B902" s="412"/>
      <c r="C902" s="412"/>
      <c r="D902" s="412"/>
      <c r="E902" s="345"/>
      <c r="F902" s="346"/>
      <c r="G902" s="412"/>
      <c r="H902" s="350"/>
      <c r="I902" s="346"/>
      <c r="J902" s="410"/>
      <c r="K902" s="410"/>
      <c r="L902" s="410"/>
    </row>
    <row r="903" spans="1:12">
      <c r="A903" s="412"/>
      <c r="B903" s="412"/>
      <c r="C903" s="412"/>
      <c r="D903" s="412"/>
      <c r="E903" s="345"/>
      <c r="F903" s="346"/>
      <c r="G903" s="412"/>
      <c r="H903" s="350"/>
      <c r="I903" s="346"/>
      <c r="J903" s="410"/>
      <c r="K903" s="410"/>
      <c r="L903" s="410"/>
    </row>
    <row r="904" spans="1:12">
      <c r="A904" s="412"/>
      <c r="B904" s="412"/>
      <c r="C904" s="412"/>
      <c r="D904" s="412"/>
      <c r="E904" s="345"/>
      <c r="F904" s="346"/>
      <c r="G904" s="412"/>
      <c r="H904" s="350"/>
      <c r="I904" s="346"/>
      <c r="J904" s="410"/>
      <c r="K904" s="410"/>
      <c r="L904" s="410"/>
    </row>
    <row r="905" spans="1:12">
      <c r="A905" s="412"/>
      <c r="B905" s="412"/>
      <c r="C905" s="412"/>
      <c r="D905" s="412"/>
      <c r="E905" s="345"/>
      <c r="F905" s="346"/>
      <c r="G905" s="412"/>
      <c r="H905" s="350"/>
      <c r="I905" s="346"/>
      <c r="J905" s="410"/>
      <c r="K905" s="410"/>
      <c r="L905" s="410"/>
    </row>
    <row r="906" spans="1:12">
      <c r="A906" s="412"/>
      <c r="B906" s="412"/>
      <c r="C906" s="412"/>
      <c r="D906" s="412"/>
      <c r="E906" s="345"/>
      <c r="F906" s="346"/>
      <c r="G906" s="412"/>
      <c r="H906" s="350"/>
      <c r="I906" s="346"/>
      <c r="J906" s="410"/>
      <c r="K906" s="410"/>
      <c r="L906" s="410"/>
    </row>
    <row r="907" spans="1:12">
      <c r="A907" s="412"/>
      <c r="B907" s="412"/>
      <c r="C907" s="412"/>
      <c r="D907" s="412"/>
      <c r="E907" s="345"/>
      <c r="F907" s="346"/>
      <c r="G907" s="412"/>
      <c r="H907" s="350"/>
      <c r="I907" s="346"/>
      <c r="J907" s="410"/>
      <c r="K907" s="410"/>
      <c r="L907" s="410"/>
    </row>
    <row r="908" spans="1:12">
      <c r="A908" s="412"/>
      <c r="B908" s="412"/>
      <c r="C908" s="412"/>
      <c r="D908" s="412"/>
      <c r="E908" s="345"/>
      <c r="F908" s="346"/>
      <c r="G908" s="412"/>
      <c r="H908" s="350"/>
      <c r="I908" s="346"/>
      <c r="J908" s="410"/>
      <c r="K908" s="410"/>
      <c r="L908" s="410"/>
    </row>
    <row r="909" spans="1:12">
      <c r="A909" s="412"/>
      <c r="B909" s="412"/>
      <c r="C909" s="412"/>
      <c r="D909" s="412"/>
      <c r="E909" s="345"/>
      <c r="F909" s="346"/>
      <c r="G909" s="412"/>
      <c r="H909" s="350"/>
      <c r="I909" s="346"/>
      <c r="J909" s="410"/>
      <c r="K909" s="410"/>
      <c r="L909" s="410"/>
    </row>
    <row r="910" spans="1:12">
      <c r="A910" s="412"/>
      <c r="B910" s="412"/>
      <c r="C910" s="412"/>
      <c r="D910" s="412"/>
      <c r="E910" s="345"/>
      <c r="F910" s="346"/>
      <c r="G910" s="412"/>
      <c r="H910" s="350"/>
      <c r="I910" s="346"/>
      <c r="J910" s="410"/>
      <c r="K910" s="410"/>
      <c r="L910" s="410"/>
    </row>
    <row r="911" spans="1:12">
      <c r="A911" s="412"/>
      <c r="B911" s="412"/>
      <c r="C911" s="412"/>
      <c r="D911" s="412"/>
      <c r="E911" s="345"/>
      <c r="F911" s="346"/>
      <c r="G911" s="412"/>
      <c r="H911" s="350"/>
      <c r="I911" s="346"/>
      <c r="J911" s="410"/>
      <c r="K911" s="410"/>
      <c r="L911" s="410"/>
    </row>
    <row r="912" spans="1:12">
      <c r="A912" s="412"/>
      <c r="B912" s="412"/>
      <c r="C912" s="412"/>
      <c r="D912" s="412"/>
      <c r="E912" s="345"/>
      <c r="F912" s="346"/>
      <c r="G912" s="412"/>
      <c r="H912" s="350"/>
      <c r="I912" s="346"/>
      <c r="J912" s="410"/>
      <c r="K912" s="410"/>
      <c r="L912" s="410"/>
    </row>
    <row r="913" spans="1:12">
      <c r="A913" s="412"/>
      <c r="B913" s="412"/>
      <c r="C913" s="412"/>
      <c r="D913" s="412"/>
      <c r="E913" s="345"/>
      <c r="F913" s="346"/>
      <c r="G913" s="412"/>
      <c r="H913" s="350"/>
      <c r="I913" s="346"/>
      <c r="J913" s="410"/>
      <c r="K913" s="410"/>
      <c r="L913" s="410"/>
    </row>
    <row r="914" spans="1:12">
      <c r="A914" s="412"/>
      <c r="B914" s="412"/>
      <c r="C914" s="412"/>
      <c r="D914" s="412"/>
      <c r="E914" s="345"/>
      <c r="F914" s="346"/>
      <c r="G914" s="412"/>
      <c r="H914" s="350"/>
      <c r="I914" s="346"/>
      <c r="J914" s="410"/>
      <c r="K914" s="410"/>
      <c r="L914" s="410"/>
    </row>
    <row r="915" spans="1:12">
      <c r="A915" s="412"/>
      <c r="B915" s="412"/>
      <c r="C915" s="412"/>
      <c r="D915" s="412"/>
      <c r="E915" s="345"/>
      <c r="F915" s="346"/>
      <c r="G915" s="412"/>
      <c r="H915" s="350"/>
      <c r="I915" s="346"/>
      <c r="J915" s="410"/>
      <c r="K915" s="410"/>
      <c r="L915" s="410"/>
    </row>
    <row r="916" spans="1:12">
      <c r="A916" s="412"/>
      <c r="B916" s="412"/>
      <c r="C916" s="412"/>
      <c r="D916" s="412"/>
      <c r="E916" s="345"/>
      <c r="F916" s="346"/>
      <c r="G916" s="412"/>
      <c r="H916" s="350"/>
      <c r="I916" s="346"/>
      <c r="J916" s="410"/>
      <c r="K916" s="410"/>
      <c r="L916" s="410"/>
    </row>
    <row r="917" spans="1:12">
      <c r="A917" s="412"/>
      <c r="B917" s="412"/>
      <c r="C917" s="412"/>
      <c r="D917" s="412"/>
      <c r="E917" s="345"/>
      <c r="F917" s="346"/>
      <c r="G917" s="412"/>
      <c r="H917" s="350"/>
      <c r="I917" s="346"/>
      <c r="J917" s="410"/>
      <c r="K917" s="410"/>
      <c r="L917" s="410"/>
    </row>
    <row r="918" spans="1:12">
      <c r="A918" s="412"/>
      <c r="B918" s="412"/>
      <c r="C918" s="412"/>
      <c r="D918" s="412"/>
      <c r="E918" s="345"/>
      <c r="F918" s="346"/>
      <c r="G918" s="412"/>
      <c r="H918" s="350"/>
      <c r="I918" s="346"/>
      <c r="J918" s="410"/>
      <c r="K918" s="410"/>
      <c r="L918" s="410"/>
    </row>
    <row r="919" spans="1:12">
      <c r="A919" s="412"/>
      <c r="B919" s="412"/>
      <c r="C919" s="412"/>
      <c r="D919" s="412"/>
      <c r="E919" s="345"/>
      <c r="F919" s="346"/>
      <c r="G919" s="412"/>
      <c r="H919" s="350"/>
      <c r="I919" s="346"/>
      <c r="J919" s="410"/>
      <c r="K919" s="410"/>
      <c r="L919" s="410"/>
    </row>
    <row r="920" spans="1:12">
      <c r="A920" s="412"/>
      <c r="B920" s="412"/>
      <c r="C920" s="412"/>
      <c r="D920" s="412"/>
      <c r="E920" s="345"/>
      <c r="F920" s="346"/>
      <c r="G920" s="412"/>
      <c r="H920" s="350"/>
      <c r="I920" s="346"/>
      <c r="J920" s="410"/>
      <c r="K920" s="410"/>
      <c r="L920" s="410"/>
    </row>
    <row r="921" spans="1:12">
      <c r="A921" s="412"/>
      <c r="B921" s="412"/>
      <c r="C921" s="412"/>
      <c r="D921" s="412"/>
      <c r="E921" s="345"/>
      <c r="F921" s="346"/>
      <c r="G921" s="412"/>
      <c r="H921" s="350"/>
      <c r="I921" s="346"/>
      <c r="J921" s="410"/>
      <c r="K921" s="410"/>
      <c r="L921" s="410"/>
    </row>
    <row r="922" spans="1:12">
      <c r="A922" s="412"/>
      <c r="B922" s="412"/>
      <c r="C922" s="412"/>
      <c r="D922" s="412"/>
      <c r="E922" s="345"/>
      <c r="F922" s="346"/>
      <c r="G922" s="412"/>
      <c r="H922" s="350"/>
      <c r="I922" s="346"/>
      <c r="J922" s="410"/>
      <c r="K922" s="410"/>
      <c r="L922" s="410"/>
    </row>
    <row r="923" spans="1:12">
      <c r="A923" s="412"/>
      <c r="B923" s="412"/>
      <c r="C923" s="412"/>
      <c r="D923" s="412"/>
      <c r="E923" s="345"/>
      <c r="F923" s="346"/>
      <c r="G923" s="412"/>
      <c r="H923" s="350"/>
      <c r="I923" s="346"/>
      <c r="J923" s="410"/>
      <c r="K923" s="410"/>
      <c r="L923" s="410"/>
    </row>
    <row r="924" spans="1:12">
      <c r="A924" s="412"/>
      <c r="B924" s="412"/>
      <c r="C924" s="412"/>
      <c r="D924" s="412"/>
      <c r="E924" s="345"/>
      <c r="F924" s="346"/>
      <c r="G924" s="412"/>
      <c r="H924" s="350"/>
      <c r="I924" s="346"/>
      <c r="J924" s="410"/>
      <c r="K924" s="410"/>
      <c r="L924" s="410"/>
    </row>
    <row r="925" spans="1:12">
      <c r="A925" s="412"/>
      <c r="B925" s="412"/>
      <c r="C925" s="412"/>
      <c r="D925" s="412"/>
      <c r="E925" s="345"/>
      <c r="F925" s="346"/>
      <c r="G925" s="412"/>
      <c r="H925" s="350"/>
      <c r="I925" s="346"/>
      <c r="J925" s="410"/>
      <c r="K925" s="410"/>
      <c r="L925" s="410"/>
    </row>
    <row r="926" spans="1:12">
      <c r="A926" s="412"/>
      <c r="B926" s="412"/>
      <c r="C926" s="412"/>
      <c r="D926" s="412"/>
      <c r="E926" s="345"/>
      <c r="F926" s="346"/>
      <c r="G926" s="412"/>
      <c r="H926" s="350"/>
      <c r="I926" s="346"/>
      <c r="J926" s="410"/>
      <c r="K926" s="410"/>
      <c r="L926" s="410"/>
    </row>
    <row r="927" spans="1:12">
      <c r="A927" s="412"/>
      <c r="B927" s="412"/>
      <c r="C927" s="412"/>
      <c r="D927" s="412"/>
      <c r="E927" s="345"/>
      <c r="F927" s="346"/>
      <c r="G927" s="412"/>
      <c r="H927" s="350"/>
      <c r="I927" s="346"/>
      <c r="J927" s="410"/>
      <c r="K927" s="410"/>
      <c r="L927" s="410"/>
    </row>
    <row r="928" spans="1:12">
      <c r="A928" s="412"/>
      <c r="B928" s="412"/>
      <c r="C928" s="412"/>
      <c r="D928" s="412"/>
      <c r="E928" s="345"/>
      <c r="F928" s="346"/>
      <c r="G928" s="412"/>
      <c r="H928" s="350"/>
      <c r="I928" s="346"/>
      <c r="J928" s="410"/>
      <c r="K928" s="410"/>
      <c r="L928" s="410"/>
    </row>
    <row r="929" spans="1:12">
      <c r="A929" s="412"/>
      <c r="B929" s="412"/>
      <c r="C929" s="412"/>
      <c r="D929" s="412"/>
      <c r="E929" s="345"/>
      <c r="F929" s="346"/>
      <c r="G929" s="412"/>
      <c r="H929" s="350"/>
      <c r="I929" s="346"/>
      <c r="J929" s="410"/>
      <c r="K929" s="410"/>
      <c r="L929" s="410"/>
    </row>
    <row r="930" spans="1:12">
      <c r="A930" s="412"/>
      <c r="B930" s="412"/>
      <c r="C930" s="412"/>
      <c r="D930" s="412"/>
      <c r="E930" s="345"/>
      <c r="F930" s="346"/>
      <c r="G930" s="412"/>
      <c r="H930" s="350"/>
      <c r="I930" s="346"/>
      <c r="J930" s="410"/>
      <c r="K930" s="410"/>
      <c r="L930" s="410"/>
    </row>
    <row r="931" spans="1:12">
      <c r="A931" s="412"/>
      <c r="B931" s="412"/>
      <c r="C931" s="412"/>
      <c r="D931" s="412"/>
      <c r="E931" s="345"/>
      <c r="F931" s="346"/>
      <c r="G931" s="412"/>
      <c r="H931" s="350"/>
      <c r="I931" s="346"/>
      <c r="J931" s="410"/>
      <c r="K931" s="410"/>
      <c r="L931" s="410"/>
    </row>
    <row r="932" spans="1:12">
      <c r="A932" s="412"/>
      <c r="B932" s="412"/>
      <c r="C932" s="412"/>
      <c r="D932" s="412"/>
      <c r="E932" s="345"/>
      <c r="F932" s="346"/>
      <c r="G932" s="412"/>
      <c r="H932" s="350"/>
      <c r="I932" s="346"/>
      <c r="J932" s="410"/>
      <c r="K932" s="410"/>
      <c r="L932" s="410"/>
    </row>
    <row r="933" spans="1:12">
      <c r="A933" s="412"/>
      <c r="B933" s="412"/>
      <c r="C933" s="412"/>
      <c r="D933" s="412"/>
      <c r="E933" s="345"/>
      <c r="F933" s="346"/>
      <c r="G933" s="412"/>
      <c r="H933" s="350"/>
      <c r="I933" s="346"/>
      <c r="J933" s="410"/>
      <c r="K933" s="410"/>
      <c r="L933" s="410"/>
    </row>
    <row r="934" spans="1:12">
      <c r="A934" s="412"/>
      <c r="B934" s="412"/>
      <c r="C934" s="412"/>
      <c r="D934" s="412"/>
      <c r="E934" s="345"/>
      <c r="F934" s="346"/>
      <c r="G934" s="412"/>
      <c r="H934" s="350"/>
      <c r="I934" s="346"/>
      <c r="J934" s="410"/>
      <c r="K934" s="410"/>
      <c r="L934" s="410"/>
    </row>
    <row r="935" spans="1:12">
      <c r="A935" s="412"/>
      <c r="B935" s="412"/>
      <c r="C935" s="412"/>
      <c r="D935" s="412"/>
      <c r="E935" s="345"/>
      <c r="F935" s="346"/>
      <c r="G935" s="412"/>
      <c r="H935" s="350"/>
      <c r="I935" s="346"/>
      <c r="J935" s="410"/>
      <c r="K935" s="410"/>
      <c r="L935" s="410"/>
    </row>
    <row r="936" spans="1:12">
      <c r="A936" s="412"/>
      <c r="B936" s="412"/>
      <c r="C936" s="412"/>
      <c r="D936" s="412"/>
      <c r="E936" s="345"/>
      <c r="F936" s="346"/>
      <c r="G936" s="412"/>
      <c r="H936" s="350"/>
      <c r="I936" s="346"/>
      <c r="J936" s="410"/>
      <c r="K936" s="410"/>
      <c r="L936" s="410"/>
    </row>
    <row r="937" spans="1:12">
      <c r="A937" s="412"/>
      <c r="B937" s="412"/>
      <c r="C937" s="412"/>
      <c r="D937" s="412"/>
      <c r="E937" s="345"/>
      <c r="F937" s="346"/>
      <c r="G937" s="412"/>
      <c r="H937" s="350"/>
      <c r="I937" s="346"/>
      <c r="J937" s="410"/>
      <c r="K937" s="410"/>
      <c r="L937" s="410"/>
    </row>
    <row r="938" spans="1:12">
      <c r="A938" s="412"/>
      <c r="B938" s="412"/>
      <c r="C938" s="412"/>
      <c r="D938" s="412"/>
      <c r="E938" s="345"/>
      <c r="F938" s="346"/>
      <c r="G938" s="412"/>
      <c r="H938" s="350"/>
      <c r="I938" s="346"/>
      <c r="J938" s="410"/>
      <c r="K938" s="410"/>
      <c r="L938" s="410"/>
    </row>
    <row r="939" spans="1:12">
      <c r="A939" s="412"/>
      <c r="B939" s="412"/>
      <c r="C939" s="412"/>
      <c r="D939" s="412"/>
      <c r="E939" s="345"/>
      <c r="F939" s="346"/>
      <c r="G939" s="412"/>
      <c r="H939" s="350"/>
      <c r="I939" s="346"/>
      <c r="J939" s="410"/>
      <c r="K939" s="410"/>
      <c r="L939" s="410"/>
    </row>
    <row r="940" spans="1:12">
      <c r="A940" s="412"/>
      <c r="B940" s="412"/>
      <c r="C940" s="412"/>
      <c r="D940" s="412"/>
      <c r="E940" s="345"/>
      <c r="F940" s="346"/>
      <c r="G940" s="412"/>
      <c r="H940" s="350"/>
      <c r="I940" s="346"/>
      <c r="J940" s="410"/>
      <c r="K940" s="410"/>
      <c r="L940" s="410"/>
    </row>
    <row r="941" spans="1:12">
      <c r="A941" s="412"/>
      <c r="B941" s="412"/>
      <c r="C941" s="412"/>
      <c r="D941" s="412"/>
      <c r="E941" s="345"/>
      <c r="F941" s="346"/>
      <c r="G941" s="412"/>
      <c r="H941" s="350"/>
      <c r="I941" s="346"/>
      <c r="J941" s="410"/>
      <c r="K941" s="410"/>
      <c r="L941" s="410"/>
    </row>
    <row r="942" spans="1:12">
      <c r="A942" s="412"/>
      <c r="B942" s="412"/>
      <c r="C942" s="412"/>
      <c r="D942" s="412"/>
      <c r="E942" s="345"/>
      <c r="F942" s="346"/>
      <c r="G942" s="412"/>
      <c r="H942" s="350"/>
      <c r="I942" s="346"/>
      <c r="J942" s="410"/>
      <c r="K942" s="410"/>
      <c r="L942" s="410"/>
    </row>
    <row r="943" spans="1:12">
      <c r="A943" s="412"/>
      <c r="B943" s="412"/>
      <c r="C943" s="412"/>
      <c r="D943" s="412"/>
      <c r="E943" s="345"/>
      <c r="F943" s="346"/>
      <c r="G943" s="412"/>
      <c r="H943" s="350"/>
      <c r="I943" s="346"/>
      <c r="J943" s="410"/>
      <c r="K943" s="410"/>
      <c r="L943" s="410"/>
    </row>
    <row r="944" spans="1:12">
      <c r="A944" s="412"/>
      <c r="B944" s="412"/>
      <c r="C944" s="412"/>
      <c r="D944" s="412"/>
      <c r="E944" s="345"/>
      <c r="F944" s="346"/>
      <c r="G944" s="412"/>
      <c r="H944" s="350"/>
      <c r="I944" s="346"/>
      <c r="J944" s="410"/>
      <c r="K944" s="410"/>
      <c r="L944" s="410"/>
    </row>
    <row r="945" spans="1:12">
      <c r="A945" s="412"/>
      <c r="B945" s="412"/>
      <c r="C945" s="412"/>
      <c r="D945" s="412"/>
      <c r="E945" s="345"/>
      <c r="F945" s="346"/>
      <c r="G945" s="412"/>
      <c r="H945" s="350"/>
      <c r="I945" s="346"/>
      <c r="J945" s="410"/>
      <c r="K945" s="410"/>
      <c r="L945" s="410"/>
    </row>
    <row r="946" spans="1:12">
      <c r="A946" s="412"/>
      <c r="B946" s="412"/>
      <c r="C946" s="412"/>
      <c r="D946" s="412"/>
      <c r="E946" s="345"/>
      <c r="F946" s="346"/>
      <c r="G946" s="412"/>
      <c r="H946" s="350"/>
      <c r="I946" s="346"/>
      <c r="J946" s="410"/>
      <c r="K946" s="410"/>
      <c r="L946" s="410"/>
    </row>
    <row r="947" spans="1:12">
      <c r="A947" s="412"/>
      <c r="B947" s="412"/>
      <c r="C947" s="412"/>
      <c r="D947" s="412"/>
      <c r="E947" s="345"/>
      <c r="F947" s="346"/>
      <c r="G947" s="412"/>
      <c r="H947" s="350"/>
      <c r="I947" s="346"/>
      <c r="J947" s="410"/>
      <c r="K947" s="410"/>
      <c r="L947" s="410"/>
    </row>
    <row r="948" spans="1:12">
      <c r="A948" s="412"/>
      <c r="B948" s="412"/>
      <c r="C948" s="412"/>
      <c r="D948" s="412"/>
      <c r="E948" s="345"/>
      <c r="F948" s="346"/>
      <c r="G948" s="412"/>
      <c r="H948" s="350"/>
      <c r="I948" s="346"/>
      <c r="J948" s="410"/>
      <c r="K948" s="410"/>
      <c r="L948" s="410"/>
    </row>
    <row r="949" spans="1:12">
      <c r="A949" s="412"/>
      <c r="B949" s="412"/>
      <c r="C949" s="412"/>
      <c r="D949" s="412"/>
      <c r="E949" s="345"/>
      <c r="F949" s="346"/>
      <c r="G949" s="412"/>
      <c r="H949" s="350"/>
      <c r="I949" s="346"/>
      <c r="J949" s="410"/>
      <c r="K949" s="410"/>
      <c r="L949" s="410"/>
    </row>
    <row r="950" spans="1:12">
      <c r="A950" s="412"/>
      <c r="B950" s="412"/>
      <c r="C950" s="412"/>
      <c r="D950" s="412"/>
      <c r="E950" s="345"/>
      <c r="F950" s="346"/>
      <c r="G950" s="412"/>
      <c r="H950" s="350"/>
      <c r="I950" s="346"/>
      <c r="J950" s="410"/>
      <c r="K950" s="410"/>
      <c r="L950" s="410"/>
    </row>
    <row r="951" spans="1:12">
      <c r="A951" s="412"/>
      <c r="B951" s="412"/>
      <c r="C951" s="412"/>
      <c r="D951" s="412"/>
      <c r="E951" s="345"/>
      <c r="F951" s="346"/>
      <c r="G951" s="412"/>
      <c r="H951" s="350"/>
      <c r="I951" s="346"/>
      <c r="J951" s="410"/>
      <c r="K951" s="410"/>
      <c r="L951" s="410"/>
    </row>
    <row r="952" spans="1:12">
      <c r="A952" s="412"/>
      <c r="B952" s="412"/>
      <c r="C952" s="412"/>
      <c r="D952" s="412"/>
      <c r="E952" s="345"/>
      <c r="F952" s="346"/>
      <c r="G952" s="412"/>
      <c r="H952" s="350"/>
      <c r="I952" s="346"/>
      <c r="J952" s="410"/>
      <c r="K952" s="410"/>
      <c r="L952" s="410"/>
    </row>
    <row r="953" spans="1:12">
      <c r="A953" s="412"/>
      <c r="B953" s="412"/>
      <c r="C953" s="412"/>
      <c r="D953" s="412"/>
      <c r="E953" s="345"/>
      <c r="F953" s="346"/>
      <c r="G953" s="412"/>
      <c r="H953" s="350"/>
      <c r="I953" s="346"/>
      <c r="J953" s="410"/>
      <c r="K953" s="410"/>
      <c r="L953" s="410"/>
    </row>
    <row r="954" spans="1:12">
      <c r="A954" s="412"/>
      <c r="B954" s="412"/>
      <c r="C954" s="412"/>
      <c r="D954" s="412"/>
      <c r="E954" s="345"/>
      <c r="F954" s="346"/>
      <c r="G954" s="412"/>
      <c r="H954" s="350"/>
      <c r="I954" s="346"/>
      <c r="J954" s="410"/>
      <c r="K954" s="410"/>
      <c r="L954" s="410"/>
    </row>
    <row r="955" spans="1:12">
      <c r="A955" s="412"/>
      <c r="B955" s="412"/>
      <c r="C955" s="412"/>
      <c r="D955" s="412"/>
      <c r="E955" s="345"/>
      <c r="F955" s="346"/>
      <c r="G955" s="412"/>
      <c r="H955" s="350"/>
      <c r="I955" s="346"/>
      <c r="J955" s="410"/>
      <c r="K955" s="410"/>
      <c r="L955" s="410"/>
    </row>
    <row r="956" spans="1:12">
      <c r="A956" s="412"/>
      <c r="B956" s="412"/>
      <c r="C956" s="412"/>
      <c r="D956" s="412"/>
      <c r="E956" s="345"/>
      <c r="F956" s="346"/>
      <c r="G956" s="412"/>
      <c r="H956" s="350"/>
      <c r="I956" s="346"/>
      <c r="J956" s="410"/>
      <c r="K956" s="410"/>
      <c r="L956" s="410"/>
    </row>
    <row r="957" spans="1:12">
      <c r="A957" s="412"/>
      <c r="B957" s="412"/>
      <c r="C957" s="412"/>
      <c r="D957" s="412"/>
      <c r="E957" s="345"/>
      <c r="F957" s="346"/>
      <c r="G957" s="412"/>
      <c r="H957" s="350"/>
      <c r="I957" s="346"/>
      <c r="J957" s="410"/>
      <c r="K957" s="410"/>
      <c r="L957" s="410"/>
    </row>
    <row r="958" spans="1:12">
      <c r="A958" s="412"/>
      <c r="B958" s="412"/>
      <c r="C958" s="412"/>
      <c r="D958" s="412"/>
      <c r="E958" s="345"/>
      <c r="F958" s="346"/>
      <c r="G958" s="412"/>
      <c r="H958" s="350"/>
      <c r="I958" s="346"/>
      <c r="J958" s="410"/>
      <c r="K958" s="410"/>
      <c r="L958" s="410"/>
    </row>
    <row r="959" spans="1:12">
      <c r="A959" s="412"/>
      <c r="B959" s="412"/>
      <c r="C959" s="412"/>
      <c r="D959" s="412"/>
      <c r="E959" s="345"/>
      <c r="F959" s="346"/>
      <c r="G959" s="412"/>
      <c r="H959" s="350"/>
      <c r="I959" s="346"/>
      <c r="J959" s="410"/>
      <c r="K959" s="410"/>
      <c r="L959" s="410"/>
    </row>
    <row r="960" spans="1:12">
      <c r="A960" s="412"/>
      <c r="B960" s="412"/>
      <c r="C960" s="412"/>
      <c r="D960" s="412"/>
      <c r="E960" s="345"/>
      <c r="F960" s="346"/>
      <c r="G960" s="412"/>
      <c r="H960" s="350"/>
      <c r="I960" s="346"/>
      <c r="J960" s="410"/>
      <c r="K960" s="410"/>
      <c r="L960" s="410"/>
    </row>
    <row r="961" spans="1:12">
      <c r="A961" s="412"/>
      <c r="B961" s="412"/>
      <c r="C961" s="412"/>
      <c r="D961" s="412"/>
      <c r="E961" s="345"/>
      <c r="F961" s="346"/>
      <c r="G961" s="412"/>
      <c r="H961" s="350"/>
      <c r="I961" s="346"/>
      <c r="J961" s="410"/>
      <c r="K961" s="410"/>
      <c r="L961" s="410"/>
    </row>
    <row r="962" spans="1:12">
      <c r="A962" s="412"/>
      <c r="B962" s="412"/>
      <c r="C962" s="412"/>
      <c r="D962" s="412"/>
      <c r="E962" s="345"/>
      <c r="F962" s="346"/>
      <c r="G962" s="412"/>
      <c r="H962" s="350"/>
      <c r="I962" s="346"/>
      <c r="J962" s="410"/>
      <c r="K962" s="410"/>
      <c r="L962" s="410"/>
    </row>
    <row r="963" spans="1:12">
      <c r="A963" s="412"/>
      <c r="B963" s="412"/>
      <c r="C963" s="412"/>
      <c r="D963" s="412"/>
      <c r="E963" s="345"/>
      <c r="F963" s="346"/>
      <c r="G963" s="412"/>
      <c r="H963" s="350"/>
      <c r="I963" s="346"/>
      <c r="J963" s="410"/>
      <c r="K963" s="410"/>
      <c r="L963" s="410"/>
    </row>
    <row r="964" spans="1:12">
      <c r="A964" s="412"/>
      <c r="B964" s="412"/>
      <c r="C964" s="412"/>
      <c r="D964" s="412"/>
      <c r="E964" s="345"/>
      <c r="F964" s="346"/>
      <c r="G964" s="412"/>
      <c r="H964" s="350"/>
      <c r="I964" s="346"/>
      <c r="J964" s="410"/>
      <c r="K964" s="410"/>
      <c r="L964" s="410"/>
    </row>
    <row r="965" spans="1:12">
      <c r="A965" s="412"/>
      <c r="B965" s="412"/>
      <c r="C965" s="412"/>
      <c r="D965" s="412"/>
      <c r="E965" s="345"/>
      <c r="F965" s="346"/>
      <c r="G965" s="412"/>
      <c r="H965" s="350"/>
      <c r="I965" s="346"/>
      <c r="J965" s="410"/>
      <c r="K965" s="410"/>
      <c r="L965" s="410"/>
    </row>
    <row r="966" spans="1:12">
      <c r="A966" s="412"/>
      <c r="B966" s="412"/>
      <c r="C966" s="412"/>
      <c r="D966" s="412"/>
      <c r="E966" s="345"/>
      <c r="F966" s="346"/>
      <c r="G966" s="412"/>
      <c r="H966" s="350"/>
      <c r="I966" s="346"/>
      <c r="J966" s="410"/>
      <c r="K966" s="410"/>
      <c r="L966" s="410"/>
    </row>
    <row r="967" spans="1:12">
      <c r="A967" s="412"/>
      <c r="B967" s="412"/>
      <c r="C967" s="412"/>
      <c r="D967" s="412"/>
      <c r="E967" s="345"/>
      <c r="F967" s="346"/>
      <c r="G967" s="412"/>
      <c r="H967" s="350"/>
      <c r="I967" s="346"/>
      <c r="J967" s="410"/>
      <c r="K967" s="410"/>
      <c r="L967" s="410"/>
    </row>
    <row r="968" spans="1:12">
      <c r="A968" s="412"/>
      <c r="B968" s="412"/>
      <c r="C968" s="412"/>
      <c r="D968" s="412"/>
      <c r="E968" s="345"/>
      <c r="F968" s="346"/>
      <c r="G968" s="412"/>
      <c r="H968" s="350"/>
      <c r="I968" s="346"/>
      <c r="J968" s="410"/>
      <c r="K968" s="410"/>
      <c r="L968" s="410"/>
    </row>
    <row r="969" spans="1:12">
      <c r="A969" s="412"/>
      <c r="B969" s="412"/>
      <c r="C969" s="412"/>
      <c r="D969" s="412"/>
      <c r="E969" s="345"/>
      <c r="F969" s="346"/>
      <c r="G969" s="412"/>
      <c r="H969" s="350"/>
      <c r="I969" s="346"/>
      <c r="J969" s="410"/>
      <c r="K969" s="410"/>
      <c r="L969" s="410"/>
    </row>
    <row r="970" spans="1:12">
      <c r="A970" s="412"/>
      <c r="B970" s="412"/>
      <c r="C970" s="412"/>
      <c r="D970" s="412"/>
      <c r="E970" s="345"/>
      <c r="F970" s="346"/>
      <c r="G970" s="412"/>
      <c r="H970" s="350"/>
      <c r="I970" s="346"/>
      <c r="J970" s="410"/>
      <c r="K970" s="410"/>
      <c r="L970" s="410"/>
    </row>
    <row r="971" spans="1:12">
      <c r="A971" s="412"/>
      <c r="B971" s="412"/>
      <c r="C971" s="412"/>
      <c r="D971" s="412"/>
      <c r="E971" s="345"/>
      <c r="F971" s="346"/>
      <c r="G971" s="412"/>
      <c r="H971" s="350"/>
      <c r="I971" s="346"/>
      <c r="J971" s="410"/>
      <c r="K971" s="410"/>
      <c r="L971" s="410"/>
    </row>
    <row r="972" spans="1:12">
      <c r="A972" s="412"/>
      <c r="B972" s="412"/>
      <c r="C972" s="412"/>
      <c r="D972" s="412"/>
      <c r="E972" s="345"/>
      <c r="F972" s="346"/>
      <c r="G972" s="412"/>
      <c r="H972" s="350"/>
      <c r="I972" s="346"/>
      <c r="J972" s="410"/>
      <c r="K972" s="410"/>
      <c r="L972" s="410"/>
    </row>
    <row r="973" spans="1:12">
      <c r="A973" s="412"/>
      <c r="B973" s="412"/>
      <c r="C973" s="412"/>
      <c r="D973" s="412"/>
      <c r="E973" s="345"/>
      <c r="F973" s="346"/>
      <c r="G973" s="412"/>
      <c r="H973" s="350"/>
      <c r="I973" s="346"/>
      <c r="J973" s="410"/>
      <c r="K973" s="410"/>
      <c r="L973" s="410"/>
    </row>
    <row r="974" spans="1:12">
      <c r="A974" s="412"/>
      <c r="B974" s="412"/>
      <c r="C974" s="412"/>
      <c r="D974" s="412"/>
      <c r="E974" s="345"/>
      <c r="F974" s="346"/>
      <c r="G974" s="412"/>
      <c r="H974" s="350"/>
      <c r="I974" s="346"/>
      <c r="J974" s="410"/>
      <c r="K974" s="410"/>
      <c r="L974" s="410"/>
    </row>
    <row r="975" spans="1:12">
      <c r="A975" s="412"/>
      <c r="B975" s="412"/>
      <c r="C975" s="412"/>
      <c r="D975" s="412"/>
      <c r="E975" s="345"/>
      <c r="F975" s="346"/>
      <c r="G975" s="412"/>
      <c r="H975" s="350"/>
      <c r="I975" s="346"/>
      <c r="J975" s="410"/>
      <c r="K975" s="410"/>
      <c r="L975" s="410"/>
    </row>
    <row r="976" spans="1:12">
      <c r="A976" s="412"/>
      <c r="B976" s="412"/>
      <c r="C976" s="412"/>
      <c r="D976" s="412"/>
      <c r="E976" s="345"/>
      <c r="F976" s="346"/>
      <c r="G976" s="412"/>
      <c r="H976" s="350"/>
      <c r="I976" s="346"/>
      <c r="J976" s="410"/>
      <c r="K976" s="410"/>
      <c r="L976" s="410"/>
    </row>
    <row r="977" spans="1:12">
      <c r="A977" s="412"/>
      <c r="B977" s="412"/>
      <c r="C977" s="412"/>
      <c r="D977" s="412"/>
      <c r="E977" s="345"/>
      <c r="F977" s="346"/>
      <c r="G977" s="412"/>
      <c r="H977" s="350"/>
      <c r="I977" s="346"/>
      <c r="J977" s="410"/>
      <c r="K977" s="410"/>
      <c r="L977" s="410"/>
    </row>
    <row r="978" spans="1:12">
      <c r="A978" s="412"/>
      <c r="B978" s="412"/>
      <c r="C978" s="412"/>
      <c r="D978" s="412"/>
      <c r="E978" s="345"/>
      <c r="F978" s="346"/>
      <c r="G978" s="412"/>
      <c r="H978" s="350"/>
      <c r="I978" s="346"/>
      <c r="J978" s="410"/>
      <c r="K978" s="410"/>
      <c r="L978" s="410"/>
    </row>
    <row r="979" spans="1:12">
      <c r="A979" s="412"/>
      <c r="B979" s="412"/>
      <c r="C979" s="412"/>
      <c r="D979" s="412"/>
      <c r="E979" s="345"/>
      <c r="F979" s="346"/>
      <c r="G979" s="412"/>
      <c r="H979" s="350"/>
      <c r="I979" s="346"/>
      <c r="J979" s="410"/>
      <c r="K979" s="410"/>
      <c r="L979" s="410"/>
    </row>
    <row r="980" spans="1:12">
      <c r="A980" s="412"/>
      <c r="B980" s="412"/>
      <c r="C980" s="412"/>
      <c r="D980" s="412"/>
      <c r="E980" s="345"/>
      <c r="F980" s="346"/>
      <c r="G980" s="412"/>
      <c r="H980" s="350"/>
      <c r="I980" s="346"/>
      <c r="J980" s="410"/>
      <c r="K980" s="410"/>
      <c r="L980" s="410"/>
    </row>
    <row r="981" spans="1:12">
      <c r="A981" s="412"/>
      <c r="B981" s="412"/>
      <c r="C981" s="412"/>
      <c r="D981" s="412"/>
      <c r="E981" s="345"/>
      <c r="F981" s="346"/>
      <c r="G981" s="412"/>
      <c r="H981" s="350"/>
      <c r="I981" s="346"/>
      <c r="J981" s="410"/>
      <c r="K981" s="410"/>
      <c r="L981" s="410"/>
    </row>
    <row r="982" spans="1:12">
      <c r="A982" s="412"/>
      <c r="B982" s="412"/>
      <c r="C982" s="412"/>
      <c r="D982" s="412"/>
      <c r="E982" s="345"/>
      <c r="F982" s="346"/>
      <c r="G982" s="412"/>
      <c r="H982" s="350"/>
      <c r="I982" s="346"/>
      <c r="J982" s="410"/>
      <c r="K982" s="410"/>
      <c r="L982" s="410"/>
    </row>
    <row r="983" spans="1:12">
      <c r="A983" s="412"/>
      <c r="B983" s="412"/>
      <c r="C983" s="412"/>
      <c r="D983" s="412"/>
      <c r="E983" s="345"/>
      <c r="F983" s="346"/>
      <c r="G983" s="412"/>
      <c r="H983" s="350"/>
      <c r="I983" s="346"/>
      <c r="J983" s="410"/>
      <c r="K983" s="410"/>
      <c r="L983" s="410"/>
    </row>
    <row r="984" spans="1:12">
      <c r="A984" s="412"/>
      <c r="B984" s="412"/>
      <c r="C984" s="412"/>
      <c r="D984" s="412"/>
      <c r="E984" s="345"/>
      <c r="F984" s="346"/>
      <c r="G984" s="412"/>
      <c r="H984" s="350"/>
      <c r="I984" s="346"/>
      <c r="J984" s="410"/>
      <c r="K984" s="410"/>
      <c r="L984" s="410"/>
    </row>
    <row r="985" spans="1:12">
      <c r="A985" s="412"/>
      <c r="B985" s="412"/>
      <c r="C985" s="412"/>
      <c r="D985" s="412"/>
      <c r="E985" s="345"/>
      <c r="F985" s="346"/>
      <c r="G985" s="412"/>
      <c r="H985" s="350"/>
      <c r="I985" s="346"/>
      <c r="J985" s="410"/>
      <c r="K985" s="410"/>
      <c r="L985" s="410"/>
    </row>
    <row r="986" spans="1:12">
      <c r="A986" s="412"/>
      <c r="B986" s="412"/>
      <c r="C986" s="412"/>
      <c r="D986" s="412"/>
      <c r="E986" s="345"/>
      <c r="F986" s="346"/>
      <c r="G986" s="412"/>
      <c r="H986" s="350"/>
      <c r="I986" s="346"/>
      <c r="J986" s="410"/>
      <c r="K986" s="410"/>
      <c r="L986" s="410"/>
    </row>
    <row r="987" spans="1:12">
      <c r="A987" s="412"/>
      <c r="B987" s="412"/>
      <c r="C987" s="412"/>
      <c r="D987" s="412"/>
      <c r="E987" s="345"/>
      <c r="F987" s="346"/>
      <c r="G987" s="412"/>
      <c r="H987" s="350"/>
      <c r="I987" s="346"/>
      <c r="J987" s="410"/>
      <c r="K987" s="410"/>
      <c r="L987" s="410"/>
    </row>
    <row r="988" spans="1:12">
      <c r="A988" s="412"/>
      <c r="B988" s="412"/>
      <c r="C988" s="412"/>
      <c r="D988" s="412"/>
      <c r="E988" s="345"/>
      <c r="F988" s="346"/>
      <c r="G988" s="412"/>
      <c r="H988" s="350"/>
      <c r="I988" s="346"/>
      <c r="J988" s="410"/>
      <c r="K988" s="410"/>
      <c r="L988" s="410"/>
    </row>
    <row r="989" spans="1:12">
      <c r="A989" s="412"/>
      <c r="B989" s="412"/>
      <c r="C989" s="412"/>
      <c r="D989" s="412"/>
      <c r="E989" s="345"/>
      <c r="F989" s="346"/>
      <c r="G989" s="412"/>
      <c r="H989" s="350"/>
      <c r="I989" s="346"/>
      <c r="J989" s="410"/>
      <c r="K989" s="410"/>
      <c r="L989" s="410"/>
    </row>
    <row r="990" spans="1:12">
      <c r="A990" s="412"/>
      <c r="B990" s="412"/>
      <c r="C990" s="412"/>
      <c r="D990" s="412"/>
      <c r="E990" s="345"/>
      <c r="F990" s="346"/>
      <c r="G990" s="412"/>
      <c r="H990" s="350"/>
      <c r="I990" s="346"/>
      <c r="J990" s="410"/>
      <c r="K990" s="410"/>
      <c r="L990" s="410"/>
    </row>
    <row r="991" spans="1:12">
      <c r="A991" s="412"/>
      <c r="B991" s="412"/>
      <c r="C991" s="412"/>
      <c r="D991" s="412"/>
      <c r="E991" s="345"/>
      <c r="F991" s="346"/>
      <c r="G991" s="412"/>
      <c r="H991" s="350"/>
      <c r="I991" s="346"/>
      <c r="J991" s="410"/>
      <c r="K991" s="410"/>
      <c r="L991" s="410"/>
    </row>
    <row r="992" spans="1:12">
      <c r="A992" s="412"/>
      <c r="B992" s="412"/>
      <c r="C992" s="412"/>
      <c r="D992" s="412"/>
      <c r="E992" s="345"/>
      <c r="F992" s="346"/>
      <c r="G992" s="412"/>
      <c r="H992" s="350"/>
      <c r="I992" s="346"/>
      <c r="J992" s="410"/>
      <c r="K992" s="410"/>
      <c r="L992" s="410"/>
    </row>
    <row r="993" spans="1:12">
      <c r="A993" s="412"/>
      <c r="B993" s="412"/>
      <c r="C993" s="412"/>
      <c r="D993" s="412"/>
      <c r="E993" s="345"/>
      <c r="F993" s="346"/>
      <c r="G993" s="412"/>
      <c r="H993" s="350"/>
      <c r="I993" s="346"/>
      <c r="J993" s="410"/>
      <c r="K993" s="410"/>
      <c r="L993" s="410"/>
    </row>
    <row r="994" spans="1:12">
      <c r="A994" s="412"/>
      <c r="B994" s="412"/>
      <c r="C994" s="412"/>
      <c r="D994" s="412"/>
      <c r="E994" s="345"/>
      <c r="F994" s="346"/>
      <c r="G994" s="412"/>
      <c r="H994" s="350"/>
      <c r="I994" s="346"/>
      <c r="J994" s="410"/>
      <c r="K994" s="410"/>
      <c r="L994" s="410"/>
    </row>
    <row r="995" spans="1:12">
      <c r="A995" s="412"/>
      <c r="B995" s="412"/>
      <c r="C995" s="412"/>
      <c r="D995" s="412"/>
      <c r="E995" s="345"/>
      <c r="F995" s="346"/>
      <c r="G995" s="412"/>
      <c r="H995" s="350"/>
      <c r="I995" s="346"/>
      <c r="J995" s="410"/>
      <c r="K995" s="410"/>
      <c r="L995" s="410"/>
    </row>
    <row r="996" spans="1:12">
      <c r="A996" s="412"/>
      <c r="B996" s="412"/>
      <c r="C996" s="412"/>
      <c r="D996" s="412"/>
      <c r="E996" s="345"/>
      <c r="F996" s="346"/>
      <c r="G996" s="412"/>
      <c r="H996" s="350"/>
      <c r="I996" s="346"/>
      <c r="J996" s="410"/>
      <c r="K996" s="410"/>
      <c r="L996" s="410"/>
    </row>
  </sheetData>
  <mergeCells count="1">
    <mergeCell ref="I2:L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25"/>
  <sheetViews>
    <sheetView showGridLines="0" zoomScale="80" zoomScaleNormal="80" workbookViewId="0">
      <selection activeCell="A5" sqref="A5"/>
    </sheetView>
  </sheetViews>
  <sheetFormatPr baseColWidth="10" defaultColWidth="15.140625" defaultRowHeight="15" customHeight="1"/>
  <cols>
    <col min="1" max="2" width="5.140625" customWidth="1"/>
    <col min="3" max="3" width="5.7109375" customWidth="1"/>
    <col min="4" max="4" width="5.28515625" customWidth="1"/>
    <col min="5" max="5" width="19" customWidth="1"/>
    <col min="6" max="6" width="28.7109375" bestFit="1" customWidth="1"/>
    <col min="7" max="7" width="7.42578125" bestFit="1" customWidth="1"/>
    <col min="8" max="8" width="7.140625" bestFit="1" customWidth="1"/>
    <col min="9" max="9" width="6.28515625" bestFit="1" customWidth="1"/>
    <col min="10" max="10" width="9.85546875" bestFit="1" customWidth="1"/>
    <col min="11" max="13" width="9.140625" bestFit="1" customWidth="1"/>
    <col min="14" max="14" width="9.85546875" bestFit="1" customWidth="1"/>
    <col min="15" max="15" width="9.5703125" bestFit="1" customWidth="1"/>
    <col min="16" max="19" width="10" bestFit="1" customWidth="1"/>
    <col min="20" max="20" width="10.28515625" style="441" bestFit="1" customWidth="1"/>
    <col min="21" max="24" width="10.7109375" style="441" bestFit="1" customWidth="1"/>
    <col min="25" max="25" width="13.85546875" style="441" bestFit="1" customWidth="1"/>
    <col min="26" max="26" width="13.85546875" style="441" customWidth="1"/>
    <col min="27" max="27" width="12.42578125" style="441" bestFit="1" customWidth="1"/>
    <col min="28" max="28" width="11" style="441" bestFit="1" customWidth="1"/>
    <col min="29" max="29" width="53.85546875" bestFit="1" customWidth="1"/>
    <col min="30" max="35" width="8" customWidth="1"/>
  </cols>
  <sheetData>
    <row r="1" spans="1:35" ht="24" customHeight="1">
      <c r="A1" s="2"/>
      <c r="B1" s="1"/>
      <c r="C1" s="1"/>
      <c r="D1" s="2"/>
      <c r="E1" s="3"/>
      <c r="F1" s="4"/>
      <c r="G1" s="3"/>
      <c r="H1" s="3"/>
      <c r="I1" s="5"/>
      <c r="J1" s="414" t="s">
        <v>334</v>
      </c>
      <c r="K1" s="414" t="s">
        <v>335</v>
      </c>
      <c r="L1" s="414" t="s">
        <v>336</v>
      </c>
      <c r="M1" s="414" t="s">
        <v>337</v>
      </c>
      <c r="N1" s="414" t="s">
        <v>338</v>
      </c>
      <c r="O1" s="415" t="s">
        <v>339</v>
      </c>
      <c r="P1" s="415" t="s">
        <v>340</v>
      </c>
      <c r="Q1" s="415" t="s">
        <v>341</v>
      </c>
      <c r="R1" s="415" t="s">
        <v>342</v>
      </c>
      <c r="S1" s="415" t="s">
        <v>343</v>
      </c>
      <c r="T1" s="432" t="s">
        <v>344</v>
      </c>
      <c r="U1" s="432" t="s">
        <v>345</v>
      </c>
      <c r="V1" s="432" t="s">
        <v>346</v>
      </c>
      <c r="W1" s="432" t="s">
        <v>347</v>
      </c>
      <c r="X1" s="432" t="s">
        <v>348</v>
      </c>
      <c r="Y1" s="433" t="s">
        <v>461</v>
      </c>
      <c r="Z1" s="433" t="s">
        <v>462</v>
      </c>
      <c r="AA1" s="434" t="s">
        <v>351</v>
      </c>
      <c r="AB1" s="435" t="s">
        <v>352</v>
      </c>
      <c r="AC1" s="416" t="s">
        <v>1</v>
      </c>
    </row>
    <row r="2" spans="1:35" ht="30" customHeight="1">
      <c r="A2" s="3"/>
      <c r="B2" s="3"/>
      <c r="C2" s="3"/>
      <c r="D2" s="3"/>
      <c r="E2" s="3"/>
      <c r="F2" s="4"/>
      <c r="G2" s="3"/>
      <c r="H2" s="3"/>
      <c r="I2" s="10"/>
      <c r="J2" s="669" t="s">
        <v>354</v>
      </c>
      <c r="K2" s="670"/>
      <c r="L2" s="670"/>
      <c r="M2" s="670"/>
      <c r="N2" s="670"/>
      <c r="O2" s="670"/>
      <c r="P2" s="670"/>
      <c r="Q2" s="670"/>
      <c r="R2" s="670"/>
      <c r="S2" s="670"/>
      <c r="T2" s="670"/>
      <c r="U2" s="670"/>
      <c r="V2" s="670"/>
      <c r="W2" s="670"/>
      <c r="X2" s="670"/>
      <c r="Y2" s="670"/>
      <c r="Z2" s="670"/>
      <c r="AA2" s="670"/>
      <c r="AB2" s="670"/>
      <c r="AC2" s="670"/>
    </row>
    <row r="3" spans="1:35" ht="34.5" customHeight="1">
      <c r="A3" s="417" t="s">
        <v>349</v>
      </c>
      <c r="B3" s="418" t="s">
        <v>3</v>
      </c>
      <c r="C3" s="418" t="s">
        <v>4</v>
      </c>
      <c r="D3" s="418" t="s">
        <v>5</v>
      </c>
      <c r="E3" s="418" t="s">
        <v>6</v>
      </c>
      <c r="F3" s="419" t="s">
        <v>7</v>
      </c>
      <c r="G3" s="418" t="s">
        <v>8</v>
      </c>
      <c r="H3" s="418" t="s">
        <v>9</v>
      </c>
      <c r="I3" s="418" t="s">
        <v>10</v>
      </c>
      <c r="J3" s="414" t="s">
        <v>334</v>
      </c>
      <c r="K3" s="414" t="s">
        <v>335</v>
      </c>
      <c r="L3" s="414" t="s">
        <v>336</v>
      </c>
      <c r="M3" s="414" t="s">
        <v>337</v>
      </c>
      <c r="N3" s="414" t="s">
        <v>338</v>
      </c>
      <c r="O3" s="415" t="s">
        <v>339</v>
      </c>
      <c r="P3" s="415" t="s">
        <v>340</v>
      </c>
      <c r="Q3" s="415" t="s">
        <v>341</v>
      </c>
      <c r="R3" s="415" t="s">
        <v>342</v>
      </c>
      <c r="S3" s="415" t="s">
        <v>343</v>
      </c>
      <c r="T3" s="432" t="s">
        <v>344</v>
      </c>
      <c r="U3" s="432" t="s">
        <v>345</v>
      </c>
      <c r="V3" s="432" t="s">
        <v>346</v>
      </c>
      <c r="W3" s="432" t="s">
        <v>347</v>
      </c>
      <c r="X3" s="432" t="s">
        <v>348</v>
      </c>
      <c r="Y3" s="436" t="s">
        <v>461</v>
      </c>
      <c r="Z3" s="433" t="s">
        <v>462</v>
      </c>
      <c r="AA3" s="437" t="s">
        <v>360</v>
      </c>
      <c r="AB3" s="437" t="s">
        <v>352</v>
      </c>
      <c r="AC3" s="418" t="s">
        <v>1</v>
      </c>
      <c r="AD3" s="15"/>
      <c r="AE3" s="15"/>
      <c r="AF3" s="15"/>
      <c r="AG3" s="15"/>
      <c r="AH3" s="15"/>
      <c r="AI3" s="15"/>
    </row>
    <row r="4" spans="1:35" ht="15.75" customHeight="1">
      <c r="A4" s="527">
        <v>1</v>
      </c>
      <c r="B4" s="527">
        <v>2</v>
      </c>
      <c r="C4" s="527">
        <v>6</v>
      </c>
      <c r="D4" s="527">
        <v>2</v>
      </c>
      <c r="E4" s="528" t="s">
        <v>197</v>
      </c>
      <c r="F4" s="529" t="s">
        <v>198</v>
      </c>
      <c r="G4" s="528" t="s">
        <v>25</v>
      </c>
      <c r="H4" s="530">
        <v>50771</v>
      </c>
      <c r="I4" s="531">
        <v>9</v>
      </c>
      <c r="J4" s="527">
        <v>63.116</v>
      </c>
      <c r="K4" s="527">
        <v>90.350999999999999</v>
      </c>
      <c r="L4" s="527">
        <v>61.627000000000002</v>
      </c>
      <c r="M4" s="527">
        <v>67.194000000000003</v>
      </c>
      <c r="N4" s="532">
        <v>55.43</v>
      </c>
      <c r="O4" s="527">
        <v>1.169</v>
      </c>
      <c r="P4" s="527">
        <v>1.1060000000000001</v>
      </c>
      <c r="Q4" s="527">
        <v>1.127</v>
      </c>
      <c r="R4" s="527">
        <v>1.0109999999999999</v>
      </c>
      <c r="S4" s="528">
        <v>1.0580000000000001</v>
      </c>
      <c r="T4" s="533">
        <f t="shared" ref="T4:T35" si="0">J4+O4</f>
        <v>64.284999999999997</v>
      </c>
      <c r="U4" s="533">
        <f t="shared" ref="U4:U35" si="1">K4+P4</f>
        <v>91.456999999999994</v>
      </c>
      <c r="V4" s="533">
        <f t="shared" ref="V4:V35" si="2">L4+Q4</f>
        <v>62.754000000000005</v>
      </c>
      <c r="W4" s="533">
        <f t="shared" ref="W4:W35" si="3">M4+R4</f>
        <v>68.204999999999998</v>
      </c>
      <c r="X4" s="533">
        <f t="shared" ref="X4:X35" si="4">N4+S4</f>
        <v>56.488</v>
      </c>
      <c r="Y4" s="533">
        <f t="shared" ref="Y4:Y35" si="5">AVERAGE(T4:X4)</f>
        <v>68.637799999999999</v>
      </c>
      <c r="Z4" s="533">
        <f t="shared" ref="Z4:Z35" si="6">Y4*10^2</f>
        <v>6863.78</v>
      </c>
      <c r="AA4" s="534">
        <f t="shared" ref="AA4:AA35" si="7">_xlfn.STDEV.S(T4:X4)</f>
        <v>13.435836546341356</v>
      </c>
      <c r="AB4" s="534">
        <f t="shared" ref="AB4:AB35" si="8">_xlfn.VAR.S(T4:X4)</f>
        <v>180.52170370000204</v>
      </c>
      <c r="AC4" s="535"/>
    </row>
    <row r="5" spans="1:35" ht="15.75" customHeight="1">
      <c r="A5" s="527">
        <v>2</v>
      </c>
      <c r="B5" s="527">
        <v>2</v>
      </c>
      <c r="C5" s="527">
        <v>2</v>
      </c>
      <c r="D5" s="527">
        <v>4</v>
      </c>
      <c r="E5" s="528" t="s">
        <v>69</v>
      </c>
      <c r="F5" s="529" t="s">
        <v>70</v>
      </c>
      <c r="G5" s="528" t="s">
        <v>25</v>
      </c>
      <c r="H5" s="530">
        <v>50754</v>
      </c>
      <c r="I5" s="531">
        <v>205</v>
      </c>
      <c r="J5" s="527">
        <v>177.04900000000001</v>
      </c>
      <c r="K5" s="527">
        <v>135.006</v>
      </c>
      <c r="L5" s="527">
        <f>99.955+18.359</f>
        <v>118.31399999999999</v>
      </c>
      <c r="M5" s="527">
        <v>190.65899999999999</v>
      </c>
      <c r="N5" s="527">
        <v>125.985</v>
      </c>
      <c r="O5" s="527">
        <v>1.575</v>
      </c>
      <c r="P5" s="527">
        <v>2.0179999999999998</v>
      </c>
      <c r="Q5" s="527">
        <v>1.4870000000000001</v>
      </c>
      <c r="R5" s="527">
        <v>1.5029999999999999</v>
      </c>
      <c r="S5" s="528">
        <v>1.2789999999999999</v>
      </c>
      <c r="T5" s="533">
        <f t="shared" si="0"/>
        <v>178.624</v>
      </c>
      <c r="U5" s="533">
        <f t="shared" si="1"/>
        <v>137.024</v>
      </c>
      <c r="V5" s="533">
        <f t="shared" si="2"/>
        <v>119.80099999999999</v>
      </c>
      <c r="W5" s="533">
        <f t="shared" si="3"/>
        <v>192.16199999999998</v>
      </c>
      <c r="X5" s="533">
        <f t="shared" si="4"/>
        <v>127.264</v>
      </c>
      <c r="Y5" s="533">
        <f t="shared" si="5"/>
        <v>150.97499999999999</v>
      </c>
      <c r="Z5" s="533">
        <f t="shared" si="6"/>
        <v>15097.5</v>
      </c>
      <c r="AA5" s="534">
        <f t="shared" si="7"/>
        <v>32.363159487293487</v>
      </c>
      <c r="AB5" s="534">
        <f t="shared" si="8"/>
        <v>1047.3740919999946</v>
      </c>
      <c r="AC5" s="535"/>
    </row>
    <row r="6" spans="1:35" ht="15.75" customHeight="1">
      <c r="A6" s="527">
        <v>3</v>
      </c>
      <c r="B6" s="527">
        <v>2</v>
      </c>
      <c r="C6" s="527">
        <v>4</v>
      </c>
      <c r="D6" s="527">
        <v>15</v>
      </c>
      <c r="E6" s="528" t="s">
        <v>160</v>
      </c>
      <c r="F6" s="529" t="s">
        <v>161</v>
      </c>
      <c r="G6" s="528" t="s">
        <v>34</v>
      </c>
      <c r="H6" s="530">
        <v>50707</v>
      </c>
      <c r="I6" s="531">
        <v>30</v>
      </c>
      <c r="J6" s="527">
        <v>90.497</v>
      </c>
      <c r="K6" s="527">
        <v>136.22200000000001</v>
      </c>
      <c r="L6" s="527">
        <v>62.817999999999998</v>
      </c>
      <c r="M6" s="527">
        <v>106.54600000000001</v>
      </c>
      <c r="N6" s="527">
        <v>116.509</v>
      </c>
      <c r="O6" s="527">
        <v>1.032</v>
      </c>
      <c r="P6" s="527">
        <v>1.54</v>
      </c>
      <c r="Q6" s="528">
        <v>1.2609999999999999</v>
      </c>
      <c r="R6" s="528">
        <v>2.0870000000000002</v>
      </c>
      <c r="S6" s="528">
        <v>2.0369999999999999</v>
      </c>
      <c r="T6" s="533">
        <f t="shared" si="0"/>
        <v>91.528999999999996</v>
      </c>
      <c r="U6" s="533">
        <f t="shared" si="1"/>
        <v>137.762</v>
      </c>
      <c r="V6" s="533">
        <f t="shared" si="2"/>
        <v>64.078999999999994</v>
      </c>
      <c r="W6" s="533">
        <f t="shared" si="3"/>
        <v>108.63300000000001</v>
      </c>
      <c r="X6" s="533">
        <f t="shared" si="4"/>
        <v>118.54600000000001</v>
      </c>
      <c r="Y6" s="533">
        <f t="shared" si="5"/>
        <v>104.10980000000002</v>
      </c>
      <c r="Z6" s="533">
        <f t="shared" si="6"/>
        <v>10410.980000000001</v>
      </c>
      <c r="AA6" s="534">
        <f t="shared" si="7"/>
        <v>27.937766780829072</v>
      </c>
      <c r="AB6" s="534">
        <f t="shared" si="8"/>
        <v>780.51881269999649</v>
      </c>
      <c r="AC6" s="535"/>
    </row>
    <row r="7" spans="1:35" ht="18.75" customHeight="1">
      <c r="A7" s="536">
        <v>4</v>
      </c>
      <c r="B7" s="536">
        <v>2</v>
      </c>
      <c r="C7" s="536">
        <v>5</v>
      </c>
      <c r="D7" s="536">
        <v>9</v>
      </c>
      <c r="E7" s="537" t="s">
        <v>189</v>
      </c>
      <c r="F7" s="538" t="s">
        <v>190</v>
      </c>
      <c r="G7" s="537" t="s">
        <v>31</v>
      </c>
      <c r="H7" s="539">
        <v>50798</v>
      </c>
      <c r="I7" s="540">
        <v>182</v>
      </c>
      <c r="J7" s="536">
        <v>54.53</v>
      </c>
      <c r="K7" s="536">
        <f>46.962+20.657</f>
        <v>67.619</v>
      </c>
      <c r="L7" s="541">
        <f>35.579+29.281</f>
        <v>64.86</v>
      </c>
      <c r="M7" s="537">
        <f>63.667+20.732</f>
        <v>84.399000000000001</v>
      </c>
      <c r="N7" s="537">
        <f>1.843+8.628+57.673</f>
        <v>68.144000000000005</v>
      </c>
      <c r="O7" s="537">
        <v>1.0629999999999999</v>
      </c>
      <c r="P7" s="537">
        <v>0.99399999999999999</v>
      </c>
      <c r="Q7" s="537">
        <v>1.1359999999999999</v>
      </c>
      <c r="R7" s="542">
        <v>1.55</v>
      </c>
      <c r="S7" s="537">
        <v>1.264</v>
      </c>
      <c r="T7" s="533">
        <f t="shared" si="0"/>
        <v>55.593000000000004</v>
      </c>
      <c r="U7" s="533">
        <f t="shared" si="1"/>
        <v>68.613</v>
      </c>
      <c r="V7" s="533">
        <f t="shared" si="2"/>
        <v>65.995999999999995</v>
      </c>
      <c r="W7" s="533">
        <f t="shared" si="3"/>
        <v>85.948999999999998</v>
      </c>
      <c r="X7" s="533">
        <f t="shared" si="4"/>
        <v>69.408000000000001</v>
      </c>
      <c r="Y7" s="533">
        <f t="shared" si="5"/>
        <v>69.111800000000002</v>
      </c>
      <c r="Z7" s="533">
        <f t="shared" si="6"/>
        <v>6911.18</v>
      </c>
      <c r="AA7" s="534">
        <f t="shared" si="7"/>
        <v>10.912080493654699</v>
      </c>
      <c r="AB7" s="534">
        <f t="shared" si="8"/>
        <v>119.07350069999939</v>
      </c>
      <c r="AC7" s="543"/>
      <c r="AD7" s="90"/>
      <c r="AE7" s="90"/>
      <c r="AF7" s="90"/>
      <c r="AG7" s="90"/>
      <c r="AH7" s="90"/>
      <c r="AI7" s="90"/>
    </row>
    <row r="8" spans="1:35" ht="15.75" customHeight="1">
      <c r="A8" s="527">
        <v>36</v>
      </c>
      <c r="B8" s="547">
        <v>2</v>
      </c>
      <c r="C8" s="547">
        <v>4</v>
      </c>
      <c r="D8" s="547">
        <v>14</v>
      </c>
      <c r="E8" s="548" t="s">
        <v>145</v>
      </c>
      <c r="F8" s="557" t="s">
        <v>418</v>
      </c>
      <c r="G8" s="548" t="s">
        <v>31</v>
      </c>
      <c r="H8" s="550">
        <v>50809</v>
      </c>
      <c r="I8" s="551">
        <v>664</v>
      </c>
      <c r="J8" s="542">
        <v>30.86</v>
      </c>
      <c r="K8" s="537">
        <v>36.207000000000001</v>
      </c>
      <c r="L8" s="537">
        <v>30.861000000000001</v>
      </c>
      <c r="M8" s="537">
        <v>24.977</v>
      </c>
      <c r="N8" s="537">
        <f>16.548+16.824</f>
        <v>33.372</v>
      </c>
      <c r="O8" s="537">
        <v>0.999</v>
      </c>
      <c r="P8" s="537">
        <v>1.018</v>
      </c>
      <c r="Q8" s="537">
        <v>0.98499999999999999</v>
      </c>
      <c r="R8" s="542">
        <v>1.1100000000000001</v>
      </c>
      <c r="S8" s="537">
        <v>1.2110000000000001</v>
      </c>
      <c r="T8" s="533">
        <f t="shared" si="0"/>
        <v>31.858999999999998</v>
      </c>
      <c r="U8" s="533">
        <f t="shared" si="1"/>
        <v>37.225000000000001</v>
      </c>
      <c r="V8" s="533">
        <f t="shared" si="2"/>
        <v>31.846</v>
      </c>
      <c r="W8" s="533">
        <f t="shared" si="3"/>
        <v>26.087</v>
      </c>
      <c r="X8" s="533">
        <f t="shared" si="4"/>
        <v>34.582999999999998</v>
      </c>
      <c r="Y8" s="533">
        <f t="shared" si="5"/>
        <v>32.320000000000007</v>
      </c>
      <c r="Z8" s="533">
        <f t="shared" si="6"/>
        <v>3232.0000000000009</v>
      </c>
      <c r="AA8" s="534">
        <f t="shared" si="7"/>
        <v>4.1372599628255751</v>
      </c>
      <c r="AB8" s="534">
        <f t="shared" si="8"/>
        <v>17.116919999999482</v>
      </c>
      <c r="AC8" s="558"/>
    </row>
    <row r="9" spans="1:35" ht="15.75" customHeight="1">
      <c r="A9" s="527">
        <v>5</v>
      </c>
      <c r="B9" s="527">
        <v>2</v>
      </c>
      <c r="C9" s="527">
        <v>1</v>
      </c>
      <c r="D9" s="527">
        <v>8</v>
      </c>
      <c r="E9" s="528" t="s">
        <v>35</v>
      </c>
      <c r="F9" s="529" t="s">
        <v>36</v>
      </c>
      <c r="G9" s="528" t="s">
        <v>31</v>
      </c>
      <c r="H9" s="530">
        <v>50794</v>
      </c>
      <c r="I9" s="531">
        <v>392</v>
      </c>
      <c r="J9" s="527">
        <v>113.624</v>
      </c>
      <c r="K9" s="527">
        <v>104.65900000000001</v>
      </c>
      <c r="L9" s="527">
        <v>57.399000000000001</v>
      </c>
      <c r="M9" s="527">
        <v>47.258000000000003</v>
      </c>
      <c r="N9" s="527">
        <v>59.917000000000002</v>
      </c>
      <c r="O9" s="544">
        <v>0</v>
      </c>
      <c r="P9" s="544">
        <v>0</v>
      </c>
      <c r="Q9" s="544">
        <v>0</v>
      </c>
      <c r="R9" s="544">
        <v>0</v>
      </c>
      <c r="S9" s="544">
        <v>0</v>
      </c>
      <c r="T9" s="533">
        <f t="shared" si="0"/>
        <v>113.624</v>
      </c>
      <c r="U9" s="533">
        <f t="shared" si="1"/>
        <v>104.65900000000001</v>
      </c>
      <c r="V9" s="533">
        <f t="shared" si="2"/>
        <v>57.399000000000001</v>
      </c>
      <c r="W9" s="533">
        <f t="shared" si="3"/>
        <v>47.258000000000003</v>
      </c>
      <c r="X9" s="533">
        <f t="shared" si="4"/>
        <v>59.917000000000002</v>
      </c>
      <c r="Y9" s="533">
        <f t="shared" si="5"/>
        <v>76.571399999999997</v>
      </c>
      <c r="Z9" s="533">
        <f t="shared" si="6"/>
        <v>7657.1399999999994</v>
      </c>
      <c r="AA9" s="534">
        <f t="shared" si="7"/>
        <v>30.273890653498778</v>
      </c>
      <c r="AB9" s="534">
        <f t="shared" si="8"/>
        <v>916.50845530000061</v>
      </c>
      <c r="AC9" s="535" t="s">
        <v>369</v>
      </c>
    </row>
    <row r="10" spans="1:35" ht="15.75" customHeight="1">
      <c r="A10" s="527">
        <v>6</v>
      </c>
      <c r="B10" s="527">
        <v>2</v>
      </c>
      <c r="C10" s="527">
        <v>4</v>
      </c>
      <c r="D10" s="527">
        <v>15</v>
      </c>
      <c r="E10" s="528" t="s">
        <v>149</v>
      </c>
      <c r="F10" s="545" t="s">
        <v>414</v>
      </c>
      <c r="G10" s="528" t="s">
        <v>31</v>
      </c>
      <c r="H10" s="530">
        <v>50815</v>
      </c>
      <c r="I10" s="531">
        <v>81</v>
      </c>
      <c r="J10" s="527">
        <v>3.4079999999999999</v>
      </c>
      <c r="K10" s="527">
        <v>3.8050000000000002</v>
      </c>
      <c r="L10" s="527">
        <v>3.6070000000000002</v>
      </c>
      <c r="M10" s="527">
        <v>3.52</v>
      </c>
      <c r="N10" s="527">
        <v>3.3050000000000002</v>
      </c>
      <c r="O10" s="544">
        <v>0</v>
      </c>
      <c r="P10" s="544">
        <v>0</v>
      </c>
      <c r="Q10" s="544">
        <v>0</v>
      </c>
      <c r="R10" s="544">
        <v>0</v>
      </c>
      <c r="S10" s="544">
        <v>0</v>
      </c>
      <c r="T10" s="533">
        <f t="shared" si="0"/>
        <v>3.4079999999999999</v>
      </c>
      <c r="U10" s="533">
        <f t="shared" si="1"/>
        <v>3.8050000000000002</v>
      </c>
      <c r="V10" s="533">
        <f t="shared" si="2"/>
        <v>3.6070000000000002</v>
      </c>
      <c r="W10" s="533">
        <f t="shared" si="3"/>
        <v>3.52</v>
      </c>
      <c r="X10" s="533">
        <f t="shared" si="4"/>
        <v>3.3050000000000002</v>
      </c>
      <c r="Y10" s="533">
        <f t="shared" si="5"/>
        <v>3.5289999999999999</v>
      </c>
      <c r="Z10" s="533">
        <f t="shared" si="6"/>
        <v>352.9</v>
      </c>
      <c r="AA10" s="534">
        <f t="shared" si="7"/>
        <v>0.19180589146321866</v>
      </c>
      <c r="AB10" s="534">
        <f t="shared" si="8"/>
        <v>3.6789500000000017E-2</v>
      </c>
      <c r="AC10" s="535" t="s">
        <v>369</v>
      </c>
    </row>
    <row r="11" spans="1:35" ht="15.75" customHeight="1">
      <c r="A11" s="527">
        <v>7</v>
      </c>
      <c r="B11" s="527">
        <v>2</v>
      </c>
      <c r="C11" s="527">
        <v>4</v>
      </c>
      <c r="D11" s="527">
        <v>9</v>
      </c>
      <c r="E11" s="528" t="s">
        <v>136</v>
      </c>
      <c r="F11" s="529" t="s">
        <v>137</v>
      </c>
      <c r="G11" s="528" t="s">
        <v>68</v>
      </c>
      <c r="H11" s="530">
        <v>50830</v>
      </c>
      <c r="I11" s="531">
        <v>329</v>
      </c>
      <c r="J11" s="527">
        <v>28.841999999999999</v>
      </c>
      <c r="K11" s="527">
        <v>32.159999999999997</v>
      </c>
      <c r="L11" s="527">
        <v>27.303000000000001</v>
      </c>
      <c r="M11" s="527">
        <f>11.826+24.306</f>
        <v>36.132000000000005</v>
      </c>
      <c r="N11" s="527">
        <v>31.247</v>
      </c>
      <c r="O11" s="527">
        <v>0.45200000000000001</v>
      </c>
      <c r="P11" s="527">
        <v>0.85699999999999998</v>
      </c>
      <c r="Q11" s="527">
        <v>0.495</v>
      </c>
      <c r="R11" s="527">
        <v>0.503</v>
      </c>
      <c r="S11" s="528">
        <v>0.875</v>
      </c>
      <c r="T11" s="533">
        <f t="shared" si="0"/>
        <v>29.294</v>
      </c>
      <c r="U11" s="533">
        <f t="shared" si="1"/>
        <v>33.016999999999996</v>
      </c>
      <c r="V11" s="533">
        <f t="shared" si="2"/>
        <v>27.798000000000002</v>
      </c>
      <c r="W11" s="533">
        <f t="shared" si="3"/>
        <v>36.635000000000005</v>
      </c>
      <c r="X11" s="533">
        <f t="shared" si="4"/>
        <v>32.122</v>
      </c>
      <c r="Y11" s="533">
        <f t="shared" si="5"/>
        <v>31.773199999999996</v>
      </c>
      <c r="Z11" s="533">
        <f t="shared" si="6"/>
        <v>3177.3199999999997</v>
      </c>
      <c r="AA11" s="534">
        <f t="shared" si="7"/>
        <v>3.4370934959642869</v>
      </c>
      <c r="AB11" s="534">
        <f t="shared" si="8"/>
        <v>11.813611700000004</v>
      </c>
      <c r="AC11" s="535"/>
    </row>
    <row r="12" spans="1:35" ht="15.75" customHeight="1">
      <c r="A12" s="527">
        <v>8</v>
      </c>
      <c r="B12" s="528">
        <v>2</v>
      </c>
      <c r="C12" s="527">
        <v>7</v>
      </c>
      <c r="D12" s="527">
        <v>2</v>
      </c>
      <c r="E12" s="528" t="s">
        <v>205</v>
      </c>
      <c r="F12" s="545" t="s">
        <v>415</v>
      </c>
      <c r="G12" s="528" t="s">
        <v>34</v>
      </c>
      <c r="H12" s="530">
        <v>50853</v>
      </c>
      <c r="I12" s="531">
        <v>642</v>
      </c>
      <c r="J12" s="527">
        <v>50.64</v>
      </c>
      <c r="K12" s="527">
        <v>58.993000000000002</v>
      </c>
      <c r="L12" s="527">
        <v>68.515000000000001</v>
      </c>
      <c r="M12" s="527">
        <v>48.055</v>
      </c>
      <c r="N12" s="527">
        <v>54.503999999999998</v>
      </c>
      <c r="O12" s="527">
        <v>0.72399999999999998</v>
      </c>
      <c r="P12" s="527">
        <v>0.76800000000000002</v>
      </c>
      <c r="Q12" s="527">
        <v>0.65200000000000002</v>
      </c>
      <c r="R12" s="527">
        <v>0.78700000000000003</v>
      </c>
      <c r="S12" s="528">
        <v>0.76900000000000002</v>
      </c>
      <c r="T12" s="533">
        <f t="shared" si="0"/>
        <v>51.363999999999997</v>
      </c>
      <c r="U12" s="533">
        <f t="shared" si="1"/>
        <v>59.761000000000003</v>
      </c>
      <c r="V12" s="533">
        <f t="shared" si="2"/>
        <v>69.167000000000002</v>
      </c>
      <c r="W12" s="533">
        <f t="shared" si="3"/>
        <v>48.841999999999999</v>
      </c>
      <c r="X12" s="533">
        <f t="shared" si="4"/>
        <v>55.272999999999996</v>
      </c>
      <c r="Y12" s="533">
        <f t="shared" si="5"/>
        <v>56.881400000000006</v>
      </c>
      <c r="Z12" s="533">
        <f t="shared" si="6"/>
        <v>5688.14</v>
      </c>
      <c r="AA12" s="534">
        <f t="shared" si="7"/>
        <v>8.013873426751795</v>
      </c>
      <c r="AB12" s="534">
        <f t="shared" si="8"/>
        <v>64.222167299998546</v>
      </c>
      <c r="AC12" s="535"/>
    </row>
    <row r="13" spans="1:35" ht="15.75" customHeight="1">
      <c r="A13" s="527">
        <v>10</v>
      </c>
      <c r="B13" s="527">
        <v>2</v>
      </c>
      <c r="C13" s="527">
        <v>4</v>
      </c>
      <c r="D13" s="527">
        <v>15</v>
      </c>
      <c r="E13" s="528" t="s">
        <v>162</v>
      </c>
      <c r="F13" s="545" t="s">
        <v>420</v>
      </c>
      <c r="G13" s="528" t="s">
        <v>34</v>
      </c>
      <c r="H13" s="530">
        <v>50840</v>
      </c>
      <c r="I13" s="531">
        <v>1</v>
      </c>
      <c r="J13" s="527">
        <v>6.1970000000000001</v>
      </c>
      <c r="K13" s="527">
        <v>3.9390000000000001</v>
      </c>
      <c r="L13" s="528">
        <v>6.7729999999999997</v>
      </c>
      <c r="M13" s="528">
        <v>3.456</v>
      </c>
      <c r="N13" s="528">
        <v>5.3159999999999998</v>
      </c>
      <c r="O13" s="528">
        <v>5.3999999999999999E-2</v>
      </c>
      <c r="P13" s="528">
        <v>8.4000000000000005E-2</v>
      </c>
      <c r="Q13" s="528">
        <v>9.0999999999999998E-2</v>
      </c>
      <c r="R13" s="528">
        <v>9.2999999999999999E-2</v>
      </c>
      <c r="S13" s="528">
        <v>5.0999999999999997E-2</v>
      </c>
      <c r="T13" s="533">
        <f t="shared" si="0"/>
        <v>6.2510000000000003</v>
      </c>
      <c r="U13" s="533">
        <f t="shared" si="1"/>
        <v>4.0229999999999997</v>
      </c>
      <c r="V13" s="533">
        <f t="shared" si="2"/>
        <v>6.8639999999999999</v>
      </c>
      <c r="W13" s="533">
        <f t="shared" si="3"/>
        <v>3.5489999999999999</v>
      </c>
      <c r="X13" s="533">
        <f t="shared" si="4"/>
        <v>5.367</v>
      </c>
      <c r="Y13" s="533">
        <f t="shared" si="5"/>
        <v>5.2108000000000008</v>
      </c>
      <c r="Z13" s="533">
        <f t="shared" si="6"/>
        <v>521.08000000000004</v>
      </c>
      <c r="AA13" s="534">
        <f t="shared" si="7"/>
        <v>1.4152678898356976</v>
      </c>
      <c r="AB13" s="534">
        <f t="shared" si="8"/>
        <v>2.0029831999999885</v>
      </c>
      <c r="AC13" s="535"/>
    </row>
    <row r="14" spans="1:35" ht="15.75" customHeight="1">
      <c r="A14" s="527">
        <v>9</v>
      </c>
      <c r="B14" s="527">
        <v>2</v>
      </c>
      <c r="C14" s="527">
        <v>1</v>
      </c>
      <c r="D14" s="527">
        <v>15</v>
      </c>
      <c r="E14" s="528" t="s">
        <v>56</v>
      </c>
      <c r="F14" s="529" t="s">
        <v>57</v>
      </c>
      <c r="G14" s="528" t="s">
        <v>34</v>
      </c>
      <c r="H14" s="530">
        <v>50594</v>
      </c>
      <c r="I14" s="531">
        <v>154</v>
      </c>
      <c r="J14" s="527">
        <v>8.7579999999999991</v>
      </c>
      <c r="K14" s="527">
        <v>13.103999999999999</v>
      </c>
      <c r="L14" s="527">
        <v>18.414999999999999</v>
      </c>
      <c r="M14" s="527">
        <v>9.0519999999999996</v>
      </c>
      <c r="N14" s="527">
        <v>11.754</v>
      </c>
      <c r="O14" s="527">
        <v>0.186</v>
      </c>
      <c r="P14" s="527">
        <v>0.32400000000000001</v>
      </c>
      <c r="Q14" s="527">
        <v>0.39700000000000002</v>
      </c>
      <c r="R14" s="527">
        <v>0.216</v>
      </c>
      <c r="S14" s="528">
        <v>0.19600000000000001</v>
      </c>
      <c r="T14" s="533">
        <f t="shared" si="0"/>
        <v>8.9439999999999991</v>
      </c>
      <c r="U14" s="533">
        <f t="shared" si="1"/>
        <v>13.427999999999999</v>
      </c>
      <c r="V14" s="533">
        <f t="shared" si="2"/>
        <v>18.811999999999998</v>
      </c>
      <c r="W14" s="533">
        <f t="shared" si="3"/>
        <v>9.2679999999999989</v>
      </c>
      <c r="X14" s="533">
        <f t="shared" si="4"/>
        <v>11.95</v>
      </c>
      <c r="Y14" s="533">
        <f t="shared" si="5"/>
        <v>12.480399999999999</v>
      </c>
      <c r="Z14" s="533">
        <f t="shared" si="6"/>
        <v>1248.04</v>
      </c>
      <c r="AA14" s="534">
        <f t="shared" si="7"/>
        <v>4.0029385206370485</v>
      </c>
      <c r="AB14" s="534">
        <f t="shared" si="8"/>
        <v>16.023516799999925</v>
      </c>
      <c r="AC14" s="535"/>
    </row>
    <row r="15" spans="1:35" ht="15.75" customHeight="1">
      <c r="A15" s="527">
        <v>11</v>
      </c>
      <c r="B15" s="527">
        <v>2</v>
      </c>
      <c r="C15" s="527">
        <v>8</v>
      </c>
      <c r="D15" s="527">
        <v>14</v>
      </c>
      <c r="E15" s="528" t="s">
        <v>241</v>
      </c>
      <c r="F15" s="545" t="s">
        <v>416</v>
      </c>
      <c r="G15" s="528" t="s">
        <v>25</v>
      </c>
      <c r="H15" s="530">
        <v>50876</v>
      </c>
      <c r="I15" s="531">
        <v>420</v>
      </c>
      <c r="J15" s="527">
        <f>2.011+22.476</f>
        <v>24.486999999999998</v>
      </c>
      <c r="K15" s="527">
        <v>28.972999999999999</v>
      </c>
      <c r="L15" s="527">
        <f>1.621+29.19</f>
        <v>30.811</v>
      </c>
      <c r="M15" s="527">
        <v>25.302</v>
      </c>
      <c r="N15" s="527">
        <v>27.504999999999999</v>
      </c>
      <c r="O15" s="527">
        <v>0.34599999999999997</v>
      </c>
      <c r="P15" s="527">
        <v>0.312</v>
      </c>
      <c r="Q15" s="527">
        <v>0.23300000000000001</v>
      </c>
      <c r="R15" s="527">
        <v>0.30399999999999999</v>
      </c>
      <c r="S15" s="528">
        <v>0.33500000000000002</v>
      </c>
      <c r="T15" s="533">
        <f t="shared" si="0"/>
        <v>24.832999999999998</v>
      </c>
      <c r="U15" s="533">
        <f t="shared" si="1"/>
        <v>29.285</v>
      </c>
      <c r="V15" s="533">
        <f t="shared" si="2"/>
        <v>31.044</v>
      </c>
      <c r="W15" s="533">
        <f t="shared" si="3"/>
        <v>25.605999999999998</v>
      </c>
      <c r="X15" s="533">
        <f t="shared" si="4"/>
        <v>27.84</v>
      </c>
      <c r="Y15" s="533">
        <f t="shared" si="5"/>
        <v>27.721599999999995</v>
      </c>
      <c r="Z15" s="533">
        <f t="shared" si="6"/>
        <v>2772.1599999999994</v>
      </c>
      <c r="AA15" s="534">
        <f t="shared" si="7"/>
        <v>2.5649733526880945</v>
      </c>
      <c r="AB15" s="534">
        <f t="shared" si="8"/>
        <v>6.5790883000000049</v>
      </c>
      <c r="AC15" s="535"/>
    </row>
    <row r="16" spans="1:35" ht="15.75" customHeight="1">
      <c r="A16" s="527">
        <v>12</v>
      </c>
      <c r="B16" s="527">
        <v>2</v>
      </c>
      <c r="C16" s="527">
        <v>2</v>
      </c>
      <c r="D16" s="527">
        <v>13</v>
      </c>
      <c r="E16" s="528" t="s">
        <v>76</v>
      </c>
      <c r="F16" s="529" t="s">
        <v>77</v>
      </c>
      <c r="G16" s="528" t="s">
        <v>25</v>
      </c>
      <c r="H16" s="530">
        <v>50748</v>
      </c>
      <c r="I16" s="531">
        <v>296</v>
      </c>
      <c r="J16" s="527">
        <v>7.125</v>
      </c>
      <c r="K16" s="527">
        <v>8.4469999999999992</v>
      </c>
      <c r="L16" s="527">
        <v>15.292999999999999</v>
      </c>
      <c r="M16" s="527">
        <v>8.9730000000000008</v>
      </c>
      <c r="N16" s="527">
        <v>8.6989999999999998</v>
      </c>
      <c r="O16" s="527">
        <v>0.1</v>
      </c>
      <c r="P16" s="527">
        <v>0.248</v>
      </c>
      <c r="Q16" s="527">
        <v>0.111</v>
      </c>
      <c r="R16" s="527">
        <v>0.187</v>
      </c>
      <c r="S16" s="528">
        <v>0.17499999999999999</v>
      </c>
      <c r="T16" s="533">
        <f t="shared" si="0"/>
        <v>7.2249999999999996</v>
      </c>
      <c r="U16" s="533">
        <f t="shared" si="1"/>
        <v>8.6949999999999985</v>
      </c>
      <c r="V16" s="533">
        <f t="shared" si="2"/>
        <v>15.404</v>
      </c>
      <c r="W16" s="533">
        <f t="shared" si="3"/>
        <v>9.16</v>
      </c>
      <c r="X16" s="533">
        <f t="shared" si="4"/>
        <v>8.8740000000000006</v>
      </c>
      <c r="Y16" s="533">
        <f t="shared" si="5"/>
        <v>9.871599999999999</v>
      </c>
      <c r="Z16" s="533">
        <f t="shared" si="6"/>
        <v>987.15999999999985</v>
      </c>
      <c r="AA16" s="534">
        <f t="shared" si="7"/>
        <v>3.1818983798983917</v>
      </c>
      <c r="AB16" s="534">
        <f t="shared" si="8"/>
        <v>10.124477300000009</v>
      </c>
      <c r="AC16" s="535"/>
    </row>
    <row r="17" spans="1:29" ht="15.75" customHeight="1">
      <c r="A17" s="527">
        <v>13</v>
      </c>
      <c r="B17" s="527">
        <v>2</v>
      </c>
      <c r="C17" s="527">
        <v>1</v>
      </c>
      <c r="D17" s="527">
        <v>12</v>
      </c>
      <c r="E17" s="528" t="s">
        <v>46</v>
      </c>
      <c r="F17" s="529" t="s">
        <v>47</v>
      </c>
      <c r="G17" s="528" t="s">
        <v>25</v>
      </c>
      <c r="H17" s="530">
        <v>50262</v>
      </c>
      <c r="I17" s="531">
        <v>472</v>
      </c>
      <c r="J17" s="527">
        <v>430.94400000000002</v>
      </c>
      <c r="K17" s="527">
        <v>196.83699999999999</v>
      </c>
      <c r="L17" s="527">
        <v>263.892</v>
      </c>
      <c r="M17" s="527">
        <v>209.19499999999999</v>
      </c>
      <c r="N17" s="528"/>
      <c r="O17" s="528">
        <v>3.1509999999999998</v>
      </c>
      <c r="P17" s="528">
        <v>2.2429999999999999</v>
      </c>
      <c r="Q17" s="528">
        <v>1.639</v>
      </c>
      <c r="R17" s="528">
        <v>2.8079999999999998</v>
      </c>
      <c r="S17" s="528"/>
      <c r="T17" s="533">
        <f t="shared" si="0"/>
        <v>434.09500000000003</v>
      </c>
      <c r="U17" s="533">
        <f t="shared" si="1"/>
        <v>199.07999999999998</v>
      </c>
      <c r="V17" s="533">
        <f t="shared" si="2"/>
        <v>265.53100000000001</v>
      </c>
      <c r="W17" s="533">
        <f t="shared" si="3"/>
        <v>212.00299999999999</v>
      </c>
      <c r="X17" s="533">
        <f t="shared" si="4"/>
        <v>0</v>
      </c>
      <c r="Y17" s="533">
        <f t="shared" si="5"/>
        <v>222.14179999999996</v>
      </c>
      <c r="Z17" s="533">
        <f t="shared" si="6"/>
        <v>22214.179999999997</v>
      </c>
      <c r="AA17" s="534">
        <f t="shared" si="7"/>
        <v>155.5541729260261</v>
      </c>
      <c r="AB17" s="534">
        <f t="shared" si="8"/>
        <v>24197.100714700027</v>
      </c>
      <c r="AC17" s="535" t="s">
        <v>371</v>
      </c>
    </row>
    <row r="18" spans="1:29" ht="15.75" customHeight="1">
      <c r="A18" s="527">
        <v>14</v>
      </c>
      <c r="B18" s="527">
        <v>2</v>
      </c>
      <c r="C18" s="527">
        <v>6</v>
      </c>
      <c r="D18" s="527">
        <v>3</v>
      </c>
      <c r="E18" s="528" t="s">
        <v>201</v>
      </c>
      <c r="F18" s="529" t="s">
        <v>202</v>
      </c>
      <c r="G18" s="528" t="s">
        <v>34</v>
      </c>
      <c r="H18" s="530">
        <v>50601</v>
      </c>
      <c r="I18" s="531">
        <v>146</v>
      </c>
      <c r="J18" s="527">
        <v>8.0489999999999995</v>
      </c>
      <c r="K18" s="527">
        <v>12.653</v>
      </c>
      <c r="L18" s="527">
        <v>18.645</v>
      </c>
      <c r="M18" s="527">
        <v>16.417000000000002</v>
      </c>
      <c r="N18" s="527">
        <f>11.473+8.902</f>
        <v>20.375</v>
      </c>
      <c r="O18" s="546">
        <v>0</v>
      </c>
      <c r="P18" s="546">
        <v>0</v>
      </c>
      <c r="Q18" s="546">
        <v>0</v>
      </c>
      <c r="R18" s="546">
        <v>0</v>
      </c>
      <c r="S18" s="546">
        <v>0</v>
      </c>
      <c r="T18" s="533">
        <f t="shared" si="0"/>
        <v>8.0489999999999995</v>
      </c>
      <c r="U18" s="533">
        <f t="shared" si="1"/>
        <v>12.653</v>
      </c>
      <c r="V18" s="533">
        <f t="shared" si="2"/>
        <v>18.645</v>
      </c>
      <c r="W18" s="533">
        <f t="shared" si="3"/>
        <v>16.417000000000002</v>
      </c>
      <c r="X18" s="533">
        <f t="shared" si="4"/>
        <v>20.375</v>
      </c>
      <c r="Y18" s="533">
        <f t="shared" si="5"/>
        <v>15.227799999999998</v>
      </c>
      <c r="Z18" s="533">
        <f t="shared" si="6"/>
        <v>1522.7799999999997</v>
      </c>
      <c r="AA18" s="534">
        <f t="shared" si="7"/>
        <v>4.9434270703632315</v>
      </c>
      <c r="AB18" s="534">
        <f t="shared" si="8"/>
        <v>24.437471200000005</v>
      </c>
      <c r="AC18" s="535" t="s">
        <v>372</v>
      </c>
    </row>
    <row r="19" spans="1:29" ht="15.75" customHeight="1">
      <c r="A19" s="527">
        <v>16</v>
      </c>
      <c r="B19" s="547">
        <v>2</v>
      </c>
      <c r="C19" s="547">
        <v>4</v>
      </c>
      <c r="D19" s="547">
        <v>2</v>
      </c>
      <c r="E19" s="548" t="s">
        <v>126</v>
      </c>
      <c r="F19" s="549" t="s">
        <v>127</v>
      </c>
      <c r="G19" s="548" t="s">
        <v>25</v>
      </c>
      <c r="H19" s="550">
        <v>50767</v>
      </c>
      <c r="I19" s="551">
        <v>145</v>
      </c>
      <c r="J19" s="527">
        <v>108.69</v>
      </c>
      <c r="K19" s="527">
        <v>31.364999999999998</v>
      </c>
      <c r="L19" s="527">
        <v>52.845999999999997</v>
      </c>
      <c r="M19" s="528">
        <v>155.405</v>
      </c>
      <c r="N19" s="528">
        <v>114.971</v>
      </c>
      <c r="O19" s="528">
        <v>1.9390000000000001</v>
      </c>
      <c r="P19" s="528">
        <v>2.6480000000000001</v>
      </c>
      <c r="Q19" s="528">
        <v>0.753</v>
      </c>
      <c r="R19" s="528">
        <v>2.214</v>
      </c>
      <c r="S19" s="528">
        <v>0.55200000000000005</v>
      </c>
      <c r="T19" s="533">
        <f t="shared" si="0"/>
        <v>110.62899999999999</v>
      </c>
      <c r="U19" s="533">
        <f t="shared" si="1"/>
        <v>34.012999999999998</v>
      </c>
      <c r="V19" s="533">
        <f t="shared" si="2"/>
        <v>53.598999999999997</v>
      </c>
      <c r="W19" s="533">
        <f t="shared" si="3"/>
        <v>157.619</v>
      </c>
      <c r="X19" s="533">
        <f t="shared" si="4"/>
        <v>115.52300000000001</v>
      </c>
      <c r="Y19" s="533">
        <f t="shared" si="5"/>
        <v>94.276600000000002</v>
      </c>
      <c r="Z19" s="533">
        <f t="shared" si="6"/>
        <v>9427.66</v>
      </c>
      <c r="AA19" s="534">
        <f t="shared" si="7"/>
        <v>50.043577917650929</v>
      </c>
      <c r="AB19" s="534">
        <f t="shared" si="8"/>
        <v>2504.3596908</v>
      </c>
      <c r="AC19" s="535"/>
    </row>
    <row r="20" spans="1:29" ht="15.75" customHeight="1">
      <c r="A20" s="527">
        <v>17</v>
      </c>
      <c r="B20" s="547">
        <v>2</v>
      </c>
      <c r="C20" s="547">
        <v>7</v>
      </c>
      <c r="D20" s="547">
        <v>18</v>
      </c>
      <c r="E20" s="548" t="s">
        <v>230</v>
      </c>
      <c r="F20" s="549" t="s">
        <v>231</v>
      </c>
      <c r="G20" s="548" t="s">
        <v>48</v>
      </c>
      <c r="H20" s="550">
        <v>50206</v>
      </c>
      <c r="I20" s="551">
        <v>73</v>
      </c>
      <c r="J20" s="527">
        <f>184.44+73.053+88.416+28.983+40.356+173.887+28.152+27.475+146.251+10.542+15.523+9.223+10.522+38.766+105.218+12.349+4.752+13.252+13.827+14.127+6.099+5.866+13.96+17.416+17.654+7.776+3.541+3.827+5.317+5.928</f>
        <v>1126.498</v>
      </c>
      <c r="K20" s="527">
        <v>0</v>
      </c>
      <c r="L20" s="527">
        <v>0</v>
      </c>
      <c r="M20" s="527">
        <v>0</v>
      </c>
      <c r="N20" s="527">
        <v>0</v>
      </c>
      <c r="O20" s="527">
        <v>13.811999999999999</v>
      </c>
      <c r="P20" s="527"/>
      <c r="Q20" s="527"/>
      <c r="R20" s="527"/>
      <c r="S20" s="528"/>
      <c r="T20" s="533">
        <f t="shared" si="0"/>
        <v>1140.31</v>
      </c>
      <c r="U20" s="533">
        <f t="shared" si="1"/>
        <v>0</v>
      </c>
      <c r="V20" s="533">
        <f t="shared" si="2"/>
        <v>0</v>
      </c>
      <c r="W20" s="533">
        <f t="shared" si="3"/>
        <v>0</v>
      </c>
      <c r="X20" s="533">
        <f t="shared" si="4"/>
        <v>0</v>
      </c>
      <c r="Y20" s="533">
        <f t="shared" si="5"/>
        <v>228.06199999999998</v>
      </c>
      <c r="Z20" s="533">
        <f t="shared" si="6"/>
        <v>22806.199999999997</v>
      </c>
      <c r="AA20" s="534">
        <f t="shared" si="7"/>
        <v>509.96213508455696</v>
      </c>
      <c r="AB20" s="534">
        <f t="shared" si="8"/>
        <v>260061.37921999994</v>
      </c>
      <c r="AC20" s="535" t="s">
        <v>373</v>
      </c>
    </row>
    <row r="21" spans="1:29" ht="15.75" customHeight="1">
      <c r="A21" s="527">
        <v>18</v>
      </c>
      <c r="B21" s="547">
        <v>2</v>
      </c>
      <c r="C21" s="547">
        <v>3</v>
      </c>
      <c r="D21" s="547">
        <v>18</v>
      </c>
      <c r="E21" s="548" t="s">
        <v>114</v>
      </c>
      <c r="F21" s="549" t="s">
        <v>115</v>
      </c>
      <c r="G21" s="548" t="s">
        <v>117</v>
      </c>
      <c r="H21" s="550">
        <v>50535</v>
      </c>
      <c r="I21" s="551">
        <v>24</v>
      </c>
      <c r="J21" s="527">
        <v>2.7930000000000001</v>
      </c>
      <c r="K21" s="527">
        <v>3.173</v>
      </c>
      <c r="L21" s="527">
        <v>1.127</v>
      </c>
      <c r="M21" s="527">
        <v>1.3260000000000001</v>
      </c>
      <c r="N21" s="527">
        <v>1.728</v>
      </c>
      <c r="O21" s="527">
        <v>7.8E-2</v>
      </c>
      <c r="P21" s="527">
        <v>7.9000000000000001E-2</v>
      </c>
      <c r="Q21" s="528">
        <v>0.05</v>
      </c>
      <c r="R21" s="528">
        <v>1.6E-2</v>
      </c>
      <c r="S21" s="528">
        <v>7.0000000000000001E-3</v>
      </c>
      <c r="T21" s="533">
        <f t="shared" si="0"/>
        <v>2.871</v>
      </c>
      <c r="U21" s="533">
        <f t="shared" si="1"/>
        <v>3.2520000000000002</v>
      </c>
      <c r="V21" s="533">
        <f t="shared" si="2"/>
        <v>1.177</v>
      </c>
      <c r="W21" s="533">
        <f t="shared" si="3"/>
        <v>1.3420000000000001</v>
      </c>
      <c r="X21" s="533">
        <f t="shared" si="4"/>
        <v>1.7349999999999999</v>
      </c>
      <c r="Y21" s="533">
        <f t="shared" si="5"/>
        <v>2.0754000000000001</v>
      </c>
      <c r="Z21" s="533">
        <f t="shared" si="6"/>
        <v>207.54000000000002</v>
      </c>
      <c r="AA21" s="534">
        <f t="shared" si="7"/>
        <v>0.93250163538730524</v>
      </c>
      <c r="AB21" s="534">
        <f t="shared" si="8"/>
        <v>0.86955929999999881</v>
      </c>
      <c r="AC21" s="535"/>
    </row>
    <row r="22" spans="1:29" ht="15.75" customHeight="1">
      <c r="A22" s="527">
        <v>19</v>
      </c>
      <c r="B22" s="547">
        <v>2</v>
      </c>
      <c r="C22" s="547">
        <v>3</v>
      </c>
      <c r="D22" s="547">
        <v>19</v>
      </c>
      <c r="E22" s="548" t="s">
        <v>112</v>
      </c>
      <c r="F22" s="549" t="s">
        <v>113</v>
      </c>
      <c r="G22" s="548" t="s">
        <v>25</v>
      </c>
      <c r="H22" s="550">
        <v>50758</v>
      </c>
      <c r="I22" s="551">
        <v>133</v>
      </c>
      <c r="J22" s="527">
        <v>72.585999999999999</v>
      </c>
      <c r="K22" s="527">
        <f>4.403+24.349+20.87</f>
        <v>49.622</v>
      </c>
      <c r="L22" s="527">
        <f>49.286+20.462</f>
        <v>69.748000000000005</v>
      </c>
      <c r="M22" s="527">
        <v>48.497</v>
      </c>
      <c r="N22" s="532">
        <v>50.15</v>
      </c>
      <c r="O22" s="527">
        <v>1.099</v>
      </c>
      <c r="P22" s="527">
        <v>1.202</v>
      </c>
      <c r="Q22" s="528">
        <v>0.878</v>
      </c>
      <c r="R22" s="528">
        <v>0.61399999999999999</v>
      </c>
      <c r="S22" s="528">
        <v>0.98499999999999999</v>
      </c>
      <c r="T22" s="533">
        <f t="shared" si="0"/>
        <v>73.685000000000002</v>
      </c>
      <c r="U22" s="533">
        <f t="shared" si="1"/>
        <v>50.823999999999998</v>
      </c>
      <c r="V22" s="533">
        <f t="shared" si="2"/>
        <v>70.626000000000005</v>
      </c>
      <c r="W22" s="533">
        <f t="shared" si="3"/>
        <v>49.110999999999997</v>
      </c>
      <c r="X22" s="533">
        <f t="shared" si="4"/>
        <v>51.134999999999998</v>
      </c>
      <c r="Y22" s="533">
        <f t="shared" si="5"/>
        <v>59.076199999999993</v>
      </c>
      <c r="Z22" s="533">
        <f t="shared" si="6"/>
        <v>5907.619999999999</v>
      </c>
      <c r="AA22" s="534">
        <f t="shared" si="7"/>
        <v>12.013342486585501</v>
      </c>
      <c r="AB22" s="534">
        <f t="shared" si="8"/>
        <v>144.32039770000029</v>
      </c>
      <c r="AC22" s="535"/>
    </row>
    <row r="23" spans="1:29" ht="15.75" customHeight="1">
      <c r="A23" s="527">
        <v>20</v>
      </c>
      <c r="B23" s="547">
        <v>2</v>
      </c>
      <c r="C23" s="547">
        <v>1</v>
      </c>
      <c r="D23" s="547">
        <v>17</v>
      </c>
      <c r="E23" s="548" t="s">
        <v>60</v>
      </c>
      <c r="F23" s="549" t="s">
        <v>61</v>
      </c>
      <c r="G23" s="548" t="s">
        <v>34</v>
      </c>
      <c r="H23" s="550">
        <v>50467</v>
      </c>
      <c r="I23" s="551">
        <v>426</v>
      </c>
      <c r="J23" s="527">
        <v>125.997</v>
      </c>
      <c r="K23" s="527">
        <v>57.716999999999999</v>
      </c>
      <c r="L23" s="552">
        <v>83.19</v>
      </c>
      <c r="M23" s="528">
        <v>60.082999999999998</v>
      </c>
      <c r="N23" s="528">
        <v>41.786000000000001</v>
      </c>
      <c r="O23" s="528">
        <v>0.315</v>
      </c>
      <c r="P23" s="528">
        <v>1.081</v>
      </c>
      <c r="Q23" s="528">
        <v>0.81</v>
      </c>
      <c r="R23" s="528">
        <v>3.0000000000000001E-3</v>
      </c>
      <c r="S23" s="528">
        <v>0.46700000000000003</v>
      </c>
      <c r="T23" s="533">
        <f t="shared" si="0"/>
        <v>126.312</v>
      </c>
      <c r="U23" s="533">
        <f t="shared" si="1"/>
        <v>58.798000000000002</v>
      </c>
      <c r="V23" s="533">
        <f t="shared" si="2"/>
        <v>84</v>
      </c>
      <c r="W23" s="533">
        <f t="shared" si="3"/>
        <v>60.085999999999999</v>
      </c>
      <c r="X23" s="533">
        <f t="shared" si="4"/>
        <v>42.253</v>
      </c>
      <c r="Y23" s="533">
        <f t="shared" si="5"/>
        <v>74.2898</v>
      </c>
      <c r="Z23" s="533">
        <f t="shared" si="6"/>
        <v>7428.98</v>
      </c>
      <c r="AA23" s="534">
        <f t="shared" si="7"/>
        <v>32.667635485293395</v>
      </c>
      <c r="AB23" s="534">
        <f t="shared" si="8"/>
        <v>1067.1744082000005</v>
      </c>
      <c r="AC23" s="535"/>
    </row>
    <row r="24" spans="1:29" ht="15.75" customHeight="1">
      <c r="A24" s="527">
        <v>21</v>
      </c>
      <c r="B24" s="547">
        <v>2</v>
      </c>
      <c r="C24" s="547">
        <v>2</v>
      </c>
      <c r="D24" s="547">
        <v>9</v>
      </c>
      <c r="E24" s="548" t="s">
        <v>60</v>
      </c>
      <c r="F24" s="549" t="s">
        <v>71</v>
      </c>
      <c r="G24" s="548" t="s">
        <v>31</v>
      </c>
      <c r="H24" s="550">
        <v>50764</v>
      </c>
      <c r="I24" s="551">
        <v>48</v>
      </c>
      <c r="J24" s="527">
        <v>188.143</v>
      </c>
      <c r="K24" s="527">
        <v>190.59100000000001</v>
      </c>
      <c r="L24" s="527">
        <v>85.706000000000003</v>
      </c>
      <c r="M24" s="527">
        <v>158.22399999999999</v>
      </c>
      <c r="N24" s="527">
        <f>58.503+365.539</f>
        <v>424.04199999999997</v>
      </c>
      <c r="O24" s="527">
        <v>1.5429999999999999</v>
      </c>
      <c r="P24" s="527">
        <v>2.7109999999999999</v>
      </c>
      <c r="Q24" s="527">
        <v>3.774</v>
      </c>
      <c r="R24" s="527">
        <v>1.8819999999999999</v>
      </c>
      <c r="S24" s="528">
        <v>2.4390000000000001</v>
      </c>
      <c r="T24" s="533">
        <f t="shared" si="0"/>
        <v>189.68600000000001</v>
      </c>
      <c r="U24" s="533">
        <f t="shared" si="1"/>
        <v>193.30200000000002</v>
      </c>
      <c r="V24" s="533">
        <f t="shared" si="2"/>
        <v>89.48</v>
      </c>
      <c r="W24" s="533">
        <f t="shared" si="3"/>
        <v>160.10599999999999</v>
      </c>
      <c r="X24" s="533">
        <f t="shared" si="4"/>
        <v>426.48099999999999</v>
      </c>
      <c r="Y24" s="533">
        <f t="shared" si="5"/>
        <v>211.81100000000001</v>
      </c>
      <c r="Z24" s="533">
        <f t="shared" si="6"/>
        <v>21181.100000000002</v>
      </c>
      <c r="AA24" s="534">
        <f t="shared" si="7"/>
        <v>127.03699086486581</v>
      </c>
      <c r="AB24" s="534">
        <f t="shared" si="8"/>
        <v>16138.397047999999</v>
      </c>
      <c r="AC24" s="535"/>
    </row>
    <row r="25" spans="1:29" ht="15.75" customHeight="1">
      <c r="A25" s="527">
        <v>22</v>
      </c>
      <c r="B25" s="547">
        <v>2</v>
      </c>
      <c r="C25" s="547">
        <v>1</v>
      </c>
      <c r="D25" s="547">
        <v>13</v>
      </c>
      <c r="E25" s="548" t="s">
        <v>32</v>
      </c>
      <c r="F25" s="549" t="s">
        <v>33</v>
      </c>
      <c r="G25" s="548" t="s">
        <v>48</v>
      </c>
      <c r="H25" s="550">
        <v>50267</v>
      </c>
      <c r="I25" s="551">
        <v>442</v>
      </c>
      <c r="J25" s="527">
        <v>55.497999999999998</v>
      </c>
      <c r="K25" s="532">
        <v>67.16</v>
      </c>
      <c r="L25" s="527">
        <v>87.799000000000007</v>
      </c>
      <c r="M25" s="527">
        <f>42.53+31.952</f>
        <v>74.481999999999999</v>
      </c>
      <c r="N25" s="527">
        <f>36.768+30.939</f>
        <v>67.706999999999994</v>
      </c>
      <c r="O25" s="528">
        <v>0.55700000000000005</v>
      </c>
      <c r="P25" s="528">
        <v>1.0449999999999999</v>
      </c>
      <c r="Q25" s="528">
        <v>0.59399999999999997</v>
      </c>
      <c r="R25" s="552">
        <v>0.77</v>
      </c>
      <c r="S25" s="528">
        <v>0.51700000000000002</v>
      </c>
      <c r="T25" s="533">
        <f t="shared" si="0"/>
        <v>56.055</v>
      </c>
      <c r="U25" s="533">
        <f t="shared" si="1"/>
        <v>68.204999999999998</v>
      </c>
      <c r="V25" s="533">
        <f t="shared" si="2"/>
        <v>88.393000000000001</v>
      </c>
      <c r="W25" s="533">
        <f t="shared" si="3"/>
        <v>75.251999999999995</v>
      </c>
      <c r="X25" s="533">
        <f t="shared" si="4"/>
        <v>68.22399999999999</v>
      </c>
      <c r="Y25" s="533">
        <f t="shared" si="5"/>
        <v>71.225799999999992</v>
      </c>
      <c r="Z25" s="533">
        <f t="shared" si="6"/>
        <v>7122.579999999999</v>
      </c>
      <c r="AA25" s="534">
        <f t="shared" si="7"/>
        <v>11.823834517617401</v>
      </c>
      <c r="AB25" s="534">
        <f t="shared" si="8"/>
        <v>139.80306270000074</v>
      </c>
      <c r="AC25" s="535"/>
    </row>
    <row r="26" spans="1:29" ht="15.75" customHeight="1">
      <c r="A26" s="527">
        <v>23</v>
      </c>
      <c r="B26" s="547">
        <v>2</v>
      </c>
      <c r="C26" s="547">
        <v>4</v>
      </c>
      <c r="D26" s="547">
        <v>15</v>
      </c>
      <c r="E26" s="548" t="s">
        <v>153</v>
      </c>
      <c r="F26" s="549" t="s">
        <v>154</v>
      </c>
      <c r="G26" s="548" t="s">
        <v>155</v>
      </c>
      <c r="H26" s="550">
        <v>50851</v>
      </c>
      <c r="I26" s="551">
        <v>15</v>
      </c>
      <c r="J26" s="527">
        <v>16.751000000000001</v>
      </c>
      <c r="K26" s="527">
        <v>14.255000000000001</v>
      </c>
      <c r="L26" s="527">
        <v>15.683999999999999</v>
      </c>
      <c r="M26" s="527">
        <v>18.699000000000002</v>
      </c>
      <c r="N26" s="527">
        <v>14.339</v>
      </c>
      <c r="O26" s="527">
        <v>0.17899999999999999</v>
      </c>
      <c r="P26" s="527">
        <v>0.20399999999999999</v>
      </c>
      <c r="Q26" s="528">
        <v>0.21299999999999999</v>
      </c>
      <c r="R26" s="528">
        <v>0.26300000000000001</v>
      </c>
      <c r="S26" s="528">
        <v>0.215</v>
      </c>
      <c r="T26" s="533">
        <f t="shared" si="0"/>
        <v>16.93</v>
      </c>
      <c r="U26" s="533">
        <f t="shared" si="1"/>
        <v>14.459000000000001</v>
      </c>
      <c r="V26" s="533">
        <f t="shared" si="2"/>
        <v>15.896999999999998</v>
      </c>
      <c r="W26" s="533">
        <f t="shared" si="3"/>
        <v>18.962000000000003</v>
      </c>
      <c r="X26" s="533">
        <f t="shared" si="4"/>
        <v>14.554</v>
      </c>
      <c r="Y26" s="533">
        <f t="shared" si="5"/>
        <v>16.160400000000003</v>
      </c>
      <c r="Z26" s="533">
        <f t="shared" si="6"/>
        <v>1616.0400000000002</v>
      </c>
      <c r="AA26" s="534">
        <f t="shared" si="7"/>
        <v>1.8698869751939502</v>
      </c>
      <c r="AB26" s="534">
        <f t="shared" si="8"/>
        <v>3.4964772999999809</v>
      </c>
      <c r="AC26" s="535"/>
    </row>
    <row r="27" spans="1:29" ht="15.75" customHeight="1">
      <c r="A27" s="527">
        <v>24</v>
      </c>
      <c r="B27" s="547">
        <v>2</v>
      </c>
      <c r="C27" s="547">
        <v>2</v>
      </c>
      <c r="D27" s="547">
        <v>3</v>
      </c>
      <c r="E27" s="548" t="s">
        <v>66</v>
      </c>
      <c r="F27" s="553" t="s">
        <v>355</v>
      </c>
      <c r="G27" s="554" t="s">
        <v>68</v>
      </c>
      <c r="H27" s="555">
        <v>50632</v>
      </c>
      <c r="I27" s="551">
        <v>220</v>
      </c>
      <c r="J27" s="527">
        <v>217.321</v>
      </c>
      <c r="K27" s="528">
        <v>174.78200000000001</v>
      </c>
      <c r="L27" s="528">
        <v>137.36199999999999</v>
      </c>
      <c r="M27" s="528">
        <v>92.171999999999997</v>
      </c>
      <c r="N27" s="528">
        <v>115.45699999999999</v>
      </c>
      <c r="O27" s="544">
        <v>0</v>
      </c>
      <c r="P27" s="544">
        <v>0</v>
      </c>
      <c r="Q27" s="544">
        <v>0</v>
      </c>
      <c r="R27" s="544">
        <v>0</v>
      </c>
      <c r="S27" s="544">
        <v>0</v>
      </c>
      <c r="T27" s="533">
        <f t="shared" si="0"/>
        <v>217.321</v>
      </c>
      <c r="U27" s="533">
        <f t="shared" si="1"/>
        <v>174.78200000000001</v>
      </c>
      <c r="V27" s="533">
        <f t="shared" si="2"/>
        <v>137.36199999999999</v>
      </c>
      <c r="W27" s="533">
        <f t="shared" si="3"/>
        <v>92.171999999999997</v>
      </c>
      <c r="X27" s="533">
        <f t="shared" si="4"/>
        <v>115.45699999999999</v>
      </c>
      <c r="Y27" s="533">
        <f t="shared" si="5"/>
        <v>147.4188</v>
      </c>
      <c r="Z27" s="533">
        <f t="shared" si="6"/>
        <v>14741.880000000001</v>
      </c>
      <c r="AA27" s="534">
        <f t="shared" si="7"/>
        <v>49.522638951291739</v>
      </c>
      <c r="AB27" s="534">
        <f t="shared" si="8"/>
        <v>2452.4917686999979</v>
      </c>
      <c r="AC27" s="556" t="s">
        <v>374</v>
      </c>
    </row>
    <row r="28" spans="1:29" ht="15.75" customHeight="1">
      <c r="A28" s="527">
        <v>25</v>
      </c>
      <c r="B28" s="547">
        <v>2</v>
      </c>
      <c r="C28" s="547">
        <v>7</v>
      </c>
      <c r="D28" s="547">
        <v>13</v>
      </c>
      <c r="E28" s="548" t="s">
        <v>66</v>
      </c>
      <c r="F28" s="549" t="s">
        <v>67</v>
      </c>
      <c r="G28" s="548" t="s">
        <v>31</v>
      </c>
      <c r="H28" s="550">
        <v>50323</v>
      </c>
      <c r="I28" s="551">
        <v>143</v>
      </c>
      <c r="J28" s="527">
        <v>54.127000000000002</v>
      </c>
      <c r="K28" s="527">
        <v>72.876000000000005</v>
      </c>
      <c r="L28" s="527">
        <v>86.575999999999993</v>
      </c>
      <c r="M28" s="527">
        <v>110.914</v>
      </c>
      <c r="N28" s="527">
        <v>120.117</v>
      </c>
      <c r="O28" s="544">
        <v>0</v>
      </c>
      <c r="P28" s="544">
        <v>0</v>
      </c>
      <c r="Q28" s="544">
        <v>0</v>
      </c>
      <c r="R28" s="544">
        <v>0</v>
      </c>
      <c r="S28" s="544">
        <v>0</v>
      </c>
      <c r="T28" s="533">
        <f t="shared" si="0"/>
        <v>54.127000000000002</v>
      </c>
      <c r="U28" s="533">
        <f t="shared" si="1"/>
        <v>72.876000000000005</v>
      </c>
      <c r="V28" s="533">
        <f t="shared" si="2"/>
        <v>86.575999999999993</v>
      </c>
      <c r="W28" s="533">
        <f t="shared" si="3"/>
        <v>110.914</v>
      </c>
      <c r="X28" s="533">
        <f t="shared" si="4"/>
        <v>120.117</v>
      </c>
      <c r="Y28" s="533">
        <f t="shared" si="5"/>
        <v>88.921999999999997</v>
      </c>
      <c r="Z28" s="533">
        <f t="shared" si="6"/>
        <v>8892.1999999999989</v>
      </c>
      <c r="AA28" s="534">
        <f t="shared" si="7"/>
        <v>27.066796753587258</v>
      </c>
      <c r="AB28" s="534">
        <f t="shared" si="8"/>
        <v>732.61148650000177</v>
      </c>
      <c r="AC28" s="535" t="s">
        <v>370</v>
      </c>
    </row>
    <row r="29" spans="1:29" ht="15.75" customHeight="1">
      <c r="A29" s="527">
        <v>26</v>
      </c>
      <c r="B29" s="547">
        <v>2</v>
      </c>
      <c r="C29" s="547">
        <v>3</v>
      </c>
      <c r="D29" s="547">
        <v>13</v>
      </c>
      <c r="E29" s="548" t="s">
        <v>105</v>
      </c>
      <c r="F29" s="549" t="s">
        <v>106</v>
      </c>
      <c r="G29" s="548" t="s">
        <v>25</v>
      </c>
      <c r="H29" s="550">
        <v>50859</v>
      </c>
      <c r="I29" s="551">
        <v>349</v>
      </c>
      <c r="J29" s="527">
        <v>25.626000000000001</v>
      </c>
      <c r="K29" s="527">
        <v>23.446000000000002</v>
      </c>
      <c r="L29" s="527">
        <v>25.387</v>
      </c>
      <c r="M29" s="527">
        <v>25.416</v>
      </c>
      <c r="N29" s="527">
        <v>25.029</v>
      </c>
      <c r="O29" s="527">
        <v>0.34599999999999997</v>
      </c>
      <c r="P29" s="527">
        <v>0.17699999999999999</v>
      </c>
      <c r="Q29" s="527">
        <v>0.153</v>
      </c>
      <c r="R29" s="527">
        <v>0.25600000000000001</v>
      </c>
      <c r="S29" s="528">
        <v>0.28899999999999998</v>
      </c>
      <c r="T29" s="533">
        <f t="shared" si="0"/>
        <v>25.972000000000001</v>
      </c>
      <c r="U29" s="533">
        <f t="shared" si="1"/>
        <v>23.623000000000001</v>
      </c>
      <c r="V29" s="533">
        <f t="shared" si="2"/>
        <v>25.54</v>
      </c>
      <c r="W29" s="533">
        <f t="shared" si="3"/>
        <v>25.672000000000001</v>
      </c>
      <c r="X29" s="533">
        <f t="shared" si="4"/>
        <v>25.318000000000001</v>
      </c>
      <c r="Y29" s="533">
        <f t="shared" si="5"/>
        <v>25.224999999999998</v>
      </c>
      <c r="Z29" s="533">
        <f t="shared" si="6"/>
        <v>2522.5</v>
      </c>
      <c r="AA29" s="534">
        <f t="shared" si="7"/>
        <v>0.92629584906767215</v>
      </c>
      <c r="AB29" s="534">
        <f t="shared" si="8"/>
        <v>0.85802399999999968</v>
      </c>
      <c r="AC29" s="535"/>
    </row>
    <row r="30" spans="1:29" ht="15.75" customHeight="1">
      <c r="A30" s="527">
        <v>27</v>
      </c>
      <c r="B30" s="547">
        <v>2</v>
      </c>
      <c r="C30" s="547">
        <v>3</v>
      </c>
      <c r="D30" s="547">
        <v>6</v>
      </c>
      <c r="E30" s="548" t="s">
        <v>91</v>
      </c>
      <c r="F30" s="549" t="s">
        <v>92</v>
      </c>
      <c r="G30" s="548" t="s">
        <v>31</v>
      </c>
      <c r="H30" s="550">
        <v>50784</v>
      </c>
      <c r="I30" s="551">
        <v>32</v>
      </c>
      <c r="J30" s="527">
        <v>24.106000000000002</v>
      </c>
      <c r="K30" s="527">
        <v>27.754000000000001</v>
      </c>
      <c r="L30" s="527">
        <v>37.335000000000001</v>
      </c>
      <c r="M30" s="532">
        <v>28.08</v>
      </c>
      <c r="N30" s="527">
        <f>27.37+7.125</f>
        <v>34.495000000000005</v>
      </c>
      <c r="O30" s="527">
        <v>0.153</v>
      </c>
      <c r="P30" s="527">
        <v>0.191</v>
      </c>
      <c r="Q30" s="527">
        <v>0.20100000000000001</v>
      </c>
      <c r="R30" s="528">
        <v>0.214</v>
      </c>
      <c r="S30" s="528">
        <v>0.23699999999999999</v>
      </c>
      <c r="T30" s="533">
        <f t="shared" si="0"/>
        <v>24.259</v>
      </c>
      <c r="U30" s="533">
        <f t="shared" si="1"/>
        <v>27.945</v>
      </c>
      <c r="V30" s="533">
        <f t="shared" si="2"/>
        <v>37.536000000000001</v>
      </c>
      <c r="W30" s="533">
        <f t="shared" si="3"/>
        <v>28.293999999999997</v>
      </c>
      <c r="X30" s="533">
        <f t="shared" si="4"/>
        <v>34.732000000000006</v>
      </c>
      <c r="Y30" s="533">
        <f t="shared" si="5"/>
        <v>30.553200000000004</v>
      </c>
      <c r="Z30" s="533">
        <f t="shared" si="6"/>
        <v>3055.3200000000006</v>
      </c>
      <c r="AA30" s="534">
        <f t="shared" si="7"/>
        <v>5.4255301768582829</v>
      </c>
      <c r="AB30" s="534">
        <f t="shared" si="8"/>
        <v>29.436377699999866</v>
      </c>
      <c r="AC30" s="535"/>
    </row>
    <row r="31" spans="1:29" ht="15.75" customHeight="1">
      <c r="A31" s="527">
        <v>28</v>
      </c>
      <c r="B31" s="547">
        <v>2</v>
      </c>
      <c r="C31" s="547">
        <v>7</v>
      </c>
      <c r="D31" s="547">
        <v>3</v>
      </c>
      <c r="E31" s="548" t="s">
        <v>208</v>
      </c>
      <c r="F31" s="549" t="s">
        <v>209</v>
      </c>
      <c r="G31" s="548" t="s">
        <v>68</v>
      </c>
      <c r="H31" s="550">
        <v>50635</v>
      </c>
      <c r="I31" s="551">
        <v>311</v>
      </c>
      <c r="J31" s="527">
        <v>87.409000000000006</v>
      </c>
      <c r="K31" s="527">
        <v>94.665999999999997</v>
      </c>
      <c r="L31" s="527">
        <v>49.957999999999998</v>
      </c>
      <c r="M31" s="527">
        <v>37.26</v>
      </c>
      <c r="N31" s="527">
        <v>91.134</v>
      </c>
      <c r="O31" s="527">
        <v>3.6789999999999998</v>
      </c>
      <c r="P31" s="527">
        <v>1.5720000000000001</v>
      </c>
      <c r="Q31" s="527">
        <v>1.4379999999999999</v>
      </c>
      <c r="R31" s="527">
        <v>1.9370000000000001</v>
      </c>
      <c r="S31" s="528">
        <v>3.597</v>
      </c>
      <c r="T31" s="533">
        <f t="shared" si="0"/>
        <v>91.088000000000008</v>
      </c>
      <c r="U31" s="533">
        <f t="shared" si="1"/>
        <v>96.238</v>
      </c>
      <c r="V31" s="533">
        <f t="shared" si="2"/>
        <v>51.396000000000001</v>
      </c>
      <c r="W31" s="533">
        <f t="shared" si="3"/>
        <v>39.196999999999996</v>
      </c>
      <c r="X31" s="533">
        <f t="shared" si="4"/>
        <v>94.730999999999995</v>
      </c>
      <c r="Y31" s="533">
        <f t="shared" si="5"/>
        <v>74.53</v>
      </c>
      <c r="Z31" s="533">
        <f t="shared" si="6"/>
        <v>7453</v>
      </c>
      <c r="AA31" s="534">
        <f t="shared" si="7"/>
        <v>27.097453173684023</v>
      </c>
      <c r="AB31" s="534">
        <f t="shared" si="8"/>
        <v>734.27196849999837</v>
      </c>
      <c r="AC31" s="535"/>
    </row>
    <row r="32" spans="1:29" ht="15.75" customHeight="1">
      <c r="A32" s="527">
        <v>29</v>
      </c>
      <c r="B32" s="547">
        <v>2</v>
      </c>
      <c r="C32" s="547">
        <v>1</v>
      </c>
      <c r="D32" s="547">
        <v>9</v>
      </c>
      <c r="E32" s="548" t="s">
        <v>37</v>
      </c>
      <c r="F32" s="549" t="s">
        <v>38</v>
      </c>
      <c r="G32" s="548" t="s">
        <v>34</v>
      </c>
      <c r="H32" s="550">
        <v>50663</v>
      </c>
      <c r="I32" s="551">
        <v>127</v>
      </c>
      <c r="J32" s="527">
        <v>15.826000000000001</v>
      </c>
      <c r="K32" s="527">
        <v>11.782999999999999</v>
      </c>
      <c r="L32" s="527">
        <v>9.0380000000000003</v>
      </c>
      <c r="M32" s="527">
        <v>15.763999999999999</v>
      </c>
      <c r="N32" s="527">
        <v>8.2210000000000001</v>
      </c>
      <c r="O32" s="527">
        <v>0.122</v>
      </c>
      <c r="P32" s="532">
        <v>0.15</v>
      </c>
      <c r="Q32" s="528">
        <v>9.1999999999999998E-2</v>
      </c>
      <c r="R32" s="528">
        <v>5.7000000000000002E-2</v>
      </c>
      <c r="S32" s="528">
        <v>8.3000000000000004E-2</v>
      </c>
      <c r="T32" s="533">
        <f t="shared" si="0"/>
        <v>15.948</v>
      </c>
      <c r="U32" s="533">
        <f t="shared" si="1"/>
        <v>11.933</v>
      </c>
      <c r="V32" s="533">
        <f t="shared" si="2"/>
        <v>9.1300000000000008</v>
      </c>
      <c r="W32" s="533">
        <f t="shared" si="3"/>
        <v>15.821</v>
      </c>
      <c r="X32" s="533">
        <f t="shared" si="4"/>
        <v>8.3040000000000003</v>
      </c>
      <c r="Y32" s="533">
        <f t="shared" si="5"/>
        <v>12.2272</v>
      </c>
      <c r="Z32" s="533">
        <f t="shared" si="6"/>
        <v>1222.72</v>
      </c>
      <c r="AA32" s="534">
        <f t="shared" si="7"/>
        <v>3.599668415284937</v>
      </c>
      <c r="AB32" s="534">
        <f t="shared" si="8"/>
        <v>12.95761269999997</v>
      </c>
      <c r="AC32" s="535"/>
    </row>
    <row r="33" spans="1:35" ht="15.75" customHeight="1">
      <c r="A33" s="527">
        <v>30</v>
      </c>
      <c r="B33" s="547">
        <v>2</v>
      </c>
      <c r="C33" s="547">
        <v>4</v>
      </c>
      <c r="D33" s="547">
        <v>6</v>
      </c>
      <c r="E33" s="548" t="s">
        <v>132</v>
      </c>
      <c r="F33" s="549" t="s">
        <v>133</v>
      </c>
      <c r="G33" s="548" t="s">
        <v>109</v>
      </c>
      <c r="H33" s="550">
        <v>50716</v>
      </c>
      <c r="I33" s="551">
        <v>82</v>
      </c>
      <c r="J33" s="527">
        <v>15.725</v>
      </c>
      <c r="K33" s="527">
        <v>16.623999999999999</v>
      </c>
      <c r="L33" s="527">
        <v>15.705</v>
      </c>
      <c r="M33" s="528">
        <v>21.244</v>
      </c>
      <c r="N33" s="528">
        <v>18.895</v>
      </c>
      <c r="O33" s="528">
        <v>0.501</v>
      </c>
      <c r="P33" s="528">
        <v>0.42299999999999999</v>
      </c>
      <c r="Q33" s="528">
        <v>0.441</v>
      </c>
      <c r="R33" s="528">
        <v>0.34799999999999998</v>
      </c>
      <c r="S33" s="528">
        <v>0.56799999999999995</v>
      </c>
      <c r="T33" s="533">
        <f t="shared" si="0"/>
        <v>16.225999999999999</v>
      </c>
      <c r="U33" s="533">
        <f t="shared" si="1"/>
        <v>17.046999999999997</v>
      </c>
      <c r="V33" s="533">
        <f t="shared" si="2"/>
        <v>16.146000000000001</v>
      </c>
      <c r="W33" s="533">
        <f t="shared" si="3"/>
        <v>21.591999999999999</v>
      </c>
      <c r="X33" s="533">
        <f t="shared" si="4"/>
        <v>19.463000000000001</v>
      </c>
      <c r="Y33" s="533">
        <f t="shared" si="5"/>
        <v>18.094799999999999</v>
      </c>
      <c r="Z33" s="533">
        <f t="shared" si="6"/>
        <v>1809.48</v>
      </c>
      <c r="AA33" s="534">
        <f t="shared" si="7"/>
        <v>2.371207435042352</v>
      </c>
      <c r="AB33" s="534">
        <f t="shared" si="8"/>
        <v>5.6226247000001308</v>
      </c>
      <c r="AC33" s="535"/>
    </row>
    <row r="34" spans="1:35" ht="15.75" customHeight="1">
      <c r="A34" s="527">
        <v>31</v>
      </c>
      <c r="B34" s="547">
        <v>2</v>
      </c>
      <c r="C34" s="547">
        <v>5</v>
      </c>
      <c r="D34" s="547">
        <v>8</v>
      </c>
      <c r="E34" s="548" t="s">
        <v>187</v>
      </c>
      <c r="F34" s="549" t="s">
        <v>188</v>
      </c>
      <c r="G34" s="548" t="s">
        <v>68</v>
      </c>
      <c r="H34" s="550">
        <v>50881</v>
      </c>
      <c r="I34" s="551">
        <v>738</v>
      </c>
      <c r="J34" s="527">
        <v>2.7909999999999999</v>
      </c>
      <c r="K34" s="527">
        <v>2.6659999999999999</v>
      </c>
      <c r="L34" s="527">
        <v>2.9540000000000002</v>
      </c>
      <c r="M34" s="527">
        <v>3.431</v>
      </c>
      <c r="N34" s="527">
        <v>5.0670000000000002</v>
      </c>
      <c r="O34" s="546">
        <v>0</v>
      </c>
      <c r="P34" s="546">
        <v>0</v>
      </c>
      <c r="Q34" s="546">
        <v>0</v>
      </c>
      <c r="R34" s="546">
        <v>0</v>
      </c>
      <c r="S34" s="546">
        <v>0</v>
      </c>
      <c r="T34" s="533">
        <f t="shared" si="0"/>
        <v>2.7909999999999999</v>
      </c>
      <c r="U34" s="533">
        <f t="shared" si="1"/>
        <v>2.6659999999999999</v>
      </c>
      <c r="V34" s="533">
        <f t="shared" si="2"/>
        <v>2.9540000000000002</v>
      </c>
      <c r="W34" s="533">
        <f t="shared" si="3"/>
        <v>3.431</v>
      </c>
      <c r="X34" s="533">
        <f t="shared" si="4"/>
        <v>5.0670000000000002</v>
      </c>
      <c r="Y34" s="533">
        <f t="shared" si="5"/>
        <v>3.3817999999999997</v>
      </c>
      <c r="Z34" s="533">
        <f t="shared" si="6"/>
        <v>338.17999999999995</v>
      </c>
      <c r="AA34" s="534">
        <f t="shared" si="7"/>
        <v>0.98574170044692888</v>
      </c>
      <c r="AB34" s="534">
        <f t="shared" si="8"/>
        <v>0.9716867000000029</v>
      </c>
      <c r="AC34" s="535" t="s">
        <v>370</v>
      </c>
    </row>
    <row r="35" spans="1:35" ht="15.75" customHeight="1">
      <c r="A35" s="527">
        <v>32</v>
      </c>
      <c r="B35" s="547">
        <v>2</v>
      </c>
      <c r="C35" s="547">
        <v>3</v>
      </c>
      <c r="D35" s="547">
        <v>8</v>
      </c>
      <c r="E35" s="548" t="s">
        <v>95</v>
      </c>
      <c r="F35" s="549" t="s">
        <v>96</v>
      </c>
      <c r="G35" s="548" t="s">
        <v>34</v>
      </c>
      <c r="H35" s="550">
        <v>50886</v>
      </c>
      <c r="I35" s="551">
        <v>289</v>
      </c>
      <c r="J35" s="527">
        <v>49.908000000000001</v>
      </c>
      <c r="K35" s="527">
        <v>15.321</v>
      </c>
      <c r="L35" s="527">
        <v>20.584</v>
      </c>
      <c r="M35" s="527">
        <f>21.836+8.127</f>
        <v>29.963000000000001</v>
      </c>
      <c r="N35" s="527">
        <f>10.982+2.759</f>
        <v>13.741</v>
      </c>
      <c r="O35" s="528">
        <v>0.55400000000000005</v>
      </c>
      <c r="P35" s="528">
        <v>0.45600000000000002</v>
      </c>
      <c r="Q35" s="552">
        <v>0.95</v>
      </c>
      <c r="R35" s="528">
        <v>1.3979999999999999</v>
      </c>
      <c r="S35" s="528">
        <v>0.56399999999999995</v>
      </c>
      <c r="T35" s="533">
        <f t="shared" si="0"/>
        <v>50.462000000000003</v>
      </c>
      <c r="U35" s="533">
        <f t="shared" si="1"/>
        <v>15.776999999999999</v>
      </c>
      <c r="V35" s="533">
        <f t="shared" si="2"/>
        <v>21.533999999999999</v>
      </c>
      <c r="W35" s="533">
        <f t="shared" si="3"/>
        <v>31.361000000000001</v>
      </c>
      <c r="X35" s="533">
        <f t="shared" si="4"/>
        <v>14.305</v>
      </c>
      <c r="Y35" s="533">
        <f t="shared" si="5"/>
        <v>26.687799999999999</v>
      </c>
      <c r="Z35" s="533">
        <f t="shared" si="6"/>
        <v>2668.7799999999997</v>
      </c>
      <c r="AA35" s="534">
        <f t="shared" si="7"/>
        <v>14.882811653044596</v>
      </c>
      <c r="AB35" s="534">
        <f t="shared" si="8"/>
        <v>221.49808270000005</v>
      </c>
      <c r="AC35" s="535"/>
    </row>
    <row r="36" spans="1:35" ht="15.75" customHeight="1">
      <c r="A36" s="527">
        <v>33</v>
      </c>
      <c r="B36" s="547">
        <v>2</v>
      </c>
      <c r="C36" s="547">
        <v>3</v>
      </c>
      <c r="D36" s="547">
        <v>14</v>
      </c>
      <c r="E36" s="548" t="s">
        <v>107</v>
      </c>
      <c r="F36" s="549" t="s">
        <v>108</v>
      </c>
      <c r="G36" s="548" t="s">
        <v>25</v>
      </c>
      <c r="H36" s="550">
        <v>50847</v>
      </c>
      <c r="I36" s="551">
        <v>371</v>
      </c>
      <c r="J36" s="527">
        <v>0.622</v>
      </c>
      <c r="K36" s="527">
        <v>0.65200000000000002</v>
      </c>
      <c r="L36" s="527">
        <v>0.75700000000000001</v>
      </c>
      <c r="M36" s="527">
        <v>0.65900000000000003</v>
      </c>
      <c r="N36" s="527">
        <v>0.624</v>
      </c>
      <c r="O36" s="544">
        <v>0</v>
      </c>
      <c r="P36" s="544">
        <v>0</v>
      </c>
      <c r="Q36" s="544">
        <v>0</v>
      </c>
      <c r="R36" s="544">
        <v>0</v>
      </c>
      <c r="S36" s="544">
        <v>0</v>
      </c>
      <c r="T36" s="533">
        <f t="shared" ref="T36:T67" si="9">J36+O36</f>
        <v>0.622</v>
      </c>
      <c r="U36" s="533">
        <f t="shared" ref="U36:U67" si="10">K36+P36</f>
        <v>0.65200000000000002</v>
      </c>
      <c r="V36" s="533">
        <f t="shared" ref="V36:V67" si="11">L36+Q36</f>
        <v>0.75700000000000001</v>
      </c>
      <c r="W36" s="533">
        <f t="shared" ref="W36:W67" si="12">M36+R36</f>
        <v>0.65900000000000003</v>
      </c>
      <c r="X36" s="533">
        <f t="shared" ref="X36:X67" si="13">N36+S36</f>
        <v>0.624</v>
      </c>
      <c r="Y36" s="533">
        <f t="shared" ref="Y36:Y67" si="14">AVERAGE(T36:X36)</f>
        <v>0.66280000000000006</v>
      </c>
      <c r="Z36" s="533">
        <f t="shared" ref="Z36:Z67" si="15">Y36*10^2</f>
        <v>66.28</v>
      </c>
      <c r="AA36" s="534">
        <f t="shared" ref="AA36:AA67" si="16">_xlfn.STDEV.S(T36:X36)</f>
        <v>5.5169738081669376E-2</v>
      </c>
      <c r="AB36" s="534">
        <f t="shared" ref="AB36:AB67" si="17">_xlfn.VAR.S(T36:X36)</f>
        <v>3.0436999999999999E-3</v>
      </c>
      <c r="AC36" s="535" t="s">
        <v>370</v>
      </c>
    </row>
    <row r="37" spans="1:35" ht="15.75" customHeight="1">
      <c r="A37" s="527">
        <v>34</v>
      </c>
      <c r="B37" s="547">
        <v>2</v>
      </c>
      <c r="C37" s="547">
        <v>5</v>
      </c>
      <c r="D37" s="547">
        <v>7</v>
      </c>
      <c r="E37" s="548" t="s">
        <v>185</v>
      </c>
      <c r="F37" s="549" t="s">
        <v>186</v>
      </c>
      <c r="G37" s="548" t="s">
        <v>31</v>
      </c>
      <c r="H37" s="550">
        <v>50844</v>
      </c>
      <c r="I37" s="551">
        <v>515</v>
      </c>
      <c r="J37" s="527">
        <v>8.0730000000000004</v>
      </c>
      <c r="K37" s="527">
        <v>10.907</v>
      </c>
      <c r="L37" s="527">
        <v>5.7619999999999996</v>
      </c>
      <c r="M37" s="527">
        <v>5.383</v>
      </c>
      <c r="N37" s="527">
        <v>4.7279999999999998</v>
      </c>
      <c r="O37" s="544">
        <v>0</v>
      </c>
      <c r="P37" s="544">
        <v>0</v>
      </c>
      <c r="Q37" s="544">
        <v>0</v>
      </c>
      <c r="R37" s="544">
        <v>0</v>
      </c>
      <c r="S37" s="544">
        <v>0</v>
      </c>
      <c r="T37" s="533">
        <f t="shared" si="9"/>
        <v>8.0730000000000004</v>
      </c>
      <c r="U37" s="533">
        <f t="shared" si="10"/>
        <v>10.907</v>
      </c>
      <c r="V37" s="533">
        <f t="shared" si="11"/>
        <v>5.7619999999999996</v>
      </c>
      <c r="W37" s="533">
        <f t="shared" si="12"/>
        <v>5.383</v>
      </c>
      <c r="X37" s="533">
        <f t="shared" si="13"/>
        <v>4.7279999999999998</v>
      </c>
      <c r="Y37" s="533">
        <f t="shared" si="14"/>
        <v>6.9706000000000001</v>
      </c>
      <c r="Z37" s="533">
        <f t="shared" si="15"/>
        <v>697.06000000000006</v>
      </c>
      <c r="AA37" s="534">
        <f t="shared" si="16"/>
        <v>2.5357924402442724</v>
      </c>
      <c r="AB37" s="534">
        <f t="shared" si="17"/>
        <v>6.4302433000000008</v>
      </c>
      <c r="AC37" s="535" t="s">
        <v>370</v>
      </c>
    </row>
    <row r="38" spans="1:35" ht="15.75" customHeight="1">
      <c r="A38" s="527">
        <v>35</v>
      </c>
      <c r="B38" s="547">
        <v>2</v>
      </c>
      <c r="C38" s="547">
        <v>4</v>
      </c>
      <c r="D38" s="547">
        <v>22</v>
      </c>
      <c r="E38" s="548" t="s">
        <v>179</v>
      </c>
      <c r="F38" s="549" t="s">
        <v>180</v>
      </c>
      <c r="G38" s="548" t="s">
        <v>31</v>
      </c>
      <c r="H38" s="550">
        <v>50843</v>
      </c>
      <c r="I38" s="551">
        <v>330</v>
      </c>
      <c r="J38" s="527">
        <v>50.170999999999999</v>
      </c>
      <c r="K38" s="528">
        <v>64.343999999999994</v>
      </c>
      <c r="L38" s="528">
        <v>40.201000000000001</v>
      </c>
      <c r="M38" s="528">
        <v>32.326999999999998</v>
      </c>
      <c r="N38" s="528">
        <v>72.757000000000005</v>
      </c>
      <c r="O38" s="544">
        <v>0</v>
      </c>
      <c r="P38" s="544">
        <v>0</v>
      </c>
      <c r="Q38" s="544">
        <v>0</v>
      </c>
      <c r="R38" s="544">
        <v>0</v>
      </c>
      <c r="S38" s="544">
        <v>0</v>
      </c>
      <c r="T38" s="533">
        <f t="shared" si="9"/>
        <v>50.170999999999999</v>
      </c>
      <c r="U38" s="533">
        <f t="shared" si="10"/>
        <v>64.343999999999994</v>
      </c>
      <c r="V38" s="533">
        <f t="shared" si="11"/>
        <v>40.201000000000001</v>
      </c>
      <c r="W38" s="533">
        <f t="shared" si="12"/>
        <v>32.326999999999998</v>
      </c>
      <c r="X38" s="533">
        <f t="shared" si="13"/>
        <v>72.757000000000005</v>
      </c>
      <c r="Y38" s="533">
        <f t="shared" si="14"/>
        <v>51.959999999999994</v>
      </c>
      <c r="Z38" s="533">
        <f t="shared" si="15"/>
        <v>5195.9999999999991</v>
      </c>
      <c r="AA38" s="534">
        <f t="shared" si="16"/>
        <v>16.679388148250553</v>
      </c>
      <c r="AB38" s="534">
        <f t="shared" si="17"/>
        <v>278.20198900000105</v>
      </c>
      <c r="AC38" s="535" t="s">
        <v>370</v>
      </c>
    </row>
    <row r="39" spans="1:35" ht="15.75" customHeight="1">
      <c r="A39" s="527">
        <v>72</v>
      </c>
      <c r="B39" s="547">
        <v>2</v>
      </c>
      <c r="C39" s="547">
        <v>7</v>
      </c>
      <c r="D39" s="547">
        <v>12</v>
      </c>
      <c r="E39" s="548" t="s">
        <v>226</v>
      </c>
      <c r="F39" s="563" t="s">
        <v>408</v>
      </c>
      <c r="G39" s="548" t="s">
        <v>34</v>
      </c>
      <c r="H39" s="550">
        <v>50662</v>
      </c>
      <c r="I39" s="551">
        <v>31</v>
      </c>
      <c r="J39" s="527">
        <v>64.495000000000005</v>
      </c>
      <c r="K39" s="527">
        <v>46.723999999999997</v>
      </c>
      <c r="L39" s="527">
        <v>40.417000000000002</v>
      </c>
      <c r="M39" s="527">
        <v>36.287999999999997</v>
      </c>
      <c r="N39" s="527">
        <v>61.238</v>
      </c>
      <c r="O39" s="527">
        <v>0.58199999999999996</v>
      </c>
      <c r="P39" s="527">
        <v>0.35899999999999999</v>
      </c>
      <c r="Q39" s="527">
        <v>0.41299999999999998</v>
      </c>
      <c r="R39" s="527">
        <v>0.42099999999999999</v>
      </c>
      <c r="S39" s="528">
        <v>0.47099999999999997</v>
      </c>
      <c r="T39" s="533">
        <f t="shared" si="9"/>
        <v>65.076999999999998</v>
      </c>
      <c r="U39" s="533">
        <f t="shared" si="10"/>
        <v>47.082999999999998</v>
      </c>
      <c r="V39" s="533">
        <f t="shared" si="11"/>
        <v>40.83</v>
      </c>
      <c r="W39" s="533">
        <f t="shared" si="12"/>
        <v>36.708999999999996</v>
      </c>
      <c r="X39" s="533">
        <f t="shared" si="13"/>
        <v>61.708999999999996</v>
      </c>
      <c r="Y39" s="533">
        <f t="shared" si="14"/>
        <v>50.281600000000005</v>
      </c>
      <c r="Z39" s="533">
        <f t="shared" si="15"/>
        <v>5028.1600000000008</v>
      </c>
      <c r="AA39" s="534">
        <f t="shared" si="16"/>
        <v>12.582414188064213</v>
      </c>
      <c r="AB39" s="534">
        <f t="shared" si="17"/>
        <v>158.31714679999959</v>
      </c>
      <c r="AC39" s="535"/>
      <c r="AD39" s="90"/>
      <c r="AE39" s="90"/>
      <c r="AF39" s="90"/>
      <c r="AG39" s="90"/>
      <c r="AH39" s="90"/>
      <c r="AI39" s="90"/>
    </row>
    <row r="40" spans="1:35" ht="15.75" customHeight="1">
      <c r="A40" s="527">
        <v>37</v>
      </c>
      <c r="B40" s="547">
        <v>2</v>
      </c>
      <c r="C40" s="547">
        <v>1</v>
      </c>
      <c r="D40" s="547">
        <v>14</v>
      </c>
      <c r="E40" s="548" t="s">
        <v>51</v>
      </c>
      <c r="F40" s="557" t="s">
        <v>419</v>
      </c>
      <c r="G40" s="548" t="s">
        <v>25</v>
      </c>
      <c r="H40" s="550">
        <v>50875</v>
      </c>
      <c r="I40" s="551">
        <v>348</v>
      </c>
      <c r="J40" s="527">
        <v>1.276</v>
      </c>
      <c r="K40" s="527">
        <v>1.3129999999999999</v>
      </c>
      <c r="L40" s="532">
        <v>1.3</v>
      </c>
      <c r="M40" s="527">
        <v>1.0229999999999999</v>
      </c>
      <c r="N40" s="527">
        <v>0.85599999999999998</v>
      </c>
      <c r="O40" s="546">
        <v>0</v>
      </c>
      <c r="P40" s="546">
        <v>0</v>
      </c>
      <c r="Q40" s="546">
        <v>0</v>
      </c>
      <c r="R40" s="546">
        <v>0</v>
      </c>
      <c r="S40" s="546">
        <v>0</v>
      </c>
      <c r="T40" s="533">
        <f t="shared" si="9"/>
        <v>1.276</v>
      </c>
      <c r="U40" s="533">
        <f t="shared" si="10"/>
        <v>1.3129999999999999</v>
      </c>
      <c r="V40" s="533">
        <f t="shared" si="11"/>
        <v>1.3</v>
      </c>
      <c r="W40" s="533">
        <f t="shared" si="12"/>
        <v>1.0229999999999999</v>
      </c>
      <c r="X40" s="533">
        <f t="shared" si="13"/>
        <v>0.85599999999999998</v>
      </c>
      <c r="Y40" s="533">
        <f t="shared" si="14"/>
        <v>1.1536</v>
      </c>
      <c r="Z40" s="533">
        <f t="shared" si="15"/>
        <v>115.36</v>
      </c>
      <c r="AA40" s="534">
        <f t="shared" si="16"/>
        <v>0.2046003421307015</v>
      </c>
      <c r="AB40" s="534">
        <f t="shared" si="17"/>
        <v>4.1861300000000101E-2</v>
      </c>
      <c r="AC40" s="535" t="s">
        <v>370</v>
      </c>
    </row>
    <row r="41" spans="1:35" ht="15.75" customHeight="1">
      <c r="A41" s="527">
        <v>38</v>
      </c>
      <c r="B41" s="547">
        <v>2</v>
      </c>
      <c r="C41" s="547">
        <v>3</v>
      </c>
      <c r="D41" s="547">
        <v>2</v>
      </c>
      <c r="E41" s="548" t="s">
        <v>81</v>
      </c>
      <c r="F41" s="549" t="s">
        <v>82</v>
      </c>
      <c r="G41" s="548" t="s">
        <v>25</v>
      </c>
      <c r="H41" s="550">
        <v>50555</v>
      </c>
      <c r="I41" s="551">
        <v>44</v>
      </c>
      <c r="J41" s="527">
        <v>86.876000000000005</v>
      </c>
      <c r="K41" s="527">
        <v>82.555999999999997</v>
      </c>
      <c r="L41" s="527">
        <v>76.784000000000006</v>
      </c>
      <c r="M41" s="527">
        <v>72.715000000000003</v>
      </c>
      <c r="N41" s="532">
        <v>51.12</v>
      </c>
      <c r="O41" s="527">
        <v>0.622</v>
      </c>
      <c r="P41" s="527">
        <v>0.624</v>
      </c>
      <c r="Q41" s="527">
        <v>0.748</v>
      </c>
      <c r="R41" s="527">
        <v>1.0089999999999999</v>
      </c>
      <c r="S41" s="528">
        <v>1.234</v>
      </c>
      <c r="T41" s="533">
        <f t="shared" si="9"/>
        <v>87.498000000000005</v>
      </c>
      <c r="U41" s="533">
        <f t="shared" si="10"/>
        <v>83.179999999999993</v>
      </c>
      <c r="V41" s="533">
        <f t="shared" si="11"/>
        <v>77.532000000000011</v>
      </c>
      <c r="W41" s="533">
        <f t="shared" si="12"/>
        <v>73.724000000000004</v>
      </c>
      <c r="X41" s="533">
        <f t="shared" si="13"/>
        <v>52.353999999999999</v>
      </c>
      <c r="Y41" s="533">
        <f t="shared" si="14"/>
        <v>74.857600000000005</v>
      </c>
      <c r="Z41" s="533">
        <f t="shared" si="15"/>
        <v>7485.76</v>
      </c>
      <c r="AA41" s="534">
        <f t="shared" si="16"/>
        <v>13.63718749596114</v>
      </c>
      <c r="AB41" s="534">
        <f t="shared" si="17"/>
        <v>185.97288279999884</v>
      </c>
      <c r="AC41" s="535"/>
    </row>
    <row r="42" spans="1:35" ht="15.75" customHeight="1">
      <c r="A42" s="527">
        <v>39</v>
      </c>
      <c r="B42" s="547">
        <v>2</v>
      </c>
      <c r="C42" s="547">
        <v>7</v>
      </c>
      <c r="D42" s="547">
        <v>18</v>
      </c>
      <c r="E42" s="548" t="s">
        <v>232</v>
      </c>
      <c r="F42" s="549" t="s">
        <v>356</v>
      </c>
      <c r="G42" s="548" t="s">
        <v>68</v>
      </c>
      <c r="H42" s="550">
        <v>50779</v>
      </c>
      <c r="I42" s="551">
        <v>91</v>
      </c>
      <c r="J42" s="527">
        <f>66.655+68.762+49.987+39.952+18.635+8.884+13.375+9.108</f>
        <v>275.358</v>
      </c>
      <c r="K42" s="527">
        <v>0</v>
      </c>
      <c r="L42" s="527">
        <v>0</v>
      </c>
      <c r="M42" s="527">
        <v>0</v>
      </c>
      <c r="N42" s="527">
        <v>0</v>
      </c>
      <c r="O42" s="546">
        <v>0</v>
      </c>
      <c r="P42" s="546">
        <v>0</v>
      </c>
      <c r="Q42" s="546">
        <v>0</v>
      </c>
      <c r="R42" s="546">
        <v>0</v>
      </c>
      <c r="S42" s="559">
        <v>0</v>
      </c>
      <c r="T42" s="533">
        <f t="shared" si="9"/>
        <v>275.358</v>
      </c>
      <c r="U42" s="533">
        <f t="shared" si="10"/>
        <v>0</v>
      </c>
      <c r="V42" s="533">
        <f t="shared" si="11"/>
        <v>0</v>
      </c>
      <c r="W42" s="533">
        <f t="shared" si="12"/>
        <v>0</v>
      </c>
      <c r="X42" s="533">
        <f t="shared" si="13"/>
        <v>0</v>
      </c>
      <c r="Y42" s="533">
        <f t="shared" si="14"/>
        <v>55.071600000000004</v>
      </c>
      <c r="Z42" s="533">
        <f t="shared" si="15"/>
        <v>5507.1600000000008</v>
      </c>
      <c r="AA42" s="534">
        <f t="shared" si="16"/>
        <v>123.14384122967742</v>
      </c>
      <c r="AB42" s="534">
        <f t="shared" si="17"/>
        <v>15164.405632800001</v>
      </c>
      <c r="AC42" s="535" t="s">
        <v>370</v>
      </c>
    </row>
    <row r="43" spans="1:35" ht="15.75" customHeight="1">
      <c r="A43" s="527">
        <v>40</v>
      </c>
      <c r="B43" s="548">
        <v>2</v>
      </c>
      <c r="C43" s="547">
        <v>3</v>
      </c>
      <c r="D43" s="547">
        <v>2</v>
      </c>
      <c r="E43" s="548" t="s">
        <v>85</v>
      </c>
      <c r="F43" s="549" t="s">
        <v>86</v>
      </c>
      <c r="G43" s="548" t="s">
        <v>68</v>
      </c>
      <c r="H43" s="550">
        <v>50832</v>
      </c>
      <c r="I43" s="551">
        <v>251</v>
      </c>
      <c r="J43" s="560">
        <v>1.78</v>
      </c>
      <c r="K43" s="561">
        <v>2.4750000000000001</v>
      </c>
      <c r="L43" s="561">
        <v>3.2759999999999998</v>
      </c>
      <c r="M43" s="561">
        <v>1.974</v>
      </c>
      <c r="N43" s="561">
        <v>1.7809999999999999</v>
      </c>
      <c r="O43" s="561">
        <v>5.0999999999999997E-2</v>
      </c>
      <c r="P43" s="561">
        <v>9.1999999999999998E-2</v>
      </c>
      <c r="Q43" s="561">
        <v>4.2999999999999997E-2</v>
      </c>
      <c r="R43" s="561">
        <v>7.9000000000000001E-2</v>
      </c>
      <c r="S43" s="561">
        <v>5.1999999999999998E-2</v>
      </c>
      <c r="T43" s="533">
        <f t="shared" si="9"/>
        <v>1.831</v>
      </c>
      <c r="U43" s="533">
        <f t="shared" si="10"/>
        <v>2.5670000000000002</v>
      </c>
      <c r="V43" s="533">
        <f t="shared" si="11"/>
        <v>3.319</v>
      </c>
      <c r="W43" s="533">
        <f t="shared" si="12"/>
        <v>2.0529999999999999</v>
      </c>
      <c r="X43" s="533">
        <f t="shared" si="13"/>
        <v>1.833</v>
      </c>
      <c r="Y43" s="533">
        <f t="shared" si="14"/>
        <v>2.3205999999999998</v>
      </c>
      <c r="Z43" s="533">
        <f t="shared" si="15"/>
        <v>232.05999999999997</v>
      </c>
      <c r="AA43" s="534">
        <f t="shared" si="16"/>
        <v>0.63375610450708875</v>
      </c>
      <c r="AB43" s="534">
        <f t="shared" si="17"/>
        <v>0.40164679999999997</v>
      </c>
      <c r="AC43" s="558"/>
      <c r="AD43" s="137"/>
      <c r="AE43" s="137"/>
      <c r="AF43" s="137"/>
      <c r="AG43" s="137"/>
      <c r="AH43" s="137"/>
      <c r="AI43" s="137"/>
    </row>
    <row r="44" spans="1:35" ht="15.75" customHeight="1">
      <c r="A44" s="527">
        <v>41</v>
      </c>
      <c r="B44" s="547">
        <v>2</v>
      </c>
      <c r="C44" s="547">
        <v>5</v>
      </c>
      <c r="D44" s="547">
        <v>10</v>
      </c>
      <c r="E44" s="548" t="s">
        <v>191</v>
      </c>
      <c r="F44" s="549" t="s">
        <v>413</v>
      </c>
      <c r="G44" s="548" t="s">
        <v>68</v>
      </c>
      <c r="H44" s="550">
        <v>50837</v>
      </c>
      <c r="I44" s="551">
        <v>330</v>
      </c>
      <c r="J44" s="527">
        <v>0.63200000000000001</v>
      </c>
      <c r="K44" s="527">
        <v>0.44900000000000001</v>
      </c>
      <c r="L44" s="527">
        <v>0.65100000000000002</v>
      </c>
      <c r="M44" s="527">
        <v>0.58899999999999997</v>
      </c>
      <c r="N44" s="528">
        <v>1.458</v>
      </c>
      <c r="O44" s="546">
        <v>0</v>
      </c>
      <c r="P44" s="546">
        <v>0</v>
      </c>
      <c r="Q44" s="546">
        <v>0</v>
      </c>
      <c r="R44" s="546">
        <v>0</v>
      </c>
      <c r="S44" s="546">
        <v>0</v>
      </c>
      <c r="T44" s="533">
        <f t="shared" si="9"/>
        <v>0.63200000000000001</v>
      </c>
      <c r="U44" s="533">
        <f t="shared" si="10"/>
        <v>0.44900000000000001</v>
      </c>
      <c r="V44" s="533">
        <f t="shared" si="11"/>
        <v>0.65100000000000002</v>
      </c>
      <c r="W44" s="533">
        <f t="shared" si="12"/>
        <v>0.58899999999999997</v>
      </c>
      <c r="X44" s="533">
        <f t="shared" si="13"/>
        <v>1.458</v>
      </c>
      <c r="Y44" s="533">
        <f t="shared" si="14"/>
        <v>0.75580000000000003</v>
      </c>
      <c r="Z44" s="533">
        <f t="shared" si="15"/>
        <v>75.58</v>
      </c>
      <c r="AA44" s="534">
        <f t="shared" si="16"/>
        <v>0.40041940512417723</v>
      </c>
      <c r="AB44" s="534">
        <f t="shared" si="17"/>
        <v>0.16033569999999997</v>
      </c>
      <c r="AC44" s="535" t="s">
        <v>370</v>
      </c>
    </row>
    <row r="45" spans="1:35" ht="15.75" customHeight="1">
      <c r="A45" s="562">
        <v>42</v>
      </c>
      <c r="B45" s="548">
        <v>2</v>
      </c>
      <c r="C45" s="548">
        <v>7</v>
      </c>
      <c r="D45" s="548">
        <v>4</v>
      </c>
      <c r="E45" s="548" t="s">
        <v>375</v>
      </c>
      <c r="F45" s="563" t="s">
        <v>412</v>
      </c>
      <c r="G45" s="548" t="s">
        <v>34</v>
      </c>
      <c r="H45" s="548">
        <v>50584</v>
      </c>
      <c r="I45" s="548">
        <v>92</v>
      </c>
      <c r="J45" s="527">
        <f>47.237+53.994</f>
        <v>101.23099999999999</v>
      </c>
      <c r="K45" s="527">
        <v>73.272999999999996</v>
      </c>
      <c r="L45" s="527">
        <v>84.572000000000003</v>
      </c>
      <c r="M45" s="527">
        <f>9.913+32.339</f>
        <v>42.251999999999995</v>
      </c>
      <c r="N45" s="527">
        <f>31.554+62.031</f>
        <v>93.584999999999994</v>
      </c>
      <c r="O45" s="527">
        <v>0.30499999999999999</v>
      </c>
      <c r="P45" s="527">
        <v>0.68200000000000005</v>
      </c>
      <c r="Q45" s="527">
        <v>0.71499999999999997</v>
      </c>
      <c r="R45" s="527">
        <v>0.42199999999999999</v>
      </c>
      <c r="S45" s="528">
        <v>0.32600000000000001</v>
      </c>
      <c r="T45" s="533">
        <f t="shared" si="9"/>
        <v>101.536</v>
      </c>
      <c r="U45" s="533">
        <f t="shared" si="10"/>
        <v>73.954999999999998</v>
      </c>
      <c r="V45" s="533">
        <f t="shared" si="11"/>
        <v>85.287000000000006</v>
      </c>
      <c r="W45" s="533">
        <f t="shared" si="12"/>
        <v>42.673999999999992</v>
      </c>
      <c r="X45" s="533">
        <f t="shared" si="13"/>
        <v>93.910999999999987</v>
      </c>
      <c r="Y45" s="533">
        <f t="shared" si="14"/>
        <v>79.4726</v>
      </c>
      <c r="Z45" s="533">
        <f t="shared" si="15"/>
        <v>7947.26</v>
      </c>
      <c r="AA45" s="534">
        <f t="shared" si="16"/>
        <v>22.98721999938223</v>
      </c>
      <c r="AB45" s="534">
        <f t="shared" si="17"/>
        <v>528.41228329999831</v>
      </c>
      <c r="AC45" s="535"/>
    </row>
    <row r="46" spans="1:35" ht="15.75" customHeight="1">
      <c r="A46" s="527">
        <v>43</v>
      </c>
      <c r="B46" s="547">
        <v>2</v>
      </c>
      <c r="C46" s="547">
        <v>6</v>
      </c>
      <c r="D46" s="547">
        <v>1</v>
      </c>
      <c r="E46" s="548" t="s">
        <v>195</v>
      </c>
      <c r="F46" s="549" t="s">
        <v>196</v>
      </c>
      <c r="G46" s="548" t="s">
        <v>34</v>
      </c>
      <c r="H46" s="550">
        <v>50703</v>
      </c>
      <c r="I46" s="551">
        <v>190</v>
      </c>
      <c r="J46" s="527">
        <v>225.75899999999999</v>
      </c>
      <c r="K46" s="527">
        <f>266.951+36.364</f>
        <v>303.315</v>
      </c>
      <c r="L46" s="527">
        <v>207.83</v>
      </c>
      <c r="M46" s="527">
        <v>145</v>
      </c>
      <c r="N46" s="527">
        <f>141.492+40.419</f>
        <v>181.911</v>
      </c>
      <c r="O46" s="527">
        <v>1.022</v>
      </c>
      <c r="P46" s="527">
        <v>0.78600000000000003</v>
      </c>
      <c r="Q46" s="527">
        <v>1.587</v>
      </c>
      <c r="R46" s="527">
        <v>1.9890000000000001</v>
      </c>
      <c r="S46" s="528">
        <v>2.677</v>
      </c>
      <c r="T46" s="533">
        <f t="shared" si="9"/>
        <v>226.78099999999998</v>
      </c>
      <c r="U46" s="533">
        <f t="shared" si="10"/>
        <v>304.101</v>
      </c>
      <c r="V46" s="533">
        <f t="shared" si="11"/>
        <v>209.417</v>
      </c>
      <c r="W46" s="533">
        <f t="shared" si="12"/>
        <v>146.989</v>
      </c>
      <c r="X46" s="533">
        <f t="shared" si="13"/>
        <v>184.58799999999999</v>
      </c>
      <c r="Y46" s="533">
        <f t="shared" si="14"/>
        <v>214.37520000000001</v>
      </c>
      <c r="Z46" s="533">
        <f t="shared" si="15"/>
        <v>21437.52</v>
      </c>
      <c r="AA46" s="534">
        <f t="shared" si="16"/>
        <v>58.43240548017851</v>
      </c>
      <c r="AB46" s="534">
        <f t="shared" si="17"/>
        <v>3414.3460101999954</v>
      </c>
      <c r="AC46" s="535"/>
    </row>
    <row r="47" spans="1:35" ht="15.75" customHeight="1">
      <c r="A47" s="527">
        <v>44</v>
      </c>
      <c r="B47" s="547">
        <v>2</v>
      </c>
      <c r="C47" s="547">
        <v>4</v>
      </c>
      <c r="D47" s="547">
        <v>18</v>
      </c>
      <c r="E47" s="548" t="s">
        <v>171</v>
      </c>
      <c r="F47" s="549" t="s">
        <v>172</v>
      </c>
      <c r="G47" s="548" t="s">
        <v>25</v>
      </c>
      <c r="H47" s="550">
        <v>50831</v>
      </c>
      <c r="I47" s="551">
        <v>249</v>
      </c>
      <c r="J47" s="527">
        <f>116.963+13.667+6.271+9.321+11.087+9.429</f>
        <v>166.73799999999997</v>
      </c>
      <c r="K47" s="527">
        <f>116.698+10.223+8.461+11.811+12.056+18.39+10.386+1.116+9.963</f>
        <v>199.10400000000001</v>
      </c>
      <c r="L47" s="527">
        <f>192.244+10.882+8.025</f>
        <v>211.15100000000001</v>
      </c>
      <c r="M47" s="527">
        <f>108.95+7.064+13.119+8.32+6.938+7.73</f>
        <v>152.12099999999998</v>
      </c>
      <c r="N47" s="527">
        <f>6.217+7.642+145.84</f>
        <v>159.69900000000001</v>
      </c>
      <c r="O47" s="527">
        <v>1.4119999999999999</v>
      </c>
      <c r="P47" s="527">
        <v>1.1080000000000001</v>
      </c>
      <c r="Q47" s="527">
        <v>1.698</v>
      </c>
      <c r="R47" s="527">
        <v>1.2230000000000001</v>
      </c>
      <c r="S47" s="528">
        <v>1.1100000000000001</v>
      </c>
      <c r="T47" s="533">
        <f t="shared" si="9"/>
        <v>168.14999999999998</v>
      </c>
      <c r="U47" s="533">
        <f t="shared" si="10"/>
        <v>200.21200000000002</v>
      </c>
      <c r="V47" s="533">
        <f t="shared" si="11"/>
        <v>212.84900000000002</v>
      </c>
      <c r="W47" s="533">
        <f t="shared" si="12"/>
        <v>153.34399999999999</v>
      </c>
      <c r="X47" s="533">
        <f t="shared" si="13"/>
        <v>160.80900000000003</v>
      </c>
      <c r="Y47" s="533">
        <f t="shared" si="14"/>
        <v>179.0728</v>
      </c>
      <c r="Z47" s="533">
        <f t="shared" si="15"/>
        <v>17907.28</v>
      </c>
      <c r="AA47" s="534">
        <f t="shared" si="16"/>
        <v>25.992992145961299</v>
      </c>
      <c r="AB47" s="534">
        <f t="shared" si="17"/>
        <v>675.63564070000575</v>
      </c>
      <c r="AC47" s="535"/>
    </row>
    <row r="48" spans="1:35" ht="15.75" customHeight="1">
      <c r="A48" s="527">
        <v>45</v>
      </c>
      <c r="B48" s="547">
        <v>2</v>
      </c>
      <c r="C48" s="547">
        <v>3</v>
      </c>
      <c r="D48" s="547">
        <v>9</v>
      </c>
      <c r="E48" s="548" t="s">
        <v>99</v>
      </c>
      <c r="F48" s="549" t="s">
        <v>359</v>
      </c>
      <c r="G48" s="548" t="s">
        <v>25</v>
      </c>
      <c r="H48" s="550">
        <v>50848</v>
      </c>
      <c r="I48" s="551">
        <v>217</v>
      </c>
      <c r="J48" s="527">
        <v>22.919</v>
      </c>
      <c r="K48" s="527">
        <v>22.852</v>
      </c>
      <c r="L48" s="527">
        <v>28.748000000000001</v>
      </c>
      <c r="M48" s="528">
        <v>29.675000000000001</v>
      </c>
      <c r="N48" s="528">
        <v>30.498999999999999</v>
      </c>
      <c r="O48" s="528">
        <v>0.65700000000000003</v>
      </c>
      <c r="P48" s="528">
        <v>0.59499999999999997</v>
      </c>
      <c r="Q48" s="528">
        <v>0.499</v>
      </c>
      <c r="R48" s="528">
        <v>0.28199999999999997</v>
      </c>
      <c r="S48" s="528">
        <v>0.375</v>
      </c>
      <c r="T48" s="533">
        <f t="shared" si="9"/>
        <v>23.576000000000001</v>
      </c>
      <c r="U48" s="533">
        <f t="shared" si="10"/>
        <v>23.446999999999999</v>
      </c>
      <c r="V48" s="533">
        <f t="shared" si="11"/>
        <v>29.247</v>
      </c>
      <c r="W48" s="533">
        <f t="shared" si="12"/>
        <v>29.957000000000001</v>
      </c>
      <c r="X48" s="533">
        <f t="shared" si="13"/>
        <v>30.873999999999999</v>
      </c>
      <c r="Y48" s="533">
        <f t="shared" si="14"/>
        <v>27.420200000000001</v>
      </c>
      <c r="Z48" s="533">
        <f t="shared" si="15"/>
        <v>2742.02</v>
      </c>
      <c r="AA48" s="534">
        <f t="shared" si="16"/>
        <v>3.6147433795499224</v>
      </c>
      <c r="AB48" s="534">
        <f t="shared" si="17"/>
        <v>13.066369699999996</v>
      </c>
      <c r="AC48" s="535"/>
    </row>
    <row r="49" spans="1:29" ht="15.75" customHeight="1">
      <c r="A49" s="527">
        <v>46</v>
      </c>
      <c r="B49" s="547">
        <v>2</v>
      </c>
      <c r="C49" s="547">
        <v>8</v>
      </c>
      <c r="D49" s="547">
        <v>5</v>
      </c>
      <c r="E49" s="548" t="s">
        <v>142</v>
      </c>
      <c r="F49" s="549" t="s">
        <v>143</v>
      </c>
      <c r="G49" s="548" t="s">
        <v>31</v>
      </c>
      <c r="H49" s="550">
        <v>50824</v>
      </c>
      <c r="I49" s="551">
        <v>67</v>
      </c>
      <c r="J49" s="527">
        <v>13.523</v>
      </c>
      <c r="K49" s="527">
        <v>25.225999999999999</v>
      </c>
      <c r="L49" s="527">
        <v>16.164000000000001</v>
      </c>
      <c r="M49" s="527">
        <f>14.996+3.036+2.073</f>
        <v>20.105</v>
      </c>
      <c r="N49" s="527">
        <f>21.262+4.416+3.895</f>
        <v>29.573</v>
      </c>
      <c r="O49" s="527">
        <v>0.54300000000000004</v>
      </c>
      <c r="P49" s="527">
        <v>0.98899999999999999</v>
      </c>
      <c r="Q49" s="527">
        <v>0.51500000000000001</v>
      </c>
      <c r="R49" s="527">
        <v>0.66900000000000004</v>
      </c>
      <c r="S49" s="528">
        <v>0.59599999999999997</v>
      </c>
      <c r="T49" s="533">
        <f t="shared" si="9"/>
        <v>14.065999999999999</v>
      </c>
      <c r="U49" s="533">
        <f t="shared" si="10"/>
        <v>26.215</v>
      </c>
      <c r="V49" s="533">
        <f t="shared" si="11"/>
        <v>16.679000000000002</v>
      </c>
      <c r="W49" s="533">
        <f t="shared" si="12"/>
        <v>20.774000000000001</v>
      </c>
      <c r="X49" s="533">
        <f t="shared" si="13"/>
        <v>30.169</v>
      </c>
      <c r="Y49" s="533">
        <f t="shared" si="14"/>
        <v>21.5806</v>
      </c>
      <c r="Z49" s="533">
        <f t="shared" si="15"/>
        <v>2158.06</v>
      </c>
      <c r="AA49" s="534">
        <f t="shared" si="16"/>
        <v>6.6404777162490385</v>
      </c>
      <c r="AB49" s="534">
        <f t="shared" si="17"/>
        <v>44.095944300000042</v>
      </c>
      <c r="AC49" s="535"/>
    </row>
    <row r="50" spans="1:29" ht="15.75" customHeight="1">
      <c r="A50" s="527">
        <v>47</v>
      </c>
      <c r="B50" s="547">
        <v>2</v>
      </c>
      <c r="C50" s="547">
        <v>6</v>
      </c>
      <c r="D50" s="547">
        <v>4</v>
      </c>
      <c r="E50" s="548" t="s">
        <v>203</v>
      </c>
      <c r="F50" s="549" t="s">
        <v>204</v>
      </c>
      <c r="G50" s="548" t="s">
        <v>68</v>
      </c>
      <c r="H50" s="550">
        <v>50835</v>
      </c>
      <c r="I50" s="551">
        <v>580</v>
      </c>
      <c r="J50" s="527">
        <v>8.09</v>
      </c>
      <c r="K50" s="527">
        <v>9.1690000000000005</v>
      </c>
      <c r="L50" s="527">
        <v>6.673</v>
      </c>
      <c r="M50" s="528">
        <v>4.5579999999999998</v>
      </c>
      <c r="N50" s="528">
        <v>6.5519999999999996</v>
      </c>
      <c r="O50" s="528">
        <v>0.17100000000000001</v>
      </c>
      <c r="P50" s="528">
        <v>0.11899999999999999</v>
      </c>
      <c r="Q50" s="528">
        <v>0.156</v>
      </c>
      <c r="R50" s="528">
        <v>0.16300000000000001</v>
      </c>
      <c r="S50" s="528">
        <v>0.13900000000000001</v>
      </c>
      <c r="T50" s="533">
        <f t="shared" si="9"/>
        <v>8.2609999999999992</v>
      </c>
      <c r="U50" s="533">
        <f t="shared" si="10"/>
        <v>9.2880000000000003</v>
      </c>
      <c r="V50" s="533">
        <f t="shared" si="11"/>
        <v>6.8289999999999997</v>
      </c>
      <c r="W50" s="533">
        <f t="shared" si="12"/>
        <v>4.7210000000000001</v>
      </c>
      <c r="X50" s="533">
        <f t="shared" si="13"/>
        <v>6.6909999999999998</v>
      </c>
      <c r="Y50" s="533">
        <f t="shared" si="14"/>
        <v>7.1579999999999995</v>
      </c>
      <c r="Z50" s="533">
        <f t="shared" si="15"/>
        <v>715.8</v>
      </c>
      <c r="AA50" s="534">
        <f t="shared" si="16"/>
        <v>1.7334076266129657</v>
      </c>
      <c r="AB50" s="534">
        <f t="shared" si="17"/>
        <v>3.0047019999999947</v>
      </c>
      <c r="AC50" s="535"/>
    </row>
    <row r="51" spans="1:29" ht="15.75" customHeight="1">
      <c r="A51" s="527">
        <v>48</v>
      </c>
      <c r="B51" s="547">
        <v>2</v>
      </c>
      <c r="C51" s="547">
        <v>3</v>
      </c>
      <c r="D51" s="547">
        <v>9</v>
      </c>
      <c r="E51" s="548" t="s">
        <v>100</v>
      </c>
      <c r="F51" s="549" t="s">
        <v>101</v>
      </c>
      <c r="G51" s="548" t="s">
        <v>25</v>
      </c>
      <c r="H51" s="550">
        <v>50692</v>
      </c>
      <c r="I51" s="551">
        <v>53</v>
      </c>
      <c r="J51" s="527">
        <v>17.184999999999999</v>
      </c>
      <c r="K51" s="528">
        <v>24.785</v>
      </c>
      <c r="L51" s="528">
        <v>19.443000000000001</v>
      </c>
      <c r="M51" s="528">
        <v>21.768999999999998</v>
      </c>
      <c r="N51" s="528">
        <v>18.390999999999998</v>
      </c>
      <c r="O51" s="528">
        <v>0.26400000000000001</v>
      </c>
      <c r="P51" s="528">
        <v>0.192</v>
      </c>
      <c r="Q51" s="528">
        <v>0.26200000000000001</v>
      </c>
      <c r="R51" s="528">
        <v>0.26700000000000002</v>
      </c>
      <c r="S51" s="552">
        <v>0.27</v>
      </c>
      <c r="T51" s="533">
        <f t="shared" si="9"/>
        <v>17.448999999999998</v>
      </c>
      <c r="U51" s="533">
        <f t="shared" si="10"/>
        <v>24.977</v>
      </c>
      <c r="V51" s="533">
        <f t="shared" si="11"/>
        <v>19.705000000000002</v>
      </c>
      <c r="W51" s="533">
        <f t="shared" si="12"/>
        <v>22.035999999999998</v>
      </c>
      <c r="X51" s="533">
        <f t="shared" si="13"/>
        <v>18.660999999999998</v>
      </c>
      <c r="Y51" s="533">
        <f t="shared" si="14"/>
        <v>20.5656</v>
      </c>
      <c r="Z51" s="533">
        <f t="shared" si="15"/>
        <v>2056.56</v>
      </c>
      <c r="AA51" s="534">
        <f t="shared" si="16"/>
        <v>2.9876351517546409</v>
      </c>
      <c r="AB51" s="534">
        <f t="shared" si="17"/>
        <v>8.9259637999999768</v>
      </c>
      <c r="AC51" s="535"/>
    </row>
    <row r="52" spans="1:29" ht="15.75" customHeight="1">
      <c r="A52" s="527">
        <v>49</v>
      </c>
      <c r="B52" s="547">
        <v>2</v>
      </c>
      <c r="C52" s="547">
        <v>4</v>
      </c>
      <c r="D52" s="547">
        <v>15</v>
      </c>
      <c r="E52" s="548" t="s">
        <v>151</v>
      </c>
      <c r="F52" s="549" t="s">
        <v>152</v>
      </c>
      <c r="G52" s="548" t="s">
        <v>144</v>
      </c>
      <c r="H52" s="550">
        <v>50776</v>
      </c>
      <c r="I52" s="551">
        <v>28</v>
      </c>
      <c r="J52" s="527">
        <v>10.282999999999999</v>
      </c>
      <c r="K52" s="528">
        <v>4.7530000000000001</v>
      </c>
      <c r="L52" s="528">
        <v>8.6069999999999993</v>
      </c>
      <c r="M52" s="528">
        <v>4.3049999999999997</v>
      </c>
      <c r="N52" s="528">
        <v>14.506</v>
      </c>
      <c r="O52" s="528">
        <v>0.13100000000000001</v>
      </c>
      <c r="P52" s="528">
        <v>0.152</v>
      </c>
      <c r="Q52" s="528">
        <v>0.316</v>
      </c>
      <c r="R52" s="528">
        <v>0.16400000000000001</v>
      </c>
      <c r="S52" s="552">
        <v>0.24</v>
      </c>
      <c r="T52" s="533">
        <f t="shared" si="9"/>
        <v>10.414</v>
      </c>
      <c r="U52" s="533">
        <f t="shared" si="10"/>
        <v>4.9050000000000002</v>
      </c>
      <c r="V52" s="533">
        <f t="shared" si="11"/>
        <v>8.923</v>
      </c>
      <c r="W52" s="533">
        <f t="shared" si="12"/>
        <v>4.4689999999999994</v>
      </c>
      <c r="X52" s="533">
        <f t="shared" si="13"/>
        <v>14.746</v>
      </c>
      <c r="Y52" s="533">
        <f t="shared" si="14"/>
        <v>8.6913999999999998</v>
      </c>
      <c r="Z52" s="533">
        <f t="shared" si="15"/>
        <v>869.14</v>
      </c>
      <c r="AA52" s="534">
        <f t="shared" si="16"/>
        <v>4.238061384642748</v>
      </c>
      <c r="AB52" s="534">
        <f t="shared" si="17"/>
        <v>17.961164300000007</v>
      </c>
      <c r="AC52" s="535"/>
    </row>
    <row r="53" spans="1:29" ht="15.75" customHeight="1">
      <c r="A53" s="527">
        <v>50</v>
      </c>
      <c r="B53" s="547">
        <v>2</v>
      </c>
      <c r="C53" s="547">
        <v>3</v>
      </c>
      <c r="D53" s="547">
        <v>11</v>
      </c>
      <c r="E53" s="548" t="s">
        <v>102</v>
      </c>
      <c r="F53" s="549" t="s">
        <v>104</v>
      </c>
      <c r="G53" s="548" t="s">
        <v>68</v>
      </c>
      <c r="H53" s="550">
        <v>50658</v>
      </c>
      <c r="I53" s="551">
        <v>136</v>
      </c>
      <c r="J53" s="532">
        <v>7.97</v>
      </c>
      <c r="K53" s="528">
        <v>7.1440000000000001</v>
      </c>
      <c r="L53" s="528">
        <v>1.298</v>
      </c>
      <c r="M53" s="528">
        <v>1.1830000000000001</v>
      </c>
      <c r="N53" s="528">
        <v>1.294</v>
      </c>
      <c r="O53" s="528">
        <v>7.5999999999999998E-2</v>
      </c>
      <c r="P53" s="528">
        <v>1.7000000000000001E-2</v>
      </c>
      <c r="Q53" s="552">
        <v>0.06</v>
      </c>
      <c r="R53" s="552">
        <v>0.03</v>
      </c>
      <c r="S53" s="528">
        <v>1.0999999999999999E-2</v>
      </c>
      <c r="T53" s="533">
        <f t="shared" si="9"/>
        <v>8.0459999999999994</v>
      </c>
      <c r="U53" s="533">
        <f t="shared" si="10"/>
        <v>7.1610000000000005</v>
      </c>
      <c r="V53" s="533">
        <f t="shared" si="11"/>
        <v>1.3580000000000001</v>
      </c>
      <c r="W53" s="533">
        <f t="shared" si="12"/>
        <v>1.2130000000000001</v>
      </c>
      <c r="X53" s="533">
        <f t="shared" si="13"/>
        <v>1.3049999999999999</v>
      </c>
      <c r="Y53" s="533">
        <f t="shared" si="14"/>
        <v>3.8166000000000002</v>
      </c>
      <c r="Z53" s="533">
        <f t="shared" si="15"/>
        <v>381.66</v>
      </c>
      <c r="AA53" s="534">
        <f t="shared" si="16"/>
        <v>3.4714700488409798</v>
      </c>
      <c r="AB53" s="534">
        <f t="shared" si="17"/>
        <v>12.051104299999995</v>
      </c>
      <c r="AC53" s="535"/>
    </row>
    <row r="54" spans="1:29" ht="15.75" customHeight="1">
      <c r="A54" s="527">
        <v>51</v>
      </c>
      <c r="B54" s="547">
        <v>2</v>
      </c>
      <c r="C54" s="547">
        <v>3</v>
      </c>
      <c r="D54" s="547">
        <v>11</v>
      </c>
      <c r="E54" s="548" t="s">
        <v>102</v>
      </c>
      <c r="F54" s="549" t="s">
        <v>103</v>
      </c>
      <c r="G54" s="548" t="s">
        <v>31</v>
      </c>
      <c r="H54" s="550">
        <v>50821</v>
      </c>
      <c r="I54" s="551">
        <v>369</v>
      </c>
      <c r="J54" s="527">
        <v>19.218</v>
      </c>
      <c r="K54" s="528">
        <v>60.268999999999998</v>
      </c>
      <c r="L54" s="528">
        <v>31.431000000000001</v>
      </c>
      <c r="M54" s="528">
        <v>39.470999999999997</v>
      </c>
      <c r="N54" s="528">
        <v>43.984999999999999</v>
      </c>
      <c r="O54" s="528">
        <v>0.14099999999999999</v>
      </c>
      <c r="P54" s="528">
        <v>0.26900000000000002</v>
      </c>
      <c r="Q54" s="528">
        <v>0.38800000000000001</v>
      </c>
      <c r="R54" s="528">
        <v>0.20399999999999999</v>
      </c>
      <c r="S54" s="528">
        <v>0.106</v>
      </c>
      <c r="T54" s="533">
        <f t="shared" si="9"/>
        <v>19.358999999999998</v>
      </c>
      <c r="U54" s="533">
        <f t="shared" si="10"/>
        <v>60.537999999999997</v>
      </c>
      <c r="V54" s="533">
        <f t="shared" si="11"/>
        <v>31.819000000000003</v>
      </c>
      <c r="W54" s="533">
        <f t="shared" si="12"/>
        <v>39.674999999999997</v>
      </c>
      <c r="X54" s="533">
        <f t="shared" si="13"/>
        <v>44.091000000000001</v>
      </c>
      <c r="Y54" s="533">
        <f t="shared" si="14"/>
        <v>39.096400000000003</v>
      </c>
      <c r="Z54" s="533">
        <f t="shared" si="15"/>
        <v>3909.6400000000003</v>
      </c>
      <c r="AA54" s="534">
        <f t="shared" si="16"/>
        <v>15.227840680805665</v>
      </c>
      <c r="AB54" s="534">
        <f t="shared" si="17"/>
        <v>231.88713179999991</v>
      </c>
      <c r="AC54" s="535"/>
    </row>
    <row r="55" spans="1:29" ht="15.75" customHeight="1">
      <c r="A55" s="527">
        <v>52</v>
      </c>
      <c r="B55" s="547">
        <v>2</v>
      </c>
      <c r="C55" s="547">
        <v>4</v>
      </c>
      <c r="D55" s="547">
        <v>10</v>
      </c>
      <c r="E55" s="548" t="s">
        <v>138</v>
      </c>
      <c r="F55" s="549" t="s">
        <v>139</v>
      </c>
      <c r="G55" s="548" t="s">
        <v>68</v>
      </c>
      <c r="H55" s="550">
        <v>50828</v>
      </c>
      <c r="I55" s="551">
        <v>954</v>
      </c>
      <c r="J55" s="527">
        <v>17.155999999999999</v>
      </c>
      <c r="K55" s="528">
        <v>15.946999999999999</v>
      </c>
      <c r="L55" s="552">
        <v>9.33</v>
      </c>
      <c r="M55" s="528">
        <f>6.716+7.478</f>
        <v>14.193999999999999</v>
      </c>
      <c r="N55" s="552">
        <f>6.755+4.965</f>
        <v>11.719999999999999</v>
      </c>
      <c r="O55" s="546">
        <v>0</v>
      </c>
      <c r="P55" s="546">
        <v>0</v>
      </c>
      <c r="Q55" s="546">
        <v>0</v>
      </c>
      <c r="R55" s="546">
        <v>0</v>
      </c>
      <c r="S55" s="546">
        <v>0</v>
      </c>
      <c r="T55" s="533">
        <f t="shared" si="9"/>
        <v>17.155999999999999</v>
      </c>
      <c r="U55" s="533">
        <f t="shared" si="10"/>
        <v>15.946999999999999</v>
      </c>
      <c r="V55" s="533">
        <f t="shared" si="11"/>
        <v>9.33</v>
      </c>
      <c r="W55" s="533">
        <f t="shared" si="12"/>
        <v>14.193999999999999</v>
      </c>
      <c r="X55" s="533">
        <f t="shared" si="13"/>
        <v>11.719999999999999</v>
      </c>
      <c r="Y55" s="533">
        <f t="shared" si="14"/>
        <v>13.6694</v>
      </c>
      <c r="Z55" s="533">
        <f t="shared" si="15"/>
        <v>1366.94</v>
      </c>
      <c r="AA55" s="534">
        <f t="shared" si="16"/>
        <v>3.172128591340527</v>
      </c>
      <c r="AB55" s="534">
        <f t="shared" si="17"/>
        <v>10.062399800000037</v>
      </c>
      <c r="AC55" s="535" t="s">
        <v>370</v>
      </c>
    </row>
    <row r="56" spans="1:29" ht="15.75" customHeight="1">
      <c r="A56" s="527">
        <v>53</v>
      </c>
      <c r="B56" s="547">
        <v>2</v>
      </c>
      <c r="C56" s="547">
        <v>4</v>
      </c>
      <c r="D56" s="547">
        <v>10</v>
      </c>
      <c r="E56" s="548" t="s">
        <v>140</v>
      </c>
      <c r="F56" s="563" t="s">
        <v>407</v>
      </c>
      <c r="G56" s="548" t="s">
        <v>68</v>
      </c>
      <c r="H56" s="550">
        <v>50638</v>
      </c>
      <c r="I56" s="551">
        <v>52</v>
      </c>
      <c r="J56" s="527">
        <v>5.5979999999999999</v>
      </c>
      <c r="K56" s="528">
        <v>5.6689999999999996</v>
      </c>
      <c r="L56" s="528">
        <v>6.641</v>
      </c>
      <c r="M56" s="528">
        <v>2.8239999999999998</v>
      </c>
      <c r="N56" s="528">
        <v>5.0960000000000001</v>
      </c>
      <c r="O56" s="528">
        <v>0.14399999999999999</v>
      </c>
      <c r="P56" s="528">
        <v>0.182</v>
      </c>
      <c r="Q56" s="528">
        <v>5.6000000000000001E-2</v>
      </c>
      <c r="R56" s="528">
        <v>8.4000000000000005E-2</v>
      </c>
      <c r="S56" s="528">
        <v>9.1999999999999998E-2</v>
      </c>
      <c r="T56" s="533">
        <f t="shared" si="9"/>
        <v>5.742</v>
      </c>
      <c r="U56" s="533">
        <f t="shared" si="10"/>
        <v>5.851</v>
      </c>
      <c r="V56" s="533">
        <f t="shared" si="11"/>
        <v>6.6970000000000001</v>
      </c>
      <c r="W56" s="533">
        <f t="shared" si="12"/>
        <v>2.9079999999999999</v>
      </c>
      <c r="X56" s="533">
        <f t="shared" si="13"/>
        <v>5.1879999999999997</v>
      </c>
      <c r="Y56" s="533">
        <f t="shared" si="14"/>
        <v>5.2771999999999997</v>
      </c>
      <c r="Z56" s="533">
        <f t="shared" si="15"/>
        <v>527.71999999999991</v>
      </c>
      <c r="AA56" s="534">
        <f t="shared" si="16"/>
        <v>1.4302257514112933</v>
      </c>
      <c r="AB56" s="534">
        <f t="shared" si="17"/>
        <v>2.0455456999999981</v>
      </c>
      <c r="AC56" s="535"/>
    </row>
    <row r="57" spans="1:29" ht="15.75" customHeight="1">
      <c r="A57" s="527">
        <v>54</v>
      </c>
      <c r="B57" s="547">
        <v>2</v>
      </c>
      <c r="C57" s="547">
        <v>2</v>
      </c>
      <c r="D57" s="547">
        <v>11</v>
      </c>
      <c r="E57" s="548" t="s">
        <v>74</v>
      </c>
      <c r="F57" s="549" t="s">
        <v>75</v>
      </c>
      <c r="G57" s="548" t="s">
        <v>25</v>
      </c>
      <c r="H57" s="550">
        <v>50736</v>
      </c>
      <c r="I57" s="551">
        <v>354</v>
      </c>
      <c r="J57" s="527">
        <v>86.149000000000001</v>
      </c>
      <c r="K57" s="527">
        <v>83.373999999999995</v>
      </c>
      <c r="L57" s="527">
        <v>22.033000000000001</v>
      </c>
      <c r="M57" s="527">
        <v>28.11</v>
      </c>
      <c r="N57" s="527">
        <v>40.97</v>
      </c>
      <c r="O57" s="527">
        <v>0.21299999999999999</v>
      </c>
      <c r="P57" s="527">
        <v>0.255</v>
      </c>
      <c r="Q57" s="527">
        <v>0.499</v>
      </c>
      <c r="R57" s="527">
        <v>0.28899999999999998</v>
      </c>
      <c r="S57" s="528">
        <v>0.183</v>
      </c>
      <c r="T57" s="533">
        <f t="shared" si="9"/>
        <v>86.361999999999995</v>
      </c>
      <c r="U57" s="533">
        <f t="shared" si="10"/>
        <v>83.628999999999991</v>
      </c>
      <c r="V57" s="533">
        <f t="shared" si="11"/>
        <v>22.532</v>
      </c>
      <c r="W57" s="533">
        <f t="shared" si="12"/>
        <v>28.399000000000001</v>
      </c>
      <c r="X57" s="533">
        <f t="shared" si="13"/>
        <v>41.152999999999999</v>
      </c>
      <c r="Y57" s="533">
        <f t="shared" si="14"/>
        <v>52.414999999999999</v>
      </c>
      <c r="Z57" s="533">
        <f t="shared" si="15"/>
        <v>5241.5</v>
      </c>
      <c r="AA57" s="534">
        <f t="shared" si="16"/>
        <v>30.509454247822909</v>
      </c>
      <c r="AB57" s="534">
        <f t="shared" si="17"/>
        <v>930.82679849999931</v>
      </c>
      <c r="AC57" s="535"/>
    </row>
    <row r="58" spans="1:29" ht="15.75" customHeight="1">
      <c r="A58" s="527">
        <v>55</v>
      </c>
      <c r="B58" s="547">
        <v>2</v>
      </c>
      <c r="C58" s="547">
        <v>4</v>
      </c>
      <c r="D58" s="547">
        <v>7</v>
      </c>
      <c r="E58" s="548" t="s">
        <v>134</v>
      </c>
      <c r="F58" s="549" t="s">
        <v>135</v>
      </c>
      <c r="G58" s="548" t="s">
        <v>25</v>
      </c>
      <c r="H58" s="550">
        <v>50268</v>
      </c>
      <c r="I58" s="551">
        <v>411</v>
      </c>
      <c r="J58" s="527">
        <v>0.77900000000000003</v>
      </c>
      <c r="K58" s="527">
        <v>0.78700000000000003</v>
      </c>
      <c r="L58" s="527">
        <v>0.67500000000000004</v>
      </c>
      <c r="M58" s="532">
        <v>0.62</v>
      </c>
      <c r="N58" s="527">
        <v>0.63700000000000001</v>
      </c>
      <c r="O58" s="546">
        <v>0</v>
      </c>
      <c r="P58" s="546">
        <v>0</v>
      </c>
      <c r="Q58" s="546">
        <v>0</v>
      </c>
      <c r="R58" s="546">
        <v>0</v>
      </c>
      <c r="S58" s="546">
        <v>0</v>
      </c>
      <c r="T58" s="533">
        <f t="shared" si="9"/>
        <v>0.77900000000000003</v>
      </c>
      <c r="U58" s="533">
        <f t="shared" si="10"/>
        <v>0.78700000000000003</v>
      </c>
      <c r="V58" s="533">
        <f t="shared" si="11"/>
        <v>0.67500000000000004</v>
      </c>
      <c r="W58" s="533">
        <f t="shared" si="12"/>
        <v>0.62</v>
      </c>
      <c r="X58" s="533">
        <f t="shared" si="13"/>
        <v>0.63700000000000001</v>
      </c>
      <c r="Y58" s="533">
        <f t="shared" si="14"/>
        <v>0.6996</v>
      </c>
      <c r="Z58" s="533">
        <f t="shared" si="15"/>
        <v>69.959999999999994</v>
      </c>
      <c r="AA58" s="534">
        <f t="shared" si="16"/>
        <v>7.8745158581336891E-2</v>
      </c>
      <c r="AB58" s="534">
        <f t="shared" si="17"/>
        <v>6.2007999999998953E-3</v>
      </c>
      <c r="AC58" s="535" t="s">
        <v>370</v>
      </c>
    </row>
    <row r="59" spans="1:29" ht="15.75" customHeight="1">
      <c r="A59" s="562">
        <v>56</v>
      </c>
      <c r="B59" s="548">
        <v>2</v>
      </c>
      <c r="C59" s="548">
        <v>7</v>
      </c>
      <c r="D59" s="548">
        <v>9</v>
      </c>
      <c r="E59" s="548" t="s">
        <v>222</v>
      </c>
      <c r="F59" s="549" t="s">
        <v>223</v>
      </c>
      <c r="G59" s="548" t="s">
        <v>376</v>
      </c>
      <c r="H59" s="548">
        <v>50870</v>
      </c>
      <c r="I59" s="548">
        <v>93</v>
      </c>
      <c r="J59" s="527">
        <v>37.844999999999999</v>
      </c>
      <c r="K59" s="527">
        <v>28.155999999999999</v>
      </c>
      <c r="L59" s="527">
        <v>32.676000000000002</v>
      </c>
      <c r="M59" s="527">
        <v>26.190999999999999</v>
      </c>
      <c r="N59" s="527">
        <v>29.754000000000001</v>
      </c>
      <c r="O59" s="527">
        <v>0.18</v>
      </c>
      <c r="P59" s="527">
        <v>0.153</v>
      </c>
      <c r="Q59" s="527">
        <v>0.13</v>
      </c>
      <c r="R59" s="527">
        <v>0.126</v>
      </c>
      <c r="S59" s="528">
        <v>5.8999999999999997E-2</v>
      </c>
      <c r="T59" s="533">
        <f t="shared" si="9"/>
        <v>38.024999999999999</v>
      </c>
      <c r="U59" s="533">
        <f t="shared" si="10"/>
        <v>28.308999999999997</v>
      </c>
      <c r="V59" s="533">
        <f t="shared" si="11"/>
        <v>32.806000000000004</v>
      </c>
      <c r="W59" s="533">
        <f t="shared" si="12"/>
        <v>26.317</v>
      </c>
      <c r="X59" s="533">
        <f t="shared" si="13"/>
        <v>29.813000000000002</v>
      </c>
      <c r="Y59" s="533">
        <f t="shared" si="14"/>
        <v>31.054000000000009</v>
      </c>
      <c r="Z59" s="533">
        <f t="shared" si="15"/>
        <v>3105.400000000001</v>
      </c>
      <c r="AA59" s="534">
        <f t="shared" si="16"/>
        <v>4.560115678357235</v>
      </c>
      <c r="AB59" s="534">
        <f t="shared" si="17"/>
        <v>20.794654999999466</v>
      </c>
      <c r="AC59" s="535"/>
    </row>
    <row r="60" spans="1:29" ht="15.75" customHeight="1">
      <c r="A60" s="527">
        <v>57</v>
      </c>
      <c r="B60" s="547">
        <v>2</v>
      </c>
      <c r="C60" s="547">
        <v>4</v>
      </c>
      <c r="D60" s="547">
        <v>2</v>
      </c>
      <c r="E60" s="548" t="s">
        <v>124</v>
      </c>
      <c r="F60" s="549" t="s">
        <v>125</v>
      </c>
      <c r="G60" s="548" t="s">
        <v>31</v>
      </c>
      <c r="H60" s="550">
        <v>50761</v>
      </c>
      <c r="I60" s="551">
        <v>250</v>
      </c>
      <c r="J60" s="527">
        <v>20.553999999999998</v>
      </c>
      <c r="K60" s="528">
        <v>15.257</v>
      </c>
      <c r="L60" s="528">
        <v>16.071000000000002</v>
      </c>
      <c r="M60" s="528">
        <v>15.222</v>
      </c>
      <c r="N60" s="528">
        <v>16.744</v>
      </c>
      <c r="O60" s="528">
        <v>0.41499999999999998</v>
      </c>
      <c r="P60" s="552">
        <v>0.43</v>
      </c>
      <c r="Q60" s="528">
        <v>0.48299999999999998</v>
      </c>
      <c r="R60" s="528">
        <v>0.496</v>
      </c>
      <c r="S60" s="528">
        <v>0.27900000000000003</v>
      </c>
      <c r="T60" s="533">
        <f t="shared" si="9"/>
        <v>20.968999999999998</v>
      </c>
      <c r="U60" s="533">
        <f t="shared" si="10"/>
        <v>15.686999999999999</v>
      </c>
      <c r="V60" s="533">
        <f t="shared" si="11"/>
        <v>16.554000000000002</v>
      </c>
      <c r="W60" s="533">
        <f t="shared" si="12"/>
        <v>15.718</v>
      </c>
      <c r="X60" s="533">
        <f t="shared" si="13"/>
        <v>17.023</v>
      </c>
      <c r="Y60" s="533">
        <f t="shared" si="14"/>
        <v>17.190199999999997</v>
      </c>
      <c r="Z60" s="533">
        <f t="shared" si="15"/>
        <v>1719.0199999999998</v>
      </c>
      <c r="AA60" s="534">
        <f t="shared" si="16"/>
        <v>2.1874082152172711</v>
      </c>
      <c r="AB60" s="534">
        <f t="shared" si="17"/>
        <v>4.7847547000000077</v>
      </c>
      <c r="AC60" s="535"/>
    </row>
    <row r="61" spans="1:29" ht="15.75" customHeight="1">
      <c r="A61" s="527">
        <v>58</v>
      </c>
      <c r="B61" s="547">
        <v>2</v>
      </c>
      <c r="C61" s="547">
        <v>8</v>
      </c>
      <c r="D61" s="547">
        <v>2</v>
      </c>
      <c r="E61" s="548" t="s">
        <v>233</v>
      </c>
      <c r="F61" s="549" t="s">
        <v>234</v>
      </c>
      <c r="G61" s="548" t="s">
        <v>48</v>
      </c>
      <c r="H61" s="550">
        <v>50778</v>
      </c>
      <c r="I61" s="551">
        <v>118</v>
      </c>
      <c r="J61" s="527">
        <f>3.721+55.533</f>
        <v>59.254000000000005</v>
      </c>
      <c r="K61" s="527">
        <v>57.726999999999997</v>
      </c>
      <c r="L61" s="527">
        <f>40.699+3.458+3.459</f>
        <v>47.616</v>
      </c>
      <c r="M61" s="527">
        <v>43.179000000000002</v>
      </c>
      <c r="N61" s="532">
        <v>37.380000000000003</v>
      </c>
      <c r="O61" s="527">
        <v>0.30499999999999999</v>
      </c>
      <c r="P61" s="527">
        <v>0.29899999999999999</v>
      </c>
      <c r="Q61" s="528">
        <v>0.35499999999999998</v>
      </c>
      <c r="R61" s="528">
        <v>0.55100000000000005</v>
      </c>
      <c r="S61" s="528">
        <v>0.34699999999999998</v>
      </c>
      <c r="T61" s="533">
        <f t="shared" si="9"/>
        <v>59.559000000000005</v>
      </c>
      <c r="U61" s="533">
        <f t="shared" si="10"/>
        <v>58.025999999999996</v>
      </c>
      <c r="V61" s="533">
        <f t="shared" si="11"/>
        <v>47.970999999999997</v>
      </c>
      <c r="W61" s="533">
        <f t="shared" si="12"/>
        <v>43.730000000000004</v>
      </c>
      <c r="X61" s="533">
        <f t="shared" si="13"/>
        <v>37.727000000000004</v>
      </c>
      <c r="Y61" s="533">
        <f t="shared" si="14"/>
        <v>49.4026</v>
      </c>
      <c r="Z61" s="533">
        <f t="shared" si="15"/>
        <v>4940.26</v>
      </c>
      <c r="AA61" s="534">
        <f t="shared" si="16"/>
        <v>9.3282232123807916</v>
      </c>
      <c r="AB61" s="534">
        <f t="shared" si="17"/>
        <v>87.015748299999814</v>
      </c>
      <c r="AC61" s="535"/>
    </row>
    <row r="62" spans="1:29" ht="15.75" customHeight="1">
      <c r="A62" s="527">
        <v>59</v>
      </c>
      <c r="B62" s="547">
        <v>2</v>
      </c>
      <c r="C62" s="547">
        <v>5</v>
      </c>
      <c r="D62" s="547">
        <v>6</v>
      </c>
      <c r="E62" s="548" t="s">
        <v>49</v>
      </c>
      <c r="F62" s="549" t="s">
        <v>50</v>
      </c>
      <c r="G62" s="548" t="s">
        <v>68</v>
      </c>
      <c r="H62" s="550">
        <v>50838</v>
      </c>
      <c r="I62" s="551">
        <v>1374</v>
      </c>
      <c r="J62" s="527">
        <v>61.960999999999999</v>
      </c>
      <c r="K62" s="527">
        <v>82.183999999999997</v>
      </c>
      <c r="L62" s="527">
        <v>112.21899999999999</v>
      </c>
      <c r="M62" s="527">
        <v>55.323</v>
      </c>
      <c r="N62" s="527">
        <v>54.718000000000004</v>
      </c>
      <c r="O62" s="527">
        <v>4.1559999999999997</v>
      </c>
      <c r="P62" s="527">
        <v>3.78</v>
      </c>
      <c r="Q62" s="532">
        <v>1.86</v>
      </c>
      <c r="R62" s="527">
        <v>2.9129999999999998</v>
      </c>
      <c r="S62" s="528">
        <v>1.6990000000000001</v>
      </c>
      <c r="T62" s="533">
        <f t="shared" si="9"/>
        <v>66.117000000000004</v>
      </c>
      <c r="U62" s="533">
        <f t="shared" si="10"/>
        <v>85.963999999999999</v>
      </c>
      <c r="V62" s="533">
        <f t="shared" si="11"/>
        <v>114.07899999999999</v>
      </c>
      <c r="W62" s="533">
        <f t="shared" si="12"/>
        <v>58.235999999999997</v>
      </c>
      <c r="X62" s="533">
        <f t="shared" si="13"/>
        <v>56.417000000000002</v>
      </c>
      <c r="Y62" s="533">
        <f t="shared" si="14"/>
        <v>76.162599999999998</v>
      </c>
      <c r="Z62" s="533">
        <f t="shared" si="15"/>
        <v>7616.26</v>
      </c>
      <c r="AA62" s="534">
        <f t="shared" si="16"/>
        <v>24.217176844132769</v>
      </c>
      <c r="AB62" s="534">
        <f t="shared" si="17"/>
        <v>586.47165430000041</v>
      </c>
      <c r="AC62" s="535"/>
    </row>
    <row r="63" spans="1:29" ht="15.75" customHeight="1">
      <c r="A63" s="562">
        <v>60</v>
      </c>
      <c r="B63" s="548">
        <v>2</v>
      </c>
      <c r="C63" s="548">
        <v>5</v>
      </c>
      <c r="D63" s="548">
        <v>12</v>
      </c>
      <c r="E63" s="548" t="s">
        <v>49</v>
      </c>
      <c r="F63" s="549" t="s">
        <v>194</v>
      </c>
      <c r="G63" s="548" t="s">
        <v>34</v>
      </c>
      <c r="H63" s="548">
        <v>50634</v>
      </c>
      <c r="I63" s="548">
        <v>74</v>
      </c>
      <c r="J63" s="527">
        <v>127.958</v>
      </c>
      <c r="K63" s="527">
        <v>110.289</v>
      </c>
      <c r="L63" s="527">
        <v>42.951000000000001</v>
      </c>
      <c r="M63" s="527">
        <v>118.58</v>
      </c>
      <c r="N63" s="527">
        <f>30.734+51.087</f>
        <v>81.820999999999998</v>
      </c>
      <c r="O63" s="527">
        <v>5.6840000000000002</v>
      </c>
      <c r="P63" s="527">
        <v>5.915</v>
      </c>
      <c r="Q63" s="527">
        <v>2.5499999999999998</v>
      </c>
      <c r="R63" s="527">
        <v>3.319</v>
      </c>
      <c r="S63" s="528">
        <v>1.5429999999999999</v>
      </c>
      <c r="T63" s="533">
        <f t="shared" si="9"/>
        <v>133.642</v>
      </c>
      <c r="U63" s="533">
        <f t="shared" si="10"/>
        <v>116.20400000000001</v>
      </c>
      <c r="V63" s="533">
        <f t="shared" si="11"/>
        <v>45.500999999999998</v>
      </c>
      <c r="W63" s="533">
        <f t="shared" si="12"/>
        <v>121.899</v>
      </c>
      <c r="X63" s="533">
        <f t="shared" si="13"/>
        <v>83.364000000000004</v>
      </c>
      <c r="Y63" s="533">
        <f t="shared" si="14"/>
        <v>100.122</v>
      </c>
      <c r="Z63" s="533">
        <f t="shared" si="15"/>
        <v>10012.200000000001</v>
      </c>
      <c r="AA63" s="534">
        <f t="shared" si="16"/>
        <v>35.779683683621379</v>
      </c>
      <c r="AB63" s="534">
        <f t="shared" si="17"/>
        <v>1280.1857645000018</v>
      </c>
      <c r="AC63" s="535"/>
    </row>
    <row r="64" spans="1:29" ht="15.75" customHeight="1">
      <c r="A64" s="527">
        <v>61</v>
      </c>
      <c r="B64" s="547">
        <v>2</v>
      </c>
      <c r="C64" s="547">
        <v>1</v>
      </c>
      <c r="D64" s="547">
        <v>11</v>
      </c>
      <c r="E64" s="548" t="s">
        <v>44</v>
      </c>
      <c r="F64" s="549" t="s">
        <v>45</v>
      </c>
      <c r="G64" s="548" t="s">
        <v>31</v>
      </c>
      <c r="H64" s="550">
        <v>50795</v>
      </c>
      <c r="I64" s="551">
        <v>754</v>
      </c>
      <c r="J64" s="527">
        <v>59.628</v>
      </c>
      <c r="K64" s="527">
        <v>99.102999999999994</v>
      </c>
      <c r="L64" s="527">
        <v>63.957999999999998</v>
      </c>
      <c r="M64" s="527">
        <v>57.601999999999997</v>
      </c>
      <c r="N64" s="527">
        <v>54.73</v>
      </c>
      <c r="O64" s="528">
        <v>0.95199999999999996</v>
      </c>
      <c r="P64" s="528">
        <v>1.714</v>
      </c>
      <c r="Q64" s="528">
        <v>1.331</v>
      </c>
      <c r="R64" s="528">
        <v>1.006</v>
      </c>
      <c r="S64" s="528">
        <v>1.131</v>
      </c>
      <c r="T64" s="533">
        <f t="shared" si="9"/>
        <v>60.58</v>
      </c>
      <c r="U64" s="533">
        <f t="shared" si="10"/>
        <v>100.81699999999999</v>
      </c>
      <c r="V64" s="533">
        <f t="shared" si="11"/>
        <v>65.289000000000001</v>
      </c>
      <c r="W64" s="533">
        <f t="shared" si="12"/>
        <v>58.607999999999997</v>
      </c>
      <c r="X64" s="533">
        <f t="shared" si="13"/>
        <v>55.860999999999997</v>
      </c>
      <c r="Y64" s="533">
        <f t="shared" si="14"/>
        <v>68.230999999999995</v>
      </c>
      <c r="Z64" s="533">
        <f t="shared" si="15"/>
        <v>6823.0999999999995</v>
      </c>
      <c r="AA64" s="534">
        <f t="shared" si="16"/>
        <v>18.538201031923261</v>
      </c>
      <c r="AB64" s="534">
        <f t="shared" si="17"/>
        <v>343.66489750000073</v>
      </c>
      <c r="AC64" s="535"/>
    </row>
    <row r="65" spans="1:29" ht="15.75" customHeight="1">
      <c r="A65" s="527">
        <v>62</v>
      </c>
      <c r="B65" s="547">
        <v>2</v>
      </c>
      <c r="C65" s="547">
        <v>4</v>
      </c>
      <c r="D65" s="547">
        <v>20</v>
      </c>
      <c r="E65" s="548" t="s">
        <v>175</v>
      </c>
      <c r="F65" s="549" t="s">
        <v>176</v>
      </c>
      <c r="G65" s="548" t="s">
        <v>31</v>
      </c>
      <c r="H65" s="550">
        <v>50867</v>
      </c>
      <c r="I65" s="551">
        <v>303</v>
      </c>
      <c r="J65" s="527">
        <v>26.041</v>
      </c>
      <c r="K65" s="527">
        <v>16.178999999999998</v>
      </c>
      <c r="L65" s="527">
        <v>11.254</v>
      </c>
      <c r="M65" s="527">
        <f>4.844+11.019</f>
        <v>15.863</v>
      </c>
      <c r="N65" s="527">
        <f>17.601+2.215</f>
        <v>19.815999999999999</v>
      </c>
      <c r="O65" s="546">
        <v>0</v>
      </c>
      <c r="P65" s="546">
        <v>0</v>
      </c>
      <c r="Q65" s="546">
        <v>0</v>
      </c>
      <c r="R65" s="546">
        <v>0</v>
      </c>
      <c r="S65" s="546">
        <v>0</v>
      </c>
      <c r="T65" s="533">
        <f t="shared" si="9"/>
        <v>26.041</v>
      </c>
      <c r="U65" s="533">
        <f t="shared" si="10"/>
        <v>16.178999999999998</v>
      </c>
      <c r="V65" s="533">
        <f t="shared" si="11"/>
        <v>11.254</v>
      </c>
      <c r="W65" s="533">
        <f t="shared" si="12"/>
        <v>15.863</v>
      </c>
      <c r="X65" s="533">
        <f t="shared" si="13"/>
        <v>19.815999999999999</v>
      </c>
      <c r="Y65" s="533">
        <f t="shared" si="14"/>
        <v>17.830599999999997</v>
      </c>
      <c r="Z65" s="533">
        <f t="shared" si="15"/>
        <v>1783.0599999999997</v>
      </c>
      <c r="AA65" s="534">
        <f t="shared" si="16"/>
        <v>5.5046203592981771</v>
      </c>
      <c r="AB65" s="534">
        <f t="shared" si="17"/>
        <v>30.300845299999992</v>
      </c>
      <c r="AC65" s="535" t="s">
        <v>370</v>
      </c>
    </row>
    <row r="66" spans="1:29" ht="15.75" customHeight="1">
      <c r="A66" s="527">
        <v>63</v>
      </c>
      <c r="B66" s="547">
        <v>2</v>
      </c>
      <c r="C66" s="547">
        <v>5</v>
      </c>
      <c r="D66" s="547">
        <v>1</v>
      </c>
      <c r="E66" s="548" t="s">
        <v>181</v>
      </c>
      <c r="F66" s="549" t="s">
        <v>182</v>
      </c>
      <c r="G66" s="548" t="s">
        <v>31</v>
      </c>
      <c r="H66" s="550">
        <v>50782</v>
      </c>
      <c r="I66" s="551">
        <v>162</v>
      </c>
      <c r="J66" s="527">
        <v>36.015999999999998</v>
      </c>
      <c r="K66" s="527">
        <f>31.932+18.607+17.99</f>
        <v>68.528999999999996</v>
      </c>
      <c r="L66" s="527">
        <v>60.381</v>
      </c>
      <c r="M66" s="527">
        <v>61.432000000000002</v>
      </c>
      <c r="N66" s="532">
        <v>35.15</v>
      </c>
      <c r="O66" s="546">
        <v>0</v>
      </c>
      <c r="P66" s="546">
        <v>0</v>
      </c>
      <c r="Q66" s="546">
        <v>0</v>
      </c>
      <c r="R66" s="546">
        <v>0</v>
      </c>
      <c r="S66" s="546">
        <v>0</v>
      </c>
      <c r="T66" s="533">
        <f t="shared" si="9"/>
        <v>36.015999999999998</v>
      </c>
      <c r="U66" s="533">
        <f t="shared" si="10"/>
        <v>68.528999999999996</v>
      </c>
      <c r="V66" s="533">
        <f t="shared" si="11"/>
        <v>60.381</v>
      </c>
      <c r="W66" s="533">
        <f t="shared" si="12"/>
        <v>61.432000000000002</v>
      </c>
      <c r="X66" s="533">
        <f t="shared" si="13"/>
        <v>35.15</v>
      </c>
      <c r="Y66" s="533">
        <f t="shared" si="14"/>
        <v>52.301599999999993</v>
      </c>
      <c r="Z66" s="533">
        <f t="shared" si="15"/>
        <v>5230.1599999999989</v>
      </c>
      <c r="AA66" s="534">
        <f t="shared" si="16"/>
        <v>15.583385136099279</v>
      </c>
      <c r="AB66" s="534">
        <f t="shared" si="17"/>
        <v>242.84189229999993</v>
      </c>
      <c r="AC66" s="535" t="s">
        <v>372</v>
      </c>
    </row>
    <row r="67" spans="1:29" ht="15.75" customHeight="1">
      <c r="A67" s="527">
        <v>64</v>
      </c>
      <c r="B67" s="547">
        <v>2</v>
      </c>
      <c r="C67" s="547">
        <v>4</v>
      </c>
      <c r="D67" s="547">
        <v>15</v>
      </c>
      <c r="E67" s="548" t="s">
        <v>156</v>
      </c>
      <c r="F67" s="549" t="s">
        <v>157</v>
      </c>
      <c r="G67" s="548" t="s">
        <v>31</v>
      </c>
      <c r="H67" s="550">
        <v>50805</v>
      </c>
      <c r="I67" s="551">
        <v>15</v>
      </c>
      <c r="J67" s="527">
        <v>16.672000000000001</v>
      </c>
      <c r="K67" s="527">
        <v>14.958</v>
      </c>
      <c r="L67" s="527">
        <v>22.201000000000001</v>
      </c>
      <c r="M67" s="527">
        <v>16.613</v>
      </c>
      <c r="N67" s="527">
        <v>25.015999999999998</v>
      </c>
      <c r="O67" s="527">
        <v>1.03</v>
      </c>
      <c r="P67" s="527">
        <v>0.73799999999999999</v>
      </c>
      <c r="Q67" s="527">
        <v>0.67400000000000004</v>
      </c>
      <c r="R67" s="527">
        <v>0.57699999999999996</v>
      </c>
      <c r="S67" s="528">
        <v>1.117</v>
      </c>
      <c r="T67" s="533">
        <f t="shared" si="9"/>
        <v>17.702000000000002</v>
      </c>
      <c r="U67" s="533">
        <f t="shared" si="10"/>
        <v>15.696</v>
      </c>
      <c r="V67" s="533">
        <f t="shared" si="11"/>
        <v>22.875</v>
      </c>
      <c r="W67" s="533">
        <f t="shared" si="12"/>
        <v>17.189999999999998</v>
      </c>
      <c r="X67" s="533">
        <f t="shared" si="13"/>
        <v>26.132999999999999</v>
      </c>
      <c r="Y67" s="533">
        <f t="shared" si="14"/>
        <v>19.919199999999996</v>
      </c>
      <c r="Z67" s="533">
        <f t="shared" si="15"/>
        <v>1991.9199999999996</v>
      </c>
      <c r="AA67" s="534">
        <f t="shared" si="16"/>
        <v>4.4030668516387657</v>
      </c>
      <c r="AB67" s="534">
        <f t="shared" si="17"/>
        <v>19.386997700000109</v>
      </c>
      <c r="AC67" s="535"/>
    </row>
    <row r="68" spans="1:29" ht="15.75" customHeight="1">
      <c r="A68" s="527">
        <v>65</v>
      </c>
      <c r="B68" s="547">
        <v>2</v>
      </c>
      <c r="C68" s="547">
        <v>1</v>
      </c>
      <c r="D68" s="547">
        <v>3</v>
      </c>
      <c r="E68" s="548" t="s">
        <v>29</v>
      </c>
      <c r="F68" s="549" t="s">
        <v>30</v>
      </c>
      <c r="G68" s="548" t="s">
        <v>31</v>
      </c>
      <c r="H68" s="550">
        <v>50759</v>
      </c>
      <c r="I68" s="551">
        <v>232</v>
      </c>
      <c r="J68" s="527">
        <v>9.64</v>
      </c>
      <c r="K68" s="527">
        <v>15.492000000000001</v>
      </c>
      <c r="L68" s="527">
        <v>23.009</v>
      </c>
      <c r="M68" s="527">
        <v>21.053999999999998</v>
      </c>
      <c r="N68" s="527">
        <v>8.4329999999999998</v>
      </c>
      <c r="O68" s="527">
        <v>0.249</v>
      </c>
      <c r="P68" s="527">
        <v>0.34699999999999998</v>
      </c>
      <c r="Q68" s="527">
        <v>0.47699999999999998</v>
      </c>
      <c r="R68" s="527">
        <v>0.67500000000000004</v>
      </c>
      <c r="S68" s="528">
        <v>0.25600000000000001</v>
      </c>
      <c r="T68" s="533">
        <f t="shared" ref="T68:T91" si="18">J68+O68</f>
        <v>9.8890000000000011</v>
      </c>
      <c r="U68" s="533">
        <f t="shared" ref="U68:U91" si="19">K68+P68</f>
        <v>15.839</v>
      </c>
      <c r="V68" s="533">
        <f t="shared" ref="V68:V91" si="20">L68+Q68</f>
        <v>23.486000000000001</v>
      </c>
      <c r="W68" s="533">
        <f t="shared" ref="W68:W91" si="21">M68+R68</f>
        <v>21.728999999999999</v>
      </c>
      <c r="X68" s="533">
        <f t="shared" ref="X68:X91" si="22">N68+S68</f>
        <v>8.6890000000000001</v>
      </c>
      <c r="Y68" s="533">
        <f t="shared" ref="Y68:Y91" si="23">AVERAGE(T68:X68)</f>
        <v>15.926400000000001</v>
      </c>
      <c r="Z68" s="533">
        <f t="shared" ref="Z68:Z91" si="24">Y68*10^2</f>
        <v>1592.64</v>
      </c>
      <c r="AA68" s="534">
        <f t="shared" ref="AA68:AA91" si="25">_xlfn.STDEV.S(T68:X68)</f>
        <v>6.701781763083603</v>
      </c>
      <c r="AB68" s="534">
        <f t="shared" ref="AB68:AB91" si="26">_xlfn.VAR.S(T68:X68)</f>
        <v>44.913878799999964</v>
      </c>
      <c r="AC68" s="535"/>
    </row>
    <row r="69" spans="1:29" ht="15.75" customHeight="1">
      <c r="A69" s="527">
        <v>66</v>
      </c>
      <c r="B69" s="547">
        <v>2</v>
      </c>
      <c r="C69" s="547">
        <v>2</v>
      </c>
      <c r="D69" s="547">
        <v>2</v>
      </c>
      <c r="E69" s="548" t="s">
        <v>62</v>
      </c>
      <c r="F69" s="549" t="s">
        <v>63</v>
      </c>
      <c r="G69" s="548" t="s">
        <v>34</v>
      </c>
      <c r="H69" s="550">
        <v>50752</v>
      </c>
      <c r="I69" s="551">
        <v>89</v>
      </c>
      <c r="J69" s="527">
        <v>12.881</v>
      </c>
      <c r="K69" s="527">
        <v>12.885</v>
      </c>
      <c r="L69" s="527">
        <v>9.2360000000000007</v>
      </c>
      <c r="M69" s="527">
        <v>11.959</v>
      </c>
      <c r="N69" s="527">
        <v>16.649999999999999</v>
      </c>
      <c r="O69" s="528">
        <v>0.44700000000000001</v>
      </c>
      <c r="P69" s="528">
        <v>0.44400000000000001</v>
      </c>
      <c r="Q69" s="528">
        <v>0.54600000000000004</v>
      </c>
      <c r="R69" s="528">
        <v>0.19700000000000001</v>
      </c>
      <c r="S69" s="552">
        <v>0.51</v>
      </c>
      <c r="T69" s="533">
        <f t="shared" si="18"/>
        <v>13.327999999999999</v>
      </c>
      <c r="U69" s="533">
        <f t="shared" si="19"/>
        <v>13.329000000000001</v>
      </c>
      <c r="V69" s="533">
        <f t="shared" si="20"/>
        <v>9.782</v>
      </c>
      <c r="W69" s="533">
        <f t="shared" si="21"/>
        <v>12.155999999999999</v>
      </c>
      <c r="X69" s="533">
        <f t="shared" si="22"/>
        <v>17.16</v>
      </c>
      <c r="Y69" s="533">
        <f t="shared" si="23"/>
        <v>13.151</v>
      </c>
      <c r="Z69" s="533">
        <f t="shared" si="24"/>
        <v>1315.1</v>
      </c>
      <c r="AA69" s="534">
        <f t="shared" si="25"/>
        <v>2.6681116918150183</v>
      </c>
      <c r="AB69" s="534">
        <f t="shared" si="26"/>
        <v>7.1188199999999995</v>
      </c>
      <c r="AC69" s="535"/>
    </row>
    <row r="70" spans="1:29" ht="15.75" customHeight="1">
      <c r="A70" s="527">
        <v>67</v>
      </c>
      <c r="B70" s="548">
        <v>2</v>
      </c>
      <c r="C70" s="548">
        <v>2</v>
      </c>
      <c r="D70" s="548">
        <v>2</v>
      </c>
      <c r="E70" s="548" t="s">
        <v>362</v>
      </c>
      <c r="F70" s="549" t="s">
        <v>361</v>
      </c>
      <c r="G70" s="548" t="s">
        <v>376</v>
      </c>
      <c r="H70" s="548">
        <v>50188</v>
      </c>
      <c r="I70" s="548">
        <v>24</v>
      </c>
      <c r="J70" s="527">
        <v>198.14699999999999</v>
      </c>
      <c r="K70" s="527">
        <v>159.43299999999999</v>
      </c>
      <c r="L70" s="527">
        <v>167.02699999999999</v>
      </c>
      <c r="M70" s="527">
        <v>140.90299999999999</v>
      </c>
      <c r="N70" s="527">
        <f>25.176+132.108</f>
        <v>157.28399999999999</v>
      </c>
      <c r="O70" s="527">
        <v>10.031000000000001</v>
      </c>
      <c r="P70" s="527">
        <v>4.1779999999999999</v>
      </c>
      <c r="Q70" s="527">
        <v>4.5519999999999996</v>
      </c>
      <c r="R70" s="527">
        <f>12.035/2</f>
        <v>6.0175000000000001</v>
      </c>
      <c r="S70" s="528">
        <v>6.0750000000000002</v>
      </c>
      <c r="T70" s="533">
        <f t="shared" si="18"/>
        <v>208.178</v>
      </c>
      <c r="U70" s="533">
        <f t="shared" si="19"/>
        <v>163.61099999999999</v>
      </c>
      <c r="V70" s="533">
        <f t="shared" si="20"/>
        <v>171.57899999999998</v>
      </c>
      <c r="W70" s="533">
        <f t="shared" si="21"/>
        <v>146.9205</v>
      </c>
      <c r="X70" s="533">
        <f t="shared" si="22"/>
        <v>163.35899999999998</v>
      </c>
      <c r="Y70" s="533">
        <f t="shared" si="23"/>
        <v>170.72949999999997</v>
      </c>
      <c r="Z70" s="533">
        <f t="shared" si="24"/>
        <v>17072.949999999997</v>
      </c>
      <c r="AA70" s="534">
        <f t="shared" si="25"/>
        <v>22.775960989605032</v>
      </c>
      <c r="AB70" s="534">
        <f t="shared" si="26"/>
        <v>518.74439900001016</v>
      </c>
      <c r="AC70" s="535"/>
    </row>
    <row r="71" spans="1:29" ht="15.75" customHeight="1">
      <c r="A71" s="527">
        <v>68</v>
      </c>
      <c r="B71" s="548">
        <v>2</v>
      </c>
      <c r="C71" s="547">
        <v>4</v>
      </c>
      <c r="D71" s="547">
        <v>17</v>
      </c>
      <c r="E71" s="548" t="s">
        <v>169</v>
      </c>
      <c r="F71" s="549" t="s">
        <v>170</v>
      </c>
      <c r="G71" s="548" t="s">
        <v>34</v>
      </c>
      <c r="H71" s="550">
        <v>50596</v>
      </c>
      <c r="I71" s="551">
        <v>110</v>
      </c>
      <c r="J71" s="527">
        <v>24.382999999999999</v>
      </c>
      <c r="K71" s="527">
        <v>32.002000000000002</v>
      </c>
      <c r="L71" s="527">
        <v>23.608000000000001</v>
      </c>
      <c r="M71" s="527">
        <v>15.824</v>
      </c>
      <c r="N71" s="527">
        <v>16.454999999999998</v>
      </c>
      <c r="O71" s="527">
        <v>0.16300000000000001</v>
      </c>
      <c r="P71" s="528">
        <v>0.19800000000000001</v>
      </c>
      <c r="Q71" s="528">
        <v>0.11700000000000001</v>
      </c>
      <c r="R71" s="528">
        <v>0.313</v>
      </c>
      <c r="S71" s="552">
        <v>0.37</v>
      </c>
      <c r="T71" s="533">
        <f t="shared" si="18"/>
        <v>24.545999999999999</v>
      </c>
      <c r="U71" s="533">
        <f t="shared" si="19"/>
        <v>32.200000000000003</v>
      </c>
      <c r="V71" s="533">
        <f t="shared" si="20"/>
        <v>23.725000000000001</v>
      </c>
      <c r="W71" s="533">
        <f t="shared" si="21"/>
        <v>16.137</v>
      </c>
      <c r="X71" s="533">
        <f t="shared" si="22"/>
        <v>16.824999999999999</v>
      </c>
      <c r="Y71" s="533">
        <f t="shared" si="23"/>
        <v>22.686600000000002</v>
      </c>
      <c r="Z71" s="533">
        <f t="shared" si="24"/>
        <v>2268.6600000000003</v>
      </c>
      <c r="AA71" s="534">
        <f t="shared" si="25"/>
        <v>6.5630792544353795</v>
      </c>
      <c r="AB71" s="534">
        <f t="shared" si="26"/>
        <v>43.074009300000057</v>
      </c>
      <c r="AC71" s="535"/>
    </row>
    <row r="72" spans="1:29" ht="15.75" customHeight="1">
      <c r="A72" s="527">
        <v>69</v>
      </c>
      <c r="B72" s="547">
        <v>2</v>
      </c>
      <c r="C72" s="547">
        <v>7</v>
      </c>
      <c r="D72" s="547">
        <v>4</v>
      </c>
      <c r="E72" s="548" t="s">
        <v>214</v>
      </c>
      <c r="F72" s="549" t="s">
        <v>215</v>
      </c>
      <c r="G72" s="548" t="s">
        <v>34</v>
      </c>
      <c r="H72" s="550">
        <v>50580</v>
      </c>
      <c r="I72" s="551">
        <v>25</v>
      </c>
      <c r="J72" s="527">
        <v>10.378</v>
      </c>
      <c r="K72" s="528">
        <v>16.146999999999998</v>
      </c>
      <c r="L72" s="528">
        <v>11.074999999999999</v>
      </c>
      <c r="M72" s="528">
        <v>7.3789999999999996</v>
      </c>
      <c r="N72" s="528">
        <v>9.0329999999999995</v>
      </c>
      <c r="O72" s="528">
        <v>7.6999999999999999E-2</v>
      </c>
      <c r="P72" s="528">
        <v>8.5000000000000006E-2</v>
      </c>
      <c r="Q72" s="528">
        <v>0.104</v>
      </c>
      <c r="R72" s="528">
        <v>0.20699999999999999</v>
      </c>
      <c r="S72" s="552">
        <v>0.08</v>
      </c>
      <c r="T72" s="533">
        <f t="shared" si="18"/>
        <v>10.455</v>
      </c>
      <c r="U72" s="533">
        <f t="shared" si="19"/>
        <v>16.231999999999999</v>
      </c>
      <c r="V72" s="533">
        <f t="shared" si="20"/>
        <v>11.178999999999998</v>
      </c>
      <c r="W72" s="533">
        <f t="shared" si="21"/>
        <v>7.5859999999999994</v>
      </c>
      <c r="X72" s="533">
        <f t="shared" si="22"/>
        <v>9.1129999999999995</v>
      </c>
      <c r="Y72" s="533">
        <f t="shared" si="23"/>
        <v>10.913</v>
      </c>
      <c r="Z72" s="533">
        <f t="shared" si="24"/>
        <v>1091.3</v>
      </c>
      <c r="AA72" s="534">
        <f t="shared" si="25"/>
        <v>3.2741873037442484</v>
      </c>
      <c r="AB72" s="534">
        <f t="shared" si="26"/>
        <v>10.720302500000031</v>
      </c>
      <c r="AC72" s="535"/>
    </row>
    <row r="73" spans="1:29" ht="15.75" customHeight="1">
      <c r="A73" s="527">
        <v>70</v>
      </c>
      <c r="B73" s="547">
        <v>2</v>
      </c>
      <c r="C73" s="547">
        <v>3</v>
      </c>
      <c r="D73" s="547">
        <v>22</v>
      </c>
      <c r="E73" s="548" t="s">
        <v>122</v>
      </c>
      <c r="F73" s="549" t="s">
        <v>123</v>
      </c>
      <c r="G73" s="548" t="s">
        <v>34</v>
      </c>
      <c r="H73" s="550">
        <v>50732</v>
      </c>
      <c r="I73" s="551">
        <v>274</v>
      </c>
      <c r="J73" s="527">
        <v>62.848999999999997</v>
      </c>
      <c r="K73" s="527">
        <v>59.975000000000001</v>
      </c>
      <c r="L73" s="527">
        <v>47.197000000000003</v>
      </c>
      <c r="M73" s="527">
        <v>41.524000000000001</v>
      </c>
      <c r="N73" s="527">
        <v>52.255000000000003</v>
      </c>
      <c r="O73" s="528">
        <v>0.11700000000000001</v>
      </c>
      <c r="P73" s="528">
        <v>0.154</v>
      </c>
      <c r="Q73" s="528">
        <v>0.184</v>
      </c>
      <c r="R73" s="528">
        <v>0.20899999999999999</v>
      </c>
      <c r="S73" s="528">
        <v>0.20200000000000001</v>
      </c>
      <c r="T73" s="533">
        <f t="shared" si="18"/>
        <v>62.965999999999994</v>
      </c>
      <c r="U73" s="533">
        <f t="shared" si="19"/>
        <v>60.129000000000005</v>
      </c>
      <c r="V73" s="533">
        <f t="shared" si="20"/>
        <v>47.381</v>
      </c>
      <c r="W73" s="533">
        <f t="shared" si="21"/>
        <v>41.733000000000004</v>
      </c>
      <c r="X73" s="533">
        <f t="shared" si="22"/>
        <v>52.457000000000001</v>
      </c>
      <c r="Y73" s="533">
        <f t="shared" si="23"/>
        <v>52.933199999999999</v>
      </c>
      <c r="Z73" s="533">
        <f t="shared" si="24"/>
        <v>5293.32</v>
      </c>
      <c r="AA73" s="534">
        <f t="shared" si="25"/>
        <v>8.788270375904462</v>
      </c>
      <c r="AB73" s="534">
        <f t="shared" si="26"/>
        <v>77.23369619999994</v>
      </c>
      <c r="AC73" s="535"/>
    </row>
    <row r="74" spans="1:29" ht="15.75" customHeight="1">
      <c r="A74" s="527">
        <v>71</v>
      </c>
      <c r="B74" s="547">
        <v>2</v>
      </c>
      <c r="C74" s="547">
        <v>7</v>
      </c>
      <c r="D74" s="547">
        <v>4</v>
      </c>
      <c r="E74" s="548" t="s">
        <v>218</v>
      </c>
      <c r="F74" s="549" t="s">
        <v>219</v>
      </c>
      <c r="G74" s="548" t="s">
        <v>34</v>
      </c>
      <c r="H74" s="550">
        <v>50547</v>
      </c>
      <c r="I74" s="551">
        <v>73</v>
      </c>
      <c r="J74" s="527">
        <v>0.622</v>
      </c>
      <c r="K74" s="527">
        <v>0.54600000000000004</v>
      </c>
      <c r="L74" s="528">
        <v>0.57899999999999996</v>
      </c>
      <c r="M74" s="528">
        <v>0.67300000000000004</v>
      </c>
      <c r="N74" s="528">
        <v>0.61399999999999999</v>
      </c>
      <c r="O74" s="546">
        <v>0</v>
      </c>
      <c r="P74" s="546">
        <v>0</v>
      </c>
      <c r="Q74" s="546">
        <v>0</v>
      </c>
      <c r="R74" s="546">
        <v>0</v>
      </c>
      <c r="S74" s="546">
        <v>0</v>
      </c>
      <c r="T74" s="533">
        <f t="shared" si="18"/>
        <v>0.622</v>
      </c>
      <c r="U74" s="533">
        <f t="shared" si="19"/>
        <v>0.54600000000000004</v>
      </c>
      <c r="V74" s="533">
        <f t="shared" si="20"/>
        <v>0.57899999999999996</v>
      </c>
      <c r="W74" s="533">
        <f t="shared" si="21"/>
        <v>0.67300000000000004</v>
      </c>
      <c r="X74" s="533">
        <f t="shared" si="22"/>
        <v>0.61399999999999999</v>
      </c>
      <c r="Y74" s="533">
        <f t="shared" si="23"/>
        <v>0.60680000000000001</v>
      </c>
      <c r="Z74" s="533">
        <f t="shared" si="24"/>
        <v>60.68</v>
      </c>
      <c r="AA74" s="534">
        <f t="shared" si="25"/>
        <v>4.7788073826008103E-2</v>
      </c>
      <c r="AB74" s="534">
        <f t="shared" si="26"/>
        <v>2.2837000000000009E-3</v>
      </c>
      <c r="AC74" s="535" t="s">
        <v>370</v>
      </c>
    </row>
    <row r="75" spans="1:29" ht="15.75" customHeight="1">
      <c r="A75" s="527">
        <v>73</v>
      </c>
      <c r="B75" s="547">
        <v>2</v>
      </c>
      <c r="C75" s="547">
        <v>3</v>
      </c>
      <c r="D75" s="547">
        <v>21</v>
      </c>
      <c r="E75" s="548" t="s">
        <v>120</v>
      </c>
      <c r="F75" s="549" t="s">
        <v>121</v>
      </c>
      <c r="G75" s="548" t="s">
        <v>25</v>
      </c>
      <c r="H75" s="550">
        <v>50745</v>
      </c>
      <c r="I75" s="551">
        <v>131</v>
      </c>
      <c r="J75" s="527">
        <v>381.30099999999999</v>
      </c>
      <c r="K75" s="527">
        <v>399.733</v>
      </c>
      <c r="L75" s="527">
        <v>180.589</v>
      </c>
      <c r="M75" s="527">
        <v>220.791</v>
      </c>
      <c r="N75" s="527">
        <v>220.172</v>
      </c>
      <c r="O75" s="527">
        <v>2.1429999999999998</v>
      </c>
      <c r="P75" s="527">
        <v>3.089</v>
      </c>
      <c r="Q75" s="527">
        <v>2.0779999999999998</v>
      </c>
      <c r="R75" s="527">
        <v>2.121</v>
      </c>
      <c r="S75" s="528">
        <v>4.3159999999999998</v>
      </c>
      <c r="T75" s="533">
        <f t="shared" si="18"/>
        <v>383.44399999999996</v>
      </c>
      <c r="U75" s="533">
        <f t="shared" si="19"/>
        <v>402.822</v>
      </c>
      <c r="V75" s="533">
        <f t="shared" si="20"/>
        <v>182.667</v>
      </c>
      <c r="W75" s="533">
        <f t="shared" si="21"/>
        <v>222.91200000000001</v>
      </c>
      <c r="X75" s="533">
        <f t="shared" si="22"/>
        <v>224.488</v>
      </c>
      <c r="Y75" s="533">
        <f t="shared" si="23"/>
        <v>283.26660000000004</v>
      </c>
      <c r="Z75" s="533">
        <f t="shared" si="24"/>
        <v>28326.660000000003</v>
      </c>
      <c r="AA75" s="534">
        <f t="shared" si="25"/>
        <v>101.91526654432086</v>
      </c>
      <c r="AB75" s="534">
        <f t="shared" si="26"/>
        <v>10386.721554799966</v>
      </c>
      <c r="AC75" s="535"/>
    </row>
    <row r="76" spans="1:29" ht="15.75" customHeight="1">
      <c r="A76" s="527">
        <v>15</v>
      </c>
      <c r="B76" s="527">
        <v>2</v>
      </c>
      <c r="C76" s="527">
        <v>5</v>
      </c>
      <c r="D76" s="527">
        <v>5</v>
      </c>
      <c r="E76" s="528" t="s">
        <v>183</v>
      </c>
      <c r="F76" s="545" t="s">
        <v>417</v>
      </c>
      <c r="G76" s="528" t="s">
        <v>31</v>
      </c>
      <c r="H76" s="530">
        <v>50808</v>
      </c>
      <c r="I76" s="531">
        <v>363</v>
      </c>
      <c r="J76" s="527">
        <v>30.565999999999999</v>
      </c>
      <c r="K76" s="527">
        <v>24.064</v>
      </c>
      <c r="L76" s="527">
        <v>32.381</v>
      </c>
      <c r="M76" s="527">
        <v>20.577999999999999</v>
      </c>
      <c r="N76" s="527">
        <v>24.016999999999999</v>
      </c>
      <c r="O76" s="527">
        <v>0.29199999999999998</v>
      </c>
      <c r="P76" s="527">
        <v>0.33400000000000002</v>
      </c>
      <c r="Q76" s="527">
        <v>0.219</v>
      </c>
      <c r="R76" s="527">
        <v>0.28100000000000003</v>
      </c>
      <c r="S76" s="528">
        <v>0.29599999999999999</v>
      </c>
      <c r="T76" s="533">
        <f t="shared" si="18"/>
        <v>30.858000000000001</v>
      </c>
      <c r="U76" s="533">
        <f t="shared" si="19"/>
        <v>24.398</v>
      </c>
      <c r="V76" s="533">
        <f t="shared" si="20"/>
        <v>32.6</v>
      </c>
      <c r="W76" s="533">
        <f t="shared" si="21"/>
        <v>20.858999999999998</v>
      </c>
      <c r="X76" s="533">
        <f t="shared" si="22"/>
        <v>24.312999999999999</v>
      </c>
      <c r="Y76" s="533">
        <f t="shared" si="23"/>
        <v>26.605599999999999</v>
      </c>
      <c r="Z76" s="533">
        <f t="shared" si="24"/>
        <v>2660.56</v>
      </c>
      <c r="AA76" s="534">
        <f t="shared" si="25"/>
        <v>4.9287082790524295</v>
      </c>
      <c r="AB76" s="534">
        <f t="shared" si="26"/>
        <v>24.292165299999965</v>
      </c>
      <c r="AC76" s="535"/>
    </row>
    <row r="77" spans="1:29" ht="15.75" customHeight="1">
      <c r="A77" s="527">
        <v>74</v>
      </c>
      <c r="B77" s="547">
        <v>2</v>
      </c>
      <c r="C77" s="547">
        <v>4</v>
      </c>
      <c r="D77" s="547">
        <v>16</v>
      </c>
      <c r="E77" s="548" t="s">
        <v>167</v>
      </c>
      <c r="F77" s="549" t="s">
        <v>168</v>
      </c>
      <c r="G77" s="548" t="s">
        <v>31</v>
      </c>
      <c r="H77" s="550">
        <v>50865</v>
      </c>
      <c r="I77" s="551">
        <v>628</v>
      </c>
      <c r="J77" s="527">
        <f>8.142+6.423+7.949+7.726+7.613+0.941+9.813+8.137+9.175</f>
        <v>65.919000000000011</v>
      </c>
      <c r="K77" s="528">
        <v>39.182000000000002</v>
      </c>
      <c r="L77" s="528">
        <v>44.781999999999996</v>
      </c>
      <c r="M77" s="528">
        <f>8.076+55.465+6.281</f>
        <v>69.822000000000003</v>
      </c>
      <c r="N77" s="528">
        <v>80.835999999999999</v>
      </c>
      <c r="O77" s="528">
        <v>1.625</v>
      </c>
      <c r="P77" s="528">
        <v>1.1359999999999999</v>
      </c>
      <c r="Q77" s="528">
        <v>0.99199999999999999</v>
      </c>
      <c r="R77" s="528">
        <v>1.4710000000000001</v>
      </c>
      <c r="S77" s="528">
        <v>1.552</v>
      </c>
      <c r="T77" s="533">
        <f t="shared" si="18"/>
        <v>67.544000000000011</v>
      </c>
      <c r="U77" s="533">
        <f t="shared" si="19"/>
        <v>40.318000000000005</v>
      </c>
      <c r="V77" s="533">
        <f t="shared" si="20"/>
        <v>45.773999999999994</v>
      </c>
      <c r="W77" s="533">
        <f t="shared" si="21"/>
        <v>71.293000000000006</v>
      </c>
      <c r="X77" s="533">
        <f t="shared" si="22"/>
        <v>82.388000000000005</v>
      </c>
      <c r="Y77" s="533">
        <f t="shared" si="23"/>
        <v>61.4634</v>
      </c>
      <c r="Z77" s="533">
        <f t="shared" si="24"/>
        <v>6146.34</v>
      </c>
      <c r="AA77" s="534">
        <f t="shared" si="25"/>
        <v>17.781442792979426</v>
      </c>
      <c r="AB77" s="534">
        <f t="shared" si="26"/>
        <v>316.17970779999996</v>
      </c>
      <c r="AC77" s="535"/>
    </row>
    <row r="78" spans="1:29" ht="15.75" customHeight="1">
      <c r="A78" s="527">
        <v>75</v>
      </c>
      <c r="B78" s="547">
        <v>2</v>
      </c>
      <c r="C78" s="547">
        <v>3</v>
      </c>
      <c r="D78" s="547">
        <v>5</v>
      </c>
      <c r="E78" s="548" t="s">
        <v>89</v>
      </c>
      <c r="F78" s="549" t="s">
        <v>90</v>
      </c>
      <c r="G78" s="548" t="s">
        <v>34</v>
      </c>
      <c r="H78" s="550">
        <v>50854</v>
      </c>
      <c r="I78" s="551">
        <v>179</v>
      </c>
      <c r="J78" s="527">
        <v>111.233</v>
      </c>
      <c r="K78" s="528">
        <v>88.308999999999997</v>
      </c>
      <c r="L78" s="528">
        <v>110.956</v>
      </c>
      <c r="M78" s="528">
        <v>110.16800000000001</v>
      </c>
      <c r="N78" s="528">
        <v>166.69300000000001</v>
      </c>
      <c r="O78" s="528">
        <v>2.504</v>
      </c>
      <c r="P78" s="528">
        <v>1.7450000000000001</v>
      </c>
      <c r="Q78" s="528">
        <v>1.645</v>
      </c>
      <c r="R78" s="552">
        <v>2.34</v>
      </c>
      <c r="S78" s="528">
        <v>1.3460000000000001</v>
      </c>
      <c r="T78" s="533">
        <f t="shared" si="18"/>
        <v>113.73700000000001</v>
      </c>
      <c r="U78" s="533">
        <f t="shared" si="19"/>
        <v>90.054000000000002</v>
      </c>
      <c r="V78" s="533">
        <f t="shared" si="20"/>
        <v>112.601</v>
      </c>
      <c r="W78" s="533">
        <f t="shared" si="21"/>
        <v>112.50800000000001</v>
      </c>
      <c r="X78" s="533">
        <f t="shared" si="22"/>
        <v>168.03900000000002</v>
      </c>
      <c r="Y78" s="533">
        <f t="shared" si="23"/>
        <v>119.3878</v>
      </c>
      <c r="Z78" s="533">
        <f t="shared" si="24"/>
        <v>11938.78</v>
      </c>
      <c r="AA78" s="534">
        <f t="shared" si="25"/>
        <v>28.951402931464415</v>
      </c>
      <c r="AB78" s="534">
        <f t="shared" si="26"/>
        <v>838.18373170000632</v>
      </c>
      <c r="AC78" s="535"/>
    </row>
    <row r="79" spans="1:29" ht="15.75" customHeight="1">
      <c r="A79" s="527">
        <v>77</v>
      </c>
      <c r="B79" s="547">
        <v>2</v>
      </c>
      <c r="C79" s="547">
        <v>1</v>
      </c>
      <c r="D79" s="547">
        <v>9</v>
      </c>
      <c r="E79" s="548" t="s">
        <v>39</v>
      </c>
      <c r="F79" s="549" t="s">
        <v>42</v>
      </c>
      <c r="G79" s="548" t="s">
        <v>25</v>
      </c>
      <c r="H79" s="550">
        <v>50530</v>
      </c>
      <c r="I79" s="551">
        <v>48</v>
      </c>
      <c r="J79" s="527">
        <v>287.65199999999999</v>
      </c>
      <c r="K79" s="527">
        <v>304.33499999999998</v>
      </c>
      <c r="L79" s="527">
        <v>324.49599999999998</v>
      </c>
      <c r="M79" s="527">
        <v>386.26</v>
      </c>
      <c r="N79" s="527">
        <v>1357.7629999999999</v>
      </c>
      <c r="O79" s="552">
        <v>11.31</v>
      </c>
      <c r="P79" s="528">
        <v>9.4689999999999994</v>
      </c>
      <c r="Q79" s="552">
        <v>4.8899999999999997</v>
      </c>
      <c r="R79" s="528">
        <v>11.257999999999999</v>
      </c>
      <c r="S79" s="528">
        <v>3.8650000000000002</v>
      </c>
      <c r="T79" s="533">
        <f t="shared" si="18"/>
        <v>298.96199999999999</v>
      </c>
      <c r="U79" s="533">
        <f t="shared" si="19"/>
        <v>313.80399999999997</v>
      </c>
      <c r="V79" s="533">
        <f t="shared" si="20"/>
        <v>329.38599999999997</v>
      </c>
      <c r="W79" s="533">
        <f t="shared" si="21"/>
        <v>397.51799999999997</v>
      </c>
      <c r="X79" s="533">
        <f t="shared" si="22"/>
        <v>1361.6279999999999</v>
      </c>
      <c r="Y79" s="533">
        <f t="shared" si="23"/>
        <v>540.25959999999998</v>
      </c>
      <c r="Z79" s="533">
        <f t="shared" si="24"/>
        <v>54025.96</v>
      </c>
      <c r="AA79" s="534">
        <f t="shared" si="25"/>
        <v>460.70477493813746</v>
      </c>
      <c r="AB79" s="534">
        <f t="shared" si="26"/>
        <v>212248.88965079992</v>
      </c>
      <c r="AC79" s="535"/>
    </row>
    <row r="80" spans="1:29" ht="15.75" customHeight="1">
      <c r="A80" s="527">
        <v>76</v>
      </c>
      <c r="B80" s="547">
        <v>2</v>
      </c>
      <c r="C80" s="547">
        <v>8</v>
      </c>
      <c r="D80" s="547">
        <v>11</v>
      </c>
      <c r="E80" s="548" t="s">
        <v>237</v>
      </c>
      <c r="F80" s="549" t="s">
        <v>238</v>
      </c>
      <c r="G80" s="548" t="s">
        <v>25</v>
      </c>
      <c r="H80" s="550">
        <v>50751</v>
      </c>
      <c r="I80" s="551">
        <v>239</v>
      </c>
      <c r="J80" s="527">
        <v>57.064</v>
      </c>
      <c r="K80" s="527">
        <f>56.686+7.47</f>
        <v>64.156000000000006</v>
      </c>
      <c r="L80" s="527">
        <v>61.744</v>
      </c>
      <c r="M80" s="528">
        <v>95.326999999999998</v>
      </c>
      <c r="N80" s="528">
        <v>65.826999999999998</v>
      </c>
      <c r="O80" s="528">
        <v>0.51600000000000001</v>
      </c>
      <c r="P80" s="528">
        <v>0.61899999999999999</v>
      </c>
      <c r="Q80" s="528">
        <v>0.69599999999999995</v>
      </c>
      <c r="R80" s="528">
        <v>0.69199999999999995</v>
      </c>
      <c r="S80" s="528">
        <v>0.60899999999999999</v>
      </c>
      <c r="T80" s="533">
        <f t="shared" si="18"/>
        <v>57.58</v>
      </c>
      <c r="U80" s="533">
        <f t="shared" si="19"/>
        <v>64.775000000000006</v>
      </c>
      <c r="V80" s="533">
        <f t="shared" si="20"/>
        <v>62.44</v>
      </c>
      <c r="W80" s="533">
        <f t="shared" si="21"/>
        <v>96.018999999999991</v>
      </c>
      <c r="X80" s="533">
        <f t="shared" si="22"/>
        <v>66.435999999999993</v>
      </c>
      <c r="Y80" s="533">
        <f t="shared" si="23"/>
        <v>69.45</v>
      </c>
      <c r="Z80" s="533">
        <f t="shared" si="24"/>
        <v>6945</v>
      </c>
      <c r="AA80" s="534">
        <f t="shared" si="25"/>
        <v>15.22242245833425</v>
      </c>
      <c r="AB80" s="534">
        <f t="shared" si="26"/>
        <v>231.72214549999899</v>
      </c>
      <c r="AC80" s="535"/>
    </row>
    <row r="81" spans="1:35" ht="15.75" customHeight="1">
      <c r="A81" s="527">
        <v>78</v>
      </c>
      <c r="B81" s="547">
        <v>2</v>
      </c>
      <c r="C81" s="547">
        <v>6</v>
      </c>
      <c r="D81" s="547">
        <v>3</v>
      </c>
      <c r="E81" s="548" t="s">
        <v>199</v>
      </c>
      <c r="F81" s="549" t="s">
        <v>200</v>
      </c>
      <c r="G81" s="548" t="s">
        <v>34</v>
      </c>
      <c r="H81" s="550">
        <v>50603</v>
      </c>
      <c r="I81" s="551">
        <v>32</v>
      </c>
      <c r="J81" s="532">
        <v>82.06</v>
      </c>
      <c r="K81" s="527">
        <v>79.563999999999993</v>
      </c>
      <c r="L81" s="527">
        <v>211.00200000000001</v>
      </c>
      <c r="M81" s="527">
        <f>55.982+45.044</f>
        <v>101.026</v>
      </c>
      <c r="N81" s="527">
        <v>263.49599999999998</v>
      </c>
      <c r="O81" s="527">
        <v>7.7119999999999997</v>
      </c>
      <c r="P81" s="527">
        <v>7.4640000000000004</v>
      </c>
      <c r="Q81" s="527">
        <v>2.8530000000000002</v>
      </c>
      <c r="R81" s="527">
        <v>2.3969999999999998</v>
      </c>
      <c r="S81" s="528">
        <v>3.492</v>
      </c>
      <c r="T81" s="533">
        <f t="shared" si="18"/>
        <v>89.772000000000006</v>
      </c>
      <c r="U81" s="533">
        <f t="shared" si="19"/>
        <v>87.027999999999992</v>
      </c>
      <c r="V81" s="533">
        <f t="shared" si="20"/>
        <v>213.85500000000002</v>
      </c>
      <c r="W81" s="533">
        <f t="shared" si="21"/>
        <v>103.423</v>
      </c>
      <c r="X81" s="533">
        <f t="shared" si="22"/>
        <v>266.988</v>
      </c>
      <c r="Y81" s="533">
        <f t="shared" si="23"/>
        <v>152.2132</v>
      </c>
      <c r="Z81" s="533">
        <f t="shared" si="24"/>
        <v>15221.32</v>
      </c>
      <c r="AA81" s="534">
        <f t="shared" si="25"/>
        <v>82.91782618170835</v>
      </c>
      <c r="AB81" s="534">
        <f t="shared" si="26"/>
        <v>6875.3658986999981</v>
      </c>
      <c r="AC81" s="535"/>
    </row>
    <row r="82" spans="1:35" ht="19.5" customHeight="1">
      <c r="A82" s="562">
        <v>81</v>
      </c>
      <c r="B82" s="565">
        <v>2</v>
      </c>
      <c r="C82" s="565">
        <v>7</v>
      </c>
      <c r="D82" s="565">
        <v>7</v>
      </c>
      <c r="E82" s="565" t="s">
        <v>97</v>
      </c>
      <c r="F82" s="570" t="s">
        <v>409</v>
      </c>
      <c r="G82" s="565" t="s">
        <v>25</v>
      </c>
      <c r="H82" s="567">
        <v>50869</v>
      </c>
      <c r="I82" s="571">
        <v>214</v>
      </c>
      <c r="J82" s="527">
        <v>5.78</v>
      </c>
      <c r="K82" s="527">
        <v>2.7850000000000001</v>
      </c>
      <c r="L82" s="527">
        <v>6.883</v>
      </c>
      <c r="M82" s="527">
        <v>6.5540000000000003</v>
      </c>
      <c r="N82" s="527">
        <v>3.5289999999999999</v>
      </c>
      <c r="O82" s="528">
        <v>0.13400000000000001</v>
      </c>
      <c r="P82" s="528">
        <v>0.14299999999999999</v>
      </c>
      <c r="Q82" s="528">
        <v>4.4999999999999998E-2</v>
      </c>
      <c r="R82" s="528">
        <v>0.189</v>
      </c>
      <c r="S82" s="528">
        <v>7.6999999999999999E-2</v>
      </c>
      <c r="T82" s="533">
        <f t="shared" si="18"/>
        <v>5.9140000000000006</v>
      </c>
      <c r="U82" s="533">
        <f t="shared" si="19"/>
        <v>2.9279999999999999</v>
      </c>
      <c r="V82" s="533">
        <f t="shared" si="20"/>
        <v>6.9279999999999999</v>
      </c>
      <c r="W82" s="533">
        <f t="shared" si="21"/>
        <v>6.7430000000000003</v>
      </c>
      <c r="X82" s="533">
        <f t="shared" si="22"/>
        <v>3.6059999999999999</v>
      </c>
      <c r="Y82" s="533">
        <f t="shared" si="23"/>
        <v>5.2237999999999998</v>
      </c>
      <c r="Z82" s="533">
        <f t="shared" si="24"/>
        <v>522.38</v>
      </c>
      <c r="AA82" s="534">
        <f t="shared" si="25"/>
        <v>1.8423230444197356</v>
      </c>
      <c r="AB82" s="534">
        <f t="shared" si="26"/>
        <v>3.3941542000000027</v>
      </c>
      <c r="AC82" s="535"/>
      <c r="AD82" s="170"/>
      <c r="AE82" s="170"/>
      <c r="AF82" s="170"/>
      <c r="AG82" s="170"/>
      <c r="AH82" s="170"/>
      <c r="AI82" s="170"/>
    </row>
    <row r="83" spans="1:35" ht="15.75" customHeight="1">
      <c r="A83" s="536">
        <v>79</v>
      </c>
      <c r="B83" s="564">
        <v>2</v>
      </c>
      <c r="C83" s="564">
        <v>3</v>
      </c>
      <c r="D83" s="564">
        <v>9</v>
      </c>
      <c r="E83" s="565" t="s">
        <v>97</v>
      </c>
      <c r="F83" s="566" t="s">
        <v>98</v>
      </c>
      <c r="G83" s="565" t="s">
        <v>68</v>
      </c>
      <c r="H83" s="567">
        <v>50845</v>
      </c>
      <c r="I83" s="568">
        <v>459</v>
      </c>
      <c r="J83" s="536">
        <v>18.396999999999998</v>
      </c>
      <c r="K83" s="536">
        <v>13.773999999999999</v>
      </c>
      <c r="L83" s="536">
        <v>19.436</v>
      </c>
      <c r="M83" s="536">
        <v>15.923999999999999</v>
      </c>
      <c r="N83" s="536">
        <v>16.956</v>
      </c>
      <c r="O83" s="536">
        <v>0.31</v>
      </c>
      <c r="P83" s="536">
        <v>0.26300000000000001</v>
      </c>
      <c r="Q83" s="536">
        <v>0.38400000000000001</v>
      </c>
      <c r="R83" s="536">
        <v>0.28799999999999998</v>
      </c>
      <c r="S83" s="536">
        <v>0.437</v>
      </c>
      <c r="T83" s="533">
        <f t="shared" si="18"/>
        <v>18.706999999999997</v>
      </c>
      <c r="U83" s="533">
        <f t="shared" si="19"/>
        <v>14.036999999999999</v>
      </c>
      <c r="V83" s="533">
        <f t="shared" si="20"/>
        <v>19.82</v>
      </c>
      <c r="W83" s="533">
        <f t="shared" si="21"/>
        <v>16.212</v>
      </c>
      <c r="X83" s="533">
        <f t="shared" si="22"/>
        <v>17.393000000000001</v>
      </c>
      <c r="Y83" s="533">
        <f t="shared" si="23"/>
        <v>17.233799999999999</v>
      </c>
      <c r="Z83" s="533">
        <f t="shared" si="24"/>
        <v>1723.3799999999999</v>
      </c>
      <c r="AA83" s="534">
        <f t="shared" si="25"/>
        <v>2.2443094038033138</v>
      </c>
      <c r="AB83" s="534">
        <f t="shared" si="26"/>
        <v>5.0369246999999859</v>
      </c>
      <c r="AC83" s="558"/>
    </row>
    <row r="84" spans="1:35" ht="15.75" customHeight="1">
      <c r="A84" s="527">
        <v>80</v>
      </c>
      <c r="B84" s="548">
        <v>2</v>
      </c>
      <c r="C84" s="548">
        <v>7</v>
      </c>
      <c r="D84" s="548">
        <v>11</v>
      </c>
      <c r="E84" s="548" t="s">
        <v>224</v>
      </c>
      <c r="F84" s="549" t="s">
        <v>225</v>
      </c>
      <c r="G84" s="548" t="s">
        <v>25</v>
      </c>
      <c r="H84" s="550">
        <v>50872</v>
      </c>
      <c r="I84" s="569">
        <v>200</v>
      </c>
      <c r="J84" s="527">
        <v>21.367999999999999</v>
      </c>
      <c r="K84" s="528">
        <v>55.877000000000002</v>
      </c>
      <c r="L84" s="528">
        <v>34.771999999999998</v>
      </c>
      <c r="M84" s="528">
        <v>52.747</v>
      </c>
      <c r="N84" s="528">
        <v>50.838000000000001</v>
      </c>
      <c r="O84" s="528">
        <v>0.624</v>
      </c>
      <c r="P84" s="528">
        <v>0.38500000000000001</v>
      </c>
      <c r="Q84" s="528">
        <v>0.90600000000000003</v>
      </c>
      <c r="R84" s="528">
        <v>0.42199999999999999</v>
      </c>
      <c r="S84" s="528">
        <v>0.77800000000000002</v>
      </c>
      <c r="T84" s="533">
        <f t="shared" si="18"/>
        <v>21.991999999999997</v>
      </c>
      <c r="U84" s="533">
        <f t="shared" si="19"/>
        <v>56.262</v>
      </c>
      <c r="V84" s="533">
        <f t="shared" si="20"/>
        <v>35.677999999999997</v>
      </c>
      <c r="W84" s="533">
        <f t="shared" si="21"/>
        <v>53.168999999999997</v>
      </c>
      <c r="X84" s="533">
        <f t="shared" si="22"/>
        <v>51.616</v>
      </c>
      <c r="Y84" s="533">
        <f t="shared" si="23"/>
        <v>43.743399999999994</v>
      </c>
      <c r="Z84" s="533">
        <f t="shared" si="24"/>
        <v>4374.3399999999992</v>
      </c>
      <c r="AA84" s="534">
        <f t="shared" si="25"/>
        <v>14.540539804285117</v>
      </c>
      <c r="AB84" s="534">
        <f t="shared" si="26"/>
        <v>211.42729779999991</v>
      </c>
      <c r="AC84" s="535"/>
    </row>
    <row r="85" spans="1:35" ht="15.75" customHeight="1">
      <c r="A85" s="562">
        <v>82</v>
      </c>
      <c r="B85" s="547">
        <v>2</v>
      </c>
      <c r="C85" s="547">
        <v>3</v>
      </c>
      <c r="D85" s="547">
        <v>1</v>
      </c>
      <c r="E85" s="548" t="s">
        <v>78</v>
      </c>
      <c r="F85" s="549" t="s">
        <v>79</v>
      </c>
      <c r="G85" s="548" t="s">
        <v>31</v>
      </c>
      <c r="H85" s="550">
        <v>50801</v>
      </c>
      <c r="I85" s="551">
        <v>371</v>
      </c>
      <c r="J85" s="527">
        <v>11.988</v>
      </c>
      <c r="K85" s="527">
        <v>10.678000000000001</v>
      </c>
      <c r="L85" s="527">
        <v>12.239000000000001</v>
      </c>
      <c r="M85" s="527">
        <v>11.414999999999999</v>
      </c>
      <c r="N85" s="528">
        <v>15.682</v>
      </c>
      <c r="O85" s="528">
        <v>0.16200000000000001</v>
      </c>
      <c r="P85" s="528">
        <v>0.25</v>
      </c>
      <c r="Q85" s="528">
        <v>0.16500000000000001</v>
      </c>
      <c r="R85" s="528">
        <v>0.19700000000000001</v>
      </c>
      <c r="S85" s="528">
        <v>0.183</v>
      </c>
      <c r="T85" s="533">
        <f t="shared" si="18"/>
        <v>12.15</v>
      </c>
      <c r="U85" s="533">
        <f t="shared" si="19"/>
        <v>10.928000000000001</v>
      </c>
      <c r="V85" s="533">
        <f t="shared" si="20"/>
        <v>12.404</v>
      </c>
      <c r="W85" s="533">
        <f t="shared" si="21"/>
        <v>11.611999999999998</v>
      </c>
      <c r="X85" s="533">
        <f t="shared" si="22"/>
        <v>15.865</v>
      </c>
      <c r="Y85" s="533">
        <f t="shared" si="23"/>
        <v>12.591799999999999</v>
      </c>
      <c r="Z85" s="533">
        <f t="shared" si="24"/>
        <v>1259.1799999999998</v>
      </c>
      <c r="AA85" s="534">
        <f t="shared" si="25"/>
        <v>1.9152371132577888</v>
      </c>
      <c r="AB85" s="534">
        <f t="shared" si="26"/>
        <v>3.6681332000000282</v>
      </c>
      <c r="AC85" s="535"/>
    </row>
    <row r="86" spans="1:35" ht="15.75" customHeight="1">
      <c r="A86" s="527">
        <v>83</v>
      </c>
      <c r="B86" s="547">
        <v>2</v>
      </c>
      <c r="C86" s="547">
        <v>4</v>
      </c>
      <c r="D86" s="547">
        <v>20</v>
      </c>
      <c r="E86" s="548" t="s">
        <v>173</v>
      </c>
      <c r="F86" s="549" t="s">
        <v>174</v>
      </c>
      <c r="G86" s="548" t="s">
        <v>25</v>
      </c>
      <c r="H86" s="550">
        <v>50678</v>
      </c>
      <c r="I86" s="551">
        <v>4</v>
      </c>
      <c r="J86" s="527">
        <v>52.89</v>
      </c>
      <c r="K86" s="527">
        <v>37.997</v>
      </c>
      <c r="L86" s="527">
        <v>30.091000000000001</v>
      </c>
      <c r="M86" s="527">
        <v>12.214</v>
      </c>
      <c r="N86" s="527">
        <v>0</v>
      </c>
      <c r="O86" s="528">
        <v>0.23</v>
      </c>
      <c r="P86" s="528">
        <v>1.018</v>
      </c>
      <c r="Q86" s="528">
        <v>1.3049999999999999</v>
      </c>
      <c r="R86" s="528">
        <v>1.3779999999999999</v>
      </c>
      <c r="S86" s="527">
        <v>0</v>
      </c>
      <c r="T86" s="533">
        <f t="shared" si="18"/>
        <v>53.12</v>
      </c>
      <c r="U86" s="533">
        <f t="shared" si="19"/>
        <v>39.015000000000001</v>
      </c>
      <c r="V86" s="533">
        <f t="shared" si="20"/>
        <v>31.396000000000001</v>
      </c>
      <c r="W86" s="533">
        <f t="shared" si="21"/>
        <v>13.592000000000001</v>
      </c>
      <c r="X86" s="533">
        <f t="shared" si="22"/>
        <v>0</v>
      </c>
      <c r="Y86" s="533">
        <f t="shared" si="23"/>
        <v>27.424599999999998</v>
      </c>
      <c r="Z86" s="533">
        <f t="shared" si="24"/>
        <v>2742.46</v>
      </c>
      <c r="AA86" s="534">
        <f t="shared" si="25"/>
        <v>20.939272188879922</v>
      </c>
      <c r="AB86" s="534">
        <f t="shared" si="26"/>
        <v>438.4531198000002</v>
      </c>
      <c r="AC86" s="535" t="s">
        <v>377</v>
      </c>
    </row>
    <row r="87" spans="1:35" ht="15.75" customHeight="1">
      <c r="A87" s="527">
        <v>84</v>
      </c>
      <c r="B87" s="547">
        <v>2</v>
      </c>
      <c r="C87" s="547">
        <v>1</v>
      </c>
      <c r="D87" s="547">
        <v>16</v>
      </c>
      <c r="E87" s="572" t="s">
        <v>58</v>
      </c>
      <c r="F87" s="573" t="s">
        <v>59</v>
      </c>
      <c r="G87" s="547" t="s">
        <v>31</v>
      </c>
      <c r="H87" s="574">
        <v>50797</v>
      </c>
      <c r="I87" s="551">
        <v>311</v>
      </c>
      <c r="J87" s="527">
        <v>92.388000000000005</v>
      </c>
      <c r="K87" s="527">
        <v>103.879</v>
      </c>
      <c r="L87" s="527">
        <v>85.137</v>
      </c>
      <c r="M87" s="527">
        <v>83.007999999999996</v>
      </c>
      <c r="N87" s="527">
        <v>49.798000000000002</v>
      </c>
      <c r="O87" s="546">
        <v>0</v>
      </c>
      <c r="P87" s="546">
        <v>0</v>
      </c>
      <c r="Q87" s="546">
        <v>0</v>
      </c>
      <c r="R87" s="546">
        <v>0</v>
      </c>
      <c r="S87" s="546">
        <v>0</v>
      </c>
      <c r="T87" s="533">
        <f t="shared" si="18"/>
        <v>92.388000000000005</v>
      </c>
      <c r="U87" s="533">
        <f t="shared" si="19"/>
        <v>103.879</v>
      </c>
      <c r="V87" s="533">
        <f t="shared" si="20"/>
        <v>85.137</v>
      </c>
      <c r="W87" s="533">
        <f t="shared" si="21"/>
        <v>83.007999999999996</v>
      </c>
      <c r="X87" s="533">
        <f t="shared" si="22"/>
        <v>49.798000000000002</v>
      </c>
      <c r="Y87" s="533">
        <f t="shared" si="23"/>
        <v>82.841999999999999</v>
      </c>
      <c r="Z87" s="533">
        <f t="shared" si="24"/>
        <v>8284.2000000000007</v>
      </c>
      <c r="AA87" s="534">
        <f t="shared" si="25"/>
        <v>20.192090047838075</v>
      </c>
      <c r="AB87" s="534">
        <f t="shared" si="26"/>
        <v>407.72050050000144</v>
      </c>
      <c r="AC87" s="535" t="s">
        <v>372</v>
      </c>
      <c r="AD87" s="427"/>
      <c r="AE87" s="427"/>
      <c r="AF87" s="427"/>
      <c r="AG87" s="427"/>
      <c r="AH87" s="427"/>
      <c r="AI87" s="427"/>
    </row>
    <row r="88" spans="1:35" ht="15.75" customHeight="1">
      <c r="A88" s="527">
        <v>85</v>
      </c>
      <c r="B88" s="547">
        <v>2</v>
      </c>
      <c r="C88" s="547">
        <v>4</v>
      </c>
      <c r="D88" s="547">
        <v>21</v>
      </c>
      <c r="E88" s="548" t="s">
        <v>177</v>
      </c>
      <c r="F88" s="549" t="s">
        <v>178</v>
      </c>
      <c r="G88" s="548" t="s">
        <v>31</v>
      </c>
      <c r="H88" s="550">
        <v>50861</v>
      </c>
      <c r="I88" s="551">
        <v>714</v>
      </c>
      <c r="J88" s="527">
        <v>63.901000000000003</v>
      </c>
      <c r="K88" s="527">
        <v>51.246000000000002</v>
      </c>
      <c r="L88" s="527">
        <v>33.890999999999998</v>
      </c>
      <c r="M88" s="527">
        <v>33.085000000000001</v>
      </c>
      <c r="N88" s="527">
        <v>61.167000000000002</v>
      </c>
      <c r="O88" s="527">
        <v>0.34599999999999997</v>
      </c>
      <c r="P88" s="527">
        <v>0.55000000000000004</v>
      </c>
      <c r="Q88" s="528">
        <v>0.33400000000000002</v>
      </c>
      <c r="R88" s="528">
        <v>0.19700000000000001</v>
      </c>
      <c r="S88" s="528">
        <v>0.26500000000000001</v>
      </c>
      <c r="T88" s="533">
        <f t="shared" si="18"/>
        <v>64.247</v>
      </c>
      <c r="U88" s="533">
        <f t="shared" si="19"/>
        <v>51.795999999999999</v>
      </c>
      <c r="V88" s="533">
        <f t="shared" si="20"/>
        <v>34.225000000000001</v>
      </c>
      <c r="W88" s="533">
        <f t="shared" si="21"/>
        <v>33.282000000000004</v>
      </c>
      <c r="X88" s="533">
        <f t="shared" si="22"/>
        <v>61.432000000000002</v>
      </c>
      <c r="Y88" s="533">
        <f t="shared" si="23"/>
        <v>48.996400000000008</v>
      </c>
      <c r="Z88" s="533">
        <f t="shared" si="24"/>
        <v>4899.6400000000012</v>
      </c>
      <c r="AA88" s="534">
        <f t="shared" si="25"/>
        <v>14.66457750158521</v>
      </c>
      <c r="AB88" s="534">
        <f t="shared" si="26"/>
        <v>215.04983329999914</v>
      </c>
      <c r="AC88" s="535"/>
    </row>
    <row r="89" spans="1:35" ht="15.75" customHeight="1">
      <c r="A89" s="527">
        <v>86</v>
      </c>
      <c r="B89" s="547">
        <v>2</v>
      </c>
      <c r="C89" s="547">
        <v>4</v>
      </c>
      <c r="D89" s="547">
        <v>15</v>
      </c>
      <c r="E89" s="548" t="s">
        <v>158</v>
      </c>
      <c r="F89" s="563" t="s">
        <v>410</v>
      </c>
      <c r="G89" s="548" t="s">
        <v>31</v>
      </c>
      <c r="H89" s="550">
        <v>50849</v>
      </c>
      <c r="I89" s="551">
        <v>27</v>
      </c>
      <c r="J89" s="527">
        <v>49.399000000000001</v>
      </c>
      <c r="K89" s="528">
        <v>30.094000000000001</v>
      </c>
      <c r="L89" s="528">
        <v>50.472000000000001</v>
      </c>
      <c r="M89" s="528">
        <v>48.131</v>
      </c>
      <c r="N89" s="528">
        <v>54.853999999999999</v>
      </c>
      <c r="O89" s="528">
        <v>0.46800000000000003</v>
      </c>
      <c r="P89" s="528">
        <v>0.26100000000000001</v>
      </c>
      <c r="Q89" s="528">
        <v>0.34799999999999998</v>
      </c>
      <c r="R89" s="528">
        <v>0.27200000000000002</v>
      </c>
      <c r="S89" s="528">
        <v>0.38300000000000001</v>
      </c>
      <c r="T89" s="533">
        <f t="shared" si="18"/>
        <v>49.867000000000004</v>
      </c>
      <c r="U89" s="533">
        <f t="shared" si="19"/>
        <v>30.355</v>
      </c>
      <c r="V89" s="533">
        <f t="shared" si="20"/>
        <v>50.82</v>
      </c>
      <c r="W89" s="533">
        <f t="shared" si="21"/>
        <v>48.402999999999999</v>
      </c>
      <c r="X89" s="533">
        <f t="shared" si="22"/>
        <v>55.237000000000002</v>
      </c>
      <c r="Y89" s="533">
        <f t="shared" si="23"/>
        <v>46.936399999999999</v>
      </c>
      <c r="Z89" s="533">
        <f t="shared" si="24"/>
        <v>4693.6400000000003</v>
      </c>
      <c r="AA89" s="534">
        <f t="shared" si="25"/>
        <v>9.6133301618117777</v>
      </c>
      <c r="AB89" s="534">
        <f t="shared" si="26"/>
        <v>92.416116800000054</v>
      </c>
      <c r="AC89" s="535"/>
    </row>
    <row r="90" spans="1:35" ht="16.5" customHeight="1">
      <c r="A90" s="527">
        <v>87</v>
      </c>
      <c r="B90" s="547">
        <v>2</v>
      </c>
      <c r="C90" s="547">
        <v>3</v>
      </c>
      <c r="D90" s="547">
        <v>3</v>
      </c>
      <c r="E90" s="548" t="s">
        <v>72</v>
      </c>
      <c r="F90" s="563" t="s">
        <v>411</v>
      </c>
      <c r="G90" s="548" t="s">
        <v>68</v>
      </c>
      <c r="H90" s="550">
        <v>50618</v>
      </c>
      <c r="I90" s="551">
        <v>96</v>
      </c>
      <c r="J90" s="527">
        <v>2.3919999999999999</v>
      </c>
      <c r="K90" s="527">
        <v>1.804</v>
      </c>
      <c r="L90" s="527">
        <v>2.6190000000000002</v>
      </c>
      <c r="M90" s="527">
        <v>3.5009999999999999</v>
      </c>
      <c r="N90" s="527">
        <v>3.2869999999999999</v>
      </c>
      <c r="O90" s="546">
        <v>0</v>
      </c>
      <c r="P90" s="546">
        <v>0</v>
      </c>
      <c r="Q90" s="559">
        <v>0</v>
      </c>
      <c r="R90" s="559">
        <v>0</v>
      </c>
      <c r="S90" s="559">
        <v>0</v>
      </c>
      <c r="T90" s="533">
        <f t="shared" si="18"/>
        <v>2.3919999999999999</v>
      </c>
      <c r="U90" s="533">
        <f t="shared" si="19"/>
        <v>1.804</v>
      </c>
      <c r="V90" s="533">
        <f t="shared" si="20"/>
        <v>2.6190000000000002</v>
      </c>
      <c r="W90" s="533">
        <f t="shared" si="21"/>
        <v>3.5009999999999999</v>
      </c>
      <c r="X90" s="533">
        <f t="shared" si="22"/>
        <v>3.2869999999999999</v>
      </c>
      <c r="Y90" s="533">
        <f t="shared" si="23"/>
        <v>2.7205999999999997</v>
      </c>
      <c r="Z90" s="533">
        <f t="shared" si="24"/>
        <v>272.05999999999995</v>
      </c>
      <c r="AA90" s="534">
        <f t="shared" si="25"/>
        <v>0.68707517783718719</v>
      </c>
      <c r="AB90" s="534">
        <f t="shared" si="26"/>
        <v>0.47207230000000244</v>
      </c>
      <c r="AC90" s="535" t="s">
        <v>370</v>
      </c>
    </row>
    <row r="91" spans="1:35" ht="15.75" customHeight="1">
      <c r="A91" s="527">
        <v>88</v>
      </c>
      <c r="B91" s="527">
        <v>2</v>
      </c>
      <c r="C91" s="527">
        <v>3</v>
      </c>
      <c r="D91" s="527">
        <v>7</v>
      </c>
      <c r="E91" s="528" t="s">
        <v>93</v>
      </c>
      <c r="F91" s="529" t="s">
        <v>94</v>
      </c>
      <c r="G91" s="528" t="s">
        <v>34</v>
      </c>
      <c r="H91" s="530">
        <v>50604</v>
      </c>
      <c r="I91" s="531">
        <v>350</v>
      </c>
      <c r="J91" s="527">
        <v>17.427</v>
      </c>
      <c r="K91" s="527">
        <v>10.95</v>
      </c>
      <c r="L91" s="527">
        <v>17.574000000000002</v>
      </c>
      <c r="M91" s="527">
        <v>12.786</v>
      </c>
      <c r="N91" s="527">
        <v>15.086</v>
      </c>
      <c r="O91" s="527">
        <v>0.187</v>
      </c>
      <c r="P91" s="527">
        <v>0.19400000000000001</v>
      </c>
      <c r="Q91" s="527">
        <v>0.158</v>
      </c>
      <c r="R91" s="527">
        <v>0.128</v>
      </c>
      <c r="S91" s="528">
        <v>4.3999999999999997E-2</v>
      </c>
      <c r="T91" s="533">
        <f t="shared" si="18"/>
        <v>17.614000000000001</v>
      </c>
      <c r="U91" s="533">
        <f t="shared" si="19"/>
        <v>11.144</v>
      </c>
      <c r="V91" s="533">
        <f t="shared" si="20"/>
        <v>17.732000000000003</v>
      </c>
      <c r="W91" s="533">
        <f t="shared" si="21"/>
        <v>12.914</v>
      </c>
      <c r="X91" s="533">
        <f t="shared" si="22"/>
        <v>15.13</v>
      </c>
      <c r="Y91" s="533">
        <f t="shared" si="23"/>
        <v>14.9068</v>
      </c>
      <c r="Z91" s="533">
        <f t="shared" si="24"/>
        <v>1490.68</v>
      </c>
      <c r="AA91" s="534">
        <f t="shared" si="25"/>
        <v>2.8935454376940428</v>
      </c>
      <c r="AB91" s="534">
        <f t="shared" si="26"/>
        <v>8.3726052000000095</v>
      </c>
      <c r="AC91" s="535"/>
    </row>
    <row r="92" spans="1:35" ht="15.75" customHeight="1">
      <c r="A92" s="3"/>
      <c r="B92" s="3"/>
      <c r="C92" s="3"/>
      <c r="D92" s="3"/>
      <c r="E92" s="3"/>
      <c r="F92" s="4"/>
      <c r="G92" s="3"/>
      <c r="H92" s="3"/>
      <c r="I92" s="10"/>
      <c r="J92" s="3"/>
      <c r="K92" s="3"/>
      <c r="L92" s="3"/>
      <c r="M92" s="3"/>
      <c r="N92" s="3"/>
      <c r="O92" s="3"/>
      <c r="P92" s="3"/>
      <c r="Q92" s="3"/>
      <c r="R92" s="3"/>
      <c r="S92" s="3"/>
      <c r="T92" s="438"/>
      <c r="U92" s="438"/>
      <c r="V92" s="438"/>
      <c r="W92" s="438"/>
      <c r="X92" s="438"/>
      <c r="Y92" s="439"/>
      <c r="Z92" s="439"/>
      <c r="AA92" s="440"/>
      <c r="AB92" s="440"/>
      <c r="AC92" s="176"/>
    </row>
    <row r="93" spans="1:35">
      <c r="A93" s="3"/>
      <c r="B93" s="3"/>
      <c r="C93" s="3"/>
      <c r="D93" s="3"/>
      <c r="E93" s="3"/>
      <c r="F93" s="4"/>
      <c r="G93" s="3"/>
      <c r="H93" s="3"/>
      <c r="I93" s="10"/>
      <c r="J93" s="3"/>
      <c r="K93" s="3"/>
      <c r="L93" s="3"/>
      <c r="M93" s="3"/>
      <c r="N93" s="3"/>
      <c r="O93" s="3"/>
      <c r="P93" s="3"/>
      <c r="Q93" s="3"/>
      <c r="R93" s="3"/>
      <c r="S93" s="3"/>
      <c r="T93" s="438"/>
      <c r="U93" s="438"/>
      <c r="V93" s="438"/>
      <c r="W93" s="438"/>
      <c r="X93" s="438"/>
      <c r="Y93" s="439"/>
      <c r="Z93" s="439"/>
      <c r="AA93" s="440"/>
      <c r="AB93" s="440"/>
      <c r="AC93" s="176"/>
    </row>
    <row r="94" spans="1:35">
      <c r="A94" s="3"/>
      <c r="B94" s="3"/>
      <c r="C94" s="3"/>
      <c r="D94" s="3"/>
      <c r="E94" s="3"/>
      <c r="F94" s="4"/>
      <c r="G94" s="3"/>
      <c r="H94" s="3"/>
      <c r="I94" s="10"/>
      <c r="J94" s="3"/>
      <c r="K94" s="3"/>
      <c r="L94" s="3"/>
      <c r="M94" s="3"/>
      <c r="N94" s="3"/>
      <c r="O94" s="3"/>
      <c r="P94" s="3"/>
      <c r="Q94" s="3"/>
      <c r="R94" s="3"/>
      <c r="S94" s="3"/>
      <c r="T94" s="438"/>
      <c r="U94" s="438"/>
      <c r="V94" s="438"/>
      <c r="W94" s="438"/>
      <c r="X94" s="438"/>
      <c r="Y94" s="439"/>
      <c r="Z94" s="439"/>
      <c r="AA94" s="440"/>
      <c r="AB94" s="440"/>
      <c r="AC94" s="176"/>
    </row>
    <row r="95" spans="1:35">
      <c r="A95" s="3"/>
      <c r="B95" s="3"/>
      <c r="C95" s="3"/>
      <c r="D95" s="3"/>
      <c r="E95" s="3"/>
      <c r="F95" s="4"/>
      <c r="G95" s="3"/>
      <c r="H95" s="3"/>
      <c r="I95" s="10"/>
      <c r="J95" s="3"/>
      <c r="K95" s="3"/>
      <c r="L95" s="3"/>
      <c r="M95" s="3"/>
      <c r="N95" s="3"/>
      <c r="O95" s="3"/>
      <c r="P95" s="3"/>
      <c r="Q95" s="3"/>
      <c r="R95" s="3"/>
      <c r="S95" s="3"/>
      <c r="T95" s="438"/>
      <c r="U95" s="438"/>
      <c r="V95" s="438"/>
      <c r="W95" s="438"/>
      <c r="X95" s="438"/>
      <c r="Y95" s="439"/>
      <c r="Z95" s="439"/>
      <c r="AA95" s="440"/>
      <c r="AB95" s="440"/>
      <c r="AC95" s="176"/>
    </row>
    <row r="96" spans="1:35">
      <c r="A96" s="3"/>
      <c r="B96" s="3"/>
      <c r="C96" s="3"/>
      <c r="D96" s="3"/>
      <c r="E96" s="3"/>
      <c r="F96" s="4"/>
      <c r="G96" s="3"/>
      <c r="H96" s="3"/>
      <c r="I96" s="10"/>
      <c r="J96" s="3"/>
      <c r="K96" s="3"/>
      <c r="L96" s="3"/>
      <c r="M96" s="3"/>
      <c r="N96" s="3"/>
      <c r="O96" s="3"/>
      <c r="P96" s="3"/>
      <c r="Q96" s="3"/>
      <c r="R96" s="3"/>
      <c r="S96" s="3"/>
      <c r="T96" s="438"/>
      <c r="U96" s="438"/>
      <c r="V96" s="438"/>
      <c r="W96" s="438"/>
      <c r="X96" s="438"/>
      <c r="Y96" s="439"/>
      <c r="Z96" s="439"/>
      <c r="AA96" s="440"/>
      <c r="AB96" s="440"/>
      <c r="AC96" s="176"/>
    </row>
    <row r="97" spans="1:29">
      <c r="A97" s="3"/>
      <c r="B97" s="3"/>
      <c r="C97" s="3"/>
      <c r="D97" s="3"/>
      <c r="E97" s="3"/>
      <c r="F97" s="4"/>
      <c r="G97" s="3"/>
      <c r="H97" s="3"/>
      <c r="I97" s="10"/>
      <c r="J97" s="3"/>
      <c r="K97" s="3"/>
      <c r="L97" s="3"/>
      <c r="M97" s="3"/>
      <c r="N97" s="3"/>
      <c r="O97" s="3"/>
      <c r="P97" s="3"/>
      <c r="Q97" s="3"/>
      <c r="R97" s="3"/>
      <c r="S97" s="3"/>
      <c r="T97" s="438"/>
      <c r="U97" s="438"/>
      <c r="V97" s="438"/>
      <c r="W97" s="438"/>
      <c r="X97" s="438"/>
      <c r="Y97" s="439"/>
      <c r="Z97" s="439"/>
      <c r="AA97" s="440"/>
      <c r="AB97" s="440"/>
      <c r="AC97" s="176"/>
    </row>
    <row r="98" spans="1:29">
      <c r="A98" s="3"/>
      <c r="B98" s="3"/>
      <c r="C98" s="3"/>
      <c r="D98" s="3"/>
      <c r="E98" s="3"/>
      <c r="F98" s="4"/>
      <c r="G98" s="3"/>
      <c r="H98" s="3"/>
      <c r="I98" s="10"/>
      <c r="J98" s="3"/>
      <c r="K98" s="3"/>
      <c r="L98" s="3"/>
      <c r="M98" s="3"/>
      <c r="N98" s="3"/>
      <c r="O98" s="3"/>
      <c r="P98" s="3"/>
      <c r="Q98" s="3"/>
      <c r="R98" s="3"/>
      <c r="S98" s="3"/>
      <c r="T98" s="438"/>
      <c r="U98" s="438"/>
      <c r="V98" s="438"/>
      <c r="W98" s="438"/>
      <c r="X98" s="438"/>
      <c r="Y98" s="439"/>
      <c r="Z98" s="439"/>
      <c r="AA98" s="440"/>
      <c r="AB98" s="440"/>
      <c r="AC98" s="176"/>
    </row>
    <row r="99" spans="1:29">
      <c r="A99" s="3"/>
      <c r="B99" s="3"/>
      <c r="C99" s="3"/>
      <c r="D99" s="3"/>
      <c r="E99" s="3"/>
      <c r="F99" s="4"/>
      <c r="G99" s="3"/>
      <c r="H99" s="3"/>
      <c r="I99" s="10"/>
      <c r="J99" s="3"/>
      <c r="K99" s="3"/>
      <c r="L99" s="3"/>
      <c r="M99" s="3"/>
      <c r="N99" s="3"/>
      <c r="O99" s="3"/>
      <c r="P99" s="3"/>
      <c r="Q99" s="3"/>
      <c r="R99" s="3"/>
      <c r="S99" s="3"/>
      <c r="T99" s="438"/>
      <c r="U99" s="438"/>
      <c r="V99" s="438"/>
      <c r="W99" s="438"/>
      <c r="X99" s="438"/>
      <c r="Y99" s="439"/>
      <c r="Z99" s="439"/>
      <c r="AA99" s="440"/>
      <c r="AB99" s="440"/>
      <c r="AC99" s="176"/>
    </row>
    <row r="100" spans="1:29">
      <c r="A100" s="3"/>
      <c r="B100" s="3"/>
      <c r="C100" s="3"/>
      <c r="D100" s="3"/>
      <c r="E100" s="3"/>
      <c r="F100" s="4"/>
      <c r="G100" s="3"/>
      <c r="H100" s="3"/>
      <c r="I100" s="10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438"/>
      <c r="U100" s="438"/>
      <c r="V100" s="438"/>
      <c r="W100" s="438"/>
      <c r="X100" s="438"/>
      <c r="Y100" s="439"/>
      <c r="Z100" s="439"/>
      <c r="AA100" s="440"/>
      <c r="AB100" s="440"/>
      <c r="AC100" s="176"/>
    </row>
    <row r="101" spans="1:29">
      <c r="A101" s="3"/>
      <c r="B101" s="3"/>
      <c r="C101" s="3"/>
      <c r="D101" s="3"/>
      <c r="E101" s="3"/>
      <c r="F101" s="4"/>
      <c r="G101" s="3"/>
      <c r="H101" s="3"/>
      <c r="I101" s="10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438"/>
      <c r="U101" s="438"/>
      <c r="V101" s="438"/>
      <c r="W101" s="438"/>
      <c r="X101" s="438"/>
      <c r="Y101" s="439"/>
      <c r="Z101" s="439"/>
      <c r="AA101" s="440"/>
      <c r="AB101" s="440"/>
      <c r="AC101" s="176"/>
    </row>
    <row r="102" spans="1:29">
      <c r="A102" s="3"/>
      <c r="B102" s="3"/>
      <c r="C102" s="3"/>
      <c r="D102" s="3"/>
      <c r="E102" s="3"/>
      <c r="F102" s="4"/>
      <c r="G102" s="3"/>
      <c r="H102" s="3"/>
      <c r="I102" s="10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438"/>
      <c r="U102" s="438"/>
      <c r="V102" s="438"/>
      <c r="W102" s="438"/>
      <c r="X102" s="438"/>
      <c r="Y102" s="439"/>
      <c r="Z102" s="439"/>
      <c r="AA102" s="440"/>
      <c r="AB102" s="440"/>
      <c r="AC102" s="176"/>
    </row>
    <row r="103" spans="1:29">
      <c r="A103" s="3"/>
      <c r="B103" s="3"/>
      <c r="C103" s="3"/>
      <c r="D103" s="3"/>
      <c r="E103" s="3"/>
      <c r="F103" s="4"/>
      <c r="G103" s="3"/>
      <c r="H103" s="3"/>
      <c r="I103" s="10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438"/>
      <c r="U103" s="438"/>
      <c r="V103" s="438"/>
      <c r="W103" s="438"/>
      <c r="X103" s="438"/>
      <c r="Y103" s="439"/>
      <c r="Z103" s="439"/>
      <c r="AA103" s="440"/>
      <c r="AB103" s="440"/>
      <c r="AC103" s="176"/>
    </row>
    <row r="104" spans="1:29">
      <c r="A104" s="3"/>
      <c r="B104" s="3"/>
      <c r="C104" s="3"/>
      <c r="D104" s="3"/>
      <c r="E104" s="3"/>
      <c r="F104" s="4"/>
      <c r="G104" s="3"/>
      <c r="H104" s="3"/>
      <c r="I104" s="10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438"/>
      <c r="U104" s="438"/>
      <c r="V104" s="438"/>
      <c r="W104" s="438"/>
      <c r="X104" s="438"/>
      <c r="Y104" s="439"/>
      <c r="Z104" s="439"/>
      <c r="AA104" s="440"/>
      <c r="AB104" s="440"/>
      <c r="AC104" s="176"/>
    </row>
    <row r="105" spans="1:29">
      <c r="A105" s="3"/>
      <c r="B105" s="3"/>
      <c r="C105" s="3"/>
      <c r="D105" s="3"/>
      <c r="E105" s="3"/>
      <c r="F105" s="4"/>
      <c r="G105" s="3"/>
      <c r="H105" s="3"/>
      <c r="I105" s="10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438"/>
      <c r="U105" s="438"/>
      <c r="V105" s="438"/>
      <c r="W105" s="438"/>
      <c r="X105" s="438"/>
      <c r="Y105" s="439"/>
      <c r="Z105" s="439"/>
      <c r="AA105" s="440"/>
      <c r="AB105" s="440"/>
      <c r="AC105" s="176"/>
    </row>
    <row r="106" spans="1:29">
      <c r="A106" s="3"/>
      <c r="B106" s="3"/>
      <c r="C106" s="3"/>
      <c r="D106" s="3"/>
      <c r="E106" s="3"/>
      <c r="F106" s="4"/>
      <c r="G106" s="3"/>
      <c r="H106" s="3"/>
      <c r="I106" s="10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438"/>
      <c r="U106" s="438"/>
      <c r="V106" s="438"/>
      <c r="W106" s="438"/>
      <c r="X106" s="438"/>
      <c r="Y106" s="439"/>
      <c r="Z106" s="439"/>
      <c r="AA106" s="440"/>
      <c r="AB106" s="440"/>
      <c r="AC106" s="176"/>
    </row>
    <row r="107" spans="1:29">
      <c r="A107" s="3"/>
      <c r="B107" s="3"/>
      <c r="C107" s="3"/>
      <c r="D107" s="3"/>
      <c r="E107" s="3"/>
      <c r="F107" s="4"/>
      <c r="G107" s="3"/>
      <c r="H107" s="3"/>
      <c r="I107" s="10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438"/>
      <c r="U107" s="438"/>
      <c r="V107" s="438"/>
      <c r="W107" s="438"/>
      <c r="X107" s="438"/>
      <c r="Y107" s="439"/>
      <c r="Z107" s="439"/>
      <c r="AA107" s="440"/>
      <c r="AB107" s="440"/>
      <c r="AC107" s="176"/>
    </row>
    <row r="108" spans="1:29">
      <c r="A108" s="3"/>
      <c r="B108" s="3"/>
      <c r="C108" s="3"/>
      <c r="D108" s="3"/>
      <c r="E108" s="3"/>
      <c r="F108" s="4"/>
      <c r="G108" s="3"/>
      <c r="H108" s="3"/>
      <c r="I108" s="10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438"/>
      <c r="U108" s="438"/>
      <c r="V108" s="438"/>
      <c r="W108" s="438"/>
      <c r="X108" s="438"/>
      <c r="Y108" s="439"/>
      <c r="Z108" s="439"/>
      <c r="AA108" s="440"/>
      <c r="AB108" s="440"/>
      <c r="AC108" s="176"/>
    </row>
    <row r="109" spans="1:29">
      <c r="A109" s="3"/>
      <c r="B109" s="3"/>
      <c r="C109" s="3"/>
      <c r="D109" s="3"/>
      <c r="E109" s="3"/>
      <c r="F109" s="4"/>
      <c r="G109" s="3"/>
      <c r="H109" s="3"/>
      <c r="I109" s="10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438"/>
      <c r="U109" s="438"/>
      <c r="V109" s="438"/>
      <c r="W109" s="438"/>
      <c r="X109" s="438"/>
      <c r="Y109" s="439"/>
      <c r="Z109" s="439"/>
      <c r="AA109" s="440"/>
      <c r="AB109" s="440"/>
      <c r="AC109" s="176"/>
    </row>
    <row r="110" spans="1:29">
      <c r="A110" s="3"/>
      <c r="B110" s="3"/>
      <c r="C110" s="3"/>
      <c r="D110" s="3"/>
      <c r="E110" s="3"/>
      <c r="F110" s="4"/>
      <c r="G110" s="3"/>
      <c r="H110" s="3"/>
      <c r="I110" s="10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438"/>
      <c r="U110" s="438"/>
      <c r="V110" s="438"/>
      <c r="W110" s="438"/>
      <c r="X110" s="438"/>
      <c r="Y110" s="439"/>
      <c r="Z110" s="439"/>
      <c r="AA110" s="440"/>
      <c r="AB110" s="440"/>
      <c r="AC110" s="176"/>
    </row>
    <row r="111" spans="1:29">
      <c r="A111" s="3"/>
      <c r="B111" s="3"/>
      <c r="C111" s="3"/>
      <c r="D111" s="3"/>
      <c r="E111" s="3"/>
      <c r="F111" s="4"/>
      <c r="G111" s="3"/>
      <c r="H111" s="3"/>
      <c r="I111" s="10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438"/>
      <c r="U111" s="438"/>
      <c r="V111" s="438"/>
      <c r="W111" s="438"/>
      <c r="X111" s="438"/>
      <c r="Y111" s="439"/>
      <c r="Z111" s="439"/>
      <c r="AA111" s="440"/>
      <c r="AB111" s="440"/>
      <c r="AC111" s="176"/>
    </row>
    <row r="112" spans="1:29">
      <c r="A112" s="3"/>
      <c r="B112" s="3"/>
      <c r="C112" s="3"/>
      <c r="D112" s="3"/>
      <c r="E112" s="3"/>
      <c r="F112" s="4"/>
      <c r="G112" s="3"/>
      <c r="H112" s="3"/>
      <c r="I112" s="1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438"/>
      <c r="U112" s="438"/>
      <c r="V112" s="438"/>
      <c r="W112" s="438"/>
      <c r="X112" s="438"/>
      <c r="Y112" s="439"/>
      <c r="Z112" s="439"/>
      <c r="AA112" s="440"/>
      <c r="AB112" s="440"/>
      <c r="AC112" s="176"/>
    </row>
    <row r="113" spans="1:29">
      <c r="A113" s="3"/>
      <c r="B113" s="3"/>
      <c r="C113" s="3"/>
      <c r="D113" s="3"/>
      <c r="E113" s="3"/>
      <c r="F113" s="4"/>
      <c r="G113" s="3"/>
      <c r="H113" s="3"/>
      <c r="I113" s="10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438"/>
      <c r="U113" s="438"/>
      <c r="V113" s="438"/>
      <c r="W113" s="438"/>
      <c r="X113" s="438"/>
      <c r="Y113" s="439"/>
      <c r="Z113" s="439"/>
      <c r="AA113" s="440"/>
      <c r="AB113" s="440"/>
      <c r="AC113" s="176"/>
    </row>
    <row r="114" spans="1:29">
      <c r="A114" s="3"/>
      <c r="B114" s="3"/>
      <c r="C114" s="3"/>
      <c r="D114" s="3"/>
      <c r="E114" s="3"/>
      <c r="F114" s="4"/>
      <c r="G114" s="3"/>
      <c r="H114" s="3"/>
      <c r="I114" s="10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438"/>
      <c r="U114" s="438"/>
      <c r="V114" s="438"/>
      <c r="W114" s="438"/>
      <c r="X114" s="438"/>
      <c r="Y114" s="439"/>
      <c r="Z114" s="439"/>
      <c r="AA114" s="440"/>
      <c r="AB114" s="440"/>
      <c r="AC114" s="176"/>
    </row>
    <row r="115" spans="1:29">
      <c r="A115" s="3"/>
      <c r="B115" s="3"/>
      <c r="C115" s="3"/>
      <c r="D115" s="3"/>
      <c r="E115" s="3"/>
      <c r="F115" s="4"/>
      <c r="G115" s="3"/>
      <c r="H115" s="3"/>
      <c r="I115" s="10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438"/>
      <c r="U115" s="438"/>
      <c r="V115" s="438"/>
      <c r="W115" s="438"/>
      <c r="X115" s="438"/>
      <c r="Y115" s="439"/>
      <c r="Z115" s="439"/>
      <c r="AA115" s="440"/>
      <c r="AB115" s="440"/>
      <c r="AC115" s="176"/>
    </row>
    <row r="116" spans="1:29">
      <c r="A116" s="3"/>
      <c r="B116" s="3"/>
      <c r="C116" s="3"/>
      <c r="D116" s="3"/>
      <c r="E116" s="3"/>
      <c r="F116" s="4"/>
      <c r="G116" s="3"/>
      <c r="H116" s="3"/>
      <c r="I116" s="10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438"/>
      <c r="U116" s="438"/>
      <c r="V116" s="438"/>
      <c r="W116" s="438"/>
      <c r="X116" s="438"/>
      <c r="Y116" s="439"/>
      <c r="Z116" s="439"/>
      <c r="AA116" s="440"/>
      <c r="AB116" s="440"/>
      <c r="AC116" s="176"/>
    </row>
    <row r="117" spans="1:29">
      <c r="A117" s="3"/>
      <c r="B117" s="3"/>
      <c r="C117" s="3"/>
      <c r="D117" s="3"/>
      <c r="E117" s="3"/>
      <c r="F117" s="4"/>
      <c r="G117" s="3"/>
      <c r="H117" s="3"/>
      <c r="I117" s="10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438"/>
      <c r="U117" s="438"/>
      <c r="V117" s="438"/>
      <c r="W117" s="438"/>
      <c r="X117" s="438"/>
      <c r="Y117" s="439"/>
      <c r="Z117" s="439"/>
      <c r="AA117" s="440"/>
      <c r="AB117" s="440"/>
      <c r="AC117" s="176"/>
    </row>
    <row r="118" spans="1:29">
      <c r="A118" s="3"/>
      <c r="B118" s="3"/>
      <c r="C118" s="3"/>
      <c r="D118" s="3"/>
      <c r="E118" s="3"/>
      <c r="F118" s="4"/>
      <c r="G118" s="3"/>
      <c r="H118" s="3"/>
      <c r="I118" s="10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438"/>
      <c r="U118" s="438"/>
      <c r="V118" s="438"/>
      <c r="W118" s="438"/>
      <c r="X118" s="438"/>
      <c r="Y118" s="439"/>
      <c r="Z118" s="439"/>
      <c r="AA118" s="440"/>
      <c r="AB118" s="440"/>
      <c r="AC118" s="176"/>
    </row>
    <row r="119" spans="1:29">
      <c r="A119" s="3"/>
      <c r="B119" s="3"/>
      <c r="C119" s="3"/>
      <c r="D119" s="3"/>
      <c r="E119" s="3"/>
      <c r="F119" s="4"/>
      <c r="G119" s="3"/>
      <c r="H119" s="3"/>
      <c r="I119" s="10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438"/>
      <c r="U119" s="438"/>
      <c r="V119" s="438"/>
      <c r="W119" s="438"/>
      <c r="X119" s="438"/>
      <c r="Y119" s="439"/>
      <c r="Z119" s="439"/>
      <c r="AA119" s="440"/>
      <c r="AB119" s="440"/>
      <c r="AC119" s="176"/>
    </row>
    <row r="120" spans="1:29">
      <c r="A120" s="3"/>
      <c r="B120" s="3"/>
      <c r="C120" s="3"/>
      <c r="D120" s="3"/>
      <c r="E120" s="3"/>
      <c r="F120" s="4"/>
      <c r="G120" s="3"/>
      <c r="H120" s="3"/>
      <c r="I120" s="10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438"/>
      <c r="U120" s="438"/>
      <c r="V120" s="438"/>
      <c r="W120" s="438"/>
      <c r="X120" s="438"/>
      <c r="Y120" s="439"/>
      <c r="Z120" s="439"/>
      <c r="AA120" s="440"/>
      <c r="AB120" s="440"/>
      <c r="AC120" s="176"/>
    </row>
    <row r="121" spans="1:29">
      <c r="A121" s="3"/>
      <c r="B121" s="3"/>
      <c r="C121" s="3"/>
      <c r="D121" s="3"/>
      <c r="E121" s="3"/>
      <c r="F121" s="4"/>
      <c r="G121" s="3"/>
      <c r="H121" s="3"/>
      <c r="I121" s="10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438"/>
      <c r="U121" s="438"/>
      <c r="V121" s="438"/>
      <c r="W121" s="438"/>
      <c r="X121" s="438"/>
      <c r="Y121" s="439"/>
      <c r="Z121" s="439"/>
      <c r="AA121" s="440"/>
      <c r="AB121" s="440"/>
      <c r="AC121" s="176"/>
    </row>
    <row r="122" spans="1:29">
      <c r="A122" s="3"/>
      <c r="B122" s="3"/>
      <c r="C122" s="3"/>
      <c r="D122" s="3"/>
      <c r="E122" s="3"/>
      <c r="F122" s="4"/>
      <c r="G122" s="3"/>
      <c r="H122" s="3"/>
      <c r="I122" s="10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438"/>
      <c r="U122" s="438"/>
      <c r="V122" s="438"/>
      <c r="W122" s="438"/>
      <c r="X122" s="438"/>
      <c r="Y122" s="439"/>
      <c r="Z122" s="439"/>
      <c r="AA122" s="440"/>
      <c r="AB122" s="440"/>
      <c r="AC122" s="176"/>
    </row>
    <row r="123" spans="1:29">
      <c r="A123" s="3"/>
      <c r="B123" s="3"/>
      <c r="C123" s="3"/>
      <c r="D123" s="3"/>
      <c r="E123" s="3"/>
      <c r="F123" s="4"/>
      <c r="G123" s="3"/>
      <c r="H123" s="3"/>
      <c r="I123" s="10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438"/>
      <c r="U123" s="438"/>
      <c r="V123" s="438"/>
      <c r="W123" s="438"/>
      <c r="X123" s="438"/>
      <c r="Y123" s="439"/>
      <c r="Z123" s="439"/>
      <c r="AA123" s="440"/>
      <c r="AB123" s="440"/>
      <c r="AC123" s="176"/>
    </row>
    <row r="124" spans="1:29">
      <c r="A124" s="3"/>
      <c r="B124" s="3"/>
      <c r="C124" s="3"/>
      <c r="D124" s="3"/>
      <c r="E124" s="3"/>
      <c r="F124" s="4"/>
      <c r="G124" s="3"/>
      <c r="H124" s="3"/>
      <c r="I124" s="10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438"/>
      <c r="U124" s="438"/>
      <c r="V124" s="438"/>
      <c r="W124" s="438"/>
      <c r="X124" s="438"/>
      <c r="Y124" s="439"/>
      <c r="Z124" s="439"/>
      <c r="AA124" s="440"/>
      <c r="AB124" s="440"/>
      <c r="AC124" s="176"/>
    </row>
    <row r="125" spans="1:29">
      <c r="A125" s="3"/>
      <c r="B125" s="3"/>
      <c r="C125" s="3"/>
      <c r="D125" s="3"/>
      <c r="E125" s="3"/>
      <c r="F125" s="4"/>
      <c r="G125" s="3"/>
      <c r="H125" s="3"/>
      <c r="I125" s="10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438"/>
      <c r="U125" s="438"/>
      <c r="V125" s="438"/>
      <c r="W125" s="438"/>
      <c r="X125" s="438"/>
      <c r="Y125" s="439"/>
      <c r="Z125" s="439"/>
      <c r="AA125" s="440"/>
      <c r="AB125" s="440"/>
      <c r="AC125" s="176"/>
    </row>
    <row r="126" spans="1:29">
      <c r="A126" s="3"/>
      <c r="B126" s="3"/>
      <c r="C126" s="3"/>
      <c r="D126" s="3"/>
      <c r="E126" s="3"/>
      <c r="F126" s="4"/>
      <c r="G126" s="3"/>
      <c r="H126" s="3"/>
      <c r="I126" s="10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438"/>
      <c r="U126" s="438"/>
      <c r="V126" s="438"/>
      <c r="W126" s="438"/>
      <c r="X126" s="438"/>
      <c r="Y126" s="439"/>
      <c r="Z126" s="439"/>
      <c r="AA126" s="440"/>
      <c r="AB126" s="440"/>
      <c r="AC126" s="176"/>
    </row>
    <row r="127" spans="1:29">
      <c r="A127" s="3"/>
      <c r="B127" s="3"/>
      <c r="C127" s="3"/>
      <c r="D127" s="3"/>
      <c r="E127" s="3"/>
      <c r="F127" s="4"/>
      <c r="G127" s="3"/>
      <c r="H127" s="3"/>
      <c r="I127" s="10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438"/>
      <c r="U127" s="438"/>
      <c r="V127" s="438"/>
      <c r="W127" s="438"/>
      <c r="X127" s="438"/>
      <c r="Y127" s="439"/>
      <c r="Z127" s="439"/>
      <c r="AA127" s="440"/>
      <c r="AB127" s="440"/>
      <c r="AC127" s="176"/>
    </row>
    <row r="128" spans="1:29">
      <c r="A128" s="3"/>
      <c r="B128" s="3"/>
      <c r="C128" s="3"/>
      <c r="D128" s="3"/>
      <c r="E128" s="3"/>
      <c r="F128" s="4"/>
      <c r="G128" s="3"/>
      <c r="H128" s="3"/>
      <c r="I128" s="10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438"/>
      <c r="U128" s="438"/>
      <c r="V128" s="438"/>
      <c r="W128" s="438"/>
      <c r="X128" s="438"/>
      <c r="Y128" s="439"/>
      <c r="Z128" s="439"/>
      <c r="AA128" s="440"/>
      <c r="AB128" s="440"/>
      <c r="AC128" s="176"/>
    </row>
    <row r="129" spans="1:29">
      <c r="A129" s="3"/>
      <c r="B129" s="3"/>
      <c r="C129" s="3"/>
      <c r="D129" s="3"/>
      <c r="E129" s="3"/>
      <c r="F129" s="4"/>
      <c r="G129" s="3"/>
      <c r="H129" s="3"/>
      <c r="I129" s="10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438"/>
      <c r="U129" s="438"/>
      <c r="V129" s="438"/>
      <c r="W129" s="438"/>
      <c r="X129" s="438"/>
      <c r="Y129" s="439"/>
      <c r="Z129" s="439"/>
      <c r="AA129" s="440"/>
      <c r="AB129" s="440"/>
      <c r="AC129" s="176"/>
    </row>
    <row r="130" spans="1:29">
      <c r="A130" s="3"/>
      <c r="B130" s="3"/>
      <c r="C130" s="3"/>
      <c r="D130" s="3"/>
      <c r="E130" s="3"/>
      <c r="F130" s="4"/>
      <c r="G130" s="3"/>
      <c r="H130" s="3"/>
      <c r="I130" s="10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438"/>
      <c r="U130" s="438"/>
      <c r="V130" s="438"/>
      <c r="W130" s="438"/>
      <c r="X130" s="438"/>
      <c r="Y130" s="439"/>
      <c r="Z130" s="439"/>
      <c r="AA130" s="440"/>
      <c r="AB130" s="440"/>
      <c r="AC130" s="176"/>
    </row>
    <row r="131" spans="1:29">
      <c r="A131" s="3"/>
      <c r="B131" s="3"/>
      <c r="C131" s="3"/>
      <c r="D131" s="3"/>
      <c r="E131" s="3"/>
      <c r="F131" s="4"/>
      <c r="G131" s="3"/>
      <c r="H131" s="3"/>
      <c r="I131" s="10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438"/>
      <c r="U131" s="438"/>
      <c r="V131" s="438"/>
      <c r="W131" s="438"/>
      <c r="X131" s="438"/>
      <c r="Y131" s="439"/>
      <c r="Z131" s="439"/>
      <c r="AA131" s="440"/>
      <c r="AB131" s="440"/>
      <c r="AC131" s="176"/>
    </row>
    <row r="132" spans="1:29">
      <c r="A132" s="3"/>
      <c r="B132" s="3"/>
      <c r="C132" s="3"/>
      <c r="D132" s="3"/>
      <c r="E132" s="3"/>
      <c r="F132" s="4"/>
      <c r="G132" s="3"/>
      <c r="H132" s="3"/>
      <c r="I132" s="10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438"/>
      <c r="U132" s="438"/>
      <c r="V132" s="438"/>
      <c r="W132" s="438"/>
      <c r="X132" s="438"/>
      <c r="Y132" s="439"/>
      <c r="Z132" s="439"/>
      <c r="AA132" s="440"/>
      <c r="AB132" s="440"/>
      <c r="AC132" s="176"/>
    </row>
    <row r="133" spans="1:29">
      <c r="A133" s="3"/>
      <c r="B133" s="3"/>
      <c r="C133" s="3"/>
      <c r="D133" s="3"/>
      <c r="E133" s="3"/>
      <c r="F133" s="4"/>
      <c r="G133" s="3"/>
      <c r="H133" s="3"/>
      <c r="I133" s="10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438"/>
      <c r="U133" s="438"/>
      <c r="V133" s="438"/>
      <c r="W133" s="438"/>
      <c r="X133" s="438"/>
      <c r="Y133" s="439"/>
      <c r="Z133" s="439"/>
      <c r="AA133" s="440"/>
      <c r="AB133" s="440"/>
      <c r="AC133" s="176"/>
    </row>
    <row r="134" spans="1:29">
      <c r="A134" s="3"/>
      <c r="B134" s="3"/>
      <c r="C134" s="3"/>
      <c r="D134" s="3"/>
      <c r="E134" s="3"/>
      <c r="F134" s="4"/>
      <c r="G134" s="3"/>
      <c r="H134" s="3"/>
      <c r="I134" s="10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438"/>
      <c r="U134" s="438"/>
      <c r="V134" s="438"/>
      <c r="W134" s="438"/>
      <c r="X134" s="438"/>
      <c r="Y134" s="439"/>
      <c r="Z134" s="439"/>
      <c r="AA134" s="440"/>
      <c r="AB134" s="440"/>
      <c r="AC134" s="176"/>
    </row>
    <row r="135" spans="1:29">
      <c r="A135" s="3"/>
      <c r="B135" s="3"/>
      <c r="C135" s="3"/>
      <c r="D135" s="3"/>
      <c r="E135" s="3"/>
      <c r="F135" s="4"/>
      <c r="G135" s="3"/>
      <c r="H135" s="3"/>
      <c r="I135" s="10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438"/>
      <c r="U135" s="438"/>
      <c r="V135" s="438"/>
      <c r="W135" s="438"/>
      <c r="X135" s="438"/>
      <c r="Y135" s="439"/>
      <c r="Z135" s="439"/>
      <c r="AA135" s="440"/>
      <c r="AB135" s="440"/>
      <c r="AC135" s="176"/>
    </row>
    <row r="136" spans="1:29">
      <c r="A136" s="3"/>
      <c r="B136" s="3"/>
      <c r="C136" s="3"/>
      <c r="D136" s="3"/>
      <c r="E136" s="3"/>
      <c r="F136" s="4"/>
      <c r="G136" s="3"/>
      <c r="H136" s="3"/>
      <c r="I136" s="10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438"/>
      <c r="U136" s="438"/>
      <c r="V136" s="438"/>
      <c r="W136" s="438"/>
      <c r="X136" s="438"/>
      <c r="Y136" s="439"/>
      <c r="Z136" s="439"/>
      <c r="AA136" s="440"/>
      <c r="AB136" s="440"/>
      <c r="AC136" s="176"/>
    </row>
    <row r="137" spans="1:29">
      <c r="A137" s="3"/>
      <c r="B137" s="3"/>
      <c r="C137" s="3"/>
      <c r="D137" s="3"/>
      <c r="E137" s="3"/>
      <c r="F137" s="4"/>
      <c r="G137" s="3"/>
      <c r="H137" s="3"/>
      <c r="I137" s="10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438"/>
      <c r="U137" s="438"/>
      <c r="V137" s="438"/>
      <c r="W137" s="438"/>
      <c r="X137" s="438"/>
      <c r="Y137" s="439"/>
      <c r="Z137" s="439"/>
      <c r="AA137" s="440"/>
      <c r="AB137" s="440"/>
      <c r="AC137" s="176"/>
    </row>
    <row r="138" spans="1:29">
      <c r="A138" s="3"/>
      <c r="B138" s="3"/>
      <c r="C138" s="3"/>
      <c r="D138" s="3"/>
      <c r="E138" s="3"/>
      <c r="F138" s="4"/>
      <c r="G138" s="3"/>
      <c r="H138" s="3"/>
      <c r="I138" s="10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438"/>
      <c r="U138" s="438"/>
      <c r="V138" s="438"/>
      <c r="W138" s="438"/>
      <c r="X138" s="438"/>
      <c r="Y138" s="439"/>
      <c r="Z138" s="439"/>
      <c r="AA138" s="440"/>
      <c r="AB138" s="440"/>
      <c r="AC138" s="176"/>
    </row>
    <row r="139" spans="1:29">
      <c r="A139" s="3"/>
      <c r="B139" s="3"/>
      <c r="C139" s="3"/>
      <c r="D139" s="3"/>
      <c r="E139" s="3"/>
      <c r="F139" s="4"/>
      <c r="G139" s="3"/>
      <c r="H139" s="3"/>
      <c r="I139" s="10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438"/>
      <c r="U139" s="438"/>
      <c r="V139" s="438"/>
      <c r="W139" s="438"/>
      <c r="X139" s="438"/>
      <c r="Y139" s="439"/>
      <c r="Z139" s="439"/>
      <c r="AA139" s="440"/>
      <c r="AB139" s="440"/>
      <c r="AC139" s="176"/>
    </row>
    <row r="140" spans="1:29">
      <c r="A140" s="3"/>
      <c r="B140" s="3"/>
      <c r="C140" s="3"/>
      <c r="D140" s="3"/>
      <c r="E140" s="3"/>
      <c r="F140" s="4"/>
      <c r="G140" s="3"/>
      <c r="H140" s="3"/>
      <c r="I140" s="10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438"/>
      <c r="U140" s="438"/>
      <c r="V140" s="438"/>
      <c r="W140" s="438"/>
      <c r="X140" s="438"/>
      <c r="Y140" s="439"/>
      <c r="Z140" s="439"/>
      <c r="AA140" s="440"/>
      <c r="AB140" s="440"/>
      <c r="AC140" s="176"/>
    </row>
    <row r="141" spans="1:29">
      <c r="A141" s="3"/>
      <c r="B141" s="3"/>
      <c r="C141" s="3"/>
      <c r="D141" s="3"/>
      <c r="E141" s="3"/>
      <c r="F141" s="4"/>
      <c r="G141" s="3"/>
      <c r="H141" s="3"/>
      <c r="I141" s="10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438"/>
      <c r="U141" s="438"/>
      <c r="V141" s="438"/>
      <c r="W141" s="438"/>
      <c r="X141" s="438"/>
      <c r="Y141" s="439"/>
      <c r="Z141" s="439"/>
      <c r="AA141" s="440"/>
      <c r="AB141" s="440"/>
      <c r="AC141" s="176"/>
    </row>
    <row r="142" spans="1:29">
      <c r="A142" s="3"/>
      <c r="B142" s="3"/>
      <c r="C142" s="3"/>
      <c r="D142" s="3"/>
      <c r="E142" s="3"/>
      <c r="F142" s="4"/>
      <c r="G142" s="3"/>
      <c r="H142" s="3"/>
      <c r="I142" s="10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438"/>
      <c r="U142" s="438"/>
      <c r="V142" s="438"/>
      <c r="W142" s="438"/>
      <c r="X142" s="438"/>
      <c r="Y142" s="439"/>
      <c r="Z142" s="439"/>
      <c r="AA142" s="440"/>
      <c r="AB142" s="440"/>
      <c r="AC142" s="176"/>
    </row>
    <row r="143" spans="1:29">
      <c r="A143" s="3"/>
      <c r="B143" s="3"/>
      <c r="C143" s="3"/>
      <c r="D143" s="3"/>
      <c r="E143" s="3"/>
      <c r="F143" s="4"/>
      <c r="G143" s="3"/>
      <c r="H143" s="3"/>
      <c r="I143" s="10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438"/>
      <c r="U143" s="438"/>
      <c r="V143" s="438"/>
      <c r="W143" s="438"/>
      <c r="X143" s="438"/>
      <c r="Y143" s="439"/>
      <c r="Z143" s="439"/>
      <c r="AA143" s="440"/>
      <c r="AB143" s="440"/>
      <c r="AC143" s="176"/>
    </row>
    <row r="144" spans="1:29">
      <c r="A144" s="3"/>
      <c r="B144" s="3"/>
      <c r="C144" s="3"/>
      <c r="D144" s="3"/>
      <c r="E144" s="3"/>
      <c r="F144" s="4"/>
      <c r="G144" s="3"/>
      <c r="H144" s="3"/>
      <c r="I144" s="10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438"/>
      <c r="U144" s="438"/>
      <c r="V144" s="438"/>
      <c r="W144" s="438"/>
      <c r="X144" s="438"/>
      <c r="Y144" s="439"/>
      <c r="Z144" s="439"/>
      <c r="AA144" s="440"/>
      <c r="AB144" s="440"/>
      <c r="AC144" s="176"/>
    </row>
    <row r="145" spans="1:29">
      <c r="A145" s="3"/>
      <c r="B145" s="3"/>
      <c r="C145" s="3"/>
      <c r="D145" s="3"/>
      <c r="E145" s="3"/>
      <c r="F145" s="4"/>
      <c r="G145" s="3"/>
      <c r="H145" s="3"/>
      <c r="I145" s="10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438"/>
      <c r="U145" s="438"/>
      <c r="V145" s="438"/>
      <c r="W145" s="438"/>
      <c r="X145" s="438"/>
      <c r="Y145" s="439"/>
      <c r="Z145" s="439"/>
      <c r="AA145" s="440"/>
      <c r="AB145" s="440"/>
      <c r="AC145" s="176"/>
    </row>
    <row r="146" spans="1:29">
      <c r="A146" s="3"/>
      <c r="B146" s="3"/>
      <c r="C146" s="3"/>
      <c r="D146" s="3"/>
      <c r="E146" s="3"/>
      <c r="F146" s="4"/>
      <c r="G146" s="3"/>
      <c r="H146" s="3"/>
      <c r="I146" s="10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438"/>
      <c r="U146" s="438"/>
      <c r="V146" s="438"/>
      <c r="W146" s="438"/>
      <c r="X146" s="438"/>
      <c r="Y146" s="439"/>
      <c r="Z146" s="439"/>
      <c r="AA146" s="440"/>
      <c r="AB146" s="440"/>
      <c r="AC146" s="176"/>
    </row>
    <row r="147" spans="1:29">
      <c r="A147" s="3"/>
      <c r="B147" s="3"/>
      <c r="C147" s="3"/>
      <c r="D147" s="3"/>
      <c r="E147" s="3"/>
      <c r="F147" s="4"/>
      <c r="G147" s="3"/>
      <c r="H147" s="3"/>
      <c r="I147" s="10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438"/>
      <c r="U147" s="438"/>
      <c r="V147" s="438"/>
      <c r="W147" s="438"/>
      <c r="X147" s="438"/>
      <c r="Y147" s="439"/>
      <c r="Z147" s="439"/>
      <c r="AA147" s="440"/>
      <c r="AB147" s="440"/>
      <c r="AC147" s="176"/>
    </row>
    <row r="148" spans="1:29">
      <c r="A148" s="3"/>
      <c r="B148" s="3"/>
      <c r="C148" s="3"/>
      <c r="D148" s="3"/>
      <c r="E148" s="3"/>
      <c r="F148" s="4"/>
      <c r="G148" s="3"/>
      <c r="H148" s="3"/>
      <c r="I148" s="10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438"/>
      <c r="U148" s="438"/>
      <c r="V148" s="438"/>
      <c r="W148" s="438"/>
      <c r="X148" s="438"/>
      <c r="Y148" s="439"/>
      <c r="Z148" s="439"/>
      <c r="AA148" s="440"/>
      <c r="AB148" s="440"/>
      <c r="AC148" s="176"/>
    </row>
    <row r="149" spans="1:29">
      <c r="A149" s="3"/>
      <c r="B149" s="3"/>
      <c r="C149" s="3"/>
      <c r="D149" s="3"/>
      <c r="E149" s="3"/>
      <c r="F149" s="4"/>
      <c r="G149" s="3"/>
      <c r="H149" s="3"/>
      <c r="I149" s="10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438"/>
      <c r="U149" s="438"/>
      <c r="V149" s="438"/>
      <c r="W149" s="438"/>
      <c r="X149" s="438"/>
      <c r="Y149" s="439"/>
      <c r="Z149" s="439"/>
      <c r="AA149" s="440"/>
      <c r="AB149" s="440"/>
      <c r="AC149" s="176"/>
    </row>
    <row r="150" spans="1:29">
      <c r="A150" s="3"/>
      <c r="B150" s="3"/>
      <c r="C150" s="3"/>
      <c r="D150" s="3"/>
      <c r="E150" s="3"/>
      <c r="F150" s="4"/>
      <c r="G150" s="3"/>
      <c r="H150" s="3"/>
      <c r="I150" s="10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438"/>
      <c r="U150" s="438"/>
      <c r="V150" s="438"/>
      <c r="W150" s="438"/>
      <c r="X150" s="438"/>
      <c r="Y150" s="439"/>
      <c r="Z150" s="439"/>
      <c r="AA150" s="440"/>
      <c r="AB150" s="440"/>
      <c r="AC150" s="176"/>
    </row>
    <row r="151" spans="1:29">
      <c r="A151" s="3"/>
      <c r="B151" s="3"/>
      <c r="C151" s="3"/>
      <c r="D151" s="3"/>
      <c r="E151" s="3"/>
      <c r="F151" s="4"/>
      <c r="G151" s="3"/>
      <c r="H151" s="3"/>
      <c r="I151" s="10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438"/>
      <c r="U151" s="438"/>
      <c r="V151" s="438"/>
      <c r="W151" s="438"/>
      <c r="X151" s="438"/>
      <c r="Y151" s="439"/>
      <c r="Z151" s="439"/>
      <c r="AA151" s="440"/>
      <c r="AB151" s="440"/>
      <c r="AC151" s="176"/>
    </row>
    <row r="152" spans="1:29">
      <c r="A152" s="3"/>
      <c r="B152" s="3"/>
      <c r="C152" s="3"/>
      <c r="D152" s="3"/>
      <c r="E152" s="3"/>
      <c r="F152" s="4"/>
      <c r="G152" s="3"/>
      <c r="H152" s="3"/>
      <c r="I152" s="10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438"/>
      <c r="U152" s="438"/>
      <c r="V152" s="438"/>
      <c r="W152" s="438"/>
      <c r="X152" s="438"/>
      <c r="Y152" s="439"/>
      <c r="Z152" s="439"/>
      <c r="AA152" s="440"/>
      <c r="AB152" s="440"/>
      <c r="AC152" s="176"/>
    </row>
    <row r="153" spans="1:29">
      <c r="A153" s="3"/>
      <c r="B153" s="3"/>
      <c r="C153" s="3"/>
      <c r="D153" s="3"/>
      <c r="E153" s="3"/>
      <c r="F153" s="4"/>
      <c r="G153" s="3"/>
      <c r="H153" s="3"/>
      <c r="I153" s="10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438"/>
      <c r="U153" s="438"/>
      <c r="V153" s="438"/>
      <c r="W153" s="438"/>
      <c r="X153" s="438"/>
      <c r="Y153" s="439"/>
      <c r="Z153" s="439"/>
      <c r="AA153" s="440"/>
      <c r="AB153" s="440"/>
      <c r="AC153" s="176"/>
    </row>
    <row r="154" spans="1:29">
      <c r="A154" s="3"/>
      <c r="B154" s="3"/>
      <c r="C154" s="3"/>
      <c r="D154" s="3"/>
      <c r="E154" s="3"/>
      <c r="F154" s="4"/>
      <c r="G154" s="3"/>
      <c r="H154" s="3"/>
      <c r="I154" s="10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438"/>
      <c r="U154" s="438"/>
      <c r="V154" s="438"/>
      <c r="W154" s="438"/>
      <c r="X154" s="438"/>
      <c r="Y154" s="439"/>
      <c r="Z154" s="439"/>
      <c r="AA154" s="440"/>
      <c r="AB154" s="440"/>
      <c r="AC154" s="176"/>
    </row>
    <row r="155" spans="1:29">
      <c r="A155" s="3"/>
      <c r="B155" s="3"/>
      <c r="C155" s="3"/>
      <c r="D155" s="3"/>
      <c r="E155" s="3"/>
      <c r="F155" s="4"/>
      <c r="G155" s="3"/>
      <c r="H155" s="3"/>
      <c r="I155" s="10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438"/>
      <c r="U155" s="438"/>
      <c r="V155" s="438"/>
      <c r="W155" s="438"/>
      <c r="X155" s="438"/>
      <c r="Y155" s="439"/>
      <c r="Z155" s="439"/>
      <c r="AA155" s="440"/>
      <c r="AB155" s="440"/>
      <c r="AC155" s="176"/>
    </row>
    <row r="156" spans="1:29">
      <c r="A156" s="3"/>
      <c r="B156" s="3"/>
      <c r="C156" s="3"/>
      <c r="D156" s="3"/>
      <c r="E156" s="3"/>
      <c r="F156" s="4"/>
      <c r="G156" s="3"/>
      <c r="H156" s="3"/>
      <c r="I156" s="10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438"/>
      <c r="U156" s="438"/>
      <c r="V156" s="438"/>
      <c r="W156" s="438"/>
      <c r="X156" s="438"/>
      <c r="Y156" s="439"/>
      <c r="Z156" s="439"/>
      <c r="AA156" s="440"/>
      <c r="AB156" s="440"/>
      <c r="AC156" s="176"/>
    </row>
    <row r="157" spans="1:29">
      <c r="A157" s="3"/>
      <c r="B157" s="3"/>
      <c r="C157" s="3"/>
      <c r="D157" s="3"/>
      <c r="E157" s="3"/>
      <c r="F157" s="4"/>
      <c r="G157" s="3"/>
      <c r="H157" s="3"/>
      <c r="I157" s="10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438"/>
      <c r="U157" s="438"/>
      <c r="V157" s="438"/>
      <c r="W157" s="438"/>
      <c r="X157" s="438"/>
      <c r="Y157" s="439"/>
      <c r="Z157" s="439"/>
      <c r="AA157" s="440"/>
      <c r="AB157" s="440"/>
      <c r="AC157" s="176"/>
    </row>
    <row r="158" spans="1:29">
      <c r="A158" s="3"/>
      <c r="B158" s="3"/>
      <c r="C158" s="3"/>
      <c r="D158" s="3"/>
      <c r="E158" s="3"/>
      <c r="F158" s="4"/>
      <c r="G158" s="3"/>
      <c r="H158" s="3"/>
      <c r="I158" s="10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438"/>
      <c r="U158" s="438"/>
      <c r="V158" s="438"/>
      <c r="W158" s="438"/>
      <c r="X158" s="438"/>
      <c r="Y158" s="439"/>
      <c r="Z158" s="439"/>
      <c r="AA158" s="440"/>
      <c r="AB158" s="440"/>
      <c r="AC158" s="176"/>
    </row>
    <row r="159" spans="1:29">
      <c r="A159" s="3"/>
      <c r="B159" s="3"/>
      <c r="C159" s="3"/>
      <c r="D159" s="3"/>
      <c r="E159" s="3"/>
      <c r="F159" s="4"/>
      <c r="G159" s="3"/>
      <c r="H159" s="3"/>
      <c r="I159" s="10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438"/>
      <c r="U159" s="438"/>
      <c r="V159" s="438"/>
      <c r="W159" s="438"/>
      <c r="X159" s="438"/>
      <c r="Y159" s="439"/>
      <c r="Z159" s="439"/>
      <c r="AA159" s="440"/>
      <c r="AB159" s="440"/>
      <c r="AC159" s="176"/>
    </row>
    <row r="160" spans="1:29">
      <c r="A160" s="3"/>
      <c r="B160" s="3"/>
      <c r="C160" s="3"/>
      <c r="D160" s="3"/>
      <c r="E160" s="3"/>
      <c r="F160" s="4"/>
      <c r="G160" s="3"/>
      <c r="H160" s="3"/>
      <c r="I160" s="10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438"/>
      <c r="U160" s="438"/>
      <c r="V160" s="438"/>
      <c r="W160" s="438"/>
      <c r="X160" s="438"/>
      <c r="Y160" s="439"/>
      <c r="Z160" s="439"/>
      <c r="AA160" s="440"/>
      <c r="AB160" s="440"/>
      <c r="AC160" s="176"/>
    </row>
    <row r="161" spans="1:29">
      <c r="A161" s="3"/>
      <c r="B161" s="3"/>
      <c r="C161" s="3"/>
      <c r="D161" s="3"/>
      <c r="E161" s="3"/>
      <c r="F161" s="4"/>
      <c r="G161" s="3"/>
      <c r="H161" s="3"/>
      <c r="I161" s="10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438"/>
      <c r="U161" s="438"/>
      <c r="V161" s="438"/>
      <c r="W161" s="438"/>
      <c r="X161" s="438"/>
      <c r="Y161" s="439"/>
      <c r="Z161" s="439"/>
      <c r="AA161" s="440"/>
      <c r="AB161" s="440"/>
      <c r="AC161" s="176"/>
    </row>
    <row r="162" spans="1:29">
      <c r="A162" s="3"/>
      <c r="B162" s="3"/>
      <c r="C162" s="3"/>
      <c r="D162" s="3"/>
      <c r="E162" s="3"/>
      <c r="F162" s="4"/>
      <c r="G162" s="3"/>
      <c r="H162" s="3"/>
      <c r="I162" s="10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438"/>
      <c r="U162" s="438"/>
      <c r="V162" s="438"/>
      <c r="W162" s="438"/>
      <c r="X162" s="438"/>
      <c r="Y162" s="439"/>
      <c r="Z162" s="439"/>
      <c r="AA162" s="440"/>
      <c r="AB162" s="440"/>
      <c r="AC162" s="176"/>
    </row>
    <row r="163" spans="1:29">
      <c r="A163" s="3"/>
      <c r="B163" s="3"/>
      <c r="C163" s="3"/>
      <c r="D163" s="3"/>
      <c r="E163" s="3"/>
      <c r="F163" s="4"/>
      <c r="G163" s="3"/>
      <c r="H163" s="3"/>
      <c r="I163" s="10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438"/>
      <c r="U163" s="438"/>
      <c r="V163" s="438"/>
      <c r="W163" s="438"/>
      <c r="X163" s="438"/>
      <c r="Y163" s="439"/>
      <c r="Z163" s="439"/>
      <c r="AA163" s="440"/>
      <c r="AB163" s="440"/>
      <c r="AC163" s="176"/>
    </row>
    <row r="164" spans="1:29">
      <c r="A164" s="3"/>
      <c r="B164" s="3"/>
      <c r="C164" s="3"/>
      <c r="D164" s="3"/>
      <c r="E164" s="3"/>
      <c r="F164" s="4"/>
      <c r="G164" s="3"/>
      <c r="H164" s="3"/>
      <c r="I164" s="10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438"/>
      <c r="U164" s="438"/>
      <c r="V164" s="438"/>
      <c r="W164" s="438"/>
      <c r="X164" s="438"/>
      <c r="Y164" s="439"/>
      <c r="Z164" s="439"/>
      <c r="AA164" s="440"/>
      <c r="AB164" s="440"/>
      <c r="AC164" s="176"/>
    </row>
    <row r="165" spans="1:29">
      <c r="A165" s="3"/>
      <c r="B165" s="3"/>
      <c r="C165" s="3"/>
      <c r="D165" s="3"/>
      <c r="E165" s="3"/>
      <c r="F165" s="4"/>
      <c r="G165" s="3"/>
      <c r="H165" s="3"/>
      <c r="I165" s="10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438"/>
      <c r="U165" s="438"/>
      <c r="V165" s="438"/>
      <c r="W165" s="438"/>
      <c r="X165" s="438"/>
      <c r="Y165" s="439"/>
      <c r="Z165" s="439"/>
      <c r="AA165" s="440"/>
      <c r="AB165" s="440"/>
      <c r="AC165" s="176"/>
    </row>
    <row r="166" spans="1:29">
      <c r="A166" s="3"/>
      <c r="B166" s="3"/>
      <c r="C166" s="3"/>
      <c r="D166" s="3"/>
      <c r="E166" s="3"/>
      <c r="F166" s="4"/>
      <c r="G166" s="3"/>
      <c r="H166" s="3"/>
      <c r="I166" s="10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438"/>
      <c r="U166" s="438"/>
      <c r="V166" s="438"/>
      <c r="W166" s="438"/>
      <c r="X166" s="438"/>
      <c r="Y166" s="439"/>
      <c r="Z166" s="439"/>
      <c r="AA166" s="440"/>
      <c r="AB166" s="440"/>
      <c r="AC166" s="176"/>
    </row>
    <row r="167" spans="1:29">
      <c r="A167" s="3"/>
      <c r="B167" s="3"/>
      <c r="C167" s="3"/>
      <c r="D167" s="3"/>
      <c r="E167" s="3"/>
      <c r="F167" s="4"/>
      <c r="G167" s="3"/>
      <c r="H167" s="3"/>
      <c r="I167" s="10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438"/>
      <c r="U167" s="438"/>
      <c r="V167" s="438"/>
      <c r="W167" s="438"/>
      <c r="X167" s="438"/>
      <c r="Y167" s="439"/>
      <c r="Z167" s="439"/>
      <c r="AA167" s="440"/>
      <c r="AB167" s="440"/>
      <c r="AC167" s="176"/>
    </row>
    <row r="168" spans="1:29">
      <c r="A168" s="3"/>
      <c r="B168" s="3"/>
      <c r="C168" s="3"/>
      <c r="D168" s="3"/>
      <c r="E168" s="3"/>
      <c r="F168" s="4"/>
      <c r="G168" s="3"/>
      <c r="H168" s="3"/>
      <c r="I168" s="10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438"/>
      <c r="U168" s="438"/>
      <c r="V168" s="438"/>
      <c r="W168" s="438"/>
      <c r="X168" s="438"/>
      <c r="Y168" s="439"/>
      <c r="Z168" s="439"/>
      <c r="AA168" s="440"/>
      <c r="AB168" s="440"/>
      <c r="AC168" s="176"/>
    </row>
    <row r="169" spans="1:29">
      <c r="A169" s="3"/>
      <c r="B169" s="3"/>
      <c r="C169" s="3"/>
      <c r="D169" s="3"/>
      <c r="E169" s="3"/>
      <c r="F169" s="4"/>
      <c r="G169" s="3"/>
      <c r="H169" s="3"/>
      <c r="I169" s="10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438"/>
      <c r="U169" s="438"/>
      <c r="V169" s="438"/>
      <c r="W169" s="438"/>
      <c r="X169" s="438"/>
      <c r="Y169" s="439"/>
      <c r="Z169" s="439"/>
      <c r="AA169" s="440"/>
      <c r="AB169" s="440"/>
      <c r="AC169" s="176"/>
    </row>
    <row r="170" spans="1:29">
      <c r="A170" s="3"/>
      <c r="B170" s="3"/>
      <c r="C170" s="3"/>
      <c r="D170" s="3"/>
      <c r="E170" s="3"/>
      <c r="F170" s="4"/>
      <c r="G170" s="3"/>
      <c r="H170" s="3"/>
      <c r="I170" s="10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438"/>
      <c r="U170" s="438"/>
      <c r="V170" s="438"/>
      <c r="W170" s="438"/>
      <c r="X170" s="438"/>
      <c r="Y170" s="439"/>
      <c r="Z170" s="439"/>
      <c r="AA170" s="440"/>
      <c r="AB170" s="440"/>
      <c r="AC170" s="176"/>
    </row>
    <row r="171" spans="1:29">
      <c r="A171" s="3"/>
      <c r="B171" s="3"/>
      <c r="C171" s="3"/>
      <c r="D171" s="3"/>
      <c r="E171" s="3"/>
      <c r="F171" s="4"/>
      <c r="G171" s="3"/>
      <c r="H171" s="3"/>
      <c r="I171" s="10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438"/>
      <c r="U171" s="438"/>
      <c r="V171" s="438"/>
      <c r="W171" s="438"/>
      <c r="X171" s="438"/>
      <c r="Y171" s="439"/>
      <c r="Z171" s="439"/>
      <c r="AA171" s="440"/>
      <c r="AB171" s="440"/>
      <c r="AC171" s="176"/>
    </row>
    <row r="172" spans="1:29">
      <c r="A172" s="3"/>
      <c r="B172" s="3"/>
      <c r="C172" s="3"/>
      <c r="D172" s="3"/>
      <c r="E172" s="3"/>
      <c r="F172" s="4"/>
      <c r="G172" s="3"/>
      <c r="H172" s="3"/>
      <c r="I172" s="10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438"/>
      <c r="U172" s="438"/>
      <c r="V172" s="438"/>
      <c r="W172" s="438"/>
      <c r="X172" s="438"/>
      <c r="Y172" s="439"/>
      <c r="Z172" s="439"/>
      <c r="AA172" s="440"/>
      <c r="AB172" s="440"/>
      <c r="AC172" s="176"/>
    </row>
    <row r="173" spans="1:29">
      <c r="A173" s="3"/>
      <c r="B173" s="3"/>
      <c r="C173" s="3"/>
      <c r="D173" s="3"/>
      <c r="E173" s="3"/>
      <c r="F173" s="4"/>
      <c r="G173" s="3"/>
      <c r="H173" s="3"/>
      <c r="I173" s="10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438"/>
      <c r="U173" s="438"/>
      <c r="V173" s="438"/>
      <c r="W173" s="438"/>
      <c r="X173" s="438"/>
      <c r="Y173" s="439"/>
      <c r="Z173" s="439"/>
      <c r="AA173" s="440"/>
      <c r="AB173" s="440"/>
      <c r="AC173" s="176"/>
    </row>
    <row r="174" spans="1:29">
      <c r="A174" s="3"/>
      <c r="B174" s="3"/>
      <c r="C174" s="3"/>
      <c r="D174" s="3"/>
      <c r="E174" s="3"/>
      <c r="F174" s="4"/>
      <c r="G174" s="3"/>
      <c r="H174" s="3"/>
      <c r="I174" s="10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438"/>
      <c r="U174" s="438"/>
      <c r="V174" s="438"/>
      <c r="W174" s="438"/>
      <c r="X174" s="438"/>
      <c r="Y174" s="439"/>
      <c r="Z174" s="439"/>
      <c r="AA174" s="440"/>
      <c r="AB174" s="440"/>
      <c r="AC174" s="176"/>
    </row>
    <row r="175" spans="1:29">
      <c r="A175" s="3"/>
      <c r="B175" s="3"/>
      <c r="C175" s="3"/>
      <c r="D175" s="3"/>
      <c r="E175" s="3"/>
      <c r="F175" s="4"/>
      <c r="G175" s="3"/>
      <c r="H175" s="3"/>
      <c r="I175" s="10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438"/>
      <c r="U175" s="438"/>
      <c r="V175" s="438"/>
      <c r="W175" s="438"/>
      <c r="X175" s="438"/>
      <c r="Y175" s="439"/>
      <c r="Z175" s="439"/>
      <c r="AA175" s="440"/>
      <c r="AB175" s="440"/>
      <c r="AC175" s="176"/>
    </row>
    <row r="176" spans="1:29">
      <c r="A176" s="3"/>
      <c r="B176" s="3"/>
      <c r="C176" s="3"/>
      <c r="D176" s="3"/>
      <c r="E176" s="3"/>
      <c r="F176" s="4"/>
      <c r="G176" s="3"/>
      <c r="H176" s="3"/>
      <c r="I176" s="10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438"/>
      <c r="U176" s="438"/>
      <c r="V176" s="438"/>
      <c r="W176" s="438"/>
      <c r="X176" s="438"/>
      <c r="Y176" s="439"/>
      <c r="Z176" s="439"/>
      <c r="AA176" s="440"/>
      <c r="AB176" s="440"/>
      <c r="AC176" s="176"/>
    </row>
    <row r="177" spans="1:29">
      <c r="A177" s="3"/>
      <c r="B177" s="3"/>
      <c r="C177" s="3"/>
      <c r="D177" s="3"/>
      <c r="E177" s="3"/>
      <c r="F177" s="4"/>
      <c r="G177" s="3"/>
      <c r="H177" s="3"/>
      <c r="I177" s="10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438"/>
      <c r="U177" s="438"/>
      <c r="V177" s="438"/>
      <c r="W177" s="438"/>
      <c r="X177" s="438"/>
      <c r="Y177" s="439"/>
      <c r="Z177" s="439"/>
      <c r="AA177" s="440"/>
      <c r="AB177" s="440"/>
      <c r="AC177" s="176"/>
    </row>
    <row r="178" spans="1:29">
      <c r="A178" s="3"/>
      <c r="B178" s="3"/>
      <c r="C178" s="3"/>
      <c r="D178" s="3"/>
      <c r="E178" s="3"/>
      <c r="F178" s="4"/>
      <c r="G178" s="3"/>
      <c r="H178" s="3"/>
      <c r="I178" s="10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438"/>
      <c r="U178" s="438"/>
      <c r="V178" s="438"/>
      <c r="W178" s="438"/>
      <c r="X178" s="438"/>
      <c r="Y178" s="439"/>
      <c r="Z178" s="439"/>
      <c r="AA178" s="440"/>
      <c r="AB178" s="440"/>
      <c r="AC178" s="176"/>
    </row>
    <row r="179" spans="1:29">
      <c r="A179" s="3"/>
      <c r="B179" s="3"/>
      <c r="C179" s="3"/>
      <c r="D179" s="3"/>
      <c r="E179" s="3"/>
      <c r="F179" s="4"/>
      <c r="G179" s="3"/>
      <c r="H179" s="3"/>
      <c r="I179" s="10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438"/>
      <c r="U179" s="438"/>
      <c r="V179" s="438"/>
      <c r="W179" s="438"/>
      <c r="X179" s="438"/>
      <c r="Y179" s="439"/>
      <c r="Z179" s="439"/>
      <c r="AA179" s="440"/>
      <c r="AB179" s="440"/>
      <c r="AC179" s="176"/>
    </row>
    <row r="180" spans="1:29">
      <c r="A180" s="3"/>
      <c r="B180" s="3"/>
      <c r="C180" s="3"/>
      <c r="D180" s="3"/>
      <c r="E180" s="3"/>
      <c r="F180" s="4"/>
      <c r="G180" s="3"/>
      <c r="H180" s="3"/>
      <c r="I180" s="10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438"/>
      <c r="U180" s="438"/>
      <c r="V180" s="438"/>
      <c r="W180" s="438"/>
      <c r="X180" s="438"/>
      <c r="Y180" s="439"/>
      <c r="Z180" s="439"/>
      <c r="AA180" s="440"/>
      <c r="AB180" s="440"/>
      <c r="AC180" s="176"/>
    </row>
    <row r="181" spans="1:29">
      <c r="A181" s="3"/>
      <c r="B181" s="3"/>
      <c r="C181" s="3"/>
      <c r="D181" s="3"/>
      <c r="E181" s="3"/>
      <c r="F181" s="4"/>
      <c r="G181" s="3"/>
      <c r="H181" s="3"/>
      <c r="I181" s="10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438"/>
      <c r="U181" s="438"/>
      <c r="V181" s="438"/>
      <c r="W181" s="438"/>
      <c r="X181" s="438"/>
      <c r="Y181" s="439"/>
      <c r="Z181" s="439"/>
      <c r="AA181" s="440"/>
      <c r="AB181" s="440"/>
      <c r="AC181" s="176"/>
    </row>
    <row r="182" spans="1:29">
      <c r="A182" s="3"/>
      <c r="B182" s="3"/>
      <c r="C182" s="3"/>
      <c r="D182" s="3"/>
      <c r="E182" s="3"/>
      <c r="F182" s="4"/>
      <c r="G182" s="3"/>
      <c r="H182" s="3"/>
      <c r="I182" s="10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438"/>
      <c r="U182" s="438"/>
      <c r="V182" s="438"/>
      <c r="W182" s="438"/>
      <c r="X182" s="438"/>
      <c r="Y182" s="439"/>
      <c r="Z182" s="439"/>
      <c r="AA182" s="440"/>
      <c r="AB182" s="440"/>
      <c r="AC182" s="176"/>
    </row>
    <row r="183" spans="1:29">
      <c r="A183" s="3"/>
      <c r="B183" s="3"/>
      <c r="C183" s="3"/>
      <c r="D183" s="3"/>
      <c r="E183" s="3"/>
      <c r="F183" s="4"/>
      <c r="G183" s="3"/>
      <c r="H183" s="3"/>
      <c r="I183" s="10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438"/>
      <c r="U183" s="438"/>
      <c r="V183" s="438"/>
      <c r="W183" s="438"/>
      <c r="X183" s="438"/>
      <c r="Y183" s="439"/>
      <c r="Z183" s="439"/>
      <c r="AA183" s="440"/>
      <c r="AB183" s="440"/>
      <c r="AC183" s="176"/>
    </row>
    <row r="184" spans="1:29">
      <c r="A184" s="3"/>
      <c r="B184" s="3"/>
      <c r="C184" s="3"/>
      <c r="D184" s="3"/>
      <c r="E184" s="3"/>
      <c r="F184" s="4"/>
      <c r="G184" s="3"/>
      <c r="H184" s="3"/>
      <c r="I184" s="10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438"/>
      <c r="U184" s="438"/>
      <c r="V184" s="438"/>
      <c r="W184" s="438"/>
      <c r="X184" s="438"/>
      <c r="Y184" s="439"/>
      <c r="Z184" s="439"/>
      <c r="AA184" s="440"/>
      <c r="AB184" s="440"/>
      <c r="AC184" s="176"/>
    </row>
    <row r="185" spans="1:29">
      <c r="A185" s="3"/>
      <c r="B185" s="3"/>
      <c r="C185" s="3"/>
      <c r="D185" s="3"/>
      <c r="E185" s="3"/>
      <c r="F185" s="4"/>
      <c r="G185" s="3"/>
      <c r="H185" s="3"/>
      <c r="I185" s="10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438"/>
      <c r="U185" s="438"/>
      <c r="V185" s="438"/>
      <c r="W185" s="438"/>
      <c r="X185" s="438"/>
      <c r="Y185" s="439"/>
      <c r="Z185" s="439"/>
      <c r="AA185" s="440"/>
      <c r="AB185" s="440"/>
      <c r="AC185" s="176"/>
    </row>
    <row r="186" spans="1:29">
      <c r="A186" s="3"/>
      <c r="B186" s="3"/>
      <c r="C186" s="3"/>
      <c r="D186" s="3"/>
      <c r="E186" s="3"/>
      <c r="F186" s="4"/>
      <c r="G186" s="3"/>
      <c r="H186" s="3"/>
      <c r="I186" s="10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438"/>
      <c r="U186" s="438"/>
      <c r="V186" s="438"/>
      <c r="W186" s="438"/>
      <c r="X186" s="438"/>
      <c r="Y186" s="439"/>
      <c r="Z186" s="439"/>
      <c r="AA186" s="440"/>
      <c r="AB186" s="440"/>
      <c r="AC186" s="176"/>
    </row>
    <row r="187" spans="1:29">
      <c r="A187" s="3"/>
      <c r="B187" s="3"/>
      <c r="C187" s="3"/>
      <c r="D187" s="3"/>
      <c r="E187" s="3"/>
      <c r="F187" s="4"/>
      <c r="G187" s="3"/>
      <c r="H187" s="3"/>
      <c r="I187" s="10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438"/>
      <c r="U187" s="438"/>
      <c r="V187" s="438"/>
      <c r="W187" s="438"/>
      <c r="X187" s="438"/>
      <c r="Y187" s="439"/>
      <c r="Z187" s="439"/>
      <c r="AA187" s="440"/>
      <c r="AB187" s="440"/>
      <c r="AC187" s="176"/>
    </row>
    <row r="188" spans="1:29">
      <c r="A188" s="3"/>
      <c r="B188" s="3"/>
      <c r="C188" s="3"/>
      <c r="D188" s="3"/>
      <c r="E188" s="3"/>
      <c r="F188" s="4"/>
      <c r="G188" s="3"/>
      <c r="H188" s="3"/>
      <c r="I188" s="10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438"/>
      <c r="U188" s="438"/>
      <c r="V188" s="438"/>
      <c r="W188" s="438"/>
      <c r="X188" s="438"/>
      <c r="Y188" s="439"/>
      <c r="Z188" s="439"/>
      <c r="AA188" s="440"/>
      <c r="AB188" s="440"/>
      <c r="AC188" s="176"/>
    </row>
    <row r="189" spans="1:29">
      <c r="A189" s="3"/>
      <c r="B189" s="3"/>
      <c r="C189" s="3"/>
      <c r="D189" s="3"/>
      <c r="E189" s="3"/>
      <c r="F189" s="4"/>
      <c r="G189" s="3"/>
      <c r="H189" s="3"/>
      <c r="I189" s="10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438"/>
      <c r="U189" s="438"/>
      <c r="V189" s="438"/>
      <c r="W189" s="438"/>
      <c r="X189" s="438"/>
      <c r="Y189" s="439"/>
      <c r="Z189" s="439"/>
      <c r="AA189" s="440"/>
      <c r="AB189" s="440"/>
      <c r="AC189" s="176"/>
    </row>
    <row r="190" spans="1:29">
      <c r="A190" s="3"/>
      <c r="B190" s="3"/>
      <c r="C190" s="3"/>
      <c r="D190" s="3"/>
      <c r="E190" s="3"/>
      <c r="F190" s="4"/>
      <c r="G190" s="3"/>
      <c r="H190" s="3"/>
      <c r="I190" s="10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438"/>
      <c r="U190" s="438"/>
      <c r="V190" s="438"/>
      <c r="W190" s="438"/>
      <c r="X190" s="438"/>
      <c r="Y190" s="439"/>
      <c r="Z190" s="439"/>
      <c r="AA190" s="440"/>
      <c r="AB190" s="440"/>
      <c r="AC190" s="176"/>
    </row>
    <row r="191" spans="1:29">
      <c r="A191" s="3"/>
      <c r="B191" s="3"/>
      <c r="C191" s="3"/>
      <c r="D191" s="3"/>
      <c r="E191" s="3"/>
      <c r="F191" s="4"/>
      <c r="G191" s="3"/>
      <c r="H191" s="3"/>
      <c r="I191" s="10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438"/>
      <c r="U191" s="438"/>
      <c r="V191" s="438"/>
      <c r="W191" s="438"/>
      <c r="X191" s="438"/>
      <c r="Y191" s="439"/>
      <c r="Z191" s="439"/>
      <c r="AA191" s="440"/>
      <c r="AB191" s="440"/>
      <c r="AC191" s="176"/>
    </row>
    <row r="192" spans="1:29">
      <c r="A192" s="3"/>
      <c r="B192" s="3"/>
      <c r="C192" s="3"/>
      <c r="D192" s="3"/>
      <c r="E192" s="3"/>
      <c r="F192" s="4"/>
      <c r="G192" s="3"/>
      <c r="H192" s="3"/>
      <c r="I192" s="10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438"/>
      <c r="U192" s="438"/>
      <c r="V192" s="438"/>
      <c r="W192" s="438"/>
      <c r="X192" s="438"/>
      <c r="Y192" s="439"/>
      <c r="Z192" s="439"/>
      <c r="AA192" s="440"/>
      <c r="AB192" s="440"/>
      <c r="AC192" s="176"/>
    </row>
    <row r="193" spans="1:29">
      <c r="A193" s="3"/>
      <c r="B193" s="3"/>
      <c r="C193" s="3"/>
      <c r="D193" s="3"/>
      <c r="E193" s="3"/>
      <c r="F193" s="4"/>
      <c r="G193" s="3"/>
      <c r="H193" s="3"/>
      <c r="I193" s="10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438"/>
      <c r="U193" s="438"/>
      <c r="V193" s="438"/>
      <c r="W193" s="438"/>
      <c r="X193" s="438"/>
      <c r="Y193" s="439"/>
      <c r="Z193" s="439"/>
      <c r="AA193" s="440"/>
      <c r="AB193" s="440"/>
      <c r="AC193" s="176"/>
    </row>
    <row r="194" spans="1:29">
      <c r="A194" s="3"/>
      <c r="B194" s="3"/>
      <c r="C194" s="3"/>
      <c r="D194" s="3"/>
      <c r="E194" s="3"/>
      <c r="F194" s="4"/>
      <c r="G194" s="3"/>
      <c r="H194" s="3"/>
      <c r="I194" s="10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438"/>
      <c r="U194" s="438"/>
      <c r="V194" s="438"/>
      <c r="W194" s="438"/>
      <c r="X194" s="438"/>
      <c r="Y194" s="439"/>
      <c r="Z194" s="439"/>
      <c r="AA194" s="440"/>
      <c r="AB194" s="440"/>
      <c r="AC194" s="176"/>
    </row>
    <row r="195" spans="1:29">
      <c r="A195" s="3"/>
      <c r="B195" s="3"/>
      <c r="C195" s="3"/>
      <c r="D195" s="3"/>
      <c r="E195" s="3"/>
      <c r="F195" s="4"/>
      <c r="G195" s="3"/>
      <c r="H195" s="3"/>
      <c r="I195" s="10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438"/>
      <c r="U195" s="438"/>
      <c r="V195" s="438"/>
      <c r="W195" s="438"/>
      <c r="X195" s="438"/>
      <c r="Y195" s="439"/>
      <c r="Z195" s="439"/>
      <c r="AA195" s="440"/>
      <c r="AB195" s="440"/>
      <c r="AC195" s="176"/>
    </row>
    <row r="196" spans="1:29">
      <c r="A196" s="3"/>
      <c r="B196" s="3"/>
      <c r="C196" s="3"/>
      <c r="D196" s="3"/>
      <c r="E196" s="3"/>
      <c r="F196" s="4"/>
      <c r="G196" s="3"/>
      <c r="H196" s="3"/>
      <c r="I196" s="10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438"/>
      <c r="U196" s="438"/>
      <c r="V196" s="438"/>
      <c r="W196" s="438"/>
      <c r="X196" s="438"/>
      <c r="Y196" s="439"/>
      <c r="Z196" s="439"/>
      <c r="AA196" s="440"/>
      <c r="AB196" s="440"/>
      <c r="AC196" s="176"/>
    </row>
    <row r="197" spans="1:29">
      <c r="A197" s="3"/>
      <c r="B197" s="3"/>
      <c r="C197" s="3"/>
      <c r="D197" s="3"/>
      <c r="E197" s="3"/>
      <c r="F197" s="4"/>
      <c r="G197" s="3"/>
      <c r="H197" s="3"/>
      <c r="I197" s="10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438"/>
      <c r="U197" s="438"/>
      <c r="V197" s="438"/>
      <c r="W197" s="438"/>
      <c r="X197" s="438"/>
      <c r="Y197" s="439"/>
      <c r="Z197" s="439"/>
      <c r="AA197" s="440"/>
      <c r="AB197" s="440"/>
      <c r="AC197" s="176"/>
    </row>
    <row r="198" spans="1:29">
      <c r="A198" s="3"/>
      <c r="B198" s="3"/>
      <c r="C198" s="3"/>
      <c r="D198" s="3"/>
      <c r="E198" s="3"/>
      <c r="F198" s="4"/>
      <c r="G198" s="3"/>
      <c r="H198" s="3"/>
      <c r="I198" s="10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438"/>
      <c r="U198" s="438"/>
      <c r="V198" s="438"/>
      <c r="W198" s="438"/>
      <c r="X198" s="438"/>
      <c r="Y198" s="439"/>
      <c r="Z198" s="439"/>
      <c r="AA198" s="440"/>
      <c r="AB198" s="440"/>
      <c r="AC198" s="176"/>
    </row>
    <row r="199" spans="1:29">
      <c r="A199" s="3"/>
      <c r="B199" s="3"/>
      <c r="C199" s="3"/>
      <c r="D199" s="3"/>
      <c r="E199" s="3"/>
      <c r="F199" s="4"/>
      <c r="G199" s="3"/>
      <c r="H199" s="3"/>
      <c r="I199" s="10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438"/>
      <c r="U199" s="438"/>
      <c r="V199" s="438"/>
      <c r="W199" s="438"/>
      <c r="X199" s="438"/>
      <c r="Y199" s="439"/>
      <c r="Z199" s="439"/>
      <c r="AA199" s="440"/>
      <c r="AB199" s="440"/>
      <c r="AC199" s="176"/>
    </row>
    <row r="200" spans="1:29">
      <c r="A200" s="3"/>
      <c r="B200" s="3"/>
      <c r="C200" s="3"/>
      <c r="D200" s="3"/>
      <c r="E200" s="3"/>
      <c r="F200" s="4"/>
      <c r="G200" s="3"/>
      <c r="H200" s="3"/>
      <c r="I200" s="10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438"/>
      <c r="U200" s="438"/>
      <c r="V200" s="438"/>
      <c r="W200" s="438"/>
      <c r="X200" s="438"/>
      <c r="Y200" s="439"/>
      <c r="Z200" s="439"/>
      <c r="AA200" s="440"/>
      <c r="AB200" s="440"/>
      <c r="AC200" s="176"/>
    </row>
    <row r="201" spans="1:29">
      <c r="A201" s="3"/>
      <c r="B201" s="3"/>
      <c r="C201" s="3"/>
      <c r="D201" s="3"/>
      <c r="E201" s="3"/>
      <c r="F201" s="4"/>
      <c r="G201" s="3"/>
      <c r="H201" s="3"/>
      <c r="I201" s="10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438"/>
      <c r="U201" s="438"/>
      <c r="V201" s="438"/>
      <c r="W201" s="438"/>
      <c r="X201" s="438"/>
      <c r="Y201" s="439"/>
      <c r="Z201" s="439"/>
      <c r="AA201" s="440"/>
      <c r="AB201" s="440"/>
      <c r="AC201" s="176"/>
    </row>
    <row r="202" spans="1:29">
      <c r="A202" s="3"/>
      <c r="B202" s="3"/>
      <c r="C202" s="3"/>
      <c r="D202" s="3"/>
      <c r="E202" s="3"/>
      <c r="F202" s="4"/>
      <c r="G202" s="3"/>
      <c r="H202" s="3"/>
      <c r="I202" s="10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438"/>
      <c r="U202" s="438"/>
      <c r="V202" s="438"/>
      <c r="W202" s="438"/>
      <c r="X202" s="438"/>
      <c r="Y202" s="439"/>
      <c r="Z202" s="439"/>
      <c r="AA202" s="440"/>
      <c r="AB202" s="440"/>
      <c r="AC202" s="176"/>
    </row>
    <row r="203" spans="1:29">
      <c r="A203" s="3"/>
      <c r="B203" s="3"/>
      <c r="C203" s="3"/>
      <c r="D203" s="3"/>
      <c r="E203" s="3"/>
      <c r="F203" s="4"/>
      <c r="G203" s="3"/>
      <c r="H203" s="3"/>
      <c r="I203" s="10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438"/>
      <c r="U203" s="438"/>
      <c r="V203" s="438"/>
      <c r="W203" s="438"/>
      <c r="X203" s="438"/>
      <c r="Y203" s="439"/>
      <c r="Z203" s="439"/>
      <c r="AA203" s="440"/>
      <c r="AB203" s="440"/>
      <c r="AC203" s="176"/>
    </row>
    <row r="204" spans="1:29">
      <c r="A204" s="3"/>
      <c r="B204" s="3"/>
      <c r="C204" s="3"/>
      <c r="D204" s="3"/>
      <c r="E204" s="3"/>
      <c r="F204" s="4"/>
      <c r="G204" s="3"/>
      <c r="H204" s="3"/>
      <c r="I204" s="10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438"/>
      <c r="U204" s="438"/>
      <c r="V204" s="438"/>
      <c r="W204" s="438"/>
      <c r="X204" s="438"/>
      <c r="Y204" s="439"/>
      <c r="Z204" s="439"/>
      <c r="AA204" s="440"/>
      <c r="AB204" s="440"/>
      <c r="AC204" s="176"/>
    </row>
    <row r="205" spans="1:29">
      <c r="A205" s="3"/>
      <c r="B205" s="3"/>
      <c r="C205" s="3"/>
      <c r="D205" s="3"/>
      <c r="E205" s="3"/>
      <c r="F205" s="4"/>
      <c r="G205" s="3"/>
      <c r="H205" s="3"/>
      <c r="I205" s="10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438"/>
      <c r="U205" s="438"/>
      <c r="V205" s="438"/>
      <c r="W205" s="438"/>
      <c r="X205" s="438"/>
      <c r="Y205" s="439"/>
      <c r="Z205" s="439"/>
      <c r="AA205" s="440"/>
      <c r="AB205" s="440"/>
      <c r="AC205" s="176"/>
    </row>
    <row r="206" spans="1:29">
      <c r="A206" s="3"/>
      <c r="B206" s="3"/>
      <c r="C206" s="3"/>
      <c r="D206" s="3"/>
      <c r="E206" s="3"/>
      <c r="F206" s="4"/>
      <c r="G206" s="3"/>
      <c r="H206" s="3"/>
      <c r="I206" s="10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438"/>
      <c r="U206" s="438"/>
      <c r="V206" s="438"/>
      <c r="W206" s="438"/>
      <c r="X206" s="438"/>
      <c r="Y206" s="439"/>
      <c r="Z206" s="439"/>
      <c r="AA206" s="440"/>
      <c r="AB206" s="440"/>
      <c r="AC206" s="176"/>
    </row>
    <row r="207" spans="1:29">
      <c r="A207" s="3"/>
      <c r="B207" s="3"/>
      <c r="C207" s="3"/>
      <c r="D207" s="3"/>
      <c r="E207" s="3"/>
      <c r="F207" s="4"/>
      <c r="G207" s="3"/>
      <c r="H207" s="3"/>
      <c r="I207" s="10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438"/>
      <c r="U207" s="438"/>
      <c r="V207" s="438"/>
      <c r="W207" s="438"/>
      <c r="X207" s="438"/>
      <c r="Y207" s="439"/>
      <c r="Z207" s="439"/>
      <c r="AA207" s="440"/>
      <c r="AB207" s="440"/>
      <c r="AC207" s="176"/>
    </row>
    <row r="208" spans="1:29">
      <c r="A208" s="3"/>
      <c r="B208" s="3"/>
      <c r="C208" s="3"/>
      <c r="D208" s="3"/>
      <c r="E208" s="3"/>
      <c r="F208" s="4"/>
      <c r="G208" s="3"/>
      <c r="H208" s="3"/>
      <c r="I208" s="10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438"/>
      <c r="U208" s="438"/>
      <c r="V208" s="438"/>
      <c r="W208" s="438"/>
      <c r="X208" s="438"/>
      <c r="Y208" s="439"/>
      <c r="Z208" s="439"/>
      <c r="AA208" s="440"/>
      <c r="AB208" s="440"/>
      <c r="AC208" s="176"/>
    </row>
    <row r="209" spans="1:29">
      <c r="A209" s="3"/>
      <c r="B209" s="3"/>
      <c r="C209" s="3"/>
      <c r="D209" s="3"/>
      <c r="E209" s="3"/>
      <c r="F209" s="4"/>
      <c r="G209" s="3"/>
      <c r="H209" s="3"/>
      <c r="I209" s="10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438"/>
      <c r="U209" s="438"/>
      <c r="V209" s="438"/>
      <c r="W209" s="438"/>
      <c r="X209" s="438"/>
      <c r="Y209" s="439"/>
      <c r="Z209" s="439"/>
      <c r="AA209" s="440"/>
      <c r="AB209" s="440"/>
      <c r="AC209" s="176"/>
    </row>
    <row r="210" spans="1:29">
      <c r="A210" s="3"/>
      <c r="B210" s="3"/>
      <c r="C210" s="3"/>
      <c r="D210" s="3"/>
      <c r="E210" s="3"/>
      <c r="F210" s="4"/>
      <c r="G210" s="3"/>
      <c r="H210" s="3"/>
      <c r="I210" s="10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438"/>
      <c r="U210" s="438"/>
      <c r="V210" s="438"/>
      <c r="W210" s="438"/>
      <c r="X210" s="438"/>
      <c r="Y210" s="439"/>
      <c r="Z210" s="439"/>
      <c r="AA210" s="440"/>
      <c r="AB210" s="440"/>
      <c r="AC210" s="176"/>
    </row>
    <row r="211" spans="1:29">
      <c r="A211" s="3"/>
      <c r="B211" s="3"/>
      <c r="C211" s="3"/>
      <c r="D211" s="3"/>
      <c r="E211" s="3"/>
      <c r="F211" s="4"/>
      <c r="G211" s="3"/>
      <c r="H211" s="3"/>
      <c r="I211" s="10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438"/>
      <c r="U211" s="438"/>
      <c r="V211" s="438"/>
      <c r="W211" s="438"/>
      <c r="X211" s="438"/>
      <c r="Y211" s="439"/>
      <c r="Z211" s="439"/>
      <c r="AA211" s="440"/>
      <c r="AB211" s="440"/>
      <c r="AC211" s="176"/>
    </row>
    <row r="212" spans="1:29">
      <c r="A212" s="3"/>
      <c r="B212" s="3"/>
      <c r="C212" s="3"/>
      <c r="D212" s="3"/>
      <c r="E212" s="3"/>
      <c r="F212" s="4"/>
      <c r="G212" s="3"/>
      <c r="H212" s="3"/>
      <c r="I212" s="10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438"/>
      <c r="U212" s="438"/>
      <c r="V212" s="438"/>
      <c r="W212" s="438"/>
      <c r="X212" s="438"/>
      <c r="Y212" s="439"/>
      <c r="Z212" s="439"/>
      <c r="AA212" s="440"/>
      <c r="AB212" s="440"/>
      <c r="AC212" s="176"/>
    </row>
    <row r="213" spans="1:29">
      <c r="A213" s="3"/>
      <c r="B213" s="3"/>
      <c r="C213" s="3"/>
      <c r="D213" s="3"/>
      <c r="E213" s="3"/>
      <c r="F213" s="4"/>
      <c r="G213" s="3"/>
      <c r="H213" s="3"/>
      <c r="I213" s="10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438"/>
      <c r="U213" s="438"/>
      <c r="V213" s="438"/>
      <c r="W213" s="438"/>
      <c r="X213" s="438"/>
      <c r="Y213" s="439"/>
      <c r="Z213" s="439"/>
      <c r="AA213" s="440"/>
      <c r="AB213" s="440"/>
      <c r="AC213" s="176"/>
    </row>
    <row r="214" spans="1:29">
      <c r="A214" s="3"/>
      <c r="B214" s="3"/>
      <c r="C214" s="3"/>
      <c r="D214" s="3"/>
      <c r="E214" s="3"/>
      <c r="F214" s="4"/>
      <c r="G214" s="3"/>
      <c r="H214" s="3"/>
      <c r="I214" s="10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438"/>
      <c r="U214" s="438"/>
      <c r="V214" s="438"/>
      <c r="W214" s="438"/>
      <c r="X214" s="438"/>
      <c r="Y214" s="439"/>
      <c r="Z214" s="439"/>
      <c r="AA214" s="440"/>
      <c r="AB214" s="440"/>
      <c r="AC214" s="176"/>
    </row>
    <row r="215" spans="1:29">
      <c r="A215" s="3"/>
      <c r="B215" s="3"/>
      <c r="C215" s="3"/>
      <c r="D215" s="3"/>
      <c r="E215" s="3"/>
      <c r="F215" s="4"/>
      <c r="G215" s="3"/>
      <c r="H215" s="3"/>
      <c r="I215" s="10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438"/>
      <c r="U215" s="438"/>
      <c r="V215" s="438"/>
      <c r="W215" s="438"/>
      <c r="X215" s="438"/>
      <c r="Y215" s="439"/>
      <c r="Z215" s="439"/>
      <c r="AA215" s="440"/>
      <c r="AB215" s="440"/>
      <c r="AC215" s="176"/>
    </row>
    <row r="216" spans="1:29">
      <c r="A216" s="3"/>
      <c r="B216" s="3"/>
      <c r="C216" s="3"/>
      <c r="D216" s="3"/>
      <c r="E216" s="3"/>
      <c r="F216" s="4"/>
      <c r="G216" s="3"/>
      <c r="H216" s="3"/>
      <c r="I216" s="10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438"/>
      <c r="U216" s="438"/>
      <c r="V216" s="438"/>
      <c r="W216" s="438"/>
      <c r="X216" s="438"/>
      <c r="Y216" s="439"/>
      <c r="Z216" s="439"/>
      <c r="AA216" s="440"/>
      <c r="AB216" s="440"/>
      <c r="AC216" s="176"/>
    </row>
    <row r="217" spans="1:29">
      <c r="A217" s="3"/>
      <c r="B217" s="3"/>
      <c r="C217" s="3"/>
      <c r="D217" s="3"/>
      <c r="E217" s="3"/>
      <c r="F217" s="4"/>
      <c r="G217" s="3"/>
      <c r="H217" s="3"/>
      <c r="I217" s="10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438"/>
      <c r="U217" s="438"/>
      <c r="V217" s="438"/>
      <c r="W217" s="438"/>
      <c r="X217" s="438"/>
      <c r="Y217" s="439"/>
      <c r="Z217" s="439"/>
      <c r="AA217" s="440"/>
      <c r="AB217" s="440"/>
      <c r="AC217" s="176"/>
    </row>
    <row r="218" spans="1:29">
      <c r="A218" s="3"/>
      <c r="B218" s="3"/>
      <c r="C218" s="3"/>
      <c r="D218" s="3"/>
      <c r="E218" s="3"/>
      <c r="F218" s="4"/>
      <c r="G218" s="3"/>
      <c r="H218" s="3"/>
      <c r="I218" s="10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438"/>
      <c r="U218" s="438"/>
      <c r="V218" s="438"/>
      <c r="W218" s="438"/>
      <c r="X218" s="438"/>
      <c r="Y218" s="439"/>
      <c r="Z218" s="439"/>
      <c r="AA218" s="440"/>
      <c r="AB218" s="440"/>
      <c r="AC218" s="176"/>
    </row>
    <row r="219" spans="1:29">
      <c r="A219" s="3"/>
      <c r="B219" s="3"/>
      <c r="C219" s="3"/>
      <c r="D219" s="3"/>
      <c r="E219" s="3"/>
      <c r="F219" s="4"/>
      <c r="G219" s="3"/>
      <c r="H219" s="3"/>
      <c r="I219" s="10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438"/>
      <c r="U219" s="438"/>
      <c r="V219" s="438"/>
      <c r="W219" s="438"/>
      <c r="X219" s="438"/>
      <c r="Y219" s="439"/>
      <c r="Z219" s="439"/>
      <c r="AA219" s="440"/>
      <c r="AB219" s="440"/>
      <c r="AC219" s="176"/>
    </row>
    <row r="220" spans="1:29">
      <c r="A220" s="3"/>
      <c r="B220" s="3"/>
      <c r="C220" s="3"/>
      <c r="D220" s="3"/>
      <c r="E220" s="3"/>
      <c r="F220" s="4"/>
      <c r="G220" s="3"/>
      <c r="H220" s="3"/>
      <c r="I220" s="10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438"/>
      <c r="U220" s="438"/>
      <c r="V220" s="438"/>
      <c r="W220" s="438"/>
      <c r="X220" s="438"/>
      <c r="Y220" s="439"/>
      <c r="Z220" s="439"/>
      <c r="AA220" s="440"/>
      <c r="AB220" s="440"/>
      <c r="AC220" s="176"/>
    </row>
    <row r="221" spans="1:29">
      <c r="A221" s="3"/>
      <c r="B221" s="3"/>
      <c r="C221" s="3"/>
      <c r="D221" s="3"/>
      <c r="E221" s="3"/>
      <c r="F221" s="4"/>
      <c r="G221" s="3"/>
      <c r="H221" s="3"/>
      <c r="I221" s="10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438"/>
      <c r="U221" s="438"/>
      <c r="V221" s="438"/>
      <c r="W221" s="438"/>
      <c r="X221" s="438"/>
      <c r="Y221" s="439"/>
      <c r="Z221" s="439"/>
      <c r="AA221" s="440"/>
      <c r="AB221" s="440"/>
      <c r="AC221" s="176"/>
    </row>
    <row r="222" spans="1:29">
      <c r="A222" s="3"/>
      <c r="B222" s="3"/>
      <c r="C222" s="3"/>
      <c r="D222" s="3"/>
      <c r="E222" s="3"/>
      <c r="F222" s="4"/>
      <c r="G222" s="3"/>
      <c r="H222" s="3"/>
      <c r="I222" s="10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438"/>
      <c r="U222" s="438"/>
      <c r="V222" s="438"/>
      <c r="W222" s="438"/>
      <c r="X222" s="438"/>
      <c r="Y222" s="439"/>
      <c r="Z222" s="439"/>
      <c r="AA222" s="440"/>
      <c r="AB222" s="440"/>
      <c r="AC222" s="176"/>
    </row>
    <row r="223" spans="1:29">
      <c r="A223" s="3"/>
      <c r="B223" s="3"/>
      <c r="C223" s="3"/>
      <c r="D223" s="3"/>
      <c r="E223" s="3"/>
      <c r="F223" s="4"/>
      <c r="G223" s="3"/>
      <c r="H223" s="3"/>
      <c r="I223" s="10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438"/>
      <c r="U223" s="438"/>
      <c r="V223" s="438"/>
      <c r="W223" s="438"/>
      <c r="X223" s="438"/>
      <c r="Y223" s="439"/>
      <c r="Z223" s="439"/>
      <c r="AA223" s="440"/>
      <c r="AB223" s="440"/>
      <c r="AC223" s="176"/>
    </row>
    <row r="224" spans="1:29">
      <c r="A224" s="3"/>
      <c r="B224" s="3"/>
      <c r="C224" s="3"/>
      <c r="D224" s="3"/>
      <c r="E224" s="3"/>
      <c r="F224" s="4"/>
      <c r="G224" s="3"/>
      <c r="H224" s="3"/>
      <c r="I224" s="10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438"/>
      <c r="U224" s="438"/>
      <c r="V224" s="438"/>
      <c r="W224" s="438"/>
      <c r="X224" s="438"/>
      <c r="Y224" s="439"/>
      <c r="Z224" s="439"/>
      <c r="AA224" s="440"/>
      <c r="AB224" s="440"/>
      <c r="AC224" s="176"/>
    </row>
    <row r="225" spans="1:29">
      <c r="A225" s="3"/>
      <c r="B225" s="3"/>
      <c r="C225" s="3"/>
      <c r="D225" s="3"/>
      <c r="E225" s="3"/>
      <c r="F225" s="4"/>
      <c r="G225" s="3"/>
      <c r="H225" s="3"/>
      <c r="I225" s="10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438"/>
      <c r="U225" s="438"/>
      <c r="V225" s="438"/>
      <c r="W225" s="438"/>
      <c r="X225" s="438"/>
      <c r="Y225" s="439"/>
      <c r="Z225" s="439"/>
      <c r="AA225" s="440"/>
      <c r="AB225" s="440"/>
      <c r="AC225" s="176"/>
    </row>
    <row r="226" spans="1:29">
      <c r="A226" s="3"/>
      <c r="B226" s="3"/>
      <c r="C226" s="3"/>
      <c r="D226" s="3"/>
      <c r="E226" s="3"/>
      <c r="F226" s="4"/>
      <c r="G226" s="3"/>
      <c r="H226" s="3"/>
      <c r="I226" s="10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438"/>
      <c r="U226" s="438"/>
      <c r="V226" s="438"/>
      <c r="W226" s="438"/>
      <c r="X226" s="438"/>
      <c r="Y226" s="439"/>
      <c r="Z226" s="439"/>
      <c r="AA226" s="440"/>
      <c r="AB226" s="440"/>
      <c r="AC226" s="176"/>
    </row>
    <row r="227" spans="1:29">
      <c r="A227" s="3"/>
      <c r="B227" s="3"/>
      <c r="C227" s="3"/>
      <c r="D227" s="3"/>
      <c r="E227" s="3"/>
      <c r="F227" s="4"/>
      <c r="G227" s="3"/>
      <c r="H227" s="3"/>
      <c r="I227" s="10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438"/>
      <c r="U227" s="438"/>
      <c r="V227" s="438"/>
      <c r="W227" s="438"/>
      <c r="X227" s="438"/>
      <c r="Y227" s="439"/>
      <c r="Z227" s="439"/>
      <c r="AA227" s="440"/>
      <c r="AB227" s="440"/>
      <c r="AC227" s="176"/>
    </row>
    <row r="228" spans="1:29">
      <c r="A228" s="3"/>
      <c r="B228" s="3"/>
      <c r="C228" s="3"/>
      <c r="D228" s="3"/>
      <c r="E228" s="3"/>
      <c r="F228" s="4"/>
      <c r="G228" s="3"/>
      <c r="H228" s="3"/>
      <c r="I228" s="10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438"/>
      <c r="U228" s="438"/>
      <c r="V228" s="438"/>
      <c r="W228" s="438"/>
      <c r="X228" s="438"/>
      <c r="Y228" s="439"/>
      <c r="Z228" s="439"/>
      <c r="AA228" s="440"/>
      <c r="AB228" s="440"/>
      <c r="AC228" s="176"/>
    </row>
    <row r="229" spans="1:29">
      <c r="A229" s="3"/>
      <c r="B229" s="3"/>
      <c r="C229" s="3"/>
      <c r="D229" s="3"/>
      <c r="E229" s="3"/>
      <c r="F229" s="4"/>
      <c r="G229" s="3"/>
      <c r="H229" s="3"/>
      <c r="I229" s="10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438"/>
      <c r="U229" s="438"/>
      <c r="V229" s="438"/>
      <c r="W229" s="438"/>
      <c r="X229" s="438"/>
      <c r="Y229" s="439"/>
      <c r="Z229" s="439"/>
      <c r="AA229" s="440"/>
      <c r="AB229" s="440"/>
      <c r="AC229" s="176"/>
    </row>
    <row r="230" spans="1:29">
      <c r="A230" s="3"/>
      <c r="B230" s="3"/>
      <c r="C230" s="3"/>
      <c r="D230" s="3"/>
      <c r="E230" s="3"/>
      <c r="F230" s="4"/>
      <c r="G230" s="3"/>
      <c r="H230" s="3"/>
      <c r="I230" s="10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438"/>
      <c r="U230" s="438"/>
      <c r="V230" s="438"/>
      <c r="W230" s="438"/>
      <c r="X230" s="438"/>
      <c r="Y230" s="439"/>
      <c r="Z230" s="439"/>
      <c r="AA230" s="440"/>
      <c r="AB230" s="440"/>
      <c r="AC230" s="176"/>
    </row>
    <row r="231" spans="1:29">
      <c r="A231" s="3"/>
      <c r="B231" s="3"/>
      <c r="C231" s="3"/>
      <c r="D231" s="3"/>
      <c r="E231" s="3"/>
      <c r="F231" s="4"/>
      <c r="G231" s="3"/>
      <c r="H231" s="3"/>
      <c r="I231" s="10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438"/>
      <c r="U231" s="438"/>
      <c r="V231" s="438"/>
      <c r="W231" s="438"/>
      <c r="X231" s="438"/>
      <c r="Y231" s="439"/>
      <c r="Z231" s="439"/>
      <c r="AA231" s="440"/>
      <c r="AB231" s="440"/>
      <c r="AC231" s="176"/>
    </row>
    <row r="232" spans="1:29">
      <c r="A232" s="3"/>
      <c r="B232" s="3"/>
      <c r="C232" s="3"/>
      <c r="D232" s="3"/>
      <c r="E232" s="3"/>
      <c r="F232" s="4"/>
      <c r="G232" s="3"/>
      <c r="H232" s="3"/>
      <c r="I232" s="10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438"/>
      <c r="U232" s="438"/>
      <c r="V232" s="438"/>
      <c r="W232" s="438"/>
      <c r="X232" s="438"/>
      <c r="Y232" s="439"/>
      <c r="Z232" s="439"/>
      <c r="AA232" s="440"/>
      <c r="AB232" s="440"/>
      <c r="AC232" s="176"/>
    </row>
    <row r="233" spans="1:29">
      <c r="A233" s="3"/>
      <c r="B233" s="3"/>
      <c r="C233" s="3"/>
      <c r="D233" s="3"/>
      <c r="E233" s="3"/>
      <c r="F233" s="4"/>
      <c r="G233" s="3"/>
      <c r="H233" s="3"/>
      <c r="I233" s="10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438"/>
      <c r="U233" s="438"/>
      <c r="V233" s="438"/>
      <c r="W233" s="438"/>
      <c r="X233" s="438"/>
      <c r="Y233" s="439"/>
      <c r="Z233" s="439"/>
      <c r="AA233" s="440"/>
      <c r="AB233" s="440"/>
      <c r="AC233" s="176"/>
    </row>
    <row r="234" spans="1:29">
      <c r="A234" s="3"/>
      <c r="B234" s="3"/>
      <c r="C234" s="3"/>
      <c r="D234" s="3"/>
      <c r="E234" s="3"/>
      <c r="F234" s="4"/>
      <c r="G234" s="3"/>
      <c r="H234" s="3"/>
      <c r="I234" s="10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438"/>
      <c r="U234" s="438"/>
      <c r="V234" s="438"/>
      <c r="W234" s="438"/>
      <c r="X234" s="438"/>
      <c r="Y234" s="439"/>
      <c r="Z234" s="439"/>
      <c r="AA234" s="440"/>
      <c r="AB234" s="440"/>
      <c r="AC234" s="176"/>
    </row>
    <row r="235" spans="1:29">
      <c r="A235" s="3"/>
      <c r="B235" s="3"/>
      <c r="C235" s="3"/>
      <c r="D235" s="3"/>
      <c r="E235" s="3"/>
      <c r="F235" s="4"/>
      <c r="G235" s="3"/>
      <c r="H235" s="3"/>
      <c r="I235" s="10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438"/>
      <c r="U235" s="438"/>
      <c r="V235" s="438"/>
      <c r="W235" s="438"/>
      <c r="X235" s="438"/>
      <c r="Y235" s="439"/>
      <c r="Z235" s="439"/>
      <c r="AA235" s="440"/>
      <c r="AB235" s="440"/>
      <c r="AC235" s="176"/>
    </row>
    <row r="236" spans="1:29">
      <c r="A236" s="3"/>
      <c r="B236" s="3"/>
      <c r="C236" s="3"/>
      <c r="D236" s="3"/>
      <c r="E236" s="3"/>
      <c r="F236" s="4"/>
      <c r="G236" s="3"/>
      <c r="H236" s="3"/>
      <c r="I236" s="10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438"/>
      <c r="U236" s="438"/>
      <c r="V236" s="438"/>
      <c r="W236" s="438"/>
      <c r="X236" s="438"/>
      <c r="Y236" s="439"/>
      <c r="Z236" s="439"/>
      <c r="AA236" s="440"/>
      <c r="AB236" s="440"/>
      <c r="AC236" s="176"/>
    </row>
    <row r="237" spans="1:29">
      <c r="A237" s="3"/>
      <c r="B237" s="3"/>
      <c r="C237" s="3"/>
      <c r="D237" s="3"/>
      <c r="E237" s="3"/>
      <c r="F237" s="4"/>
      <c r="G237" s="3"/>
      <c r="H237" s="3"/>
      <c r="I237" s="10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438"/>
      <c r="U237" s="438"/>
      <c r="V237" s="438"/>
      <c r="W237" s="438"/>
      <c r="X237" s="438"/>
      <c r="Y237" s="439"/>
      <c r="Z237" s="439"/>
      <c r="AA237" s="440"/>
      <c r="AB237" s="440"/>
      <c r="AC237" s="176"/>
    </row>
    <row r="238" spans="1:29">
      <c r="A238" s="3"/>
      <c r="B238" s="3"/>
      <c r="C238" s="3"/>
      <c r="D238" s="3"/>
      <c r="E238" s="3"/>
      <c r="F238" s="4"/>
      <c r="G238" s="3"/>
      <c r="H238" s="3"/>
      <c r="I238" s="10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438"/>
      <c r="U238" s="438"/>
      <c r="V238" s="438"/>
      <c r="W238" s="438"/>
      <c r="X238" s="438"/>
      <c r="Y238" s="439"/>
      <c r="Z238" s="439"/>
      <c r="AA238" s="440"/>
      <c r="AB238" s="440"/>
      <c r="AC238" s="176"/>
    </row>
    <row r="239" spans="1:29">
      <c r="A239" s="3"/>
      <c r="B239" s="3"/>
      <c r="C239" s="3"/>
      <c r="D239" s="3"/>
      <c r="E239" s="3"/>
      <c r="F239" s="4"/>
      <c r="G239" s="3"/>
      <c r="H239" s="3"/>
      <c r="I239" s="10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438"/>
      <c r="U239" s="438"/>
      <c r="V239" s="438"/>
      <c r="W239" s="438"/>
      <c r="X239" s="438"/>
      <c r="Y239" s="439"/>
      <c r="Z239" s="439"/>
      <c r="AA239" s="440"/>
      <c r="AB239" s="440"/>
      <c r="AC239" s="176"/>
    </row>
    <row r="240" spans="1:29">
      <c r="A240" s="3"/>
      <c r="B240" s="3"/>
      <c r="C240" s="3"/>
      <c r="D240" s="3"/>
      <c r="E240" s="3"/>
      <c r="F240" s="4"/>
      <c r="G240" s="3"/>
      <c r="H240" s="3"/>
      <c r="I240" s="10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438"/>
      <c r="U240" s="438"/>
      <c r="V240" s="438"/>
      <c r="W240" s="438"/>
      <c r="X240" s="438"/>
      <c r="Y240" s="439"/>
      <c r="Z240" s="439"/>
      <c r="AA240" s="440"/>
      <c r="AB240" s="440"/>
      <c r="AC240" s="176"/>
    </row>
    <row r="241" spans="1:29">
      <c r="A241" s="3"/>
      <c r="B241" s="3"/>
      <c r="C241" s="3"/>
      <c r="D241" s="3"/>
      <c r="E241" s="3"/>
      <c r="F241" s="4"/>
      <c r="G241" s="3"/>
      <c r="H241" s="3"/>
      <c r="I241" s="10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438"/>
      <c r="U241" s="438"/>
      <c r="V241" s="438"/>
      <c r="W241" s="438"/>
      <c r="X241" s="438"/>
      <c r="Y241" s="439"/>
      <c r="Z241" s="439"/>
      <c r="AA241" s="440"/>
      <c r="AB241" s="440"/>
      <c r="AC241" s="176"/>
    </row>
    <row r="242" spans="1:29">
      <c r="A242" s="3"/>
      <c r="B242" s="3"/>
      <c r="C242" s="3"/>
      <c r="D242" s="3"/>
      <c r="E242" s="3"/>
      <c r="F242" s="4"/>
      <c r="G242" s="3"/>
      <c r="H242" s="3"/>
      <c r="I242" s="10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438"/>
      <c r="U242" s="438"/>
      <c r="V242" s="438"/>
      <c r="W242" s="438"/>
      <c r="X242" s="438"/>
      <c r="Y242" s="439"/>
      <c r="Z242" s="439"/>
      <c r="AA242" s="440"/>
      <c r="AB242" s="440"/>
      <c r="AC242" s="176"/>
    </row>
    <row r="243" spans="1:29">
      <c r="A243" s="3"/>
      <c r="B243" s="3"/>
      <c r="C243" s="3"/>
      <c r="D243" s="3"/>
      <c r="E243" s="3"/>
      <c r="F243" s="4"/>
      <c r="G243" s="3"/>
      <c r="H243" s="3"/>
      <c r="I243" s="10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438"/>
      <c r="U243" s="438"/>
      <c r="V243" s="438"/>
      <c r="W243" s="438"/>
      <c r="X243" s="438"/>
      <c r="Y243" s="439"/>
      <c r="Z243" s="439"/>
      <c r="AA243" s="440"/>
      <c r="AB243" s="440"/>
      <c r="AC243" s="176"/>
    </row>
    <row r="244" spans="1:29">
      <c r="A244" s="3"/>
      <c r="B244" s="3"/>
      <c r="C244" s="3"/>
      <c r="D244" s="3"/>
      <c r="E244" s="3"/>
      <c r="F244" s="4"/>
      <c r="G244" s="3"/>
      <c r="H244" s="3"/>
      <c r="I244" s="10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438"/>
      <c r="U244" s="438"/>
      <c r="V244" s="438"/>
      <c r="W244" s="438"/>
      <c r="X244" s="438"/>
      <c r="Y244" s="439"/>
      <c r="Z244" s="439"/>
      <c r="AA244" s="440"/>
      <c r="AB244" s="440"/>
      <c r="AC244" s="176"/>
    </row>
    <row r="245" spans="1:29">
      <c r="A245" s="3"/>
      <c r="B245" s="3"/>
      <c r="C245" s="3"/>
      <c r="D245" s="3"/>
      <c r="E245" s="3"/>
      <c r="F245" s="4"/>
      <c r="G245" s="3"/>
      <c r="H245" s="3"/>
      <c r="I245" s="10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438"/>
      <c r="U245" s="438"/>
      <c r="V245" s="438"/>
      <c r="W245" s="438"/>
      <c r="X245" s="438"/>
      <c r="Y245" s="439"/>
      <c r="Z245" s="439"/>
      <c r="AA245" s="440"/>
      <c r="AB245" s="440"/>
      <c r="AC245" s="176"/>
    </row>
    <row r="246" spans="1:29">
      <c r="A246" s="3"/>
      <c r="B246" s="3"/>
      <c r="C246" s="3"/>
      <c r="D246" s="3"/>
      <c r="E246" s="3"/>
      <c r="F246" s="4"/>
      <c r="G246" s="3"/>
      <c r="H246" s="3"/>
      <c r="I246" s="10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438"/>
      <c r="U246" s="438"/>
      <c r="V246" s="438"/>
      <c r="W246" s="438"/>
      <c r="X246" s="438"/>
      <c r="Y246" s="439"/>
      <c r="Z246" s="439"/>
      <c r="AA246" s="440"/>
      <c r="AB246" s="440"/>
      <c r="AC246" s="176"/>
    </row>
    <row r="247" spans="1:29">
      <c r="A247" s="3"/>
      <c r="B247" s="3"/>
      <c r="C247" s="3"/>
      <c r="D247" s="3"/>
      <c r="E247" s="3"/>
      <c r="F247" s="4"/>
      <c r="G247" s="3"/>
      <c r="H247" s="3"/>
      <c r="I247" s="10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438"/>
      <c r="U247" s="438"/>
      <c r="V247" s="438"/>
      <c r="W247" s="438"/>
      <c r="X247" s="438"/>
      <c r="Y247" s="439"/>
      <c r="Z247" s="439"/>
      <c r="AA247" s="440"/>
      <c r="AB247" s="440"/>
      <c r="AC247" s="176"/>
    </row>
    <row r="248" spans="1:29">
      <c r="A248" s="3"/>
      <c r="B248" s="3"/>
      <c r="C248" s="3"/>
      <c r="D248" s="3"/>
      <c r="E248" s="3"/>
      <c r="F248" s="4"/>
      <c r="G248" s="3"/>
      <c r="H248" s="3"/>
      <c r="I248" s="10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438"/>
      <c r="U248" s="438"/>
      <c r="V248" s="438"/>
      <c r="W248" s="438"/>
      <c r="X248" s="438"/>
      <c r="Y248" s="439"/>
      <c r="Z248" s="439"/>
      <c r="AA248" s="440"/>
      <c r="AB248" s="440"/>
      <c r="AC248" s="176"/>
    </row>
    <row r="249" spans="1:29">
      <c r="A249" s="3"/>
      <c r="B249" s="3"/>
      <c r="C249" s="3"/>
      <c r="D249" s="3"/>
      <c r="E249" s="3"/>
      <c r="F249" s="4"/>
      <c r="G249" s="3"/>
      <c r="H249" s="3"/>
      <c r="I249" s="10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438"/>
      <c r="U249" s="438"/>
      <c r="V249" s="438"/>
      <c r="W249" s="438"/>
      <c r="X249" s="438"/>
      <c r="Y249" s="439"/>
      <c r="Z249" s="439"/>
      <c r="AA249" s="440"/>
      <c r="AB249" s="440"/>
      <c r="AC249" s="176"/>
    </row>
    <row r="250" spans="1:29">
      <c r="A250" s="3"/>
      <c r="B250" s="3"/>
      <c r="C250" s="3"/>
      <c r="D250" s="3"/>
      <c r="E250" s="3"/>
      <c r="F250" s="4"/>
      <c r="G250" s="3"/>
      <c r="H250" s="3"/>
      <c r="I250" s="10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438"/>
      <c r="U250" s="438"/>
      <c r="V250" s="438"/>
      <c r="W250" s="438"/>
      <c r="X250" s="438"/>
      <c r="Y250" s="439"/>
      <c r="Z250" s="439"/>
      <c r="AA250" s="440"/>
      <c r="AB250" s="440"/>
      <c r="AC250" s="176"/>
    </row>
    <row r="251" spans="1:29">
      <c r="A251" s="3"/>
      <c r="B251" s="3"/>
      <c r="C251" s="3"/>
      <c r="D251" s="3"/>
      <c r="E251" s="3"/>
      <c r="F251" s="4"/>
      <c r="G251" s="3"/>
      <c r="H251" s="3"/>
      <c r="I251" s="10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438"/>
      <c r="U251" s="438"/>
      <c r="V251" s="438"/>
      <c r="W251" s="438"/>
      <c r="X251" s="438"/>
      <c r="Y251" s="439"/>
      <c r="Z251" s="439"/>
      <c r="AA251" s="440"/>
      <c r="AB251" s="440"/>
      <c r="AC251" s="176"/>
    </row>
    <row r="252" spans="1:29">
      <c r="A252" s="3"/>
      <c r="B252" s="3"/>
      <c r="C252" s="3"/>
      <c r="D252" s="3"/>
      <c r="E252" s="3"/>
      <c r="F252" s="4"/>
      <c r="G252" s="3"/>
      <c r="H252" s="3"/>
      <c r="I252" s="10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438"/>
      <c r="U252" s="438"/>
      <c r="V252" s="438"/>
      <c r="W252" s="438"/>
      <c r="X252" s="438"/>
      <c r="Y252" s="439"/>
      <c r="Z252" s="439"/>
      <c r="AA252" s="440"/>
      <c r="AB252" s="440"/>
      <c r="AC252" s="176"/>
    </row>
    <row r="253" spans="1:29">
      <c r="A253" s="3"/>
      <c r="B253" s="3"/>
      <c r="C253" s="3"/>
      <c r="D253" s="3"/>
      <c r="E253" s="3"/>
      <c r="F253" s="4"/>
      <c r="G253" s="3"/>
      <c r="H253" s="3"/>
      <c r="I253" s="10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438"/>
      <c r="U253" s="438"/>
      <c r="V253" s="438"/>
      <c r="W253" s="438"/>
      <c r="X253" s="438"/>
      <c r="Y253" s="439"/>
      <c r="Z253" s="439"/>
      <c r="AA253" s="440"/>
      <c r="AB253" s="440"/>
      <c r="AC253" s="176"/>
    </row>
    <row r="254" spans="1:29">
      <c r="A254" s="3"/>
      <c r="B254" s="3"/>
      <c r="C254" s="3"/>
      <c r="D254" s="3"/>
      <c r="E254" s="3"/>
      <c r="F254" s="4"/>
      <c r="G254" s="3"/>
      <c r="H254" s="3"/>
      <c r="I254" s="10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438"/>
      <c r="U254" s="438"/>
      <c r="V254" s="438"/>
      <c r="W254" s="438"/>
      <c r="X254" s="438"/>
      <c r="Y254" s="439"/>
      <c r="Z254" s="439"/>
      <c r="AA254" s="440"/>
      <c r="AB254" s="440"/>
      <c r="AC254" s="176"/>
    </row>
    <row r="255" spans="1:29">
      <c r="A255" s="3"/>
      <c r="B255" s="3"/>
      <c r="C255" s="3"/>
      <c r="D255" s="3"/>
      <c r="E255" s="3"/>
      <c r="F255" s="4"/>
      <c r="G255" s="3"/>
      <c r="H255" s="3"/>
      <c r="I255" s="10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438"/>
      <c r="U255" s="438"/>
      <c r="V255" s="438"/>
      <c r="W255" s="438"/>
      <c r="X255" s="438"/>
      <c r="Y255" s="439"/>
      <c r="Z255" s="439"/>
      <c r="AA255" s="440"/>
      <c r="AB255" s="440"/>
      <c r="AC255" s="176"/>
    </row>
    <row r="256" spans="1:29">
      <c r="A256" s="3"/>
      <c r="B256" s="3"/>
      <c r="C256" s="3"/>
      <c r="D256" s="3"/>
      <c r="E256" s="3"/>
      <c r="F256" s="4"/>
      <c r="G256" s="3"/>
      <c r="H256" s="3"/>
      <c r="I256" s="10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438"/>
      <c r="U256" s="438"/>
      <c r="V256" s="438"/>
      <c r="W256" s="438"/>
      <c r="X256" s="438"/>
      <c r="Y256" s="439"/>
      <c r="Z256" s="439"/>
      <c r="AA256" s="440"/>
      <c r="AB256" s="440"/>
      <c r="AC256" s="176"/>
    </row>
    <row r="257" spans="1:29">
      <c r="A257" s="3"/>
      <c r="B257" s="3"/>
      <c r="C257" s="3"/>
      <c r="D257" s="3"/>
      <c r="E257" s="3"/>
      <c r="F257" s="4"/>
      <c r="G257" s="3"/>
      <c r="H257" s="3"/>
      <c r="I257" s="10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438"/>
      <c r="U257" s="438"/>
      <c r="V257" s="438"/>
      <c r="W257" s="438"/>
      <c r="X257" s="438"/>
      <c r="Y257" s="439"/>
      <c r="Z257" s="439"/>
      <c r="AA257" s="440"/>
      <c r="AB257" s="440"/>
      <c r="AC257" s="176"/>
    </row>
    <row r="258" spans="1:29">
      <c r="A258" s="3"/>
      <c r="B258" s="3"/>
      <c r="C258" s="3"/>
      <c r="D258" s="3"/>
      <c r="E258" s="3"/>
      <c r="F258" s="4"/>
      <c r="G258" s="3"/>
      <c r="H258" s="3"/>
      <c r="I258" s="10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438"/>
      <c r="U258" s="438"/>
      <c r="V258" s="438"/>
      <c r="W258" s="438"/>
      <c r="X258" s="438"/>
      <c r="Y258" s="439"/>
      <c r="Z258" s="439"/>
      <c r="AA258" s="440"/>
      <c r="AB258" s="440"/>
      <c r="AC258" s="176"/>
    </row>
    <row r="259" spans="1:29">
      <c r="A259" s="3"/>
      <c r="B259" s="3"/>
      <c r="C259" s="3"/>
      <c r="D259" s="3"/>
      <c r="E259" s="3"/>
      <c r="F259" s="4"/>
      <c r="G259" s="3"/>
      <c r="H259" s="3"/>
      <c r="I259" s="10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438"/>
      <c r="U259" s="438"/>
      <c r="V259" s="438"/>
      <c r="W259" s="438"/>
      <c r="X259" s="438"/>
      <c r="Y259" s="439"/>
      <c r="Z259" s="439"/>
      <c r="AA259" s="440"/>
      <c r="AB259" s="440"/>
      <c r="AC259" s="176"/>
    </row>
    <row r="260" spans="1:29">
      <c r="A260" s="3"/>
      <c r="B260" s="3"/>
      <c r="C260" s="3"/>
      <c r="D260" s="3"/>
      <c r="E260" s="3"/>
      <c r="F260" s="4"/>
      <c r="G260" s="3"/>
      <c r="H260" s="3"/>
      <c r="I260" s="10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438"/>
      <c r="U260" s="438"/>
      <c r="V260" s="438"/>
      <c r="W260" s="438"/>
      <c r="X260" s="438"/>
      <c r="Y260" s="439"/>
      <c r="Z260" s="439"/>
      <c r="AA260" s="440"/>
      <c r="AB260" s="440"/>
      <c r="AC260" s="176"/>
    </row>
    <row r="261" spans="1:29">
      <c r="A261" s="3"/>
      <c r="B261" s="3"/>
      <c r="C261" s="3"/>
      <c r="D261" s="3"/>
      <c r="E261" s="3"/>
      <c r="F261" s="4"/>
      <c r="G261" s="3"/>
      <c r="H261" s="3"/>
      <c r="I261" s="10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438"/>
      <c r="U261" s="438"/>
      <c r="V261" s="438"/>
      <c r="W261" s="438"/>
      <c r="X261" s="438"/>
      <c r="Y261" s="439"/>
      <c r="Z261" s="439"/>
      <c r="AA261" s="440"/>
      <c r="AB261" s="440"/>
      <c r="AC261" s="176"/>
    </row>
    <row r="262" spans="1:29">
      <c r="A262" s="3"/>
      <c r="B262" s="3"/>
      <c r="C262" s="3"/>
      <c r="D262" s="3"/>
      <c r="E262" s="3"/>
      <c r="F262" s="4"/>
      <c r="G262" s="3"/>
      <c r="H262" s="3"/>
      <c r="I262" s="10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438"/>
      <c r="U262" s="438"/>
      <c r="V262" s="438"/>
      <c r="W262" s="438"/>
      <c r="X262" s="438"/>
      <c r="Y262" s="439"/>
      <c r="Z262" s="439"/>
      <c r="AA262" s="440"/>
      <c r="AB262" s="440"/>
      <c r="AC262" s="176"/>
    </row>
    <row r="263" spans="1:29">
      <c r="A263" s="3"/>
      <c r="B263" s="3"/>
      <c r="C263" s="3"/>
      <c r="D263" s="3"/>
      <c r="E263" s="3"/>
      <c r="F263" s="4"/>
      <c r="G263" s="3"/>
      <c r="H263" s="3"/>
      <c r="I263" s="10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438"/>
      <c r="U263" s="438"/>
      <c r="V263" s="438"/>
      <c r="W263" s="438"/>
      <c r="X263" s="438"/>
      <c r="Y263" s="439"/>
      <c r="Z263" s="439"/>
      <c r="AA263" s="440"/>
      <c r="AB263" s="440"/>
      <c r="AC263" s="176"/>
    </row>
    <row r="264" spans="1:29">
      <c r="A264" s="3"/>
      <c r="B264" s="3"/>
      <c r="C264" s="3"/>
      <c r="D264" s="3"/>
      <c r="E264" s="3"/>
      <c r="F264" s="4"/>
      <c r="G264" s="3"/>
      <c r="H264" s="3"/>
      <c r="I264" s="10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438"/>
      <c r="U264" s="438"/>
      <c r="V264" s="438"/>
      <c r="W264" s="438"/>
      <c r="X264" s="438"/>
      <c r="Y264" s="439"/>
      <c r="Z264" s="439"/>
      <c r="AA264" s="440"/>
      <c r="AB264" s="440"/>
      <c r="AC264" s="176"/>
    </row>
    <row r="265" spans="1:29">
      <c r="A265" s="3"/>
      <c r="B265" s="3"/>
      <c r="C265" s="3"/>
      <c r="D265" s="3"/>
      <c r="E265" s="3"/>
      <c r="F265" s="4"/>
      <c r="G265" s="3"/>
      <c r="H265" s="3"/>
      <c r="I265" s="10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438"/>
      <c r="U265" s="438"/>
      <c r="V265" s="438"/>
      <c r="W265" s="438"/>
      <c r="X265" s="438"/>
      <c r="Y265" s="439"/>
      <c r="Z265" s="439"/>
      <c r="AA265" s="440"/>
      <c r="AB265" s="440"/>
      <c r="AC265" s="176"/>
    </row>
    <row r="266" spans="1:29">
      <c r="A266" s="3"/>
      <c r="B266" s="3"/>
      <c r="C266" s="3"/>
      <c r="D266" s="3"/>
      <c r="E266" s="3"/>
      <c r="F266" s="4"/>
      <c r="G266" s="3"/>
      <c r="H266" s="3"/>
      <c r="I266" s="10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438"/>
      <c r="U266" s="438"/>
      <c r="V266" s="438"/>
      <c r="W266" s="438"/>
      <c r="X266" s="438"/>
      <c r="Y266" s="439"/>
      <c r="Z266" s="439"/>
      <c r="AA266" s="440"/>
      <c r="AB266" s="440"/>
      <c r="AC266" s="176"/>
    </row>
    <row r="267" spans="1:29">
      <c r="A267" s="3"/>
      <c r="B267" s="3"/>
      <c r="C267" s="3"/>
      <c r="D267" s="3"/>
      <c r="E267" s="3"/>
      <c r="F267" s="4"/>
      <c r="G267" s="3"/>
      <c r="H267" s="3"/>
      <c r="I267" s="10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438"/>
      <c r="U267" s="438"/>
      <c r="V267" s="438"/>
      <c r="W267" s="438"/>
      <c r="X267" s="438"/>
      <c r="Y267" s="439"/>
      <c r="Z267" s="439"/>
      <c r="AA267" s="440"/>
      <c r="AB267" s="440"/>
      <c r="AC267" s="176"/>
    </row>
    <row r="268" spans="1:29">
      <c r="A268" s="3"/>
      <c r="B268" s="3"/>
      <c r="C268" s="3"/>
      <c r="D268" s="3"/>
      <c r="E268" s="3"/>
      <c r="F268" s="4"/>
      <c r="G268" s="3"/>
      <c r="H268" s="3"/>
      <c r="I268" s="10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438"/>
      <c r="U268" s="438"/>
      <c r="V268" s="438"/>
      <c r="W268" s="438"/>
      <c r="X268" s="438"/>
      <c r="Y268" s="439"/>
      <c r="Z268" s="439"/>
      <c r="AA268" s="440"/>
      <c r="AB268" s="440"/>
      <c r="AC268" s="176"/>
    </row>
    <row r="269" spans="1:29">
      <c r="A269" s="3"/>
      <c r="B269" s="3"/>
      <c r="C269" s="3"/>
      <c r="D269" s="3"/>
      <c r="E269" s="3"/>
      <c r="F269" s="4"/>
      <c r="G269" s="3"/>
      <c r="H269" s="3"/>
      <c r="I269" s="10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438"/>
      <c r="U269" s="438"/>
      <c r="V269" s="438"/>
      <c r="W269" s="438"/>
      <c r="X269" s="438"/>
      <c r="Y269" s="439"/>
      <c r="Z269" s="439"/>
      <c r="AA269" s="440"/>
      <c r="AB269" s="440"/>
      <c r="AC269" s="176"/>
    </row>
    <row r="270" spans="1:29">
      <c r="A270" s="3"/>
      <c r="B270" s="3"/>
      <c r="C270" s="3"/>
      <c r="D270" s="3"/>
      <c r="E270" s="3"/>
      <c r="F270" s="4"/>
      <c r="G270" s="3"/>
      <c r="H270" s="3"/>
      <c r="I270" s="10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438"/>
      <c r="U270" s="438"/>
      <c r="V270" s="438"/>
      <c r="W270" s="438"/>
      <c r="X270" s="438"/>
      <c r="Y270" s="439"/>
      <c r="Z270" s="439"/>
      <c r="AA270" s="440"/>
      <c r="AB270" s="440"/>
      <c r="AC270" s="176"/>
    </row>
    <row r="271" spans="1:29">
      <c r="A271" s="3"/>
      <c r="B271" s="3"/>
      <c r="C271" s="3"/>
      <c r="D271" s="3"/>
      <c r="E271" s="3"/>
      <c r="F271" s="4"/>
      <c r="G271" s="3"/>
      <c r="H271" s="3"/>
      <c r="I271" s="10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438"/>
      <c r="U271" s="438"/>
      <c r="V271" s="438"/>
      <c r="W271" s="438"/>
      <c r="X271" s="438"/>
      <c r="Y271" s="439"/>
      <c r="Z271" s="439"/>
      <c r="AA271" s="440"/>
      <c r="AB271" s="440"/>
      <c r="AC271" s="176"/>
    </row>
    <row r="272" spans="1:29">
      <c r="A272" s="3"/>
      <c r="B272" s="3"/>
      <c r="C272" s="3"/>
      <c r="D272" s="3"/>
      <c r="E272" s="3"/>
      <c r="F272" s="4"/>
      <c r="G272" s="3"/>
      <c r="H272" s="3"/>
      <c r="I272" s="10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438"/>
      <c r="U272" s="438"/>
      <c r="V272" s="438"/>
      <c r="W272" s="438"/>
      <c r="X272" s="438"/>
      <c r="Y272" s="439"/>
      <c r="Z272" s="439"/>
      <c r="AA272" s="440"/>
      <c r="AB272" s="440"/>
      <c r="AC272" s="176"/>
    </row>
    <row r="273" spans="1:29">
      <c r="A273" s="3"/>
      <c r="B273" s="3"/>
      <c r="C273" s="3"/>
      <c r="D273" s="3"/>
      <c r="E273" s="3"/>
      <c r="F273" s="4"/>
      <c r="G273" s="3"/>
      <c r="H273" s="3"/>
      <c r="I273" s="10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438"/>
      <c r="U273" s="438"/>
      <c r="V273" s="438"/>
      <c r="W273" s="438"/>
      <c r="X273" s="438"/>
      <c r="Y273" s="439"/>
      <c r="Z273" s="439"/>
      <c r="AA273" s="440"/>
      <c r="AB273" s="440"/>
      <c r="AC273" s="176"/>
    </row>
    <row r="274" spans="1:29">
      <c r="A274" s="3"/>
      <c r="B274" s="3"/>
      <c r="C274" s="3"/>
      <c r="D274" s="3"/>
      <c r="E274" s="3"/>
      <c r="F274" s="4"/>
      <c r="G274" s="3"/>
      <c r="H274" s="3"/>
      <c r="I274" s="10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438"/>
      <c r="U274" s="438"/>
      <c r="V274" s="438"/>
      <c r="W274" s="438"/>
      <c r="X274" s="438"/>
      <c r="Y274" s="439"/>
      <c r="Z274" s="439"/>
      <c r="AA274" s="440"/>
      <c r="AB274" s="440"/>
      <c r="AC274" s="176"/>
    </row>
    <row r="275" spans="1:29">
      <c r="A275" s="3"/>
      <c r="B275" s="3"/>
      <c r="C275" s="3"/>
      <c r="D275" s="3"/>
      <c r="E275" s="3"/>
      <c r="F275" s="4"/>
      <c r="G275" s="3"/>
      <c r="H275" s="3"/>
      <c r="I275" s="10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438"/>
      <c r="U275" s="438"/>
      <c r="V275" s="438"/>
      <c r="W275" s="438"/>
      <c r="X275" s="438"/>
      <c r="Y275" s="439"/>
      <c r="Z275" s="439"/>
      <c r="AA275" s="440"/>
      <c r="AB275" s="440"/>
      <c r="AC275" s="176"/>
    </row>
    <row r="276" spans="1:29">
      <c r="A276" s="3"/>
      <c r="B276" s="3"/>
      <c r="C276" s="3"/>
      <c r="D276" s="3"/>
      <c r="E276" s="3"/>
      <c r="F276" s="4"/>
      <c r="G276" s="3"/>
      <c r="H276" s="3"/>
      <c r="I276" s="10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438"/>
      <c r="U276" s="438"/>
      <c r="V276" s="438"/>
      <c r="W276" s="438"/>
      <c r="X276" s="438"/>
      <c r="Y276" s="439"/>
      <c r="Z276" s="439"/>
      <c r="AA276" s="440"/>
      <c r="AB276" s="440"/>
      <c r="AC276" s="176"/>
    </row>
    <row r="277" spans="1:29">
      <c r="A277" s="3"/>
      <c r="B277" s="3"/>
      <c r="C277" s="3"/>
      <c r="D277" s="3"/>
      <c r="E277" s="3"/>
      <c r="F277" s="4"/>
      <c r="G277" s="3"/>
      <c r="H277" s="3"/>
      <c r="I277" s="10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438"/>
      <c r="U277" s="438"/>
      <c r="V277" s="438"/>
      <c r="W277" s="438"/>
      <c r="X277" s="438"/>
      <c r="Y277" s="439"/>
      <c r="Z277" s="439"/>
      <c r="AA277" s="440"/>
      <c r="AB277" s="440"/>
      <c r="AC277" s="176"/>
    </row>
    <row r="278" spans="1:29">
      <c r="A278" s="3"/>
      <c r="B278" s="3"/>
      <c r="C278" s="3"/>
      <c r="D278" s="3"/>
      <c r="E278" s="3"/>
      <c r="F278" s="4"/>
      <c r="G278" s="3"/>
      <c r="H278" s="3"/>
      <c r="I278" s="10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438"/>
      <c r="U278" s="438"/>
      <c r="V278" s="438"/>
      <c r="W278" s="438"/>
      <c r="X278" s="438"/>
      <c r="Y278" s="439"/>
      <c r="Z278" s="439"/>
      <c r="AA278" s="440"/>
      <c r="AB278" s="440"/>
      <c r="AC278" s="176"/>
    </row>
    <row r="279" spans="1:29">
      <c r="A279" s="3"/>
      <c r="B279" s="3"/>
      <c r="C279" s="3"/>
      <c r="D279" s="3"/>
      <c r="E279" s="3"/>
      <c r="F279" s="4"/>
      <c r="G279" s="3"/>
      <c r="H279" s="3"/>
      <c r="I279" s="10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438"/>
      <c r="U279" s="438"/>
      <c r="V279" s="438"/>
      <c r="W279" s="438"/>
      <c r="X279" s="438"/>
      <c r="Y279" s="439"/>
      <c r="Z279" s="439"/>
      <c r="AA279" s="440"/>
      <c r="AB279" s="440"/>
      <c r="AC279" s="176"/>
    </row>
    <row r="280" spans="1:29">
      <c r="A280" s="3"/>
      <c r="B280" s="3"/>
      <c r="C280" s="3"/>
      <c r="D280" s="3"/>
      <c r="E280" s="3"/>
      <c r="F280" s="4"/>
      <c r="G280" s="3"/>
      <c r="H280" s="3"/>
      <c r="I280" s="10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438"/>
      <c r="U280" s="438"/>
      <c r="V280" s="438"/>
      <c r="W280" s="438"/>
      <c r="X280" s="438"/>
      <c r="Y280" s="439"/>
      <c r="Z280" s="439"/>
      <c r="AA280" s="440"/>
      <c r="AB280" s="440"/>
      <c r="AC280" s="176"/>
    </row>
    <row r="281" spans="1:29">
      <c r="A281" s="3"/>
      <c r="B281" s="3"/>
      <c r="C281" s="3"/>
      <c r="D281" s="3"/>
      <c r="E281" s="3"/>
      <c r="F281" s="4"/>
      <c r="G281" s="3"/>
      <c r="H281" s="3"/>
      <c r="I281" s="10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438"/>
      <c r="U281" s="438"/>
      <c r="V281" s="438"/>
      <c r="W281" s="438"/>
      <c r="X281" s="438"/>
      <c r="Y281" s="439"/>
      <c r="Z281" s="439"/>
      <c r="AA281" s="440"/>
      <c r="AB281" s="440"/>
      <c r="AC281" s="176"/>
    </row>
    <row r="282" spans="1:29">
      <c r="A282" s="3"/>
      <c r="B282" s="3"/>
      <c r="C282" s="3"/>
      <c r="D282" s="3"/>
      <c r="E282" s="3"/>
      <c r="F282" s="4"/>
      <c r="G282" s="3"/>
      <c r="H282" s="3"/>
      <c r="I282" s="10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438"/>
      <c r="U282" s="438"/>
      <c r="V282" s="438"/>
      <c r="W282" s="438"/>
      <c r="X282" s="438"/>
      <c r="Y282" s="439"/>
      <c r="Z282" s="439"/>
      <c r="AA282" s="440"/>
      <c r="AB282" s="440"/>
      <c r="AC282" s="176"/>
    </row>
    <row r="283" spans="1:29">
      <c r="A283" s="3"/>
      <c r="B283" s="3"/>
      <c r="C283" s="3"/>
      <c r="D283" s="3"/>
      <c r="E283" s="3"/>
      <c r="F283" s="4"/>
      <c r="G283" s="3"/>
      <c r="H283" s="3"/>
      <c r="I283" s="10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438"/>
      <c r="U283" s="438"/>
      <c r="V283" s="438"/>
      <c r="W283" s="438"/>
      <c r="X283" s="438"/>
      <c r="Y283" s="439"/>
      <c r="Z283" s="439"/>
      <c r="AA283" s="440"/>
      <c r="AB283" s="440"/>
      <c r="AC283" s="176"/>
    </row>
    <row r="284" spans="1:29">
      <c r="A284" s="3"/>
      <c r="B284" s="3"/>
      <c r="C284" s="3"/>
      <c r="D284" s="3"/>
      <c r="E284" s="3"/>
      <c r="F284" s="4"/>
      <c r="G284" s="3"/>
      <c r="H284" s="3"/>
      <c r="I284" s="10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438"/>
      <c r="U284" s="438"/>
      <c r="V284" s="438"/>
      <c r="W284" s="438"/>
      <c r="X284" s="438"/>
      <c r="Y284" s="439"/>
      <c r="Z284" s="439"/>
      <c r="AA284" s="440"/>
      <c r="AB284" s="440"/>
      <c r="AC284" s="176"/>
    </row>
    <row r="285" spans="1:29">
      <c r="A285" s="3"/>
      <c r="B285" s="3"/>
      <c r="C285" s="3"/>
      <c r="D285" s="3"/>
      <c r="E285" s="3"/>
      <c r="F285" s="4"/>
      <c r="G285" s="3"/>
      <c r="H285" s="3"/>
      <c r="I285" s="10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438"/>
      <c r="U285" s="438"/>
      <c r="V285" s="438"/>
      <c r="W285" s="438"/>
      <c r="X285" s="438"/>
      <c r="Y285" s="439"/>
      <c r="Z285" s="439"/>
      <c r="AA285" s="440"/>
      <c r="AB285" s="440"/>
      <c r="AC285" s="176"/>
    </row>
    <row r="286" spans="1:29">
      <c r="A286" s="3"/>
      <c r="B286" s="3"/>
      <c r="C286" s="3"/>
      <c r="D286" s="3"/>
      <c r="E286" s="3"/>
      <c r="F286" s="4"/>
      <c r="G286" s="3"/>
      <c r="H286" s="3"/>
      <c r="I286" s="10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438"/>
      <c r="U286" s="438"/>
      <c r="V286" s="438"/>
      <c r="W286" s="438"/>
      <c r="X286" s="438"/>
      <c r="Y286" s="439"/>
      <c r="Z286" s="439"/>
      <c r="AA286" s="440"/>
      <c r="AB286" s="440"/>
      <c r="AC286" s="176"/>
    </row>
    <row r="287" spans="1:29">
      <c r="A287" s="3"/>
      <c r="B287" s="3"/>
      <c r="C287" s="3"/>
      <c r="D287" s="3"/>
      <c r="E287" s="3"/>
      <c r="F287" s="4"/>
      <c r="G287" s="3"/>
      <c r="H287" s="3"/>
      <c r="I287" s="10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438"/>
      <c r="U287" s="438"/>
      <c r="V287" s="438"/>
      <c r="W287" s="438"/>
      <c r="X287" s="438"/>
      <c r="Y287" s="439"/>
      <c r="Z287" s="439"/>
      <c r="AA287" s="440"/>
      <c r="AB287" s="440"/>
      <c r="AC287" s="176"/>
    </row>
    <row r="288" spans="1:29">
      <c r="A288" s="3"/>
      <c r="B288" s="3"/>
      <c r="C288" s="3"/>
      <c r="D288" s="3"/>
      <c r="E288" s="3"/>
      <c r="F288" s="4"/>
      <c r="G288" s="3"/>
      <c r="H288" s="3"/>
      <c r="I288" s="10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438"/>
      <c r="U288" s="438"/>
      <c r="V288" s="438"/>
      <c r="W288" s="438"/>
      <c r="X288" s="438"/>
      <c r="Y288" s="439"/>
      <c r="Z288" s="439"/>
      <c r="AA288" s="440"/>
      <c r="AB288" s="440"/>
      <c r="AC288" s="176"/>
    </row>
    <row r="289" spans="1:29">
      <c r="A289" s="3"/>
      <c r="B289" s="3"/>
      <c r="C289" s="3"/>
      <c r="D289" s="3"/>
      <c r="E289" s="3"/>
      <c r="F289" s="4"/>
      <c r="G289" s="3"/>
      <c r="H289" s="3"/>
      <c r="I289" s="10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438"/>
      <c r="U289" s="438"/>
      <c r="V289" s="438"/>
      <c r="W289" s="438"/>
      <c r="X289" s="438"/>
      <c r="Y289" s="439"/>
      <c r="Z289" s="439"/>
      <c r="AA289" s="440"/>
      <c r="AB289" s="440"/>
      <c r="AC289" s="176"/>
    </row>
    <row r="290" spans="1:29">
      <c r="A290" s="3"/>
      <c r="B290" s="3"/>
      <c r="C290" s="3"/>
      <c r="D290" s="3"/>
      <c r="E290" s="3"/>
      <c r="F290" s="4"/>
      <c r="G290" s="3"/>
      <c r="H290" s="3"/>
      <c r="I290" s="10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438"/>
      <c r="U290" s="438"/>
      <c r="V290" s="438"/>
      <c r="W290" s="438"/>
      <c r="X290" s="438"/>
      <c r="Y290" s="439"/>
      <c r="Z290" s="439"/>
      <c r="AA290" s="440"/>
      <c r="AB290" s="440"/>
      <c r="AC290" s="176"/>
    </row>
    <row r="291" spans="1:29">
      <c r="A291" s="3"/>
      <c r="B291" s="3"/>
      <c r="C291" s="3"/>
      <c r="D291" s="3"/>
      <c r="E291" s="3"/>
      <c r="F291" s="4"/>
      <c r="G291" s="3"/>
      <c r="H291" s="3"/>
      <c r="I291" s="10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438"/>
      <c r="U291" s="438"/>
      <c r="V291" s="438"/>
      <c r="W291" s="438"/>
      <c r="X291" s="438"/>
      <c r="Y291" s="439"/>
      <c r="Z291" s="439"/>
      <c r="AA291" s="440"/>
      <c r="AB291" s="440"/>
      <c r="AC291" s="176"/>
    </row>
    <row r="292" spans="1:29">
      <c r="A292" s="3"/>
      <c r="B292" s="3"/>
      <c r="C292" s="3"/>
      <c r="D292" s="3"/>
      <c r="E292" s="3"/>
      <c r="F292" s="4"/>
      <c r="G292" s="3"/>
      <c r="H292" s="3"/>
      <c r="I292" s="10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438"/>
      <c r="U292" s="438"/>
      <c r="V292" s="438"/>
      <c r="W292" s="438"/>
      <c r="X292" s="438"/>
      <c r="Y292" s="439"/>
      <c r="Z292" s="439"/>
      <c r="AA292" s="440"/>
      <c r="AB292" s="440"/>
      <c r="AC292" s="176"/>
    </row>
    <row r="293" spans="1:29">
      <c r="A293" s="3"/>
      <c r="B293" s="3"/>
      <c r="C293" s="3"/>
      <c r="D293" s="3"/>
      <c r="E293" s="3"/>
      <c r="F293" s="4"/>
      <c r="G293" s="3"/>
      <c r="H293" s="3"/>
      <c r="I293" s="10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438"/>
      <c r="U293" s="438"/>
      <c r="V293" s="438"/>
      <c r="W293" s="438"/>
      <c r="X293" s="438"/>
      <c r="Y293" s="439"/>
      <c r="Z293" s="439"/>
      <c r="AA293" s="440"/>
      <c r="AB293" s="440"/>
      <c r="AC293" s="176"/>
    </row>
    <row r="294" spans="1:29">
      <c r="A294" s="3"/>
      <c r="B294" s="3"/>
      <c r="C294" s="3"/>
      <c r="D294" s="3"/>
      <c r="E294" s="3"/>
      <c r="F294" s="4"/>
      <c r="G294" s="3"/>
      <c r="H294" s="3"/>
      <c r="I294" s="10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438"/>
      <c r="U294" s="438"/>
      <c r="V294" s="438"/>
      <c r="W294" s="438"/>
      <c r="X294" s="438"/>
      <c r="Y294" s="439"/>
      <c r="Z294" s="439"/>
      <c r="AA294" s="440"/>
      <c r="AB294" s="440"/>
      <c r="AC294" s="176"/>
    </row>
    <row r="295" spans="1:29">
      <c r="A295" s="3"/>
      <c r="B295" s="3"/>
      <c r="C295" s="3"/>
      <c r="D295" s="3"/>
      <c r="E295" s="3"/>
      <c r="F295" s="4"/>
      <c r="G295" s="3"/>
      <c r="H295" s="3"/>
      <c r="I295" s="10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438"/>
      <c r="U295" s="438"/>
      <c r="V295" s="438"/>
      <c r="W295" s="438"/>
      <c r="X295" s="438"/>
      <c r="Y295" s="439"/>
      <c r="Z295" s="439"/>
      <c r="AA295" s="440"/>
      <c r="AB295" s="440"/>
      <c r="AC295" s="176"/>
    </row>
    <row r="296" spans="1:29">
      <c r="A296" s="3"/>
      <c r="B296" s="3"/>
      <c r="C296" s="3"/>
      <c r="D296" s="3"/>
      <c r="E296" s="3"/>
      <c r="F296" s="4"/>
      <c r="G296" s="3"/>
      <c r="H296" s="3"/>
      <c r="I296" s="10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438"/>
      <c r="U296" s="438"/>
      <c r="V296" s="438"/>
      <c r="W296" s="438"/>
      <c r="X296" s="438"/>
      <c r="Y296" s="439"/>
      <c r="Z296" s="439"/>
      <c r="AA296" s="440"/>
      <c r="AB296" s="440"/>
      <c r="AC296" s="176"/>
    </row>
    <row r="297" spans="1:29">
      <c r="A297" s="3"/>
      <c r="B297" s="3"/>
      <c r="C297" s="3"/>
      <c r="D297" s="3"/>
      <c r="E297" s="3"/>
      <c r="F297" s="4"/>
      <c r="G297" s="3"/>
      <c r="H297" s="3"/>
      <c r="I297" s="10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438"/>
      <c r="U297" s="438"/>
      <c r="V297" s="438"/>
      <c r="W297" s="438"/>
      <c r="X297" s="438"/>
      <c r="Y297" s="439"/>
      <c r="Z297" s="439"/>
      <c r="AA297" s="440"/>
      <c r="AB297" s="440"/>
      <c r="AC297" s="176"/>
    </row>
    <row r="298" spans="1:29">
      <c r="A298" s="3"/>
      <c r="B298" s="3"/>
      <c r="C298" s="3"/>
      <c r="D298" s="3"/>
      <c r="E298" s="3"/>
      <c r="F298" s="4"/>
      <c r="G298" s="3"/>
      <c r="H298" s="3"/>
      <c r="I298" s="10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438"/>
      <c r="U298" s="438"/>
      <c r="V298" s="438"/>
      <c r="W298" s="438"/>
      <c r="X298" s="438"/>
      <c r="Y298" s="439"/>
      <c r="Z298" s="439"/>
      <c r="AA298" s="440"/>
      <c r="AB298" s="440"/>
      <c r="AC298" s="176"/>
    </row>
    <row r="299" spans="1:29">
      <c r="A299" s="3"/>
      <c r="B299" s="3"/>
      <c r="C299" s="3"/>
      <c r="D299" s="3"/>
      <c r="E299" s="3"/>
      <c r="F299" s="4"/>
      <c r="G299" s="3"/>
      <c r="H299" s="3"/>
      <c r="I299" s="10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438"/>
      <c r="U299" s="438"/>
      <c r="V299" s="438"/>
      <c r="W299" s="438"/>
      <c r="X299" s="438"/>
      <c r="Y299" s="439"/>
      <c r="Z299" s="439"/>
      <c r="AA299" s="440"/>
      <c r="AB299" s="440"/>
      <c r="AC299" s="176"/>
    </row>
    <row r="300" spans="1:29">
      <c r="A300" s="3"/>
      <c r="B300" s="3"/>
      <c r="C300" s="3"/>
      <c r="D300" s="3"/>
      <c r="E300" s="3"/>
      <c r="F300" s="4"/>
      <c r="G300" s="3"/>
      <c r="H300" s="3"/>
      <c r="I300" s="10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438"/>
      <c r="U300" s="438"/>
      <c r="V300" s="438"/>
      <c r="W300" s="438"/>
      <c r="X300" s="438"/>
      <c r="Y300" s="439"/>
      <c r="Z300" s="439"/>
      <c r="AA300" s="440"/>
      <c r="AB300" s="440"/>
      <c r="AC300" s="176"/>
    </row>
    <row r="301" spans="1:29">
      <c r="A301" s="3"/>
      <c r="B301" s="3"/>
      <c r="C301" s="3"/>
      <c r="D301" s="3"/>
      <c r="E301" s="3"/>
      <c r="F301" s="4"/>
      <c r="G301" s="3"/>
      <c r="H301" s="3"/>
      <c r="I301" s="10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438"/>
      <c r="U301" s="438"/>
      <c r="V301" s="438"/>
      <c r="W301" s="438"/>
      <c r="X301" s="438"/>
      <c r="Y301" s="439"/>
      <c r="Z301" s="439"/>
      <c r="AA301" s="440"/>
      <c r="AB301" s="440"/>
      <c r="AC301" s="176"/>
    </row>
    <row r="302" spans="1:29">
      <c r="A302" s="3"/>
      <c r="B302" s="3"/>
      <c r="C302" s="3"/>
      <c r="D302" s="3"/>
      <c r="E302" s="3"/>
      <c r="F302" s="4"/>
      <c r="G302" s="3"/>
      <c r="H302" s="3"/>
      <c r="I302" s="10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438"/>
      <c r="U302" s="438"/>
      <c r="V302" s="438"/>
      <c r="W302" s="438"/>
      <c r="X302" s="438"/>
      <c r="Y302" s="439"/>
      <c r="Z302" s="439"/>
      <c r="AA302" s="440"/>
      <c r="AB302" s="440"/>
      <c r="AC302" s="176"/>
    </row>
    <row r="303" spans="1:29">
      <c r="A303" s="3"/>
      <c r="B303" s="3"/>
      <c r="C303" s="3"/>
      <c r="D303" s="3"/>
      <c r="E303" s="3"/>
      <c r="F303" s="4"/>
      <c r="G303" s="3"/>
      <c r="H303" s="3"/>
      <c r="I303" s="10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438"/>
      <c r="U303" s="438"/>
      <c r="V303" s="438"/>
      <c r="W303" s="438"/>
      <c r="X303" s="438"/>
      <c r="Y303" s="439"/>
      <c r="Z303" s="439"/>
      <c r="AA303" s="440"/>
      <c r="AB303" s="440"/>
      <c r="AC303" s="176"/>
    </row>
    <row r="304" spans="1:29">
      <c r="A304" s="3"/>
      <c r="B304" s="3"/>
      <c r="C304" s="3"/>
      <c r="D304" s="3"/>
      <c r="E304" s="3"/>
      <c r="F304" s="4"/>
      <c r="G304" s="3"/>
      <c r="H304" s="3"/>
      <c r="I304" s="10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438"/>
      <c r="U304" s="438"/>
      <c r="V304" s="438"/>
      <c r="W304" s="438"/>
      <c r="X304" s="438"/>
      <c r="Y304" s="439"/>
      <c r="Z304" s="439"/>
      <c r="AA304" s="440"/>
      <c r="AB304" s="440"/>
      <c r="AC304" s="176"/>
    </row>
    <row r="305" spans="1:29">
      <c r="A305" s="3"/>
      <c r="B305" s="3"/>
      <c r="C305" s="3"/>
      <c r="D305" s="3"/>
      <c r="E305" s="3"/>
      <c r="F305" s="4"/>
      <c r="G305" s="3"/>
      <c r="H305" s="3"/>
      <c r="I305" s="10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438"/>
      <c r="U305" s="438"/>
      <c r="V305" s="438"/>
      <c r="W305" s="438"/>
      <c r="X305" s="438"/>
      <c r="Y305" s="439"/>
      <c r="Z305" s="439"/>
      <c r="AA305" s="440"/>
      <c r="AB305" s="440"/>
      <c r="AC305" s="176"/>
    </row>
    <row r="306" spans="1:29">
      <c r="A306" s="3"/>
      <c r="B306" s="3"/>
      <c r="C306" s="3"/>
      <c r="D306" s="3"/>
      <c r="E306" s="3"/>
      <c r="F306" s="4"/>
      <c r="G306" s="3"/>
      <c r="H306" s="3"/>
      <c r="I306" s="10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438"/>
      <c r="U306" s="438"/>
      <c r="V306" s="438"/>
      <c r="W306" s="438"/>
      <c r="X306" s="438"/>
      <c r="Y306" s="439"/>
      <c r="Z306" s="439"/>
      <c r="AA306" s="440"/>
      <c r="AB306" s="440"/>
      <c r="AC306" s="176"/>
    </row>
    <row r="307" spans="1:29">
      <c r="A307" s="3"/>
      <c r="B307" s="3"/>
      <c r="C307" s="3"/>
      <c r="D307" s="3"/>
      <c r="E307" s="3"/>
      <c r="F307" s="4"/>
      <c r="G307" s="3"/>
      <c r="H307" s="3"/>
      <c r="I307" s="10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438"/>
      <c r="U307" s="438"/>
      <c r="V307" s="438"/>
      <c r="W307" s="438"/>
      <c r="X307" s="438"/>
      <c r="Y307" s="439"/>
      <c r="Z307" s="439"/>
      <c r="AA307" s="440"/>
      <c r="AB307" s="440"/>
      <c r="AC307" s="176"/>
    </row>
    <row r="308" spans="1:29">
      <c r="A308" s="3"/>
      <c r="B308" s="3"/>
      <c r="C308" s="3"/>
      <c r="D308" s="3"/>
      <c r="E308" s="3"/>
      <c r="F308" s="4"/>
      <c r="G308" s="3"/>
      <c r="H308" s="3"/>
      <c r="I308" s="10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438"/>
      <c r="U308" s="438"/>
      <c r="V308" s="438"/>
      <c r="W308" s="438"/>
      <c r="X308" s="438"/>
      <c r="Y308" s="439"/>
      <c r="Z308" s="439"/>
      <c r="AA308" s="440"/>
      <c r="AB308" s="440"/>
      <c r="AC308" s="176"/>
    </row>
    <row r="309" spans="1:29">
      <c r="A309" s="3"/>
      <c r="B309" s="3"/>
      <c r="C309" s="3"/>
      <c r="D309" s="3"/>
      <c r="E309" s="3"/>
      <c r="F309" s="4"/>
      <c r="G309" s="3"/>
      <c r="H309" s="3"/>
      <c r="I309" s="10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438"/>
      <c r="U309" s="438"/>
      <c r="V309" s="438"/>
      <c r="W309" s="438"/>
      <c r="X309" s="438"/>
      <c r="Y309" s="439"/>
      <c r="Z309" s="439"/>
      <c r="AA309" s="440"/>
      <c r="AB309" s="440"/>
      <c r="AC309" s="176"/>
    </row>
    <row r="310" spans="1:29">
      <c r="A310" s="3"/>
      <c r="B310" s="3"/>
      <c r="C310" s="3"/>
      <c r="D310" s="3"/>
      <c r="E310" s="3"/>
      <c r="F310" s="4"/>
      <c r="G310" s="3"/>
      <c r="H310" s="3"/>
      <c r="I310" s="10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438"/>
      <c r="U310" s="438"/>
      <c r="V310" s="438"/>
      <c r="W310" s="438"/>
      <c r="X310" s="438"/>
      <c r="Y310" s="439"/>
      <c r="Z310" s="439"/>
      <c r="AA310" s="440"/>
      <c r="AB310" s="440"/>
      <c r="AC310" s="176"/>
    </row>
    <row r="311" spans="1:29">
      <c r="A311" s="3"/>
      <c r="B311" s="3"/>
      <c r="C311" s="3"/>
      <c r="D311" s="3"/>
      <c r="E311" s="3"/>
      <c r="F311" s="4"/>
      <c r="G311" s="3"/>
      <c r="H311" s="3"/>
      <c r="I311" s="10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438"/>
      <c r="U311" s="438"/>
      <c r="V311" s="438"/>
      <c r="W311" s="438"/>
      <c r="X311" s="438"/>
      <c r="Y311" s="439"/>
      <c r="Z311" s="439"/>
      <c r="AA311" s="440"/>
      <c r="AB311" s="440"/>
      <c r="AC311" s="176"/>
    </row>
    <row r="312" spans="1:29">
      <c r="A312" s="3"/>
      <c r="B312" s="3"/>
      <c r="C312" s="3"/>
      <c r="D312" s="3"/>
      <c r="E312" s="3"/>
      <c r="F312" s="4"/>
      <c r="G312" s="3"/>
      <c r="H312" s="3"/>
      <c r="I312" s="10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438"/>
      <c r="U312" s="438"/>
      <c r="V312" s="438"/>
      <c r="W312" s="438"/>
      <c r="X312" s="438"/>
      <c r="Y312" s="439"/>
      <c r="Z312" s="439"/>
      <c r="AA312" s="440"/>
      <c r="AB312" s="440"/>
      <c r="AC312" s="176"/>
    </row>
    <row r="313" spans="1:29">
      <c r="A313" s="3"/>
      <c r="B313" s="3"/>
      <c r="C313" s="3"/>
      <c r="D313" s="3"/>
      <c r="E313" s="3"/>
      <c r="F313" s="4"/>
      <c r="G313" s="3"/>
      <c r="H313" s="3"/>
      <c r="I313" s="10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438"/>
      <c r="U313" s="438"/>
      <c r="V313" s="438"/>
      <c r="W313" s="438"/>
      <c r="X313" s="438"/>
      <c r="Y313" s="439"/>
      <c r="Z313" s="439"/>
      <c r="AA313" s="440"/>
      <c r="AB313" s="440"/>
      <c r="AC313" s="176"/>
    </row>
    <row r="314" spans="1:29">
      <c r="A314" s="3"/>
      <c r="B314" s="3"/>
      <c r="C314" s="3"/>
      <c r="D314" s="3"/>
      <c r="E314" s="3"/>
      <c r="F314" s="4"/>
      <c r="G314" s="3"/>
      <c r="H314" s="3"/>
      <c r="I314" s="10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438"/>
      <c r="U314" s="438"/>
      <c r="V314" s="438"/>
      <c r="W314" s="438"/>
      <c r="X314" s="438"/>
      <c r="Y314" s="439"/>
      <c r="Z314" s="439"/>
      <c r="AA314" s="440"/>
      <c r="AB314" s="440"/>
      <c r="AC314" s="176"/>
    </row>
    <row r="315" spans="1:29">
      <c r="A315" s="3"/>
      <c r="B315" s="3"/>
      <c r="C315" s="3"/>
      <c r="D315" s="3"/>
      <c r="E315" s="3"/>
      <c r="F315" s="4"/>
      <c r="G315" s="3"/>
      <c r="H315" s="3"/>
      <c r="I315" s="10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438"/>
      <c r="U315" s="438"/>
      <c r="V315" s="438"/>
      <c r="W315" s="438"/>
      <c r="X315" s="438"/>
      <c r="Y315" s="439"/>
      <c r="Z315" s="439"/>
      <c r="AA315" s="440"/>
      <c r="AB315" s="440"/>
      <c r="AC315" s="176"/>
    </row>
    <row r="316" spans="1:29">
      <c r="A316" s="3"/>
      <c r="B316" s="3"/>
      <c r="C316" s="3"/>
      <c r="D316" s="3"/>
      <c r="E316" s="3"/>
      <c r="F316" s="4"/>
      <c r="G316" s="3"/>
      <c r="H316" s="3"/>
      <c r="I316" s="10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438"/>
      <c r="U316" s="438"/>
      <c r="V316" s="438"/>
      <c r="W316" s="438"/>
      <c r="X316" s="438"/>
      <c r="Y316" s="439"/>
      <c r="Z316" s="439"/>
      <c r="AA316" s="440"/>
      <c r="AB316" s="440"/>
      <c r="AC316" s="176"/>
    </row>
    <row r="317" spans="1:29">
      <c r="A317" s="3"/>
      <c r="B317" s="3"/>
      <c r="C317" s="3"/>
      <c r="D317" s="3"/>
      <c r="E317" s="3"/>
      <c r="F317" s="4"/>
      <c r="G317" s="3"/>
      <c r="H317" s="3"/>
      <c r="I317" s="10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438"/>
      <c r="U317" s="438"/>
      <c r="V317" s="438"/>
      <c r="W317" s="438"/>
      <c r="X317" s="438"/>
      <c r="Y317" s="439"/>
      <c r="Z317" s="439"/>
      <c r="AA317" s="440"/>
      <c r="AB317" s="440"/>
      <c r="AC317" s="176"/>
    </row>
    <row r="318" spans="1:29">
      <c r="A318" s="3"/>
      <c r="B318" s="3"/>
      <c r="C318" s="3"/>
      <c r="D318" s="3"/>
      <c r="E318" s="3"/>
      <c r="F318" s="4"/>
      <c r="G318" s="3"/>
      <c r="H318" s="3"/>
      <c r="I318" s="10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438"/>
      <c r="U318" s="438"/>
      <c r="V318" s="438"/>
      <c r="W318" s="438"/>
      <c r="X318" s="438"/>
      <c r="Y318" s="439"/>
      <c r="Z318" s="439"/>
      <c r="AA318" s="440"/>
      <c r="AB318" s="440"/>
      <c r="AC318" s="176"/>
    </row>
    <row r="319" spans="1:29">
      <c r="A319" s="3"/>
      <c r="B319" s="3"/>
      <c r="C319" s="3"/>
      <c r="D319" s="3"/>
      <c r="E319" s="3"/>
      <c r="F319" s="4"/>
      <c r="G319" s="3"/>
      <c r="H319" s="3"/>
      <c r="I319" s="10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438"/>
      <c r="U319" s="438"/>
      <c r="V319" s="438"/>
      <c r="W319" s="438"/>
      <c r="X319" s="438"/>
      <c r="Y319" s="439"/>
      <c r="Z319" s="439"/>
      <c r="AA319" s="440"/>
      <c r="AB319" s="440"/>
      <c r="AC319" s="176"/>
    </row>
    <row r="320" spans="1:29">
      <c r="A320" s="3"/>
      <c r="B320" s="3"/>
      <c r="C320" s="3"/>
      <c r="D320" s="3"/>
      <c r="E320" s="3"/>
      <c r="F320" s="4"/>
      <c r="G320" s="3"/>
      <c r="H320" s="3"/>
      <c r="I320" s="10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438"/>
      <c r="U320" s="438"/>
      <c r="V320" s="438"/>
      <c r="W320" s="438"/>
      <c r="X320" s="438"/>
      <c r="Y320" s="439"/>
      <c r="Z320" s="439"/>
      <c r="AA320" s="440"/>
      <c r="AB320" s="440"/>
      <c r="AC320" s="176"/>
    </row>
    <row r="321" spans="1:29">
      <c r="A321" s="3"/>
      <c r="B321" s="3"/>
      <c r="C321" s="3"/>
      <c r="D321" s="3"/>
      <c r="E321" s="3"/>
      <c r="F321" s="4"/>
      <c r="G321" s="3"/>
      <c r="H321" s="3"/>
      <c r="I321" s="10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438"/>
      <c r="U321" s="438"/>
      <c r="V321" s="438"/>
      <c r="W321" s="438"/>
      <c r="X321" s="438"/>
      <c r="Y321" s="439"/>
      <c r="Z321" s="439"/>
      <c r="AA321" s="440"/>
      <c r="AB321" s="440"/>
      <c r="AC321" s="176"/>
    </row>
    <row r="322" spans="1:29">
      <c r="A322" s="3"/>
      <c r="B322" s="3"/>
      <c r="C322" s="3"/>
      <c r="D322" s="3"/>
      <c r="E322" s="3"/>
      <c r="F322" s="4"/>
      <c r="G322" s="3"/>
      <c r="H322" s="3"/>
      <c r="I322" s="10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438"/>
      <c r="U322" s="438"/>
      <c r="V322" s="438"/>
      <c r="W322" s="438"/>
      <c r="X322" s="438"/>
      <c r="Y322" s="439"/>
      <c r="Z322" s="439"/>
      <c r="AA322" s="440"/>
      <c r="AB322" s="440"/>
      <c r="AC322" s="176"/>
    </row>
    <row r="323" spans="1:29">
      <c r="A323" s="3"/>
      <c r="B323" s="3"/>
      <c r="C323" s="3"/>
      <c r="D323" s="3"/>
      <c r="E323" s="3"/>
      <c r="F323" s="4"/>
      <c r="G323" s="3"/>
      <c r="H323" s="3"/>
      <c r="I323" s="10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438"/>
      <c r="U323" s="438"/>
      <c r="V323" s="438"/>
      <c r="W323" s="438"/>
      <c r="X323" s="438"/>
      <c r="Y323" s="439"/>
      <c r="Z323" s="439"/>
      <c r="AA323" s="440"/>
      <c r="AB323" s="440"/>
      <c r="AC323" s="176"/>
    </row>
    <row r="324" spans="1:29">
      <c r="A324" s="3"/>
      <c r="B324" s="3"/>
      <c r="C324" s="3"/>
      <c r="D324" s="3"/>
      <c r="E324" s="3"/>
      <c r="F324" s="4"/>
      <c r="G324" s="3"/>
      <c r="H324" s="3"/>
      <c r="I324" s="10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438"/>
      <c r="U324" s="438"/>
      <c r="V324" s="438"/>
      <c r="W324" s="438"/>
      <c r="X324" s="438"/>
      <c r="Y324" s="439"/>
      <c r="Z324" s="439"/>
      <c r="AA324" s="440"/>
      <c r="AB324" s="440"/>
      <c r="AC324" s="176"/>
    </row>
    <row r="325" spans="1:29">
      <c r="A325" s="3"/>
      <c r="B325" s="3"/>
      <c r="C325" s="3"/>
      <c r="D325" s="3"/>
      <c r="E325" s="3"/>
      <c r="F325" s="4"/>
      <c r="G325" s="3"/>
      <c r="H325" s="3"/>
      <c r="I325" s="10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438"/>
      <c r="U325" s="438"/>
      <c r="V325" s="438"/>
      <c r="W325" s="438"/>
      <c r="X325" s="438"/>
      <c r="Y325" s="439"/>
      <c r="Z325" s="439"/>
      <c r="AA325" s="440"/>
      <c r="AB325" s="440"/>
      <c r="AC325" s="176"/>
    </row>
    <row r="326" spans="1:29">
      <c r="A326" s="3"/>
      <c r="B326" s="3"/>
      <c r="C326" s="3"/>
      <c r="D326" s="3"/>
      <c r="E326" s="3"/>
      <c r="F326" s="4"/>
      <c r="G326" s="3"/>
      <c r="H326" s="3"/>
      <c r="I326" s="10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438"/>
      <c r="U326" s="438"/>
      <c r="V326" s="438"/>
      <c r="W326" s="438"/>
      <c r="X326" s="438"/>
      <c r="Y326" s="439"/>
      <c r="Z326" s="439"/>
      <c r="AA326" s="440"/>
      <c r="AB326" s="440"/>
      <c r="AC326" s="176"/>
    </row>
    <row r="327" spans="1:29">
      <c r="A327" s="3"/>
      <c r="B327" s="3"/>
      <c r="C327" s="3"/>
      <c r="D327" s="3"/>
      <c r="E327" s="3"/>
      <c r="F327" s="4"/>
      <c r="G327" s="3"/>
      <c r="H327" s="3"/>
      <c r="I327" s="10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438"/>
      <c r="U327" s="438"/>
      <c r="V327" s="438"/>
      <c r="W327" s="438"/>
      <c r="X327" s="438"/>
      <c r="Y327" s="439"/>
      <c r="Z327" s="439"/>
      <c r="AA327" s="440"/>
      <c r="AB327" s="440"/>
      <c r="AC327" s="176"/>
    </row>
    <row r="328" spans="1:29">
      <c r="A328" s="3"/>
      <c r="B328" s="3"/>
      <c r="C328" s="3"/>
      <c r="D328" s="3"/>
      <c r="E328" s="3"/>
      <c r="F328" s="4"/>
      <c r="G328" s="3"/>
      <c r="H328" s="3"/>
      <c r="I328" s="10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438"/>
      <c r="U328" s="438"/>
      <c r="V328" s="438"/>
      <c r="W328" s="438"/>
      <c r="X328" s="438"/>
      <c r="Y328" s="439"/>
      <c r="Z328" s="439"/>
      <c r="AA328" s="440"/>
      <c r="AB328" s="440"/>
      <c r="AC328" s="176"/>
    </row>
    <row r="329" spans="1:29">
      <c r="A329" s="3"/>
      <c r="B329" s="3"/>
      <c r="C329" s="3"/>
      <c r="D329" s="3"/>
      <c r="E329" s="3"/>
      <c r="F329" s="4"/>
      <c r="G329" s="3"/>
      <c r="H329" s="3"/>
      <c r="I329" s="10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438"/>
      <c r="U329" s="438"/>
      <c r="V329" s="438"/>
      <c r="W329" s="438"/>
      <c r="X329" s="438"/>
      <c r="Y329" s="439"/>
      <c r="Z329" s="439"/>
      <c r="AA329" s="440"/>
      <c r="AB329" s="440"/>
      <c r="AC329" s="176"/>
    </row>
    <row r="330" spans="1:29">
      <c r="A330" s="3"/>
      <c r="B330" s="3"/>
      <c r="C330" s="3"/>
      <c r="D330" s="3"/>
      <c r="E330" s="3"/>
      <c r="F330" s="4"/>
      <c r="G330" s="3"/>
      <c r="H330" s="3"/>
      <c r="I330" s="10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438"/>
      <c r="U330" s="438"/>
      <c r="V330" s="438"/>
      <c r="W330" s="438"/>
      <c r="X330" s="438"/>
      <c r="Y330" s="439"/>
      <c r="Z330" s="439"/>
      <c r="AA330" s="440"/>
      <c r="AB330" s="440"/>
      <c r="AC330" s="176"/>
    </row>
    <row r="331" spans="1:29">
      <c r="A331" s="3"/>
      <c r="B331" s="3"/>
      <c r="C331" s="3"/>
      <c r="D331" s="3"/>
      <c r="E331" s="3"/>
      <c r="F331" s="4"/>
      <c r="G331" s="3"/>
      <c r="H331" s="3"/>
      <c r="I331" s="10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438"/>
      <c r="U331" s="438"/>
      <c r="V331" s="438"/>
      <c r="W331" s="438"/>
      <c r="X331" s="438"/>
      <c r="Y331" s="439"/>
      <c r="Z331" s="439"/>
      <c r="AA331" s="440"/>
      <c r="AB331" s="440"/>
      <c r="AC331" s="176"/>
    </row>
    <row r="332" spans="1:29">
      <c r="A332" s="3"/>
      <c r="B332" s="3"/>
      <c r="C332" s="3"/>
      <c r="D332" s="3"/>
      <c r="E332" s="3"/>
      <c r="F332" s="4"/>
      <c r="G332" s="3"/>
      <c r="H332" s="3"/>
      <c r="I332" s="10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438"/>
      <c r="U332" s="438"/>
      <c r="V332" s="438"/>
      <c r="W332" s="438"/>
      <c r="X332" s="438"/>
      <c r="Y332" s="439"/>
      <c r="Z332" s="439"/>
      <c r="AA332" s="440"/>
      <c r="AB332" s="440"/>
      <c r="AC332" s="176"/>
    </row>
    <row r="333" spans="1:29">
      <c r="A333" s="3"/>
      <c r="B333" s="3"/>
      <c r="C333" s="3"/>
      <c r="D333" s="3"/>
      <c r="E333" s="3"/>
      <c r="F333" s="4"/>
      <c r="G333" s="3"/>
      <c r="H333" s="3"/>
      <c r="I333" s="10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438"/>
      <c r="U333" s="438"/>
      <c r="V333" s="438"/>
      <c r="W333" s="438"/>
      <c r="X333" s="438"/>
      <c r="Y333" s="439"/>
      <c r="Z333" s="439"/>
      <c r="AA333" s="440"/>
      <c r="AB333" s="440"/>
      <c r="AC333" s="176"/>
    </row>
    <row r="334" spans="1:29">
      <c r="A334" s="3"/>
      <c r="B334" s="3"/>
      <c r="C334" s="3"/>
      <c r="D334" s="3"/>
      <c r="E334" s="3"/>
      <c r="F334" s="4"/>
      <c r="G334" s="3"/>
      <c r="H334" s="3"/>
      <c r="I334" s="10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438"/>
      <c r="U334" s="438"/>
      <c r="V334" s="438"/>
      <c r="W334" s="438"/>
      <c r="X334" s="438"/>
      <c r="Y334" s="439"/>
      <c r="Z334" s="439"/>
      <c r="AA334" s="440"/>
      <c r="AB334" s="440"/>
      <c r="AC334" s="176"/>
    </row>
    <row r="335" spans="1:29">
      <c r="A335" s="3"/>
      <c r="B335" s="3"/>
      <c r="C335" s="3"/>
      <c r="D335" s="3"/>
      <c r="E335" s="3"/>
      <c r="F335" s="4"/>
      <c r="G335" s="3"/>
      <c r="H335" s="3"/>
      <c r="I335" s="10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438"/>
      <c r="U335" s="438"/>
      <c r="V335" s="438"/>
      <c r="W335" s="438"/>
      <c r="X335" s="438"/>
      <c r="Y335" s="439"/>
      <c r="Z335" s="439"/>
      <c r="AA335" s="440"/>
      <c r="AB335" s="440"/>
      <c r="AC335" s="176"/>
    </row>
    <row r="336" spans="1:29">
      <c r="A336" s="3"/>
      <c r="B336" s="3"/>
      <c r="C336" s="3"/>
      <c r="D336" s="3"/>
      <c r="E336" s="3"/>
      <c r="F336" s="4"/>
      <c r="G336" s="3"/>
      <c r="H336" s="3"/>
      <c r="I336" s="10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438"/>
      <c r="U336" s="438"/>
      <c r="V336" s="438"/>
      <c r="W336" s="438"/>
      <c r="X336" s="438"/>
      <c r="Y336" s="439"/>
      <c r="Z336" s="439"/>
      <c r="AA336" s="440"/>
      <c r="AB336" s="440"/>
      <c r="AC336" s="176"/>
    </row>
    <row r="337" spans="1:29">
      <c r="A337" s="3"/>
      <c r="B337" s="3"/>
      <c r="C337" s="3"/>
      <c r="D337" s="3"/>
      <c r="E337" s="3"/>
      <c r="F337" s="4"/>
      <c r="G337" s="3"/>
      <c r="H337" s="3"/>
      <c r="I337" s="10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438"/>
      <c r="U337" s="438"/>
      <c r="V337" s="438"/>
      <c r="W337" s="438"/>
      <c r="X337" s="438"/>
      <c r="Y337" s="439"/>
      <c r="Z337" s="439"/>
      <c r="AA337" s="440"/>
      <c r="AB337" s="440"/>
      <c r="AC337" s="176"/>
    </row>
    <row r="338" spans="1:29">
      <c r="A338" s="3"/>
      <c r="B338" s="3"/>
      <c r="C338" s="3"/>
      <c r="D338" s="3"/>
      <c r="E338" s="3"/>
      <c r="F338" s="4"/>
      <c r="G338" s="3"/>
      <c r="H338" s="3"/>
      <c r="I338" s="10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438"/>
      <c r="U338" s="438"/>
      <c r="V338" s="438"/>
      <c r="W338" s="438"/>
      <c r="X338" s="438"/>
      <c r="Y338" s="439"/>
      <c r="Z338" s="439"/>
      <c r="AA338" s="440"/>
      <c r="AB338" s="440"/>
      <c r="AC338" s="176"/>
    </row>
    <row r="339" spans="1:29">
      <c r="A339" s="3"/>
      <c r="B339" s="3"/>
      <c r="C339" s="3"/>
      <c r="D339" s="3"/>
      <c r="E339" s="3"/>
      <c r="F339" s="4"/>
      <c r="G339" s="3"/>
      <c r="H339" s="3"/>
      <c r="I339" s="10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438"/>
      <c r="U339" s="438"/>
      <c r="V339" s="438"/>
      <c r="W339" s="438"/>
      <c r="X339" s="438"/>
      <c r="Y339" s="439"/>
      <c r="Z339" s="439"/>
      <c r="AA339" s="440"/>
      <c r="AB339" s="440"/>
      <c r="AC339" s="176"/>
    </row>
    <row r="340" spans="1:29">
      <c r="A340" s="3"/>
      <c r="B340" s="3"/>
      <c r="C340" s="3"/>
      <c r="D340" s="3"/>
      <c r="E340" s="3"/>
      <c r="F340" s="4"/>
      <c r="G340" s="3"/>
      <c r="H340" s="3"/>
      <c r="I340" s="10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438"/>
      <c r="U340" s="438"/>
      <c r="V340" s="438"/>
      <c r="W340" s="438"/>
      <c r="X340" s="438"/>
      <c r="Y340" s="439"/>
      <c r="Z340" s="439"/>
      <c r="AA340" s="440"/>
      <c r="AB340" s="440"/>
      <c r="AC340" s="176"/>
    </row>
    <row r="341" spans="1:29">
      <c r="A341" s="3"/>
      <c r="B341" s="3"/>
      <c r="C341" s="3"/>
      <c r="D341" s="3"/>
      <c r="E341" s="3"/>
      <c r="F341" s="4"/>
      <c r="G341" s="3"/>
      <c r="H341" s="3"/>
      <c r="I341" s="10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438"/>
      <c r="U341" s="438"/>
      <c r="V341" s="438"/>
      <c r="W341" s="438"/>
      <c r="X341" s="438"/>
      <c r="Y341" s="439"/>
      <c r="Z341" s="439"/>
      <c r="AA341" s="440"/>
      <c r="AB341" s="440"/>
      <c r="AC341" s="176"/>
    </row>
    <row r="342" spans="1:29">
      <c r="A342" s="3"/>
      <c r="B342" s="3"/>
      <c r="C342" s="3"/>
      <c r="D342" s="3"/>
      <c r="E342" s="3"/>
      <c r="F342" s="4"/>
      <c r="G342" s="3"/>
      <c r="H342" s="3"/>
      <c r="I342" s="10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438"/>
      <c r="U342" s="438"/>
      <c r="V342" s="438"/>
      <c r="W342" s="438"/>
      <c r="X342" s="438"/>
      <c r="Y342" s="439"/>
      <c r="Z342" s="439"/>
      <c r="AA342" s="440"/>
      <c r="AB342" s="440"/>
      <c r="AC342" s="176"/>
    </row>
    <row r="343" spans="1:29">
      <c r="A343" s="3"/>
      <c r="B343" s="3"/>
      <c r="C343" s="3"/>
      <c r="D343" s="3"/>
      <c r="E343" s="3"/>
      <c r="F343" s="4"/>
      <c r="G343" s="3"/>
      <c r="H343" s="3"/>
      <c r="I343" s="10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438"/>
      <c r="U343" s="438"/>
      <c r="V343" s="438"/>
      <c r="W343" s="438"/>
      <c r="X343" s="438"/>
      <c r="Y343" s="439"/>
      <c r="Z343" s="439"/>
      <c r="AA343" s="440"/>
      <c r="AB343" s="440"/>
      <c r="AC343" s="176"/>
    </row>
    <row r="344" spans="1:29">
      <c r="A344" s="3"/>
      <c r="B344" s="3"/>
      <c r="C344" s="3"/>
      <c r="D344" s="3"/>
      <c r="E344" s="3"/>
      <c r="F344" s="4"/>
      <c r="G344" s="3"/>
      <c r="H344" s="3"/>
      <c r="I344" s="10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438"/>
      <c r="U344" s="438"/>
      <c r="V344" s="438"/>
      <c r="W344" s="438"/>
      <c r="X344" s="438"/>
      <c r="Y344" s="439"/>
      <c r="Z344" s="439"/>
      <c r="AA344" s="440"/>
      <c r="AB344" s="440"/>
      <c r="AC344" s="176"/>
    </row>
    <row r="345" spans="1:29">
      <c r="A345" s="3"/>
      <c r="B345" s="3"/>
      <c r="C345" s="3"/>
      <c r="D345" s="3"/>
      <c r="E345" s="3"/>
      <c r="F345" s="4"/>
      <c r="G345" s="3"/>
      <c r="H345" s="3"/>
      <c r="I345" s="10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438"/>
      <c r="U345" s="438"/>
      <c r="V345" s="438"/>
      <c r="W345" s="438"/>
      <c r="X345" s="438"/>
      <c r="Y345" s="439"/>
      <c r="Z345" s="439"/>
      <c r="AA345" s="440"/>
      <c r="AB345" s="440"/>
      <c r="AC345" s="176"/>
    </row>
    <row r="346" spans="1:29">
      <c r="A346" s="3"/>
      <c r="B346" s="3"/>
      <c r="C346" s="3"/>
      <c r="D346" s="3"/>
      <c r="E346" s="3"/>
      <c r="F346" s="4"/>
      <c r="G346" s="3"/>
      <c r="H346" s="3"/>
      <c r="I346" s="10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438"/>
      <c r="U346" s="438"/>
      <c r="V346" s="438"/>
      <c r="W346" s="438"/>
      <c r="X346" s="438"/>
      <c r="Y346" s="439"/>
      <c r="Z346" s="439"/>
      <c r="AA346" s="440"/>
      <c r="AB346" s="440"/>
      <c r="AC346" s="176"/>
    </row>
    <row r="347" spans="1:29">
      <c r="A347" s="3"/>
      <c r="B347" s="3"/>
      <c r="C347" s="3"/>
      <c r="D347" s="3"/>
      <c r="E347" s="3"/>
      <c r="F347" s="4"/>
      <c r="G347" s="3"/>
      <c r="H347" s="3"/>
      <c r="I347" s="10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438"/>
      <c r="U347" s="438"/>
      <c r="V347" s="438"/>
      <c r="W347" s="438"/>
      <c r="X347" s="438"/>
      <c r="Y347" s="439"/>
      <c r="Z347" s="439"/>
      <c r="AA347" s="440"/>
      <c r="AB347" s="440"/>
      <c r="AC347" s="176"/>
    </row>
    <row r="348" spans="1:29">
      <c r="A348" s="3"/>
      <c r="B348" s="3"/>
      <c r="C348" s="3"/>
      <c r="D348" s="3"/>
      <c r="E348" s="3"/>
      <c r="F348" s="4"/>
      <c r="G348" s="3"/>
      <c r="H348" s="3"/>
      <c r="I348" s="10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438"/>
      <c r="U348" s="438"/>
      <c r="V348" s="438"/>
      <c r="W348" s="438"/>
      <c r="X348" s="438"/>
      <c r="Y348" s="439"/>
      <c r="Z348" s="439"/>
      <c r="AA348" s="440"/>
      <c r="AB348" s="440"/>
      <c r="AC348" s="176"/>
    </row>
    <row r="349" spans="1:29">
      <c r="A349" s="3"/>
      <c r="B349" s="3"/>
      <c r="C349" s="3"/>
      <c r="D349" s="3"/>
      <c r="E349" s="3"/>
      <c r="F349" s="4"/>
      <c r="G349" s="3"/>
      <c r="H349" s="3"/>
      <c r="I349" s="10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438"/>
      <c r="U349" s="438"/>
      <c r="V349" s="438"/>
      <c r="W349" s="438"/>
      <c r="X349" s="438"/>
      <c r="Y349" s="439"/>
      <c r="Z349" s="439"/>
      <c r="AA349" s="440"/>
      <c r="AB349" s="440"/>
      <c r="AC349" s="176"/>
    </row>
    <row r="350" spans="1:29">
      <c r="A350" s="3"/>
      <c r="B350" s="3"/>
      <c r="C350" s="3"/>
      <c r="D350" s="3"/>
      <c r="E350" s="3"/>
      <c r="F350" s="4"/>
      <c r="G350" s="3"/>
      <c r="H350" s="3"/>
      <c r="I350" s="10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438"/>
      <c r="U350" s="438"/>
      <c r="V350" s="438"/>
      <c r="W350" s="438"/>
      <c r="X350" s="438"/>
      <c r="Y350" s="439"/>
      <c r="Z350" s="439"/>
      <c r="AA350" s="440"/>
      <c r="AB350" s="440"/>
      <c r="AC350" s="176"/>
    </row>
    <row r="351" spans="1:29">
      <c r="A351" s="3"/>
      <c r="B351" s="3"/>
      <c r="C351" s="3"/>
      <c r="D351" s="3"/>
      <c r="E351" s="3"/>
      <c r="F351" s="4"/>
      <c r="G351" s="3"/>
      <c r="H351" s="3"/>
      <c r="I351" s="10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438"/>
      <c r="U351" s="438"/>
      <c r="V351" s="438"/>
      <c r="W351" s="438"/>
      <c r="X351" s="438"/>
      <c r="Y351" s="439"/>
      <c r="Z351" s="439"/>
      <c r="AA351" s="440"/>
      <c r="AB351" s="440"/>
      <c r="AC351" s="176"/>
    </row>
    <row r="352" spans="1:29">
      <c r="A352" s="3"/>
      <c r="B352" s="3"/>
      <c r="C352" s="3"/>
      <c r="D352" s="3"/>
      <c r="E352" s="3"/>
      <c r="F352" s="4"/>
      <c r="G352" s="3"/>
      <c r="H352" s="3"/>
      <c r="I352" s="10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438"/>
      <c r="U352" s="438"/>
      <c r="V352" s="438"/>
      <c r="W352" s="438"/>
      <c r="X352" s="438"/>
      <c r="Y352" s="439"/>
      <c r="Z352" s="439"/>
      <c r="AA352" s="440"/>
      <c r="AB352" s="440"/>
      <c r="AC352" s="176"/>
    </row>
    <row r="353" spans="1:29">
      <c r="A353" s="3"/>
      <c r="B353" s="3"/>
      <c r="C353" s="3"/>
      <c r="D353" s="3"/>
      <c r="E353" s="3"/>
      <c r="F353" s="4"/>
      <c r="G353" s="3"/>
      <c r="H353" s="3"/>
      <c r="I353" s="10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438"/>
      <c r="U353" s="438"/>
      <c r="V353" s="438"/>
      <c r="W353" s="438"/>
      <c r="X353" s="438"/>
      <c r="Y353" s="439"/>
      <c r="Z353" s="439"/>
      <c r="AA353" s="440"/>
      <c r="AB353" s="440"/>
      <c r="AC353" s="176"/>
    </row>
    <row r="354" spans="1:29">
      <c r="A354" s="3"/>
      <c r="B354" s="3"/>
      <c r="C354" s="3"/>
      <c r="D354" s="3"/>
      <c r="E354" s="3"/>
      <c r="F354" s="4"/>
      <c r="G354" s="3"/>
      <c r="H354" s="3"/>
      <c r="I354" s="10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438"/>
      <c r="U354" s="438"/>
      <c r="V354" s="438"/>
      <c r="W354" s="438"/>
      <c r="X354" s="438"/>
      <c r="Y354" s="439"/>
      <c r="Z354" s="439"/>
      <c r="AA354" s="440"/>
      <c r="AB354" s="440"/>
      <c r="AC354" s="176"/>
    </row>
    <row r="355" spans="1:29">
      <c r="A355" s="3"/>
      <c r="B355" s="3"/>
      <c r="C355" s="3"/>
      <c r="D355" s="3"/>
      <c r="E355" s="3"/>
      <c r="F355" s="4"/>
      <c r="G355" s="3"/>
      <c r="H355" s="3"/>
      <c r="I355" s="10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438"/>
      <c r="U355" s="438"/>
      <c r="V355" s="438"/>
      <c r="W355" s="438"/>
      <c r="X355" s="438"/>
      <c r="Y355" s="439"/>
      <c r="Z355" s="439"/>
      <c r="AA355" s="440"/>
      <c r="AB355" s="440"/>
      <c r="AC355" s="176"/>
    </row>
    <row r="356" spans="1:29">
      <c r="A356" s="3"/>
      <c r="B356" s="3"/>
      <c r="C356" s="3"/>
      <c r="D356" s="3"/>
      <c r="E356" s="3"/>
      <c r="F356" s="4"/>
      <c r="G356" s="3"/>
      <c r="H356" s="3"/>
      <c r="I356" s="10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438"/>
      <c r="U356" s="438"/>
      <c r="V356" s="438"/>
      <c r="W356" s="438"/>
      <c r="X356" s="438"/>
      <c r="Y356" s="439"/>
      <c r="Z356" s="439"/>
      <c r="AA356" s="440"/>
      <c r="AB356" s="440"/>
      <c r="AC356" s="176"/>
    </row>
    <row r="357" spans="1:29">
      <c r="A357" s="3"/>
      <c r="B357" s="3"/>
      <c r="C357" s="3"/>
      <c r="D357" s="3"/>
      <c r="E357" s="3"/>
      <c r="F357" s="4"/>
      <c r="G357" s="3"/>
      <c r="H357" s="3"/>
      <c r="I357" s="10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438"/>
      <c r="U357" s="438"/>
      <c r="V357" s="438"/>
      <c r="W357" s="438"/>
      <c r="X357" s="438"/>
      <c r="Y357" s="439"/>
      <c r="Z357" s="439"/>
      <c r="AA357" s="440"/>
      <c r="AB357" s="440"/>
      <c r="AC357" s="176"/>
    </row>
    <row r="358" spans="1:29">
      <c r="A358" s="3"/>
      <c r="B358" s="3"/>
      <c r="C358" s="3"/>
      <c r="D358" s="3"/>
      <c r="E358" s="3"/>
      <c r="F358" s="4"/>
      <c r="G358" s="3"/>
      <c r="H358" s="3"/>
      <c r="I358" s="10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438"/>
      <c r="U358" s="438"/>
      <c r="V358" s="438"/>
      <c r="W358" s="438"/>
      <c r="X358" s="438"/>
      <c r="Y358" s="439"/>
      <c r="Z358" s="439"/>
      <c r="AA358" s="440"/>
      <c r="AB358" s="440"/>
      <c r="AC358" s="176"/>
    </row>
    <row r="359" spans="1:29">
      <c r="A359" s="3"/>
      <c r="B359" s="3"/>
      <c r="C359" s="3"/>
      <c r="D359" s="3"/>
      <c r="E359" s="3"/>
      <c r="F359" s="4"/>
      <c r="G359" s="3"/>
      <c r="H359" s="3"/>
      <c r="I359" s="10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438"/>
      <c r="U359" s="438"/>
      <c r="V359" s="438"/>
      <c r="W359" s="438"/>
      <c r="X359" s="438"/>
      <c r="Y359" s="439"/>
      <c r="Z359" s="439"/>
      <c r="AA359" s="440"/>
      <c r="AB359" s="440"/>
      <c r="AC359" s="176"/>
    </row>
    <row r="360" spans="1:29">
      <c r="A360" s="3"/>
      <c r="B360" s="3"/>
      <c r="C360" s="3"/>
      <c r="D360" s="3"/>
      <c r="E360" s="3"/>
      <c r="F360" s="4"/>
      <c r="G360" s="3"/>
      <c r="H360" s="3"/>
      <c r="I360" s="10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438"/>
      <c r="U360" s="438"/>
      <c r="V360" s="438"/>
      <c r="W360" s="438"/>
      <c r="X360" s="438"/>
      <c r="Y360" s="439"/>
      <c r="Z360" s="439"/>
      <c r="AA360" s="440"/>
      <c r="AB360" s="440"/>
      <c r="AC360" s="176"/>
    </row>
    <row r="361" spans="1:29">
      <c r="A361" s="3"/>
      <c r="B361" s="3"/>
      <c r="C361" s="3"/>
      <c r="D361" s="3"/>
      <c r="E361" s="3"/>
      <c r="F361" s="4"/>
      <c r="G361" s="3"/>
      <c r="H361" s="3"/>
      <c r="I361" s="10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438"/>
      <c r="U361" s="438"/>
      <c r="V361" s="438"/>
      <c r="W361" s="438"/>
      <c r="X361" s="438"/>
      <c r="Y361" s="439"/>
      <c r="Z361" s="439"/>
      <c r="AA361" s="440"/>
      <c r="AB361" s="440"/>
      <c r="AC361" s="176"/>
    </row>
    <row r="362" spans="1:29">
      <c r="A362" s="3"/>
      <c r="B362" s="3"/>
      <c r="C362" s="3"/>
      <c r="D362" s="3"/>
      <c r="E362" s="3"/>
      <c r="F362" s="4"/>
      <c r="G362" s="3"/>
      <c r="H362" s="3"/>
      <c r="I362" s="10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438"/>
      <c r="U362" s="438"/>
      <c r="V362" s="438"/>
      <c r="W362" s="438"/>
      <c r="X362" s="438"/>
      <c r="Y362" s="439"/>
      <c r="Z362" s="439"/>
      <c r="AA362" s="440"/>
      <c r="AB362" s="440"/>
      <c r="AC362" s="176"/>
    </row>
    <row r="363" spans="1:29">
      <c r="A363" s="3"/>
      <c r="B363" s="3"/>
      <c r="C363" s="3"/>
      <c r="D363" s="3"/>
      <c r="E363" s="3"/>
      <c r="F363" s="4"/>
      <c r="G363" s="3"/>
      <c r="H363" s="3"/>
      <c r="I363" s="10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438"/>
      <c r="U363" s="438"/>
      <c r="V363" s="438"/>
      <c r="W363" s="438"/>
      <c r="X363" s="438"/>
      <c r="Y363" s="439"/>
      <c r="Z363" s="439"/>
      <c r="AA363" s="440"/>
      <c r="AB363" s="440"/>
      <c r="AC363" s="176"/>
    </row>
    <row r="364" spans="1:29">
      <c r="A364" s="3"/>
      <c r="B364" s="3"/>
      <c r="C364" s="3"/>
      <c r="D364" s="3"/>
      <c r="E364" s="3"/>
      <c r="F364" s="4"/>
      <c r="G364" s="3"/>
      <c r="H364" s="3"/>
      <c r="I364" s="10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438"/>
      <c r="U364" s="438"/>
      <c r="V364" s="438"/>
      <c r="W364" s="438"/>
      <c r="X364" s="438"/>
      <c r="Y364" s="439"/>
      <c r="Z364" s="439"/>
      <c r="AA364" s="440"/>
      <c r="AB364" s="440"/>
      <c r="AC364" s="176"/>
    </row>
    <row r="365" spans="1:29">
      <c r="A365" s="3"/>
      <c r="B365" s="3"/>
      <c r="C365" s="3"/>
      <c r="D365" s="3"/>
      <c r="E365" s="3"/>
      <c r="F365" s="4"/>
      <c r="G365" s="3"/>
      <c r="H365" s="3"/>
      <c r="I365" s="10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438"/>
      <c r="U365" s="438"/>
      <c r="V365" s="438"/>
      <c r="W365" s="438"/>
      <c r="X365" s="438"/>
      <c r="Y365" s="439"/>
      <c r="Z365" s="439"/>
      <c r="AA365" s="440"/>
      <c r="AB365" s="440"/>
      <c r="AC365" s="176"/>
    </row>
    <row r="366" spans="1:29">
      <c r="A366" s="3"/>
      <c r="B366" s="3"/>
      <c r="C366" s="3"/>
      <c r="D366" s="3"/>
      <c r="E366" s="3"/>
      <c r="F366" s="4"/>
      <c r="G366" s="3"/>
      <c r="H366" s="3"/>
      <c r="I366" s="10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438"/>
      <c r="U366" s="438"/>
      <c r="V366" s="438"/>
      <c r="W366" s="438"/>
      <c r="X366" s="438"/>
      <c r="Y366" s="439"/>
      <c r="Z366" s="439"/>
      <c r="AA366" s="440"/>
      <c r="AB366" s="440"/>
      <c r="AC366" s="176"/>
    </row>
    <row r="367" spans="1:29">
      <c r="A367" s="3"/>
      <c r="B367" s="3"/>
      <c r="C367" s="3"/>
      <c r="D367" s="3"/>
      <c r="E367" s="3"/>
      <c r="F367" s="4"/>
      <c r="G367" s="3"/>
      <c r="H367" s="3"/>
      <c r="I367" s="10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438"/>
      <c r="U367" s="438"/>
      <c r="V367" s="438"/>
      <c r="W367" s="438"/>
      <c r="X367" s="438"/>
      <c r="Y367" s="439"/>
      <c r="Z367" s="439"/>
      <c r="AA367" s="440"/>
      <c r="AB367" s="440"/>
      <c r="AC367" s="176"/>
    </row>
    <row r="368" spans="1:29">
      <c r="A368" s="3"/>
      <c r="B368" s="3"/>
      <c r="C368" s="3"/>
      <c r="D368" s="3"/>
      <c r="E368" s="3"/>
      <c r="F368" s="4"/>
      <c r="G368" s="3"/>
      <c r="H368" s="3"/>
      <c r="I368" s="10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438"/>
      <c r="U368" s="438"/>
      <c r="V368" s="438"/>
      <c r="W368" s="438"/>
      <c r="X368" s="438"/>
      <c r="Y368" s="439"/>
      <c r="Z368" s="439"/>
      <c r="AA368" s="440"/>
      <c r="AB368" s="440"/>
      <c r="AC368" s="176"/>
    </row>
    <row r="369" spans="1:29">
      <c r="A369" s="3"/>
      <c r="B369" s="3"/>
      <c r="C369" s="3"/>
      <c r="D369" s="3"/>
      <c r="E369" s="3"/>
      <c r="F369" s="4"/>
      <c r="G369" s="3"/>
      <c r="H369" s="3"/>
      <c r="I369" s="10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438"/>
      <c r="U369" s="438"/>
      <c r="V369" s="438"/>
      <c r="W369" s="438"/>
      <c r="X369" s="438"/>
      <c r="Y369" s="439"/>
      <c r="Z369" s="439"/>
      <c r="AA369" s="440"/>
      <c r="AB369" s="440"/>
      <c r="AC369" s="176"/>
    </row>
    <row r="370" spans="1:29">
      <c r="A370" s="3"/>
      <c r="B370" s="3"/>
      <c r="C370" s="3"/>
      <c r="D370" s="3"/>
      <c r="E370" s="3"/>
      <c r="F370" s="4"/>
      <c r="G370" s="3"/>
      <c r="H370" s="3"/>
      <c r="I370" s="10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438"/>
      <c r="U370" s="438"/>
      <c r="V370" s="438"/>
      <c r="W370" s="438"/>
      <c r="X370" s="438"/>
      <c r="Y370" s="439"/>
      <c r="Z370" s="439"/>
      <c r="AA370" s="440"/>
      <c r="AB370" s="440"/>
      <c r="AC370" s="176"/>
    </row>
    <row r="371" spans="1:29">
      <c r="A371" s="3"/>
      <c r="B371" s="3"/>
      <c r="C371" s="3"/>
      <c r="D371" s="3"/>
      <c r="E371" s="3"/>
      <c r="F371" s="4"/>
      <c r="G371" s="3"/>
      <c r="H371" s="3"/>
      <c r="I371" s="10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438"/>
      <c r="U371" s="438"/>
      <c r="V371" s="438"/>
      <c r="W371" s="438"/>
      <c r="X371" s="438"/>
      <c r="Y371" s="439"/>
      <c r="Z371" s="439"/>
      <c r="AA371" s="440"/>
      <c r="AB371" s="440"/>
      <c r="AC371" s="176"/>
    </row>
    <row r="372" spans="1:29">
      <c r="A372" s="3"/>
      <c r="B372" s="3"/>
      <c r="C372" s="3"/>
      <c r="D372" s="3"/>
      <c r="E372" s="3"/>
      <c r="F372" s="4"/>
      <c r="G372" s="3"/>
      <c r="H372" s="3"/>
      <c r="I372" s="10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438"/>
      <c r="U372" s="438"/>
      <c r="V372" s="438"/>
      <c r="W372" s="438"/>
      <c r="X372" s="438"/>
      <c r="Y372" s="439"/>
      <c r="Z372" s="439"/>
      <c r="AA372" s="440"/>
      <c r="AB372" s="440"/>
      <c r="AC372" s="176"/>
    </row>
    <row r="373" spans="1:29">
      <c r="A373" s="3"/>
      <c r="B373" s="3"/>
      <c r="C373" s="3"/>
      <c r="D373" s="3"/>
      <c r="E373" s="3"/>
      <c r="F373" s="4"/>
      <c r="G373" s="3"/>
      <c r="H373" s="3"/>
      <c r="I373" s="10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438"/>
      <c r="U373" s="438"/>
      <c r="V373" s="438"/>
      <c r="W373" s="438"/>
      <c r="X373" s="438"/>
      <c r="Y373" s="439"/>
      <c r="Z373" s="439"/>
      <c r="AA373" s="440"/>
      <c r="AB373" s="440"/>
      <c r="AC373" s="176"/>
    </row>
    <row r="374" spans="1:29">
      <c r="A374" s="3"/>
      <c r="B374" s="3"/>
      <c r="C374" s="3"/>
      <c r="D374" s="3"/>
      <c r="E374" s="3"/>
      <c r="F374" s="4"/>
      <c r="G374" s="3"/>
      <c r="H374" s="3"/>
      <c r="I374" s="10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438"/>
      <c r="U374" s="438"/>
      <c r="V374" s="438"/>
      <c r="W374" s="438"/>
      <c r="X374" s="438"/>
      <c r="Y374" s="439"/>
      <c r="Z374" s="439"/>
      <c r="AA374" s="440"/>
      <c r="AB374" s="440"/>
      <c r="AC374" s="176"/>
    </row>
    <row r="375" spans="1:29">
      <c r="A375" s="3"/>
      <c r="B375" s="3"/>
      <c r="C375" s="3"/>
      <c r="D375" s="3"/>
      <c r="E375" s="3"/>
      <c r="F375" s="4"/>
      <c r="G375" s="3"/>
      <c r="H375" s="3"/>
      <c r="I375" s="10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438"/>
      <c r="U375" s="438"/>
      <c r="V375" s="438"/>
      <c r="W375" s="438"/>
      <c r="X375" s="438"/>
      <c r="Y375" s="439"/>
      <c r="Z375" s="439"/>
      <c r="AA375" s="440"/>
      <c r="AB375" s="440"/>
      <c r="AC375" s="176"/>
    </row>
    <row r="376" spans="1:29">
      <c r="A376" s="3"/>
      <c r="B376" s="3"/>
      <c r="C376" s="3"/>
      <c r="D376" s="3"/>
      <c r="E376" s="3"/>
      <c r="F376" s="4"/>
      <c r="G376" s="3"/>
      <c r="H376" s="3"/>
      <c r="I376" s="10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438"/>
      <c r="U376" s="438"/>
      <c r="V376" s="438"/>
      <c r="W376" s="438"/>
      <c r="X376" s="438"/>
      <c r="Y376" s="439"/>
      <c r="Z376" s="439"/>
      <c r="AA376" s="440"/>
      <c r="AB376" s="440"/>
      <c r="AC376" s="176"/>
    </row>
    <row r="377" spans="1:29">
      <c r="A377" s="3"/>
      <c r="B377" s="3"/>
      <c r="C377" s="3"/>
      <c r="D377" s="3"/>
      <c r="E377" s="3"/>
      <c r="F377" s="4"/>
      <c r="G377" s="3"/>
      <c r="H377" s="3"/>
      <c r="I377" s="10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438"/>
      <c r="U377" s="438"/>
      <c r="V377" s="438"/>
      <c r="W377" s="438"/>
      <c r="X377" s="438"/>
      <c r="Y377" s="439"/>
      <c r="Z377" s="439"/>
      <c r="AA377" s="440"/>
      <c r="AB377" s="440"/>
      <c r="AC377" s="176"/>
    </row>
    <row r="378" spans="1:29">
      <c r="A378" s="3"/>
      <c r="B378" s="3"/>
      <c r="C378" s="3"/>
      <c r="D378" s="3"/>
      <c r="E378" s="3"/>
      <c r="F378" s="4"/>
      <c r="G378" s="3"/>
      <c r="H378" s="3"/>
      <c r="I378" s="10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438"/>
      <c r="U378" s="438"/>
      <c r="V378" s="438"/>
      <c r="W378" s="438"/>
      <c r="X378" s="438"/>
      <c r="Y378" s="439"/>
      <c r="Z378" s="439"/>
      <c r="AA378" s="440"/>
      <c r="AB378" s="440"/>
      <c r="AC378" s="176"/>
    </row>
    <row r="379" spans="1:29">
      <c r="A379" s="3"/>
      <c r="B379" s="3"/>
      <c r="C379" s="3"/>
      <c r="D379" s="3"/>
      <c r="E379" s="3"/>
      <c r="F379" s="4"/>
      <c r="G379" s="3"/>
      <c r="H379" s="3"/>
      <c r="I379" s="10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438"/>
      <c r="U379" s="438"/>
      <c r="V379" s="438"/>
      <c r="W379" s="438"/>
      <c r="X379" s="438"/>
      <c r="Y379" s="439"/>
      <c r="Z379" s="439"/>
      <c r="AA379" s="440"/>
      <c r="AB379" s="440"/>
      <c r="AC379" s="176"/>
    </row>
    <row r="380" spans="1:29">
      <c r="A380" s="3"/>
      <c r="B380" s="3"/>
      <c r="C380" s="3"/>
      <c r="D380" s="3"/>
      <c r="E380" s="3"/>
      <c r="F380" s="4"/>
      <c r="G380" s="3"/>
      <c r="H380" s="3"/>
      <c r="I380" s="10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438"/>
      <c r="U380" s="438"/>
      <c r="V380" s="438"/>
      <c r="W380" s="438"/>
      <c r="X380" s="438"/>
      <c r="Y380" s="439"/>
      <c r="Z380" s="439"/>
      <c r="AA380" s="440"/>
      <c r="AB380" s="440"/>
      <c r="AC380" s="176"/>
    </row>
    <row r="381" spans="1:29">
      <c r="A381" s="3"/>
      <c r="B381" s="3"/>
      <c r="C381" s="3"/>
      <c r="D381" s="3"/>
      <c r="E381" s="3"/>
      <c r="F381" s="4"/>
      <c r="G381" s="3"/>
      <c r="H381" s="3"/>
      <c r="I381" s="10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438"/>
      <c r="U381" s="438"/>
      <c r="V381" s="438"/>
      <c r="W381" s="438"/>
      <c r="X381" s="438"/>
      <c r="Y381" s="439"/>
      <c r="Z381" s="439"/>
      <c r="AA381" s="440"/>
      <c r="AB381" s="440"/>
      <c r="AC381" s="176"/>
    </row>
    <row r="382" spans="1:29">
      <c r="A382" s="3"/>
      <c r="B382" s="3"/>
      <c r="C382" s="3"/>
      <c r="D382" s="3"/>
      <c r="E382" s="3"/>
      <c r="F382" s="4"/>
      <c r="G382" s="3"/>
      <c r="H382" s="3"/>
      <c r="I382" s="10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438"/>
      <c r="U382" s="438"/>
      <c r="V382" s="438"/>
      <c r="W382" s="438"/>
      <c r="X382" s="438"/>
      <c r="Y382" s="439"/>
      <c r="Z382" s="439"/>
      <c r="AA382" s="440"/>
      <c r="AB382" s="440"/>
      <c r="AC382" s="176"/>
    </row>
    <row r="383" spans="1:29">
      <c r="A383" s="3"/>
      <c r="B383" s="3"/>
      <c r="C383" s="3"/>
      <c r="D383" s="3"/>
      <c r="E383" s="3"/>
      <c r="F383" s="4"/>
      <c r="G383" s="3"/>
      <c r="H383" s="3"/>
      <c r="I383" s="10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438"/>
      <c r="U383" s="438"/>
      <c r="V383" s="438"/>
      <c r="W383" s="438"/>
      <c r="X383" s="438"/>
      <c r="Y383" s="439"/>
      <c r="Z383" s="439"/>
      <c r="AA383" s="440"/>
      <c r="AB383" s="440"/>
      <c r="AC383" s="176"/>
    </row>
    <row r="384" spans="1:29">
      <c r="A384" s="3"/>
      <c r="B384" s="3"/>
      <c r="C384" s="3"/>
      <c r="D384" s="3"/>
      <c r="E384" s="3"/>
      <c r="F384" s="4"/>
      <c r="G384" s="3"/>
      <c r="H384" s="3"/>
      <c r="I384" s="10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438"/>
      <c r="U384" s="438"/>
      <c r="V384" s="438"/>
      <c r="W384" s="438"/>
      <c r="X384" s="438"/>
      <c r="Y384" s="439"/>
      <c r="Z384" s="439"/>
      <c r="AA384" s="440"/>
      <c r="AB384" s="440"/>
      <c r="AC384" s="176"/>
    </row>
    <row r="385" spans="1:29">
      <c r="A385" s="3"/>
      <c r="B385" s="3"/>
      <c r="C385" s="3"/>
      <c r="D385" s="3"/>
      <c r="E385" s="3"/>
      <c r="F385" s="4"/>
      <c r="G385" s="3"/>
      <c r="H385" s="3"/>
      <c r="I385" s="10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438"/>
      <c r="U385" s="438"/>
      <c r="V385" s="438"/>
      <c r="W385" s="438"/>
      <c r="X385" s="438"/>
      <c r="Y385" s="439"/>
      <c r="Z385" s="439"/>
      <c r="AA385" s="440"/>
      <c r="AB385" s="440"/>
      <c r="AC385" s="176"/>
    </row>
    <row r="386" spans="1:29">
      <c r="A386" s="3"/>
      <c r="B386" s="3"/>
      <c r="C386" s="3"/>
      <c r="D386" s="3"/>
      <c r="E386" s="3"/>
      <c r="F386" s="4"/>
      <c r="G386" s="3"/>
      <c r="H386" s="3"/>
      <c r="I386" s="10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438"/>
      <c r="U386" s="438"/>
      <c r="V386" s="438"/>
      <c r="W386" s="438"/>
      <c r="X386" s="438"/>
      <c r="Y386" s="439"/>
      <c r="Z386" s="439"/>
      <c r="AA386" s="440"/>
      <c r="AB386" s="440"/>
      <c r="AC386" s="176"/>
    </row>
    <row r="387" spans="1:29">
      <c r="A387" s="3"/>
      <c r="B387" s="3"/>
      <c r="C387" s="3"/>
      <c r="D387" s="3"/>
      <c r="E387" s="3"/>
      <c r="F387" s="4"/>
      <c r="G387" s="3"/>
      <c r="H387" s="3"/>
      <c r="I387" s="10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438"/>
      <c r="U387" s="438"/>
      <c r="V387" s="438"/>
      <c r="W387" s="438"/>
      <c r="X387" s="438"/>
      <c r="Y387" s="439"/>
      <c r="Z387" s="439"/>
      <c r="AA387" s="440"/>
      <c r="AB387" s="440"/>
      <c r="AC387" s="176"/>
    </row>
    <row r="388" spans="1:29">
      <c r="A388" s="3"/>
      <c r="B388" s="3"/>
      <c r="C388" s="3"/>
      <c r="D388" s="3"/>
      <c r="E388" s="3"/>
      <c r="F388" s="4"/>
      <c r="G388" s="3"/>
      <c r="H388" s="3"/>
      <c r="I388" s="10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438"/>
      <c r="U388" s="438"/>
      <c r="V388" s="438"/>
      <c r="W388" s="438"/>
      <c r="X388" s="438"/>
      <c r="Y388" s="439"/>
      <c r="Z388" s="439"/>
      <c r="AA388" s="440"/>
      <c r="AB388" s="440"/>
      <c r="AC388" s="176"/>
    </row>
    <row r="389" spans="1:29">
      <c r="A389" s="3"/>
      <c r="B389" s="3"/>
      <c r="C389" s="3"/>
      <c r="D389" s="3"/>
      <c r="E389" s="3"/>
      <c r="F389" s="4"/>
      <c r="G389" s="3"/>
      <c r="H389" s="3"/>
      <c r="I389" s="10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438"/>
      <c r="U389" s="438"/>
      <c r="V389" s="438"/>
      <c r="W389" s="438"/>
      <c r="X389" s="438"/>
      <c r="Y389" s="439"/>
      <c r="Z389" s="439"/>
      <c r="AA389" s="440"/>
      <c r="AB389" s="440"/>
      <c r="AC389" s="176"/>
    </row>
    <row r="390" spans="1:29">
      <c r="A390" s="3"/>
      <c r="B390" s="3"/>
      <c r="C390" s="3"/>
      <c r="D390" s="3"/>
      <c r="E390" s="3"/>
      <c r="F390" s="4"/>
      <c r="G390" s="3"/>
      <c r="H390" s="3"/>
      <c r="I390" s="10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438"/>
      <c r="U390" s="438"/>
      <c r="V390" s="438"/>
      <c r="W390" s="438"/>
      <c r="X390" s="438"/>
      <c r="Y390" s="439"/>
      <c r="Z390" s="439"/>
      <c r="AA390" s="440"/>
      <c r="AB390" s="440"/>
      <c r="AC390" s="176"/>
    </row>
    <row r="391" spans="1:29">
      <c r="A391" s="3"/>
      <c r="B391" s="3"/>
      <c r="C391" s="3"/>
      <c r="D391" s="3"/>
      <c r="E391" s="3"/>
      <c r="F391" s="4"/>
      <c r="G391" s="3"/>
      <c r="H391" s="3"/>
      <c r="I391" s="10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438"/>
      <c r="U391" s="438"/>
      <c r="V391" s="438"/>
      <c r="W391" s="438"/>
      <c r="X391" s="438"/>
      <c r="Y391" s="439"/>
      <c r="Z391" s="439"/>
      <c r="AA391" s="440"/>
      <c r="AB391" s="440"/>
      <c r="AC391" s="176"/>
    </row>
    <row r="392" spans="1:29">
      <c r="A392" s="3"/>
      <c r="B392" s="3"/>
      <c r="C392" s="3"/>
      <c r="D392" s="3"/>
      <c r="E392" s="3"/>
      <c r="F392" s="4"/>
      <c r="G392" s="3"/>
      <c r="H392" s="3"/>
      <c r="I392" s="10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438"/>
      <c r="U392" s="438"/>
      <c r="V392" s="438"/>
      <c r="W392" s="438"/>
      <c r="X392" s="438"/>
      <c r="Y392" s="439"/>
      <c r="Z392" s="439"/>
      <c r="AA392" s="440"/>
      <c r="AB392" s="440"/>
      <c r="AC392" s="176"/>
    </row>
    <row r="393" spans="1:29">
      <c r="A393" s="3"/>
      <c r="B393" s="3"/>
      <c r="C393" s="3"/>
      <c r="D393" s="3"/>
      <c r="E393" s="3"/>
      <c r="F393" s="4"/>
      <c r="G393" s="3"/>
      <c r="H393" s="3"/>
      <c r="I393" s="10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438"/>
      <c r="U393" s="438"/>
      <c r="V393" s="438"/>
      <c r="W393" s="438"/>
      <c r="X393" s="438"/>
      <c r="Y393" s="439"/>
      <c r="Z393" s="439"/>
      <c r="AA393" s="440"/>
      <c r="AB393" s="440"/>
      <c r="AC393" s="176"/>
    </row>
    <row r="394" spans="1:29">
      <c r="A394" s="3"/>
      <c r="B394" s="3"/>
      <c r="C394" s="3"/>
      <c r="D394" s="3"/>
      <c r="E394" s="3"/>
      <c r="F394" s="4"/>
      <c r="G394" s="3"/>
      <c r="H394" s="3"/>
      <c r="I394" s="10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438"/>
      <c r="U394" s="438"/>
      <c r="V394" s="438"/>
      <c r="W394" s="438"/>
      <c r="X394" s="438"/>
      <c r="Y394" s="439"/>
      <c r="Z394" s="439"/>
      <c r="AA394" s="440"/>
      <c r="AB394" s="440"/>
      <c r="AC394" s="176"/>
    </row>
    <row r="395" spans="1:29">
      <c r="A395" s="3"/>
      <c r="B395" s="3"/>
      <c r="C395" s="3"/>
      <c r="D395" s="3"/>
      <c r="E395" s="3"/>
      <c r="F395" s="4"/>
      <c r="G395" s="3"/>
      <c r="H395" s="3"/>
      <c r="I395" s="10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438"/>
      <c r="U395" s="438"/>
      <c r="V395" s="438"/>
      <c r="W395" s="438"/>
      <c r="X395" s="438"/>
      <c r="Y395" s="439"/>
      <c r="Z395" s="439"/>
      <c r="AA395" s="440"/>
      <c r="AB395" s="440"/>
      <c r="AC395" s="176"/>
    </row>
    <row r="396" spans="1:29">
      <c r="A396" s="3"/>
      <c r="B396" s="3"/>
      <c r="C396" s="3"/>
      <c r="D396" s="3"/>
      <c r="E396" s="3"/>
      <c r="F396" s="4"/>
      <c r="G396" s="3"/>
      <c r="H396" s="3"/>
      <c r="I396" s="10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438"/>
      <c r="U396" s="438"/>
      <c r="V396" s="438"/>
      <c r="W396" s="438"/>
      <c r="X396" s="438"/>
      <c r="Y396" s="439"/>
      <c r="Z396" s="439"/>
      <c r="AA396" s="440"/>
      <c r="AB396" s="440"/>
      <c r="AC396" s="176"/>
    </row>
    <row r="397" spans="1:29">
      <c r="A397" s="3"/>
      <c r="B397" s="3"/>
      <c r="C397" s="3"/>
      <c r="D397" s="3"/>
      <c r="E397" s="3"/>
      <c r="F397" s="4"/>
      <c r="G397" s="3"/>
      <c r="H397" s="3"/>
      <c r="I397" s="10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438"/>
      <c r="U397" s="438"/>
      <c r="V397" s="438"/>
      <c r="W397" s="438"/>
      <c r="X397" s="438"/>
      <c r="Y397" s="439"/>
      <c r="Z397" s="439"/>
      <c r="AA397" s="440"/>
      <c r="AB397" s="440"/>
      <c r="AC397" s="176"/>
    </row>
    <row r="398" spans="1:29">
      <c r="A398" s="3"/>
      <c r="B398" s="3"/>
      <c r="C398" s="3"/>
      <c r="D398" s="3"/>
      <c r="E398" s="3"/>
      <c r="F398" s="4"/>
      <c r="G398" s="3"/>
      <c r="H398" s="3"/>
      <c r="I398" s="10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438"/>
      <c r="U398" s="438"/>
      <c r="V398" s="438"/>
      <c r="W398" s="438"/>
      <c r="X398" s="438"/>
      <c r="Y398" s="439"/>
      <c r="Z398" s="439"/>
      <c r="AA398" s="440"/>
      <c r="AB398" s="440"/>
      <c r="AC398" s="176"/>
    </row>
    <row r="399" spans="1:29">
      <c r="A399" s="3"/>
      <c r="B399" s="3"/>
      <c r="C399" s="3"/>
      <c r="D399" s="3"/>
      <c r="E399" s="3"/>
      <c r="F399" s="4"/>
      <c r="G399" s="3"/>
      <c r="H399" s="3"/>
      <c r="I399" s="10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438"/>
      <c r="U399" s="438"/>
      <c r="V399" s="438"/>
      <c r="W399" s="438"/>
      <c r="X399" s="438"/>
      <c r="Y399" s="439"/>
      <c r="Z399" s="439"/>
      <c r="AA399" s="440"/>
      <c r="AB399" s="440"/>
      <c r="AC399" s="176"/>
    </row>
    <row r="400" spans="1:29">
      <c r="A400" s="3"/>
      <c r="B400" s="3"/>
      <c r="C400" s="3"/>
      <c r="D400" s="3"/>
      <c r="E400" s="3"/>
      <c r="F400" s="4"/>
      <c r="G400" s="3"/>
      <c r="H400" s="3"/>
      <c r="I400" s="10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438"/>
      <c r="U400" s="438"/>
      <c r="V400" s="438"/>
      <c r="W400" s="438"/>
      <c r="X400" s="438"/>
      <c r="Y400" s="439"/>
      <c r="Z400" s="439"/>
      <c r="AA400" s="440"/>
      <c r="AB400" s="440"/>
      <c r="AC400" s="176"/>
    </row>
    <row r="401" spans="1:29">
      <c r="A401" s="3"/>
      <c r="B401" s="3"/>
      <c r="C401" s="3"/>
      <c r="D401" s="3"/>
      <c r="E401" s="3"/>
      <c r="F401" s="4"/>
      <c r="G401" s="3"/>
      <c r="H401" s="3"/>
      <c r="I401" s="10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438"/>
      <c r="U401" s="438"/>
      <c r="V401" s="438"/>
      <c r="W401" s="438"/>
      <c r="X401" s="438"/>
      <c r="Y401" s="439"/>
      <c r="Z401" s="439"/>
      <c r="AA401" s="440"/>
      <c r="AB401" s="440"/>
      <c r="AC401" s="176"/>
    </row>
    <row r="402" spans="1:29">
      <c r="A402" s="3"/>
      <c r="B402" s="3"/>
      <c r="C402" s="3"/>
      <c r="D402" s="3"/>
      <c r="E402" s="3"/>
      <c r="F402" s="4"/>
      <c r="G402" s="3"/>
      <c r="H402" s="3"/>
      <c r="I402" s="10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438"/>
      <c r="U402" s="438"/>
      <c r="V402" s="438"/>
      <c r="W402" s="438"/>
      <c r="X402" s="438"/>
      <c r="Y402" s="439"/>
      <c r="Z402" s="439"/>
      <c r="AA402" s="440"/>
      <c r="AB402" s="440"/>
      <c r="AC402" s="176"/>
    </row>
    <row r="403" spans="1:29">
      <c r="A403" s="3"/>
      <c r="B403" s="3"/>
      <c r="C403" s="3"/>
      <c r="D403" s="3"/>
      <c r="E403" s="3"/>
      <c r="F403" s="4"/>
      <c r="G403" s="3"/>
      <c r="H403" s="3"/>
      <c r="I403" s="10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438"/>
      <c r="U403" s="438"/>
      <c r="V403" s="438"/>
      <c r="W403" s="438"/>
      <c r="X403" s="438"/>
      <c r="Y403" s="439"/>
      <c r="Z403" s="439"/>
      <c r="AA403" s="440"/>
      <c r="AB403" s="440"/>
      <c r="AC403" s="176"/>
    </row>
    <row r="404" spans="1:29">
      <c r="A404" s="3"/>
      <c r="B404" s="3"/>
      <c r="C404" s="3"/>
      <c r="D404" s="3"/>
      <c r="E404" s="3"/>
      <c r="F404" s="4"/>
      <c r="G404" s="3"/>
      <c r="H404" s="3"/>
      <c r="I404" s="10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438"/>
      <c r="U404" s="438"/>
      <c r="V404" s="438"/>
      <c r="W404" s="438"/>
      <c r="X404" s="438"/>
      <c r="Y404" s="439"/>
      <c r="Z404" s="439"/>
      <c r="AA404" s="440"/>
      <c r="AB404" s="440"/>
      <c r="AC404" s="176"/>
    </row>
    <row r="405" spans="1:29">
      <c r="A405" s="3"/>
      <c r="B405" s="3"/>
      <c r="C405" s="3"/>
      <c r="D405" s="3"/>
      <c r="E405" s="3"/>
      <c r="F405" s="4"/>
      <c r="G405" s="3"/>
      <c r="H405" s="3"/>
      <c r="I405" s="10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438"/>
      <c r="U405" s="438"/>
      <c r="V405" s="438"/>
      <c r="W405" s="438"/>
      <c r="X405" s="438"/>
      <c r="Y405" s="439"/>
      <c r="Z405" s="439"/>
      <c r="AA405" s="440"/>
      <c r="AB405" s="440"/>
      <c r="AC405" s="176"/>
    </row>
    <row r="406" spans="1:29">
      <c r="A406" s="3"/>
      <c r="B406" s="3"/>
      <c r="C406" s="3"/>
      <c r="D406" s="3"/>
      <c r="E406" s="3"/>
      <c r="F406" s="4"/>
      <c r="G406" s="3"/>
      <c r="H406" s="3"/>
      <c r="I406" s="10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438"/>
      <c r="U406" s="438"/>
      <c r="V406" s="438"/>
      <c r="W406" s="438"/>
      <c r="X406" s="438"/>
      <c r="Y406" s="439"/>
      <c r="Z406" s="439"/>
      <c r="AA406" s="440"/>
      <c r="AB406" s="440"/>
      <c r="AC406" s="176"/>
    </row>
    <row r="407" spans="1:29">
      <c r="A407" s="3"/>
      <c r="B407" s="3"/>
      <c r="C407" s="3"/>
      <c r="D407" s="3"/>
      <c r="E407" s="3"/>
      <c r="F407" s="4"/>
      <c r="G407" s="3"/>
      <c r="H407" s="3"/>
      <c r="I407" s="10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438"/>
      <c r="U407" s="438"/>
      <c r="V407" s="438"/>
      <c r="W407" s="438"/>
      <c r="X407" s="438"/>
      <c r="Y407" s="439"/>
      <c r="Z407" s="439"/>
      <c r="AA407" s="440"/>
      <c r="AB407" s="440"/>
      <c r="AC407" s="176"/>
    </row>
    <row r="408" spans="1:29">
      <c r="A408" s="3"/>
      <c r="B408" s="3"/>
      <c r="C408" s="3"/>
      <c r="D408" s="3"/>
      <c r="E408" s="3"/>
      <c r="F408" s="4"/>
      <c r="G408" s="3"/>
      <c r="H408" s="3"/>
      <c r="I408" s="10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438"/>
      <c r="U408" s="438"/>
      <c r="V408" s="438"/>
      <c r="W408" s="438"/>
      <c r="X408" s="438"/>
      <c r="Y408" s="439"/>
      <c r="Z408" s="439"/>
      <c r="AA408" s="440"/>
      <c r="AB408" s="440"/>
      <c r="AC408" s="176"/>
    </row>
    <row r="409" spans="1:29">
      <c r="A409" s="3"/>
      <c r="B409" s="3"/>
      <c r="C409" s="3"/>
      <c r="D409" s="3"/>
      <c r="E409" s="3"/>
      <c r="F409" s="4"/>
      <c r="G409" s="3"/>
      <c r="H409" s="3"/>
      <c r="I409" s="10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438"/>
      <c r="U409" s="438"/>
      <c r="V409" s="438"/>
      <c r="W409" s="438"/>
      <c r="X409" s="438"/>
      <c r="Y409" s="439"/>
      <c r="Z409" s="439"/>
      <c r="AA409" s="440"/>
      <c r="AB409" s="440"/>
      <c r="AC409" s="176"/>
    </row>
    <row r="410" spans="1:29">
      <c r="A410" s="3"/>
      <c r="B410" s="3"/>
      <c r="C410" s="3"/>
      <c r="D410" s="3"/>
      <c r="E410" s="3"/>
      <c r="F410" s="4"/>
      <c r="G410" s="3"/>
      <c r="H410" s="3"/>
      <c r="I410" s="10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438"/>
      <c r="U410" s="438"/>
      <c r="V410" s="438"/>
      <c r="W410" s="438"/>
      <c r="X410" s="438"/>
      <c r="Y410" s="439"/>
      <c r="Z410" s="439"/>
      <c r="AA410" s="440"/>
      <c r="AB410" s="440"/>
      <c r="AC410" s="176"/>
    </row>
    <row r="411" spans="1:29">
      <c r="A411" s="3"/>
      <c r="B411" s="3"/>
      <c r="C411" s="3"/>
      <c r="D411" s="3"/>
      <c r="E411" s="3"/>
      <c r="F411" s="4"/>
      <c r="G411" s="3"/>
      <c r="H411" s="3"/>
      <c r="I411" s="10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438"/>
      <c r="U411" s="438"/>
      <c r="V411" s="438"/>
      <c r="W411" s="438"/>
      <c r="X411" s="438"/>
      <c r="Y411" s="439"/>
      <c r="Z411" s="439"/>
      <c r="AA411" s="440"/>
      <c r="AB411" s="440"/>
      <c r="AC411" s="176"/>
    </row>
    <row r="412" spans="1:29">
      <c r="A412" s="3"/>
      <c r="B412" s="3"/>
      <c r="C412" s="3"/>
      <c r="D412" s="3"/>
      <c r="E412" s="3"/>
      <c r="F412" s="4"/>
      <c r="G412" s="3"/>
      <c r="H412" s="3"/>
      <c r="I412" s="10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438"/>
      <c r="U412" s="438"/>
      <c r="V412" s="438"/>
      <c r="W412" s="438"/>
      <c r="X412" s="438"/>
      <c r="Y412" s="439"/>
      <c r="Z412" s="439"/>
      <c r="AA412" s="440"/>
      <c r="AB412" s="440"/>
      <c r="AC412" s="176"/>
    </row>
    <row r="413" spans="1:29">
      <c r="A413" s="3"/>
      <c r="B413" s="3"/>
      <c r="C413" s="3"/>
      <c r="D413" s="3"/>
      <c r="E413" s="3"/>
      <c r="F413" s="4"/>
      <c r="G413" s="3"/>
      <c r="H413" s="3"/>
      <c r="I413" s="10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438"/>
      <c r="U413" s="438"/>
      <c r="V413" s="438"/>
      <c r="W413" s="438"/>
      <c r="X413" s="438"/>
      <c r="Y413" s="439"/>
      <c r="Z413" s="439"/>
      <c r="AA413" s="440"/>
      <c r="AB413" s="440"/>
      <c r="AC413" s="176"/>
    </row>
    <row r="414" spans="1:29">
      <c r="A414" s="3"/>
      <c r="B414" s="3"/>
      <c r="C414" s="3"/>
      <c r="D414" s="3"/>
      <c r="E414" s="3"/>
      <c r="F414" s="4"/>
      <c r="G414" s="3"/>
      <c r="H414" s="3"/>
      <c r="I414" s="10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438"/>
      <c r="U414" s="438"/>
      <c r="V414" s="438"/>
      <c r="W414" s="438"/>
      <c r="X414" s="438"/>
      <c r="Y414" s="439"/>
      <c r="Z414" s="439"/>
      <c r="AA414" s="440"/>
      <c r="AB414" s="440"/>
      <c r="AC414" s="176"/>
    </row>
    <row r="415" spans="1:29">
      <c r="A415" s="3"/>
      <c r="B415" s="3"/>
      <c r="C415" s="3"/>
      <c r="D415" s="3"/>
      <c r="E415" s="3"/>
      <c r="F415" s="4"/>
      <c r="G415" s="3"/>
      <c r="H415" s="3"/>
      <c r="I415" s="10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438"/>
      <c r="U415" s="438"/>
      <c r="V415" s="438"/>
      <c r="W415" s="438"/>
      <c r="X415" s="438"/>
      <c r="Y415" s="439"/>
      <c r="Z415" s="439"/>
      <c r="AA415" s="440"/>
      <c r="AB415" s="440"/>
      <c r="AC415" s="176"/>
    </row>
    <row r="416" spans="1:29">
      <c r="A416" s="3"/>
      <c r="B416" s="3"/>
      <c r="C416" s="3"/>
      <c r="D416" s="3"/>
      <c r="E416" s="3"/>
      <c r="F416" s="4"/>
      <c r="G416" s="3"/>
      <c r="H416" s="3"/>
      <c r="I416" s="10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438"/>
      <c r="U416" s="438"/>
      <c r="V416" s="438"/>
      <c r="W416" s="438"/>
      <c r="X416" s="438"/>
      <c r="Y416" s="439"/>
      <c r="Z416" s="439"/>
      <c r="AA416" s="440"/>
      <c r="AB416" s="440"/>
      <c r="AC416" s="176"/>
    </row>
    <row r="417" spans="1:29">
      <c r="A417" s="3"/>
      <c r="B417" s="3"/>
      <c r="C417" s="3"/>
      <c r="D417" s="3"/>
      <c r="E417" s="3"/>
      <c r="F417" s="4"/>
      <c r="G417" s="3"/>
      <c r="H417" s="3"/>
      <c r="I417" s="10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438"/>
      <c r="U417" s="438"/>
      <c r="V417" s="438"/>
      <c r="W417" s="438"/>
      <c r="X417" s="438"/>
      <c r="Y417" s="439"/>
      <c r="Z417" s="439"/>
      <c r="AA417" s="440"/>
      <c r="AB417" s="440"/>
      <c r="AC417" s="176"/>
    </row>
    <row r="418" spans="1:29">
      <c r="A418" s="3"/>
      <c r="B418" s="3"/>
      <c r="C418" s="3"/>
      <c r="D418" s="3"/>
      <c r="E418" s="3"/>
      <c r="F418" s="4"/>
      <c r="G418" s="3"/>
      <c r="H418" s="3"/>
      <c r="I418" s="10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438"/>
      <c r="U418" s="438"/>
      <c r="V418" s="438"/>
      <c r="W418" s="438"/>
      <c r="X418" s="438"/>
      <c r="Y418" s="439"/>
      <c r="Z418" s="439"/>
      <c r="AA418" s="440"/>
      <c r="AB418" s="440"/>
      <c r="AC418" s="176"/>
    </row>
    <row r="419" spans="1:29">
      <c r="A419" s="3"/>
      <c r="B419" s="3"/>
      <c r="C419" s="3"/>
      <c r="D419" s="3"/>
      <c r="E419" s="3"/>
      <c r="F419" s="4"/>
      <c r="G419" s="3"/>
      <c r="H419" s="3"/>
      <c r="I419" s="10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438"/>
      <c r="U419" s="438"/>
      <c r="V419" s="438"/>
      <c r="W419" s="438"/>
      <c r="X419" s="438"/>
      <c r="Y419" s="439"/>
      <c r="Z419" s="439"/>
      <c r="AA419" s="440"/>
      <c r="AB419" s="440"/>
      <c r="AC419" s="176"/>
    </row>
    <row r="420" spans="1:29">
      <c r="A420" s="3"/>
      <c r="B420" s="3"/>
      <c r="C420" s="3"/>
      <c r="D420" s="3"/>
      <c r="E420" s="3"/>
      <c r="F420" s="4"/>
      <c r="G420" s="3"/>
      <c r="H420" s="3"/>
      <c r="I420" s="10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438"/>
      <c r="U420" s="438"/>
      <c r="V420" s="438"/>
      <c r="W420" s="438"/>
      <c r="X420" s="438"/>
      <c r="Y420" s="439"/>
      <c r="Z420" s="439"/>
      <c r="AA420" s="440"/>
      <c r="AB420" s="440"/>
      <c r="AC420" s="176"/>
    </row>
    <row r="421" spans="1:29">
      <c r="A421" s="3"/>
      <c r="B421" s="3"/>
      <c r="C421" s="3"/>
      <c r="D421" s="3"/>
      <c r="E421" s="3"/>
      <c r="F421" s="4"/>
      <c r="G421" s="3"/>
      <c r="H421" s="3"/>
      <c r="I421" s="10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438"/>
      <c r="U421" s="438"/>
      <c r="V421" s="438"/>
      <c r="W421" s="438"/>
      <c r="X421" s="438"/>
      <c r="Y421" s="439"/>
      <c r="Z421" s="439"/>
      <c r="AA421" s="440"/>
      <c r="AB421" s="440"/>
      <c r="AC421" s="176"/>
    </row>
    <row r="422" spans="1:29">
      <c r="A422" s="3"/>
      <c r="B422" s="3"/>
      <c r="C422" s="3"/>
      <c r="D422" s="3"/>
      <c r="E422" s="3"/>
      <c r="F422" s="4"/>
      <c r="G422" s="3"/>
      <c r="H422" s="3"/>
      <c r="I422" s="10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438"/>
      <c r="U422" s="438"/>
      <c r="V422" s="438"/>
      <c r="W422" s="438"/>
      <c r="X422" s="438"/>
      <c r="Y422" s="439"/>
      <c r="Z422" s="439"/>
      <c r="AA422" s="440"/>
      <c r="AB422" s="440"/>
      <c r="AC422" s="176"/>
    </row>
    <row r="423" spans="1:29">
      <c r="A423" s="3"/>
      <c r="B423" s="3"/>
      <c r="C423" s="3"/>
      <c r="D423" s="3"/>
      <c r="E423" s="3"/>
      <c r="F423" s="4"/>
      <c r="G423" s="3"/>
      <c r="H423" s="3"/>
      <c r="I423" s="10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438"/>
      <c r="U423" s="438"/>
      <c r="V423" s="438"/>
      <c r="W423" s="438"/>
      <c r="X423" s="438"/>
      <c r="Y423" s="439"/>
      <c r="Z423" s="439"/>
      <c r="AA423" s="440"/>
      <c r="AB423" s="440"/>
      <c r="AC423" s="176"/>
    </row>
    <row r="424" spans="1:29">
      <c r="A424" s="3"/>
      <c r="B424" s="3"/>
      <c r="C424" s="3"/>
      <c r="D424" s="3"/>
      <c r="E424" s="3"/>
      <c r="F424" s="4"/>
      <c r="G424" s="3"/>
      <c r="H424" s="3"/>
      <c r="I424" s="10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438"/>
      <c r="U424" s="438"/>
      <c r="V424" s="438"/>
      <c r="W424" s="438"/>
      <c r="X424" s="438"/>
      <c r="Y424" s="439"/>
      <c r="Z424" s="439"/>
      <c r="AA424" s="440"/>
      <c r="AB424" s="440"/>
      <c r="AC424" s="176"/>
    </row>
    <row r="425" spans="1:29">
      <c r="A425" s="3"/>
      <c r="B425" s="3"/>
      <c r="C425" s="3"/>
      <c r="D425" s="3"/>
      <c r="E425" s="3"/>
      <c r="F425" s="4"/>
      <c r="G425" s="3"/>
      <c r="H425" s="3"/>
      <c r="I425" s="10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438"/>
      <c r="U425" s="438"/>
      <c r="V425" s="438"/>
      <c r="W425" s="438"/>
      <c r="X425" s="438"/>
      <c r="Y425" s="439"/>
      <c r="Z425" s="439"/>
      <c r="AA425" s="440"/>
      <c r="AB425" s="440"/>
      <c r="AC425" s="176"/>
    </row>
    <row r="426" spans="1:29">
      <c r="A426" s="3"/>
      <c r="B426" s="3"/>
      <c r="C426" s="3"/>
      <c r="D426" s="3"/>
      <c r="E426" s="3"/>
      <c r="F426" s="4"/>
      <c r="G426" s="3"/>
      <c r="H426" s="3"/>
      <c r="I426" s="10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438"/>
      <c r="U426" s="438"/>
      <c r="V426" s="438"/>
      <c r="W426" s="438"/>
      <c r="X426" s="438"/>
      <c r="Y426" s="439"/>
      <c r="Z426" s="439"/>
      <c r="AA426" s="440"/>
      <c r="AB426" s="440"/>
      <c r="AC426" s="176"/>
    </row>
    <row r="427" spans="1:29">
      <c r="A427" s="3"/>
      <c r="B427" s="3"/>
      <c r="C427" s="3"/>
      <c r="D427" s="3"/>
      <c r="E427" s="3"/>
      <c r="F427" s="4"/>
      <c r="G427" s="3"/>
      <c r="H427" s="3"/>
      <c r="I427" s="10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438"/>
      <c r="U427" s="438"/>
      <c r="V427" s="438"/>
      <c r="W427" s="438"/>
      <c r="X427" s="438"/>
      <c r="Y427" s="439"/>
      <c r="Z427" s="439"/>
      <c r="AA427" s="440"/>
      <c r="AB427" s="440"/>
      <c r="AC427" s="176"/>
    </row>
    <row r="428" spans="1:29">
      <c r="A428" s="3"/>
      <c r="B428" s="3"/>
      <c r="C428" s="3"/>
      <c r="D428" s="3"/>
      <c r="E428" s="3"/>
      <c r="F428" s="4"/>
      <c r="G428" s="3"/>
      <c r="H428" s="3"/>
      <c r="I428" s="10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438"/>
      <c r="U428" s="438"/>
      <c r="V428" s="438"/>
      <c r="W428" s="438"/>
      <c r="X428" s="438"/>
      <c r="Y428" s="439"/>
      <c r="Z428" s="439"/>
      <c r="AA428" s="440"/>
      <c r="AB428" s="440"/>
      <c r="AC428" s="176"/>
    </row>
    <row r="429" spans="1:29">
      <c r="A429" s="3"/>
      <c r="B429" s="3"/>
      <c r="C429" s="3"/>
      <c r="D429" s="3"/>
      <c r="E429" s="3"/>
      <c r="F429" s="4"/>
      <c r="G429" s="3"/>
      <c r="H429" s="3"/>
      <c r="I429" s="10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438"/>
      <c r="U429" s="438"/>
      <c r="V429" s="438"/>
      <c r="W429" s="438"/>
      <c r="X429" s="438"/>
      <c r="Y429" s="439"/>
      <c r="Z429" s="439"/>
      <c r="AA429" s="440"/>
      <c r="AB429" s="440"/>
      <c r="AC429" s="176"/>
    </row>
    <row r="430" spans="1:29">
      <c r="A430" s="3"/>
      <c r="B430" s="3"/>
      <c r="C430" s="3"/>
      <c r="D430" s="3"/>
      <c r="E430" s="3"/>
      <c r="F430" s="4"/>
      <c r="G430" s="3"/>
      <c r="H430" s="3"/>
      <c r="I430" s="10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438"/>
      <c r="U430" s="438"/>
      <c r="V430" s="438"/>
      <c r="W430" s="438"/>
      <c r="X430" s="438"/>
      <c r="Y430" s="439"/>
      <c r="Z430" s="439"/>
      <c r="AA430" s="440"/>
      <c r="AB430" s="440"/>
      <c r="AC430" s="176"/>
    </row>
    <row r="431" spans="1:29">
      <c r="A431" s="3"/>
      <c r="B431" s="3"/>
      <c r="C431" s="3"/>
      <c r="D431" s="3"/>
      <c r="E431" s="3"/>
      <c r="F431" s="4"/>
      <c r="G431" s="3"/>
      <c r="H431" s="3"/>
      <c r="I431" s="10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438"/>
      <c r="U431" s="438"/>
      <c r="V431" s="438"/>
      <c r="W431" s="438"/>
      <c r="X431" s="438"/>
      <c r="Y431" s="439"/>
      <c r="Z431" s="439"/>
      <c r="AA431" s="440"/>
      <c r="AB431" s="440"/>
      <c r="AC431" s="176"/>
    </row>
    <row r="432" spans="1:29">
      <c r="A432" s="3"/>
      <c r="B432" s="3"/>
      <c r="C432" s="3"/>
      <c r="D432" s="3"/>
      <c r="E432" s="3"/>
      <c r="F432" s="4"/>
      <c r="G432" s="3"/>
      <c r="H432" s="3"/>
      <c r="I432" s="10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438"/>
      <c r="U432" s="438"/>
      <c r="V432" s="438"/>
      <c r="W432" s="438"/>
      <c r="X432" s="438"/>
      <c r="Y432" s="439"/>
      <c r="Z432" s="439"/>
      <c r="AA432" s="440"/>
      <c r="AB432" s="440"/>
      <c r="AC432" s="176"/>
    </row>
    <row r="433" spans="1:29">
      <c r="A433" s="3"/>
      <c r="B433" s="3"/>
      <c r="C433" s="3"/>
      <c r="D433" s="3"/>
      <c r="E433" s="3"/>
      <c r="F433" s="4"/>
      <c r="G433" s="3"/>
      <c r="H433" s="3"/>
      <c r="I433" s="10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438"/>
      <c r="U433" s="438"/>
      <c r="V433" s="438"/>
      <c r="W433" s="438"/>
      <c r="X433" s="438"/>
      <c r="Y433" s="439"/>
      <c r="Z433" s="439"/>
      <c r="AA433" s="440"/>
      <c r="AB433" s="440"/>
      <c r="AC433" s="176"/>
    </row>
    <row r="434" spans="1:29">
      <c r="A434" s="3"/>
      <c r="B434" s="3"/>
      <c r="C434" s="3"/>
      <c r="D434" s="3"/>
      <c r="E434" s="3"/>
      <c r="F434" s="4"/>
      <c r="G434" s="3"/>
      <c r="H434" s="3"/>
      <c r="I434" s="10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438"/>
      <c r="U434" s="438"/>
      <c r="V434" s="438"/>
      <c r="W434" s="438"/>
      <c r="X434" s="438"/>
      <c r="Y434" s="439"/>
      <c r="Z434" s="439"/>
      <c r="AA434" s="440"/>
      <c r="AB434" s="440"/>
      <c r="AC434" s="176"/>
    </row>
    <row r="435" spans="1:29">
      <c r="A435" s="3"/>
      <c r="B435" s="3"/>
      <c r="C435" s="3"/>
      <c r="D435" s="3"/>
      <c r="E435" s="3"/>
      <c r="F435" s="4"/>
      <c r="G435" s="3"/>
      <c r="H435" s="3"/>
      <c r="I435" s="10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438"/>
      <c r="U435" s="438"/>
      <c r="V435" s="438"/>
      <c r="W435" s="438"/>
      <c r="X435" s="438"/>
      <c r="Y435" s="439"/>
      <c r="Z435" s="439"/>
      <c r="AA435" s="440"/>
      <c r="AB435" s="440"/>
      <c r="AC435" s="176"/>
    </row>
    <row r="436" spans="1:29">
      <c r="A436" s="3"/>
      <c r="B436" s="3"/>
      <c r="C436" s="3"/>
      <c r="D436" s="3"/>
      <c r="E436" s="3"/>
      <c r="F436" s="4"/>
      <c r="G436" s="3"/>
      <c r="H436" s="3"/>
      <c r="I436" s="10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438"/>
      <c r="U436" s="438"/>
      <c r="V436" s="438"/>
      <c r="W436" s="438"/>
      <c r="X436" s="438"/>
      <c r="Y436" s="439"/>
      <c r="Z436" s="439"/>
      <c r="AA436" s="440"/>
      <c r="AB436" s="440"/>
      <c r="AC436" s="176"/>
    </row>
    <row r="437" spans="1:29">
      <c r="A437" s="3"/>
      <c r="B437" s="3"/>
      <c r="C437" s="3"/>
      <c r="D437" s="3"/>
      <c r="E437" s="3"/>
      <c r="F437" s="4"/>
      <c r="G437" s="3"/>
      <c r="H437" s="3"/>
      <c r="I437" s="10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438"/>
      <c r="U437" s="438"/>
      <c r="V437" s="438"/>
      <c r="W437" s="438"/>
      <c r="X437" s="438"/>
      <c r="Y437" s="439"/>
      <c r="Z437" s="439"/>
      <c r="AA437" s="440"/>
      <c r="AB437" s="440"/>
      <c r="AC437" s="176"/>
    </row>
    <row r="438" spans="1:29">
      <c r="A438" s="3"/>
      <c r="B438" s="3"/>
      <c r="C438" s="3"/>
      <c r="D438" s="3"/>
      <c r="E438" s="3"/>
      <c r="F438" s="4"/>
      <c r="G438" s="3"/>
      <c r="H438" s="3"/>
      <c r="I438" s="10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438"/>
      <c r="U438" s="438"/>
      <c r="V438" s="438"/>
      <c r="W438" s="438"/>
      <c r="X438" s="438"/>
      <c r="Y438" s="439"/>
      <c r="Z438" s="439"/>
      <c r="AA438" s="440"/>
      <c r="AB438" s="440"/>
      <c r="AC438" s="176"/>
    </row>
    <row r="439" spans="1:29">
      <c r="A439" s="3"/>
      <c r="B439" s="3"/>
      <c r="C439" s="3"/>
      <c r="D439" s="3"/>
      <c r="E439" s="3"/>
      <c r="F439" s="4"/>
      <c r="G439" s="3"/>
      <c r="H439" s="3"/>
      <c r="I439" s="10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438"/>
      <c r="U439" s="438"/>
      <c r="V439" s="438"/>
      <c r="W439" s="438"/>
      <c r="X439" s="438"/>
      <c r="Y439" s="439"/>
      <c r="Z439" s="439"/>
      <c r="AA439" s="440"/>
      <c r="AB439" s="440"/>
      <c r="AC439" s="176"/>
    </row>
    <row r="440" spans="1:29">
      <c r="A440" s="3"/>
      <c r="B440" s="3"/>
      <c r="C440" s="3"/>
      <c r="D440" s="3"/>
      <c r="E440" s="3"/>
      <c r="F440" s="4"/>
      <c r="G440" s="3"/>
      <c r="H440" s="3"/>
      <c r="I440" s="10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438"/>
      <c r="U440" s="438"/>
      <c r="V440" s="438"/>
      <c r="W440" s="438"/>
      <c r="X440" s="438"/>
      <c r="Y440" s="439"/>
      <c r="Z440" s="439"/>
      <c r="AA440" s="440"/>
      <c r="AB440" s="440"/>
      <c r="AC440" s="176"/>
    </row>
    <row r="441" spans="1:29">
      <c r="A441" s="3"/>
      <c r="B441" s="3"/>
      <c r="C441" s="3"/>
      <c r="D441" s="3"/>
      <c r="E441" s="3"/>
      <c r="F441" s="4"/>
      <c r="G441" s="3"/>
      <c r="H441" s="3"/>
      <c r="I441" s="10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438"/>
      <c r="U441" s="438"/>
      <c r="V441" s="438"/>
      <c r="W441" s="438"/>
      <c r="X441" s="438"/>
      <c r="Y441" s="439"/>
      <c r="Z441" s="439"/>
      <c r="AA441" s="440"/>
      <c r="AB441" s="440"/>
      <c r="AC441" s="176"/>
    </row>
    <row r="442" spans="1:29">
      <c r="A442" s="3"/>
      <c r="B442" s="3"/>
      <c r="C442" s="3"/>
      <c r="D442" s="3"/>
      <c r="E442" s="3"/>
      <c r="F442" s="4"/>
      <c r="G442" s="3"/>
      <c r="H442" s="3"/>
      <c r="I442" s="10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438"/>
      <c r="U442" s="438"/>
      <c r="V442" s="438"/>
      <c r="W442" s="438"/>
      <c r="X442" s="438"/>
      <c r="Y442" s="439"/>
      <c r="Z442" s="439"/>
      <c r="AA442" s="440"/>
      <c r="AB442" s="440"/>
      <c r="AC442" s="176"/>
    </row>
    <row r="443" spans="1:29">
      <c r="A443" s="3"/>
      <c r="B443" s="3"/>
      <c r="C443" s="3"/>
      <c r="D443" s="3"/>
      <c r="E443" s="3"/>
      <c r="F443" s="4"/>
      <c r="G443" s="3"/>
      <c r="H443" s="3"/>
      <c r="I443" s="10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438"/>
      <c r="U443" s="438"/>
      <c r="V443" s="438"/>
      <c r="W443" s="438"/>
      <c r="X443" s="438"/>
      <c r="Y443" s="439"/>
      <c r="Z443" s="439"/>
      <c r="AA443" s="440"/>
      <c r="AB443" s="440"/>
      <c r="AC443" s="176"/>
    </row>
    <row r="444" spans="1:29">
      <c r="A444" s="3"/>
      <c r="B444" s="3"/>
      <c r="C444" s="3"/>
      <c r="D444" s="3"/>
      <c r="E444" s="3"/>
      <c r="F444" s="4"/>
      <c r="G444" s="3"/>
      <c r="H444" s="3"/>
      <c r="I444" s="10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438"/>
      <c r="U444" s="438"/>
      <c r="V444" s="438"/>
      <c r="W444" s="438"/>
      <c r="X444" s="438"/>
      <c r="Y444" s="439"/>
      <c r="Z444" s="439"/>
      <c r="AA444" s="440"/>
      <c r="AB444" s="440"/>
      <c r="AC444" s="176"/>
    </row>
    <row r="445" spans="1:29">
      <c r="A445" s="3"/>
      <c r="B445" s="3"/>
      <c r="C445" s="3"/>
      <c r="D445" s="3"/>
      <c r="E445" s="3"/>
      <c r="F445" s="4"/>
      <c r="G445" s="3"/>
      <c r="H445" s="3"/>
      <c r="I445" s="10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438"/>
      <c r="U445" s="438"/>
      <c r="V445" s="438"/>
      <c r="W445" s="438"/>
      <c r="X445" s="438"/>
      <c r="Y445" s="439"/>
      <c r="Z445" s="439"/>
      <c r="AA445" s="440"/>
      <c r="AB445" s="440"/>
      <c r="AC445" s="176"/>
    </row>
    <row r="446" spans="1:29">
      <c r="A446" s="3"/>
      <c r="B446" s="3"/>
      <c r="C446" s="3"/>
      <c r="D446" s="3"/>
      <c r="E446" s="3"/>
      <c r="F446" s="4"/>
      <c r="G446" s="3"/>
      <c r="H446" s="3"/>
      <c r="I446" s="10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438"/>
      <c r="U446" s="438"/>
      <c r="V446" s="438"/>
      <c r="W446" s="438"/>
      <c r="X446" s="438"/>
      <c r="Y446" s="439"/>
      <c r="Z446" s="439"/>
      <c r="AA446" s="440"/>
      <c r="AB446" s="440"/>
      <c r="AC446" s="176"/>
    </row>
    <row r="447" spans="1:29">
      <c r="A447" s="3"/>
      <c r="B447" s="3"/>
      <c r="C447" s="3"/>
      <c r="D447" s="3"/>
      <c r="E447" s="3"/>
      <c r="F447" s="4"/>
      <c r="G447" s="3"/>
      <c r="H447" s="3"/>
      <c r="I447" s="10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438"/>
      <c r="U447" s="438"/>
      <c r="V447" s="438"/>
      <c r="W447" s="438"/>
      <c r="X447" s="438"/>
      <c r="Y447" s="439"/>
      <c r="Z447" s="439"/>
      <c r="AA447" s="440"/>
      <c r="AB447" s="440"/>
      <c r="AC447" s="176"/>
    </row>
    <row r="448" spans="1:29">
      <c r="A448" s="3"/>
      <c r="B448" s="3"/>
      <c r="C448" s="3"/>
      <c r="D448" s="3"/>
      <c r="E448" s="3"/>
      <c r="F448" s="4"/>
      <c r="G448" s="3"/>
      <c r="H448" s="3"/>
      <c r="I448" s="10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438"/>
      <c r="U448" s="438"/>
      <c r="V448" s="438"/>
      <c r="W448" s="438"/>
      <c r="X448" s="438"/>
      <c r="Y448" s="439"/>
      <c r="Z448" s="439"/>
      <c r="AA448" s="440"/>
      <c r="AB448" s="440"/>
      <c r="AC448" s="176"/>
    </row>
    <row r="449" spans="1:29">
      <c r="A449" s="3"/>
      <c r="B449" s="3"/>
      <c r="C449" s="3"/>
      <c r="D449" s="3"/>
      <c r="E449" s="3"/>
      <c r="F449" s="4"/>
      <c r="G449" s="3"/>
      <c r="H449" s="3"/>
      <c r="I449" s="10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438"/>
      <c r="U449" s="438"/>
      <c r="V449" s="438"/>
      <c r="W449" s="438"/>
      <c r="X449" s="438"/>
      <c r="Y449" s="439"/>
      <c r="Z449" s="439"/>
      <c r="AA449" s="440"/>
      <c r="AB449" s="440"/>
      <c r="AC449" s="176"/>
    </row>
    <row r="450" spans="1:29">
      <c r="A450" s="3"/>
      <c r="B450" s="3"/>
      <c r="C450" s="3"/>
      <c r="D450" s="3"/>
      <c r="E450" s="3"/>
      <c r="F450" s="4"/>
      <c r="G450" s="3"/>
      <c r="H450" s="3"/>
      <c r="I450" s="10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438"/>
      <c r="U450" s="438"/>
      <c r="V450" s="438"/>
      <c r="W450" s="438"/>
      <c r="X450" s="438"/>
      <c r="Y450" s="439"/>
      <c r="Z450" s="439"/>
      <c r="AA450" s="440"/>
      <c r="AB450" s="440"/>
      <c r="AC450" s="176"/>
    </row>
    <row r="451" spans="1:29">
      <c r="A451" s="3"/>
      <c r="B451" s="3"/>
      <c r="C451" s="3"/>
      <c r="D451" s="3"/>
      <c r="E451" s="3"/>
      <c r="F451" s="4"/>
      <c r="G451" s="3"/>
      <c r="H451" s="3"/>
      <c r="I451" s="10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438"/>
      <c r="U451" s="438"/>
      <c r="V451" s="438"/>
      <c r="W451" s="438"/>
      <c r="X451" s="438"/>
      <c r="Y451" s="439"/>
      <c r="Z451" s="439"/>
      <c r="AA451" s="440"/>
      <c r="AB451" s="440"/>
      <c r="AC451" s="176"/>
    </row>
    <row r="452" spans="1:29">
      <c r="A452" s="3"/>
      <c r="B452" s="3"/>
      <c r="C452" s="3"/>
      <c r="D452" s="3"/>
      <c r="E452" s="3"/>
      <c r="F452" s="4"/>
      <c r="G452" s="3"/>
      <c r="H452" s="3"/>
      <c r="I452" s="10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438"/>
      <c r="U452" s="438"/>
      <c r="V452" s="438"/>
      <c r="W452" s="438"/>
      <c r="X452" s="438"/>
      <c r="Y452" s="439"/>
      <c r="Z452" s="439"/>
      <c r="AA452" s="440"/>
      <c r="AB452" s="440"/>
      <c r="AC452" s="176"/>
    </row>
    <row r="453" spans="1:29">
      <c r="A453" s="3"/>
      <c r="B453" s="3"/>
      <c r="C453" s="3"/>
      <c r="D453" s="3"/>
      <c r="E453" s="3"/>
      <c r="F453" s="4"/>
      <c r="G453" s="3"/>
      <c r="H453" s="3"/>
      <c r="I453" s="10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438"/>
      <c r="U453" s="438"/>
      <c r="V453" s="438"/>
      <c r="W453" s="438"/>
      <c r="X453" s="438"/>
      <c r="Y453" s="439"/>
      <c r="Z453" s="439"/>
      <c r="AA453" s="440"/>
      <c r="AB453" s="440"/>
      <c r="AC453" s="176"/>
    </row>
    <row r="454" spans="1:29">
      <c r="A454" s="3"/>
      <c r="B454" s="3"/>
      <c r="C454" s="3"/>
      <c r="D454" s="3"/>
      <c r="E454" s="3"/>
      <c r="F454" s="4"/>
      <c r="G454" s="3"/>
      <c r="H454" s="3"/>
      <c r="I454" s="10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438"/>
      <c r="U454" s="438"/>
      <c r="V454" s="438"/>
      <c r="W454" s="438"/>
      <c r="X454" s="438"/>
      <c r="Y454" s="439"/>
      <c r="Z454" s="439"/>
      <c r="AA454" s="440"/>
      <c r="AB454" s="440"/>
      <c r="AC454" s="176"/>
    </row>
    <row r="455" spans="1:29">
      <c r="A455" s="3"/>
      <c r="B455" s="3"/>
      <c r="C455" s="3"/>
      <c r="D455" s="3"/>
      <c r="E455" s="3"/>
      <c r="F455" s="4"/>
      <c r="G455" s="3"/>
      <c r="H455" s="3"/>
      <c r="I455" s="10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438"/>
      <c r="U455" s="438"/>
      <c r="V455" s="438"/>
      <c r="W455" s="438"/>
      <c r="X455" s="438"/>
      <c r="Y455" s="439"/>
      <c r="Z455" s="439"/>
      <c r="AA455" s="440"/>
      <c r="AB455" s="440"/>
      <c r="AC455" s="176"/>
    </row>
    <row r="456" spans="1:29">
      <c r="A456" s="3"/>
      <c r="B456" s="3"/>
      <c r="C456" s="3"/>
      <c r="D456" s="3"/>
      <c r="E456" s="3"/>
      <c r="F456" s="4"/>
      <c r="G456" s="3"/>
      <c r="H456" s="3"/>
      <c r="I456" s="10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438"/>
      <c r="U456" s="438"/>
      <c r="V456" s="438"/>
      <c r="W456" s="438"/>
      <c r="X456" s="438"/>
      <c r="Y456" s="439"/>
      <c r="Z456" s="439"/>
      <c r="AA456" s="440"/>
      <c r="AB456" s="440"/>
      <c r="AC456" s="176"/>
    </row>
    <row r="457" spans="1:29">
      <c r="A457" s="3"/>
      <c r="B457" s="3"/>
      <c r="C457" s="3"/>
      <c r="D457" s="3"/>
      <c r="E457" s="3"/>
      <c r="F457" s="4"/>
      <c r="G457" s="3"/>
      <c r="H457" s="3"/>
      <c r="I457" s="10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438"/>
      <c r="U457" s="438"/>
      <c r="V457" s="438"/>
      <c r="W457" s="438"/>
      <c r="X457" s="438"/>
      <c r="Y457" s="439"/>
      <c r="Z457" s="439"/>
      <c r="AA457" s="440"/>
      <c r="AB457" s="440"/>
      <c r="AC457" s="176"/>
    </row>
    <row r="458" spans="1:29">
      <c r="A458" s="3"/>
      <c r="B458" s="3"/>
      <c r="C458" s="3"/>
      <c r="D458" s="3"/>
      <c r="E458" s="3"/>
      <c r="F458" s="4"/>
      <c r="G458" s="3"/>
      <c r="H458" s="3"/>
      <c r="I458" s="10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438"/>
      <c r="U458" s="438"/>
      <c r="V458" s="438"/>
      <c r="W458" s="438"/>
      <c r="X458" s="438"/>
      <c r="Y458" s="439"/>
      <c r="Z458" s="439"/>
      <c r="AA458" s="440"/>
      <c r="AB458" s="440"/>
      <c r="AC458" s="176"/>
    </row>
    <row r="459" spans="1:29">
      <c r="A459" s="3"/>
      <c r="B459" s="3"/>
      <c r="C459" s="3"/>
      <c r="D459" s="3"/>
      <c r="E459" s="3"/>
      <c r="F459" s="4"/>
      <c r="G459" s="3"/>
      <c r="H459" s="3"/>
      <c r="I459" s="10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438"/>
      <c r="U459" s="438"/>
      <c r="V459" s="438"/>
      <c r="W459" s="438"/>
      <c r="X459" s="438"/>
      <c r="Y459" s="439"/>
      <c r="Z459" s="439"/>
      <c r="AA459" s="440"/>
      <c r="AB459" s="440"/>
      <c r="AC459" s="176"/>
    </row>
    <row r="460" spans="1:29">
      <c r="A460" s="3"/>
      <c r="B460" s="3"/>
      <c r="C460" s="3"/>
      <c r="D460" s="3"/>
      <c r="E460" s="3"/>
      <c r="F460" s="4"/>
      <c r="G460" s="3"/>
      <c r="H460" s="3"/>
      <c r="I460" s="10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438"/>
      <c r="U460" s="438"/>
      <c r="V460" s="438"/>
      <c r="W460" s="438"/>
      <c r="X460" s="438"/>
      <c r="Y460" s="439"/>
      <c r="Z460" s="439"/>
      <c r="AA460" s="440"/>
      <c r="AB460" s="440"/>
      <c r="AC460" s="176"/>
    </row>
    <row r="461" spans="1:29">
      <c r="A461" s="3"/>
      <c r="B461" s="3"/>
      <c r="C461" s="3"/>
      <c r="D461" s="3"/>
      <c r="E461" s="3"/>
      <c r="F461" s="4"/>
      <c r="G461" s="3"/>
      <c r="H461" s="3"/>
      <c r="I461" s="10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438"/>
      <c r="U461" s="438"/>
      <c r="V461" s="438"/>
      <c r="W461" s="438"/>
      <c r="X461" s="438"/>
      <c r="Y461" s="439"/>
      <c r="Z461" s="439"/>
      <c r="AA461" s="440"/>
      <c r="AB461" s="440"/>
      <c r="AC461" s="176"/>
    </row>
    <row r="462" spans="1:29">
      <c r="A462" s="3"/>
      <c r="B462" s="3"/>
      <c r="C462" s="3"/>
      <c r="D462" s="3"/>
      <c r="E462" s="3"/>
      <c r="F462" s="4"/>
      <c r="G462" s="3"/>
      <c r="H462" s="3"/>
      <c r="I462" s="10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438"/>
      <c r="U462" s="438"/>
      <c r="V462" s="438"/>
      <c r="W462" s="438"/>
      <c r="X462" s="438"/>
      <c r="Y462" s="439"/>
      <c r="Z462" s="439"/>
      <c r="AA462" s="440"/>
      <c r="AB462" s="440"/>
      <c r="AC462" s="176"/>
    </row>
    <row r="463" spans="1:29">
      <c r="A463" s="3"/>
      <c r="B463" s="3"/>
      <c r="C463" s="3"/>
      <c r="D463" s="3"/>
      <c r="E463" s="3"/>
      <c r="F463" s="4"/>
      <c r="G463" s="3"/>
      <c r="H463" s="3"/>
      <c r="I463" s="10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438"/>
      <c r="U463" s="438"/>
      <c r="V463" s="438"/>
      <c r="W463" s="438"/>
      <c r="X463" s="438"/>
      <c r="Y463" s="439"/>
      <c r="Z463" s="439"/>
      <c r="AA463" s="440"/>
      <c r="AB463" s="440"/>
      <c r="AC463" s="176"/>
    </row>
    <row r="464" spans="1:29">
      <c r="A464" s="3"/>
      <c r="B464" s="3"/>
      <c r="C464" s="3"/>
      <c r="D464" s="3"/>
      <c r="E464" s="3"/>
      <c r="F464" s="4"/>
      <c r="G464" s="3"/>
      <c r="H464" s="3"/>
      <c r="I464" s="10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438"/>
      <c r="U464" s="438"/>
      <c r="V464" s="438"/>
      <c r="W464" s="438"/>
      <c r="X464" s="438"/>
      <c r="Y464" s="439"/>
      <c r="Z464" s="439"/>
      <c r="AA464" s="440"/>
      <c r="AB464" s="440"/>
      <c r="AC464" s="176"/>
    </row>
    <row r="465" spans="1:29">
      <c r="A465" s="3"/>
      <c r="B465" s="3"/>
      <c r="C465" s="3"/>
      <c r="D465" s="3"/>
      <c r="E465" s="3"/>
      <c r="F465" s="4"/>
      <c r="G465" s="3"/>
      <c r="H465" s="3"/>
      <c r="I465" s="10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438"/>
      <c r="U465" s="438"/>
      <c r="V465" s="438"/>
      <c r="W465" s="438"/>
      <c r="X465" s="438"/>
      <c r="Y465" s="439"/>
      <c r="Z465" s="439"/>
      <c r="AA465" s="440"/>
      <c r="AB465" s="440"/>
      <c r="AC465" s="176"/>
    </row>
    <row r="466" spans="1:29">
      <c r="A466" s="3"/>
      <c r="B466" s="3"/>
      <c r="C466" s="3"/>
      <c r="D466" s="3"/>
      <c r="E466" s="3"/>
      <c r="F466" s="4"/>
      <c r="G466" s="3"/>
      <c r="H466" s="3"/>
      <c r="I466" s="10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438"/>
      <c r="U466" s="438"/>
      <c r="V466" s="438"/>
      <c r="W466" s="438"/>
      <c r="X466" s="438"/>
      <c r="Y466" s="439"/>
      <c r="Z466" s="439"/>
      <c r="AA466" s="440"/>
      <c r="AB466" s="440"/>
      <c r="AC466" s="176"/>
    </row>
    <row r="467" spans="1:29">
      <c r="A467" s="3"/>
      <c r="B467" s="3"/>
      <c r="C467" s="3"/>
      <c r="D467" s="3"/>
      <c r="E467" s="3"/>
      <c r="F467" s="4"/>
      <c r="G467" s="3"/>
      <c r="H467" s="3"/>
      <c r="I467" s="10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438"/>
      <c r="U467" s="438"/>
      <c r="V467" s="438"/>
      <c r="W467" s="438"/>
      <c r="X467" s="438"/>
      <c r="Y467" s="439"/>
      <c r="Z467" s="439"/>
      <c r="AA467" s="440"/>
      <c r="AB467" s="440"/>
      <c r="AC467" s="176"/>
    </row>
    <row r="468" spans="1:29">
      <c r="A468" s="3"/>
      <c r="B468" s="3"/>
      <c r="C468" s="3"/>
      <c r="D468" s="3"/>
      <c r="E468" s="3"/>
      <c r="F468" s="4"/>
      <c r="G468" s="3"/>
      <c r="H468" s="3"/>
      <c r="I468" s="10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438"/>
      <c r="U468" s="438"/>
      <c r="V468" s="438"/>
      <c r="W468" s="438"/>
      <c r="X468" s="438"/>
      <c r="Y468" s="439"/>
      <c r="Z468" s="439"/>
      <c r="AA468" s="440"/>
      <c r="AB468" s="440"/>
      <c r="AC468" s="176"/>
    </row>
    <row r="469" spans="1:29">
      <c r="A469" s="3"/>
      <c r="B469" s="3"/>
      <c r="C469" s="3"/>
      <c r="D469" s="3"/>
      <c r="E469" s="3"/>
      <c r="F469" s="4"/>
      <c r="G469" s="3"/>
      <c r="H469" s="3"/>
      <c r="I469" s="10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438"/>
      <c r="U469" s="438"/>
      <c r="V469" s="438"/>
      <c r="W469" s="438"/>
      <c r="X469" s="438"/>
      <c r="Y469" s="439"/>
      <c r="Z469" s="439"/>
      <c r="AA469" s="440"/>
      <c r="AB469" s="440"/>
      <c r="AC469" s="176"/>
    </row>
    <row r="470" spans="1:29">
      <c r="A470" s="3"/>
      <c r="B470" s="3"/>
      <c r="C470" s="3"/>
      <c r="D470" s="3"/>
      <c r="E470" s="3"/>
      <c r="F470" s="4"/>
      <c r="G470" s="3"/>
      <c r="H470" s="3"/>
      <c r="I470" s="10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438"/>
      <c r="U470" s="438"/>
      <c r="V470" s="438"/>
      <c r="W470" s="438"/>
      <c r="X470" s="438"/>
      <c r="Y470" s="439"/>
      <c r="Z470" s="439"/>
      <c r="AA470" s="440"/>
      <c r="AB470" s="440"/>
      <c r="AC470" s="176"/>
    </row>
    <row r="471" spans="1:29">
      <c r="A471" s="3"/>
      <c r="B471" s="3"/>
      <c r="C471" s="3"/>
      <c r="D471" s="3"/>
      <c r="E471" s="3"/>
      <c r="F471" s="4"/>
      <c r="G471" s="3"/>
      <c r="H471" s="3"/>
      <c r="I471" s="10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438"/>
      <c r="U471" s="438"/>
      <c r="V471" s="438"/>
      <c r="W471" s="438"/>
      <c r="X471" s="438"/>
      <c r="Y471" s="439"/>
      <c r="Z471" s="439"/>
      <c r="AA471" s="440"/>
      <c r="AB471" s="440"/>
      <c r="AC471" s="176"/>
    </row>
    <row r="472" spans="1:29">
      <c r="A472" s="3"/>
      <c r="B472" s="3"/>
      <c r="C472" s="3"/>
      <c r="D472" s="3"/>
      <c r="E472" s="3"/>
      <c r="F472" s="4"/>
      <c r="G472" s="3"/>
      <c r="H472" s="3"/>
      <c r="I472" s="10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438"/>
      <c r="U472" s="438"/>
      <c r="V472" s="438"/>
      <c r="W472" s="438"/>
      <c r="X472" s="438"/>
      <c r="Y472" s="439"/>
      <c r="Z472" s="439"/>
      <c r="AA472" s="440"/>
      <c r="AB472" s="440"/>
      <c r="AC472" s="176"/>
    </row>
    <row r="473" spans="1:29">
      <c r="A473" s="3"/>
      <c r="B473" s="3"/>
      <c r="C473" s="3"/>
      <c r="D473" s="3"/>
      <c r="E473" s="3"/>
      <c r="F473" s="4"/>
      <c r="G473" s="3"/>
      <c r="H473" s="3"/>
      <c r="I473" s="10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438"/>
      <c r="U473" s="438"/>
      <c r="V473" s="438"/>
      <c r="W473" s="438"/>
      <c r="X473" s="438"/>
      <c r="Y473" s="439"/>
      <c r="Z473" s="439"/>
      <c r="AA473" s="440"/>
      <c r="AB473" s="440"/>
      <c r="AC473" s="176"/>
    </row>
    <row r="474" spans="1:29">
      <c r="A474" s="3"/>
      <c r="B474" s="3"/>
      <c r="C474" s="3"/>
      <c r="D474" s="3"/>
      <c r="E474" s="3"/>
      <c r="F474" s="4"/>
      <c r="G474" s="3"/>
      <c r="H474" s="3"/>
      <c r="I474" s="10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438"/>
      <c r="U474" s="438"/>
      <c r="V474" s="438"/>
      <c r="W474" s="438"/>
      <c r="X474" s="438"/>
      <c r="Y474" s="439"/>
      <c r="Z474" s="439"/>
      <c r="AA474" s="440"/>
      <c r="AB474" s="440"/>
      <c r="AC474" s="176"/>
    </row>
    <row r="475" spans="1:29">
      <c r="A475" s="3"/>
      <c r="B475" s="3"/>
      <c r="C475" s="3"/>
      <c r="D475" s="3"/>
      <c r="E475" s="3"/>
      <c r="F475" s="4"/>
      <c r="G475" s="3"/>
      <c r="H475" s="3"/>
      <c r="I475" s="10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438"/>
      <c r="U475" s="438"/>
      <c r="V475" s="438"/>
      <c r="W475" s="438"/>
      <c r="X475" s="438"/>
      <c r="Y475" s="439"/>
      <c r="Z475" s="439"/>
      <c r="AA475" s="440"/>
      <c r="AB475" s="440"/>
      <c r="AC475" s="176"/>
    </row>
    <row r="476" spans="1:29">
      <c r="A476" s="3"/>
      <c r="B476" s="3"/>
      <c r="C476" s="3"/>
      <c r="D476" s="3"/>
      <c r="E476" s="3"/>
      <c r="F476" s="4"/>
      <c r="G476" s="3"/>
      <c r="H476" s="3"/>
      <c r="I476" s="10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438"/>
      <c r="U476" s="438"/>
      <c r="V476" s="438"/>
      <c r="W476" s="438"/>
      <c r="X476" s="438"/>
      <c r="Y476" s="439"/>
      <c r="Z476" s="439"/>
      <c r="AA476" s="440"/>
      <c r="AB476" s="440"/>
      <c r="AC476" s="176"/>
    </row>
    <row r="477" spans="1:29">
      <c r="A477" s="3"/>
      <c r="B477" s="3"/>
      <c r="C477" s="3"/>
      <c r="D477" s="3"/>
      <c r="E477" s="3"/>
      <c r="F477" s="4"/>
      <c r="G477" s="3"/>
      <c r="H477" s="3"/>
      <c r="I477" s="10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438"/>
      <c r="U477" s="438"/>
      <c r="V477" s="438"/>
      <c r="W477" s="438"/>
      <c r="X477" s="438"/>
      <c r="Y477" s="439"/>
      <c r="Z477" s="439"/>
      <c r="AA477" s="440"/>
      <c r="AB477" s="440"/>
      <c r="AC477" s="176"/>
    </row>
    <row r="478" spans="1:29">
      <c r="A478" s="3"/>
      <c r="B478" s="3"/>
      <c r="C478" s="3"/>
      <c r="D478" s="3"/>
      <c r="E478" s="3"/>
      <c r="F478" s="4"/>
      <c r="G478" s="3"/>
      <c r="H478" s="3"/>
      <c r="I478" s="10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438"/>
      <c r="U478" s="438"/>
      <c r="V478" s="438"/>
      <c r="W478" s="438"/>
      <c r="X478" s="438"/>
      <c r="Y478" s="439"/>
      <c r="Z478" s="439"/>
      <c r="AA478" s="440"/>
      <c r="AB478" s="440"/>
      <c r="AC478" s="176"/>
    </row>
    <row r="479" spans="1:29">
      <c r="A479" s="3"/>
      <c r="B479" s="3"/>
      <c r="C479" s="3"/>
      <c r="D479" s="3"/>
      <c r="E479" s="3"/>
      <c r="F479" s="4"/>
      <c r="G479" s="3"/>
      <c r="H479" s="3"/>
      <c r="I479" s="10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438"/>
      <c r="U479" s="438"/>
      <c r="V479" s="438"/>
      <c r="W479" s="438"/>
      <c r="X479" s="438"/>
      <c r="Y479" s="439"/>
      <c r="Z479" s="439"/>
      <c r="AA479" s="440"/>
      <c r="AB479" s="440"/>
      <c r="AC479" s="176"/>
    </row>
    <row r="480" spans="1:29">
      <c r="A480" s="3"/>
      <c r="B480" s="3"/>
      <c r="C480" s="3"/>
      <c r="D480" s="3"/>
      <c r="E480" s="3"/>
      <c r="F480" s="4"/>
      <c r="G480" s="3"/>
      <c r="H480" s="3"/>
      <c r="I480" s="10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438"/>
      <c r="U480" s="438"/>
      <c r="V480" s="438"/>
      <c r="W480" s="438"/>
      <c r="X480" s="438"/>
      <c r="Y480" s="439"/>
      <c r="Z480" s="439"/>
      <c r="AA480" s="440"/>
      <c r="AB480" s="440"/>
      <c r="AC480" s="176"/>
    </row>
    <row r="481" spans="1:29">
      <c r="A481" s="3"/>
      <c r="B481" s="3"/>
      <c r="C481" s="3"/>
      <c r="D481" s="3"/>
      <c r="E481" s="3"/>
      <c r="F481" s="4"/>
      <c r="G481" s="3"/>
      <c r="H481" s="3"/>
      <c r="I481" s="10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438"/>
      <c r="U481" s="438"/>
      <c r="V481" s="438"/>
      <c r="W481" s="438"/>
      <c r="X481" s="438"/>
      <c r="Y481" s="439"/>
      <c r="Z481" s="439"/>
      <c r="AA481" s="440"/>
      <c r="AB481" s="440"/>
      <c r="AC481" s="176"/>
    </row>
    <row r="482" spans="1:29">
      <c r="A482" s="3"/>
      <c r="B482" s="3"/>
      <c r="C482" s="3"/>
      <c r="D482" s="3"/>
      <c r="E482" s="3"/>
      <c r="F482" s="4"/>
      <c r="G482" s="3"/>
      <c r="H482" s="3"/>
      <c r="I482" s="10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438"/>
      <c r="U482" s="438"/>
      <c r="V482" s="438"/>
      <c r="W482" s="438"/>
      <c r="X482" s="438"/>
      <c r="Y482" s="439"/>
      <c r="Z482" s="439"/>
      <c r="AA482" s="440"/>
      <c r="AB482" s="440"/>
      <c r="AC482" s="176"/>
    </row>
    <row r="483" spans="1:29">
      <c r="A483" s="3"/>
      <c r="B483" s="3"/>
      <c r="C483" s="3"/>
      <c r="D483" s="3"/>
      <c r="E483" s="3"/>
      <c r="F483" s="4"/>
      <c r="G483" s="3"/>
      <c r="H483" s="3"/>
      <c r="I483" s="10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438"/>
      <c r="U483" s="438"/>
      <c r="V483" s="438"/>
      <c r="W483" s="438"/>
      <c r="X483" s="438"/>
      <c r="Y483" s="439"/>
      <c r="Z483" s="439"/>
      <c r="AA483" s="440"/>
      <c r="AB483" s="440"/>
      <c r="AC483" s="176"/>
    </row>
    <row r="484" spans="1:29">
      <c r="A484" s="3"/>
      <c r="B484" s="3"/>
      <c r="C484" s="3"/>
      <c r="D484" s="3"/>
      <c r="E484" s="3"/>
      <c r="F484" s="4"/>
      <c r="G484" s="3"/>
      <c r="H484" s="3"/>
      <c r="I484" s="10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438"/>
      <c r="U484" s="438"/>
      <c r="V484" s="438"/>
      <c r="W484" s="438"/>
      <c r="X484" s="438"/>
      <c r="Y484" s="439"/>
      <c r="Z484" s="439"/>
      <c r="AA484" s="440"/>
      <c r="AB484" s="440"/>
      <c r="AC484" s="176"/>
    </row>
    <row r="485" spans="1:29">
      <c r="A485" s="3"/>
      <c r="B485" s="3"/>
      <c r="C485" s="3"/>
      <c r="D485" s="3"/>
      <c r="E485" s="3"/>
      <c r="F485" s="4"/>
      <c r="G485" s="3"/>
      <c r="H485" s="3"/>
      <c r="I485" s="10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438"/>
      <c r="U485" s="438"/>
      <c r="V485" s="438"/>
      <c r="W485" s="438"/>
      <c r="X485" s="438"/>
      <c r="Y485" s="439"/>
      <c r="Z485" s="439"/>
      <c r="AA485" s="440"/>
      <c r="AB485" s="440"/>
      <c r="AC485" s="176"/>
    </row>
    <row r="486" spans="1:29">
      <c r="A486" s="3"/>
      <c r="B486" s="3"/>
      <c r="C486" s="3"/>
      <c r="D486" s="3"/>
      <c r="E486" s="3"/>
      <c r="F486" s="4"/>
      <c r="G486" s="3"/>
      <c r="H486" s="3"/>
      <c r="I486" s="10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438"/>
      <c r="U486" s="438"/>
      <c r="V486" s="438"/>
      <c r="W486" s="438"/>
      <c r="X486" s="438"/>
      <c r="Y486" s="439"/>
      <c r="Z486" s="439"/>
      <c r="AA486" s="440"/>
      <c r="AB486" s="440"/>
      <c r="AC486" s="176"/>
    </row>
    <row r="487" spans="1:29">
      <c r="A487" s="3"/>
      <c r="B487" s="3"/>
      <c r="C487" s="3"/>
      <c r="D487" s="3"/>
      <c r="E487" s="3"/>
      <c r="F487" s="4"/>
      <c r="G487" s="3"/>
      <c r="H487" s="3"/>
      <c r="I487" s="10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438"/>
      <c r="U487" s="438"/>
      <c r="V487" s="438"/>
      <c r="W487" s="438"/>
      <c r="X487" s="438"/>
      <c r="Y487" s="439"/>
      <c r="Z487" s="439"/>
      <c r="AA487" s="440"/>
      <c r="AB487" s="440"/>
      <c r="AC487" s="176"/>
    </row>
    <row r="488" spans="1:29">
      <c r="A488" s="3"/>
      <c r="B488" s="3"/>
      <c r="C488" s="3"/>
      <c r="D488" s="3"/>
      <c r="E488" s="3"/>
      <c r="F488" s="4"/>
      <c r="G488" s="3"/>
      <c r="H488" s="3"/>
      <c r="I488" s="10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438"/>
      <c r="U488" s="438"/>
      <c r="V488" s="438"/>
      <c r="W488" s="438"/>
      <c r="X488" s="438"/>
      <c r="Y488" s="439"/>
      <c r="Z488" s="439"/>
      <c r="AA488" s="440"/>
      <c r="AB488" s="440"/>
      <c r="AC488" s="176"/>
    </row>
    <row r="489" spans="1:29">
      <c r="A489" s="3"/>
      <c r="B489" s="3"/>
      <c r="C489" s="3"/>
      <c r="D489" s="3"/>
      <c r="E489" s="3"/>
      <c r="F489" s="4"/>
      <c r="G489" s="3"/>
      <c r="H489" s="3"/>
      <c r="I489" s="10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438"/>
      <c r="U489" s="438"/>
      <c r="V489" s="438"/>
      <c r="W489" s="438"/>
      <c r="X489" s="438"/>
      <c r="Y489" s="439"/>
      <c r="Z489" s="439"/>
      <c r="AA489" s="440"/>
      <c r="AB489" s="440"/>
      <c r="AC489" s="176"/>
    </row>
    <row r="490" spans="1:29">
      <c r="A490" s="3"/>
      <c r="B490" s="3"/>
      <c r="C490" s="3"/>
      <c r="D490" s="3"/>
      <c r="E490" s="3"/>
      <c r="F490" s="4"/>
      <c r="G490" s="3"/>
      <c r="H490" s="3"/>
      <c r="I490" s="10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438"/>
      <c r="U490" s="438"/>
      <c r="V490" s="438"/>
      <c r="W490" s="438"/>
      <c r="X490" s="438"/>
      <c r="Y490" s="439"/>
      <c r="Z490" s="439"/>
      <c r="AA490" s="440"/>
      <c r="AB490" s="440"/>
      <c r="AC490" s="176"/>
    </row>
    <row r="491" spans="1:29">
      <c r="A491" s="3"/>
      <c r="B491" s="3"/>
      <c r="C491" s="3"/>
      <c r="D491" s="3"/>
      <c r="E491" s="3"/>
      <c r="F491" s="4"/>
      <c r="G491" s="3"/>
      <c r="H491" s="3"/>
      <c r="I491" s="10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438"/>
      <c r="U491" s="438"/>
      <c r="V491" s="438"/>
      <c r="W491" s="438"/>
      <c r="X491" s="438"/>
      <c r="Y491" s="439"/>
      <c r="Z491" s="439"/>
      <c r="AA491" s="440"/>
      <c r="AB491" s="440"/>
      <c r="AC491" s="176"/>
    </row>
    <row r="492" spans="1:29">
      <c r="A492" s="3"/>
      <c r="B492" s="3"/>
      <c r="C492" s="3"/>
      <c r="D492" s="3"/>
      <c r="E492" s="3"/>
      <c r="F492" s="4"/>
      <c r="G492" s="3"/>
      <c r="H492" s="3"/>
      <c r="I492" s="10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438"/>
      <c r="U492" s="438"/>
      <c r="V492" s="438"/>
      <c r="W492" s="438"/>
      <c r="X492" s="438"/>
      <c r="Y492" s="439"/>
      <c r="Z492" s="439"/>
      <c r="AA492" s="440"/>
      <c r="AB492" s="440"/>
      <c r="AC492" s="176"/>
    </row>
    <row r="493" spans="1:29">
      <c r="A493" s="3"/>
      <c r="B493" s="3"/>
      <c r="C493" s="3"/>
      <c r="D493" s="3"/>
      <c r="E493" s="3"/>
      <c r="F493" s="4"/>
      <c r="G493" s="3"/>
      <c r="H493" s="3"/>
      <c r="I493" s="10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438"/>
      <c r="U493" s="438"/>
      <c r="V493" s="438"/>
      <c r="W493" s="438"/>
      <c r="X493" s="438"/>
      <c r="Y493" s="439"/>
      <c r="Z493" s="439"/>
      <c r="AA493" s="440"/>
      <c r="AB493" s="440"/>
      <c r="AC493" s="176"/>
    </row>
    <row r="494" spans="1:29">
      <c r="A494" s="3"/>
      <c r="B494" s="3"/>
      <c r="C494" s="3"/>
      <c r="D494" s="3"/>
      <c r="E494" s="3"/>
      <c r="F494" s="4"/>
      <c r="G494" s="3"/>
      <c r="H494" s="3"/>
      <c r="I494" s="10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438"/>
      <c r="U494" s="438"/>
      <c r="V494" s="438"/>
      <c r="W494" s="438"/>
      <c r="X494" s="438"/>
      <c r="Y494" s="439"/>
      <c r="Z494" s="439"/>
      <c r="AA494" s="440"/>
      <c r="AB494" s="440"/>
      <c r="AC494" s="176"/>
    </row>
    <row r="495" spans="1:29">
      <c r="A495" s="3"/>
      <c r="B495" s="3"/>
      <c r="C495" s="3"/>
      <c r="D495" s="3"/>
      <c r="E495" s="3"/>
      <c r="F495" s="4"/>
      <c r="G495" s="3"/>
      <c r="H495" s="3"/>
      <c r="I495" s="10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438"/>
      <c r="U495" s="438"/>
      <c r="V495" s="438"/>
      <c r="W495" s="438"/>
      <c r="X495" s="438"/>
      <c r="Y495" s="439"/>
      <c r="Z495" s="439"/>
      <c r="AA495" s="440"/>
      <c r="AB495" s="440"/>
      <c r="AC495" s="176"/>
    </row>
    <row r="496" spans="1:29">
      <c r="A496" s="3"/>
      <c r="B496" s="3"/>
      <c r="C496" s="3"/>
      <c r="D496" s="3"/>
      <c r="E496" s="3"/>
      <c r="F496" s="4"/>
      <c r="G496" s="3"/>
      <c r="H496" s="3"/>
      <c r="I496" s="10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438"/>
      <c r="U496" s="438"/>
      <c r="V496" s="438"/>
      <c r="W496" s="438"/>
      <c r="X496" s="438"/>
      <c r="Y496" s="439"/>
      <c r="Z496" s="439"/>
      <c r="AA496" s="440"/>
      <c r="AB496" s="440"/>
      <c r="AC496" s="176"/>
    </row>
    <row r="497" spans="1:29">
      <c r="A497" s="3"/>
      <c r="B497" s="3"/>
      <c r="C497" s="3"/>
      <c r="D497" s="3"/>
      <c r="E497" s="3"/>
      <c r="F497" s="4"/>
      <c r="G497" s="3"/>
      <c r="H497" s="3"/>
      <c r="I497" s="10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438"/>
      <c r="U497" s="438"/>
      <c r="V497" s="438"/>
      <c r="W497" s="438"/>
      <c r="X497" s="438"/>
      <c r="Y497" s="439"/>
      <c r="Z497" s="439"/>
      <c r="AA497" s="440"/>
      <c r="AB497" s="440"/>
      <c r="AC497" s="176"/>
    </row>
    <row r="498" spans="1:29">
      <c r="A498" s="3"/>
      <c r="B498" s="3"/>
      <c r="C498" s="3"/>
      <c r="D498" s="3"/>
      <c r="E498" s="3"/>
      <c r="F498" s="4"/>
      <c r="G498" s="3"/>
      <c r="H498" s="3"/>
      <c r="I498" s="10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438"/>
      <c r="U498" s="438"/>
      <c r="V498" s="438"/>
      <c r="W498" s="438"/>
      <c r="X498" s="438"/>
      <c r="Y498" s="439"/>
      <c r="Z498" s="439"/>
      <c r="AA498" s="440"/>
      <c r="AB498" s="440"/>
      <c r="AC498" s="176"/>
    </row>
    <row r="499" spans="1:29">
      <c r="A499" s="3"/>
      <c r="B499" s="3"/>
      <c r="C499" s="3"/>
      <c r="D499" s="3"/>
      <c r="E499" s="3"/>
      <c r="F499" s="4"/>
      <c r="G499" s="3"/>
      <c r="H499" s="3"/>
      <c r="I499" s="10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438"/>
      <c r="U499" s="438"/>
      <c r="V499" s="438"/>
      <c r="W499" s="438"/>
      <c r="X499" s="438"/>
      <c r="Y499" s="439"/>
      <c r="Z499" s="439"/>
      <c r="AA499" s="440"/>
      <c r="AB499" s="440"/>
      <c r="AC499" s="176"/>
    </row>
    <row r="500" spans="1:29">
      <c r="A500" s="3"/>
      <c r="B500" s="3"/>
      <c r="C500" s="3"/>
      <c r="D500" s="3"/>
      <c r="E500" s="3"/>
      <c r="F500" s="4"/>
      <c r="G500" s="3"/>
      <c r="H500" s="3"/>
      <c r="I500" s="10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438"/>
      <c r="U500" s="438"/>
      <c r="V500" s="438"/>
      <c r="W500" s="438"/>
      <c r="X500" s="438"/>
      <c r="Y500" s="439"/>
      <c r="Z500" s="439"/>
      <c r="AA500" s="440"/>
      <c r="AB500" s="440"/>
      <c r="AC500" s="176"/>
    </row>
    <row r="501" spans="1:29">
      <c r="A501" s="3"/>
      <c r="B501" s="3"/>
      <c r="C501" s="3"/>
      <c r="D501" s="3"/>
      <c r="E501" s="3"/>
      <c r="F501" s="4"/>
      <c r="G501" s="3"/>
      <c r="H501" s="3"/>
      <c r="I501" s="10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438"/>
      <c r="U501" s="438"/>
      <c r="V501" s="438"/>
      <c r="W501" s="438"/>
      <c r="X501" s="438"/>
      <c r="Y501" s="439"/>
      <c r="Z501" s="439"/>
      <c r="AA501" s="440"/>
      <c r="AB501" s="440"/>
      <c r="AC501" s="176"/>
    </row>
    <row r="502" spans="1:29">
      <c r="A502" s="3"/>
      <c r="B502" s="3"/>
      <c r="C502" s="3"/>
      <c r="D502" s="3"/>
      <c r="E502" s="3"/>
      <c r="F502" s="4"/>
      <c r="G502" s="3"/>
      <c r="H502" s="3"/>
      <c r="I502" s="10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438"/>
      <c r="U502" s="438"/>
      <c r="V502" s="438"/>
      <c r="W502" s="438"/>
      <c r="X502" s="438"/>
      <c r="Y502" s="439"/>
      <c r="Z502" s="439"/>
      <c r="AA502" s="440"/>
      <c r="AB502" s="440"/>
      <c r="AC502" s="176"/>
    </row>
    <row r="503" spans="1:29">
      <c r="A503" s="3"/>
      <c r="B503" s="3"/>
      <c r="C503" s="3"/>
      <c r="D503" s="3"/>
      <c r="E503" s="3"/>
      <c r="F503" s="4"/>
      <c r="G503" s="3"/>
      <c r="H503" s="3"/>
      <c r="I503" s="10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438"/>
      <c r="U503" s="438"/>
      <c r="V503" s="438"/>
      <c r="W503" s="438"/>
      <c r="X503" s="438"/>
      <c r="Y503" s="439"/>
      <c r="Z503" s="439"/>
      <c r="AA503" s="440"/>
      <c r="AB503" s="440"/>
      <c r="AC503" s="176"/>
    </row>
    <row r="504" spans="1:29">
      <c r="A504" s="3"/>
      <c r="B504" s="3"/>
      <c r="C504" s="3"/>
      <c r="D504" s="3"/>
      <c r="E504" s="3"/>
      <c r="F504" s="4"/>
      <c r="G504" s="3"/>
      <c r="H504" s="3"/>
      <c r="I504" s="10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438"/>
      <c r="U504" s="438"/>
      <c r="V504" s="438"/>
      <c r="W504" s="438"/>
      <c r="X504" s="438"/>
      <c r="Y504" s="439"/>
      <c r="Z504" s="439"/>
      <c r="AA504" s="440"/>
      <c r="AB504" s="440"/>
      <c r="AC504" s="176"/>
    </row>
    <row r="505" spans="1:29">
      <c r="A505" s="3"/>
      <c r="B505" s="3"/>
      <c r="C505" s="3"/>
      <c r="D505" s="3"/>
      <c r="E505" s="3"/>
      <c r="F505" s="4"/>
      <c r="G505" s="3"/>
      <c r="H505" s="3"/>
      <c r="I505" s="10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438"/>
      <c r="U505" s="438"/>
      <c r="V505" s="438"/>
      <c r="W505" s="438"/>
      <c r="X505" s="438"/>
      <c r="Y505" s="439"/>
      <c r="Z505" s="439"/>
      <c r="AA505" s="440"/>
      <c r="AB505" s="440"/>
      <c r="AC505" s="176"/>
    </row>
    <row r="506" spans="1:29">
      <c r="A506" s="3"/>
      <c r="B506" s="3"/>
      <c r="C506" s="3"/>
      <c r="D506" s="3"/>
      <c r="E506" s="3"/>
      <c r="F506" s="4"/>
      <c r="G506" s="3"/>
      <c r="H506" s="3"/>
      <c r="I506" s="10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438"/>
      <c r="U506" s="438"/>
      <c r="V506" s="438"/>
      <c r="W506" s="438"/>
      <c r="X506" s="438"/>
      <c r="Y506" s="439"/>
      <c r="Z506" s="439"/>
      <c r="AA506" s="440"/>
      <c r="AB506" s="440"/>
      <c r="AC506" s="176"/>
    </row>
    <row r="507" spans="1:29">
      <c r="A507" s="3"/>
      <c r="B507" s="3"/>
      <c r="C507" s="3"/>
      <c r="D507" s="3"/>
      <c r="E507" s="3"/>
      <c r="F507" s="4"/>
      <c r="G507" s="3"/>
      <c r="H507" s="3"/>
      <c r="I507" s="10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438"/>
      <c r="U507" s="438"/>
      <c r="V507" s="438"/>
      <c r="W507" s="438"/>
      <c r="X507" s="438"/>
      <c r="Y507" s="439"/>
      <c r="Z507" s="439"/>
      <c r="AA507" s="440"/>
      <c r="AB507" s="440"/>
      <c r="AC507" s="176"/>
    </row>
    <row r="508" spans="1:29">
      <c r="A508" s="3"/>
      <c r="B508" s="3"/>
      <c r="C508" s="3"/>
      <c r="D508" s="3"/>
      <c r="E508" s="3"/>
      <c r="F508" s="4"/>
      <c r="G508" s="3"/>
      <c r="H508" s="3"/>
      <c r="I508" s="10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438"/>
      <c r="U508" s="438"/>
      <c r="V508" s="438"/>
      <c r="W508" s="438"/>
      <c r="X508" s="438"/>
      <c r="Y508" s="439"/>
      <c r="Z508" s="439"/>
      <c r="AA508" s="440"/>
      <c r="AB508" s="440"/>
      <c r="AC508" s="176"/>
    </row>
    <row r="509" spans="1:29">
      <c r="A509" s="3"/>
      <c r="B509" s="3"/>
      <c r="C509" s="3"/>
      <c r="D509" s="3"/>
      <c r="E509" s="3"/>
      <c r="F509" s="4"/>
      <c r="G509" s="3"/>
      <c r="H509" s="3"/>
      <c r="I509" s="10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438"/>
      <c r="U509" s="438"/>
      <c r="V509" s="438"/>
      <c r="W509" s="438"/>
      <c r="X509" s="438"/>
      <c r="Y509" s="439"/>
      <c r="Z509" s="439"/>
      <c r="AA509" s="440"/>
      <c r="AB509" s="440"/>
      <c r="AC509" s="176"/>
    </row>
    <row r="510" spans="1:29">
      <c r="A510" s="3"/>
      <c r="B510" s="3"/>
      <c r="C510" s="3"/>
      <c r="D510" s="3"/>
      <c r="E510" s="3"/>
      <c r="F510" s="4"/>
      <c r="G510" s="3"/>
      <c r="H510" s="3"/>
      <c r="I510" s="10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438"/>
      <c r="U510" s="438"/>
      <c r="V510" s="438"/>
      <c r="W510" s="438"/>
      <c r="X510" s="438"/>
      <c r="Y510" s="439"/>
      <c r="Z510" s="439"/>
      <c r="AA510" s="440"/>
      <c r="AB510" s="440"/>
      <c r="AC510" s="176"/>
    </row>
    <row r="511" spans="1:29">
      <c r="A511" s="3"/>
      <c r="B511" s="3"/>
      <c r="C511" s="3"/>
      <c r="D511" s="3"/>
      <c r="E511" s="3"/>
      <c r="F511" s="4"/>
      <c r="G511" s="3"/>
      <c r="H511" s="3"/>
      <c r="I511" s="10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438"/>
      <c r="U511" s="438"/>
      <c r="V511" s="438"/>
      <c r="W511" s="438"/>
      <c r="X511" s="438"/>
      <c r="Y511" s="439"/>
      <c r="Z511" s="439"/>
      <c r="AA511" s="440"/>
      <c r="AB511" s="440"/>
      <c r="AC511" s="176"/>
    </row>
    <row r="512" spans="1:29">
      <c r="A512" s="3"/>
      <c r="B512" s="3"/>
      <c r="C512" s="3"/>
      <c r="D512" s="3"/>
      <c r="E512" s="3"/>
      <c r="F512" s="4"/>
      <c r="G512" s="3"/>
      <c r="H512" s="3"/>
      <c r="I512" s="10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438"/>
      <c r="U512" s="438"/>
      <c r="V512" s="438"/>
      <c r="W512" s="438"/>
      <c r="X512" s="438"/>
      <c r="Y512" s="439"/>
      <c r="Z512" s="439"/>
      <c r="AA512" s="440"/>
      <c r="AB512" s="440"/>
      <c r="AC512" s="176"/>
    </row>
    <row r="513" spans="1:29">
      <c r="A513" s="3"/>
      <c r="B513" s="3"/>
      <c r="C513" s="3"/>
      <c r="D513" s="3"/>
      <c r="E513" s="3"/>
      <c r="F513" s="4"/>
      <c r="G513" s="3"/>
      <c r="H513" s="3"/>
      <c r="I513" s="10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438"/>
      <c r="U513" s="438"/>
      <c r="V513" s="438"/>
      <c r="W513" s="438"/>
      <c r="X513" s="438"/>
      <c r="Y513" s="439"/>
      <c r="Z513" s="439"/>
      <c r="AA513" s="440"/>
      <c r="AB513" s="440"/>
      <c r="AC513" s="176"/>
    </row>
    <row r="514" spans="1:29">
      <c r="A514" s="3"/>
      <c r="B514" s="3"/>
      <c r="C514" s="3"/>
      <c r="D514" s="3"/>
      <c r="E514" s="3"/>
      <c r="F514" s="4"/>
      <c r="G514" s="3"/>
      <c r="H514" s="3"/>
      <c r="I514" s="10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438"/>
      <c r="U514" s="438"/>
      <c r="V514" s="438"/>
      <c r="W514" s="438"/>
      <c r="X514" s="438"/>
      <c r="Y514" s="439"/>
      <c r="Z514" s="439"/>
      <c r="AA514" s="440"/>
      <c r="AB514" s="440"/>
      <c r="AC514" s="176"/>
    </row>
    <row r="515" spans="1:29">
      <c r="A515" s="3"/>
      <c r="B515" s="3"/>
      <c r="C515" s="3"/>
      <c r="D515" s="3"/>
      <c r="E515" s="3"/>
      <c r="F515" s="4"/>
      <c r="G515" s="3"/>
      <c r="H515" s="3"/>
      <c r="I515" s="10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438"/>
      <c r="U515" s="438"/>
      <c r="V515" s="438"/>
      <c r="W515" s="438"/>
      <c r="X515" s="438"/>
      <c r="Y515" s="439"/>
      <c r="Z515" s="439"/>
      <c r="AA515" s="440"/>
      <c r="AB515" s="440"/>
      <c r="AC515" s="176"/>
    </row>
    <row r="516" spans="1:29">
      <c r="A516" s="3"/>
      <c r="B516" s="3"/>
      <c r="C516" s="3"/>
      <c r="D516" s="3"/>
      <c r="E516" s="3"/>
      <c r="F516" s="4"/>
      <c r="G516" s="3"/>
      <c r="H516" s="3"/>
      <c r="I516" s="10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438"/>
      <c r="U516" s="438"/>
      <c r="V516" s="438"/>
      <c r="W516" s="438"/>
      <c r="X516" s="438"/>
      <c r="Y516" s="439"/>
      <c r="Z516" s="439"/>
      <c r="AA516" s="440"/>
      <c r="AB516" s="440"/>
      <c r="AC516" s="176"/>
    </row>
    <row r="517" spans="1:29">
      <c r="A517" s="3"/>
      <c r="B517" s="3"/>
      <c r="C517" s="3"/>
      <c r="D517" s="3"/>
      <c r="E517" s="3"/>
      <c r="F517" s="4"/>
      <c r="G517" s="3"/>
      <c r="H517" s="3"/>
      <c r="I517" s="10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438"/>
      <c r="U517" s="438"/>
      <c r="V517" s="438"/>
      <c r="W517" s="438"/>
      <c r="X517" s="438"/>
      <c r="Y517" s="439"/>
      <c r="Z517" s="439"/>
      <c r="AA517" s="440"/>
      <c r="AB517" s="440"/>
      <c r="AC517" s="176"/>
    </row>
    <row r="518" spans="1:29">
      <c r="A518" s="3"/>
      <c r="B518" s="3"/>
      <c r="C518" s="3"/>
      <c r="D518" s="3"/>
      <c r="E518" s="3"/>
      <c r="F518" s="4"/>
      <c r="G518" s="3"/>
      <c r="H518" s="3"/>
      <c r="I518" s="10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438"/>
      <c r="U518" s="438"/>
      <c r="V518" s="438"/>
      <c r="W518" s="438"/>
      <c r="X518" s="438"/>
      <c r="Y518" s="439"/>
      <c r="Z518" s="439"/>
      <c r="AA518" s="440"/>
      <c r="AB518" s="440"/>
      <c r="AC518" s="176"/>
    </row>
    <row r="519" spans="1:29">
      <c r="A519" s="3"/>
      <c r="B519" s="3"/>
      <c r="C519" s="3"/>
      <c r="D519" s="3"/>
      <c r="E519" s="3"/>
      <c r="F519" s="4"/>
      <c r="G519" s="3"/>
      <c r="H519" s="3"/>
      <c r="I519" s="10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438"/>
      <c r="U519" s="438"/>
      <c r="V519" s="438"/>
      <c r="W519" s="438"/>
      <c r="X519" s="438"/>
      <c r="Y519" s="439"/>
      <c r="Z519" s="439"/>
      <c r="AA519" s="440"/>
      <c r="AB519" s="440"/>
      <c r="AC519" s="176"/>
    </row>
    <row r="520" spans="1:29">
      <c r="A520" s="3"/>
      <c r="B520" s="3"/>
      <c r="C520" s="3"/>
      <c r="D520" s="3"/>
      <c r="E520" s="3"/>
      <c r="F520" s="4"/>
      <c r="G520" s="3"/>
      <c r="H520" s="3"/>
      <c r="I520" s="10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438"/>
      <c r="U520" s="438"/>
      <c r="V520" s="438"/>
      <c r="W520" s="438"/>
      <c r="X520" s="438"/>
      <c r="Y520" s="439"/>
      <c r="Z520" s="439"/>
      <c r="AA520" s="440"/>
      <c r="AB520" s="440"/>
      <c r="AC520" s="176"/>
    </row>
    <row r="521" spans="1:29">
      <c r="A521" s="3"/>
      <c r="B521" s="3"/>
      <c r="C521" s="3"/>
      <c r="D521" s="3"/>
      <c r="E521" s="3"/>
      <c r="F521" s="4"/>
      <c r="G521" s="3"/>
      <c r="H521" s="3"/>
      <c r="I521" s="10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438"/>
      <c r="U521" s="438"/>
      <c r="V521" s="438"/>
      <c r="W521" s="438"/>
      <c r="X521" s="438"/>
      <c r="Y521" s="439"/>
      <c r="Z521" s="439"/>
      <c r="AA521" s="440"/>
      <c r="AB521" s="440"/>
      <c r="AC521" s="176"/>
    </row>
    <row r="522" spans="1:29">
      <c r="A522" s="3"/>
      <c r="B522" s="3"/>
      <c r="C522" s="3"/>
      <c r="D522" s="3"/>
      <c r="E522" s="3"/>
      <c r="F522" s="4"/>
      <c r="G522" s="3"/>
      <c r="H522" s="3"/>
      <c r="I522" s="10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438"/>
      <c r="U522" s="438"/>
      <c r="V522" s="438"/>
      <c r="W522" s="438"/>
      <c r="X522" s="438"/>
      <c r="Y522" s="439"/>
      <c r="Z522" s="439"/>
      <c r="AA522" s="440"/>
      <c r="AB522" s="440"/>
      <c r="AC522" s="176"/>
    </row>
    <row r="523" spans="1:29">
      <c r="A523" s="3"/>
      <c r="B523" s="3"/>
      <c r="C523" s="3"/>
      <c r="D523" s="3"/>
      <c r="E523" s="3"/>
      <c r="F523" s="4"/>
      <c r="G523" s="3"/>
      <c r="H523" s="3"/>
      <c r="I523" s="10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438"/>
      <c r="U523" s="438"/>
      <c r="V523" s="438"/>
      <c r="W523" s="438"/>
      <c r="X523" s="438"/>
      <c r="Y523" s="439"/>
      <c r="Z523" s="439"/>
      <c r="AA523" s="440"/>
      <c r="AB523" s="440"/>
      <c r="AC523" s="176"/>
    </row>
    <row r="524" spans="1:29">
      <c r="A524" s="3"/>
      <c r="B524" s="3"/>
      <c r="C524" s="3"/>
      <c r="D524" s="3"/>
      <c r="E524" s="3"/>
      <c r="F524" s="4"/>
      <c r="G524" s="3"/>
      <c r="H524" s="3"/>
      <c r="I524" s="10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438"/>
      <c r="U524" s="438"/>
      <c r="V524" s="438"/>
      <c r="W524" s="438"/>
      <c r="X524" s="438"/>
      <c r="Y524" s="439"/>
      <c r="Z524" s="439"/>
      <c r="AA524" s="440"/>
      <c r="AB524" s="440"/>
      <c r="AC524" s="176"/>
    </row>
    <row r="525" spans="1:29">
      <c r="A525" s="3"/>
      <c r="B525" s="3"/>
      <c r="C525" s="3"/>
      <c r="D525" s="3"/>
      <c r="E525" s="3"/>
      <c r="F525" s="4"/>
      <c r="G525" s="3"/>
      <c r="H525" s="3"/>
      <c r="I525" s="10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438"/>
      <c r="U525" s="438"/>
      <c r="V525" s="438"/>
      <c r="W525" s="438"/>
      <c r="X525" s="438"/>
      <c r="Y525" s="439"/>
      <c r="Z525" s="439"/>
      <c r="AA525" s="440"/>
      <c r="AB525" s="440"/>
      <c r="AC525" s="176"/>
    </row>
    <row r="526" spans="1:29">
      <c r="A526" s="3"/>
      <c r="B526" s="3"/>
      <c r="C526" s="3"/>
      <c r="D526" s="3"/>
      <c r="E526" s="3"/>
      <c r="F526" s="4"/>
      <c r="G526" s="3"/>
      <c r="H526" s="3"/>
      <c r="I526" s="10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438"/>
      <c r="U526" s="438"/>
      <c r="V526" s="438"/>
      <c r="W526" s="438"/>
      <c r="X526" s="438"/>
      <c r="Y526" s="439"/>
      <c r="Z526" s="439"/>
      <c r="AA526" s="440"/>
      <c r="AB526" s="440"/>
      <c r="AC526" s="176"/>
    </row>
    <row r="527" spans="1:29">
      <c r="A527" s="3"/>
      <c r="B527" s="3"/>
      <c r="C527" s="3"/>
      <c r="D527" s="3"/>
      <c r="E527" s="3"/>
      <c r="F527" s="4"/>
      <c r="G527" s="3"/>
      <c r="H527" s="3"/>
      <c r="I527" s="10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438"/>
      <c r="U527" s="438"/>
      <c r="V527" s="438"/>
      <c r="W527" s="438"/>
      <c r="X527" s="438"/>
      <c r="Y527" s="439"/>
      <c r="Z527" s="439"/>
      <c r="AA527" s="440"/>
      <c r="AB527" s="440"/>
      <c r="AC527" s="176"/>
    </row>
    <row r="528" spans="1:29">
      <c r="A528" s="3"/>
      <c r="B528" s="3"/>
      <c r="C528" s="3"/>
      <c r="D528" s="3"/>
      <c r="E528" s="3"/>
      <c r="F528" s="4"/>
      <c r="G528" s="3"/>
      <c r="H528" s="3"/>
      <c r="I528" s="10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438"/>
      <c r="U528" s="438"/>
      <c r="V528" s="438"/>
      <c r="W528" s="438"/>
      <c r="X528" s="438"/>
      <c r="Y528" s="439"/>
      <c r="Z528" s="439"/>
      <c r="AA528" s="440"/>
      <c r="AB528" s="440"/>
      <c r="AC528" s="176"/>
    </row>
    <row r="529" spans="1:29">
      <c r="A529" s="3"/>
      <c r="B529" s="3"/>
      <c r="C529" s="3"/>
      <c r="D529" s="3"/>
      <c r="E529" s="3"/>
      <c r="F529" s="4"/>
      <c r="G529" s="3"/>
      <c r="H529" s="3"/>
      <c r="I529" s="10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438"/>
      <c r="U529" s="438"/>
      <c r="V529" s="438"/>
      <c r="W529" s="438"/>
      <c r="X529" s="438"/>
      <c r="Y529" s="439"/>
      <c r="Z529" s="439"/>
      <c r="AA529" s="440"/>
      <c r="AB529" s="440"/>
      <c r="AC529" s="176"/>
    </row>
    <row r="530" spans="1:29">
      <c r="A530" s="3"/>
      <c r="B530" s="3"/>
      <c r="C530" s="3"/>
      <c r="D530" s="3"/>
      <c r="E530" s="3"/>
      <c r="F530" s="4"/>
      <c r="G530" s="3"/>
      <c r="H530" s="3"/>
      <c r="I530" s="10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438"/>
      <c r="U530" s="438"/>
      <c r="V530" s="438"/>
      <c r="W530" s="438"/>
      <c r="X530" s="438"/>
      <c r="Y530" s="439"/>
      <c r="Z530" s="439"/>
      <c r="AA530" s="440"/>
      <c r="AB530" s="440"/>
      <c r="AC530" s="176"/>
    </row>
    <row r="531" spans="1:29">
      <c r="A531" s="3"/>
      <c r="B531" s="3"/>
      <c r="C531" s="3"/>
      <c r="D531" s="3"/>
      <c r="E531" s="3"/>
      <c r="F531" s="4"/>
      <c r="G531" s="3"/>
      <c r="H531" s="3"/>
      <c r="I531" s="10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438"/>
      <c r="U531" s="438"/>
      <c r="V531" s="438"/>
      <c r="W531" s="438"/>
      <c r="X531" s="438"/>
      <c r="Y531" s="439"/>
      <c r="Z531" s="439"/>
      <c r="AA531" s="440"/>
      <c r="AB531" s="440"/>
      <c r="AC531" s="176"/>
    </row>
    <row r="532" spans="1:29">
      <c r="A532" s="3"/>
      <c r="B532" s="3"/>
      <c r="C532" s="3"/>
      <c r="D532" s="3"/>
      <c r="E532" s="3"/>
      <c r="F532" s="4"/>
      <c r="G532" s="3"/>
      <c r="H532" s="3"/>
      <c r="I532" s="10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438"/>
      <c r="U532" s="438"/>
      <c r="V532" s="438"/>
      <c r="W532" s="438"/>
      <c r="X532" s="438"/>
      <c r="Y532" s="439"/>
      <c r="Z532" s="439"/>
      <c r="AA532" s="440"/>
      <c r="AB532" s="440"/>
      <c r="AC532" s="176"/>
    </row>
    <row r="533" spans="1:29">
      <c r="A533" s="3"/>
      <c r="B533" s="3"/>
      <c r="C533" s="3"/>
      <c r="D533" s="3"/>
      <c r="E533" s="3"/>
      <c r="F533" s="4"/>
      <c r="G533" s="3"/>
      <c r="H533" s="3"/>
      <c r="I533" s="10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438"/>
      <c r="U533" s="438"/>
      <c r="V533" s="438"/>
      <c r="W533" s="438"/>
      <c r="X533" s="438"/>
      <c r="Y533" s="439"/>
      <c r="Z533" s="439"/>
      <c r="AA533" s="440"/>
      <c r="AB533" s="440"/>
      <c r="AC533" s="176"/>
    </row>
    <row r="534" spans="1:29">
      <c r="A534" s="3"/>
      <c r="B534" s="3"/>
      <c r="C534" s="3"/>
      <c r="D534" s="3"/>
      <c r="E534" s="3"/>
      <c r="F534" s="4"/>
      <c r="G534" s="3"/>
      <c r="H534" s="3"/>
      <c r="I534" s="10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438"/>
      <c r="U534" s="438"/>
      <c r="V534" s="438"/>
      <c r="W534" s="438"/>
      <c r="X534" s="438"/>
      <c r="Y534" s="439"/>
      <c r="Z534" s="439"/>
      <c r="AA534" s="440"/>
      <c r="AB534" s="440"/>
      <c r="AC534" s="176"/>
    </row>
    <row r="535" spans="1:29">
      <c r="A535" s="3"/>
      <c r="B535" s="3"/>
      <c r="C535" s="3"/>
      <c r="D535" s="3"/>
      <c r="E535" s="3"/>
      <c r="F535" s="4"/>
      <c r="G535" s="3"/>
      <c r="H535" s="3"/>
      <c r="I535" s="10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438"/>
      <c r="U535" s="438"/>
      <c r="V535" s="438"/>
      <c r="W535" s="438"/>
      <c r="X535" s="438"/>
      <c r="Y535" s="439"/>
      <c r="Z535" s="439"/>
      <c r="AA535" s="440"/>
      <c r="AB535" s="440"/>
      <c r="AC535" s="176"/>
    </row>
    <row r="536" spans="1:29">
      <c r="A536" s="3"/>
      <c r="B536" s="3"/>
      <c r="C536" s="3"/>
      <c r="D536" s="3"/>
      <c r="E536" s="3"/>
      <c r="F536" s="4"/>
      <c r="G536" s="3"/>
      <c r="H536" s="3"/>
      <c r="I536" s="10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438"/>
      <c r="U536" s="438"/>
      <c r="V536" s="438"/>
      <c r="W536" s="438"/>
      <c r="X536" s="438"/>
      <c r="Y536" s="439"/>
      <c r="Z536" s="439"/>
      <c r="AA536" s="440"/>
      <c r="AB536" s="440"/>
      <c r="AC536" s="176"/>
    </row>
    <row r="537" spans="1:29">
      <c r="A537" s="3"/>
      <c r="B537" s="3"/>
      <c r="C537" s="3"/>
      <c r="D537" s="3"/>
      <c r="E537" s="3"/>
      <c r="F537" s="4"/>
      <c r="G537" s="3"/>
      <c r="H537" s="3"/>
      <c r="I537" s="10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438"/>
      <c r="U537" s="438"/>
      <c r="V537" s="438"/>
      <c r="W537" s="438"/>
      <c r="X537" s="438"/>
      <c r="Y537" s="439"/>
      <c r="Z537" s="439"/>
      <c r="AA537" s="440"/>
      <c r="AB537" s="440"/>
      <c r="AC537" s="176"/>
    </row>
    <row r="538" spans="1:29">
      <c r="A538" s="3"/>
      <c r="B538" s="3"/>
      <c r="C538" s="3"/>
      <c r="D538" s="3"/>
      <c r="E538" s="3"/>
      <c r="F538" s="4"/>
      <c r="G538" s="3"/>
      <c r="H538" s="3"/>
      <c r="I538" s="10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438"/>
      <c r="U538" s="438"/>
      <c r="V538" s="438"/>
      <c r="W538" s="438"/>
      <c r="X538" s="438"/>
      <c r="Y538" s="439"/>
      <c r="Z538" s="439"/>
      <c r="AA538" s="440"/>
      <c r="AB538" s="440"/>
      <c r="AC538" s="176"/>
    </row>
    <row r="539" spans="1:29">
      <c r="A539" s="3"/>
      <c r="B539" s="3"/>
      <c r="C539" s="3"/>
      <c r="D539" s="3"/>
      <c r="E539" s="3"/>
      <c r="F539" s="4"/>
      <c r="G539" s="3"/>
      <c r="H539" s="3"/>
      <c r="I539" s="10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438"/>
      <c r="U539" s="438"/>
      <c r="V539" s="438"/>
      <c r="W539" s="438"/>
      <c r="X539" s="438"/>
      <c r="Y539" s="439"/>
      <c r="Z539" s="439"/>
      <c r="AA539" s="440"/>
      <c r="AB539" s="440"/>
      <c r="AC539" s="176"/>
    </row>
    <row r="540" spans="1:29">
      <c r="A540" s="3"/>
      <c r="B540" s="3"/>
      <c r="C540" s="3"/>
      <c r="D540" s="3"/>
      <c r="E540" s="3"/>
      <c r="F540" s="4"/>
      <c r="G540" s="3"/>
      <c r="H540" s="3"/>
      <c r="I540" s="10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438"/>
      <c r="U540" s="438"/>
      <c r="V540" s="438"/>
      <c r="W540" s="438"/>
      <c r="X540" s="438"/>
      <c r="Y540" s="439"/>
      <c r="Z540" s="439"/>
      <c r="AA540" s="440"/>
      <c r="AB540" s="440"/>
      <c r="AC540" s="176"/>
    </row>
    <row r="541" spans="1:29">
      <c r="A541" s="3"/>
      <c r="B541" s="3"/>
      <c r="C541" s="3"/>
      <c r="D541" s="3"/>
      <c r="E541" s="3"/>
      <c r="F541" s="4"/>
      <c r="G541" s="3"/>
      <c r="H541" s="3"/>
      <c r="I541" s="10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438"/>
      <c r="U541" s="438"/>
      <c r="V541" s="438"/>
      <c r="W541" s="438"/>
      <c r="X541" s="438"/>
      <c r="Y541" s="439"/>
      <c r="Z541" s="439"/>
      <c r="AA541" s="440"/>
      <c r="AB541" s="440"/>
      <c r="AC541" s="176"/>
    </row>
    <row r="542" spans="1:29">
      <c r="A542" s="3"/>
      <c r="B542" s="3"/>
      <c r="C542" s="3"/>
      <c r="D542" s="3"/>
      <c r="E542" s="3"/>
      <c r="F542" s="4"/>
      <c r="G542" s="3"/>
      <c r="H542" s="3"/>
      <c r="I542" s="10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438"/>
      <c r="U542" s="438"/>
      <c r="V542" s="438"/>
      <c r="W542" s="438"/>
      <c r="X542" s="438"/>
      <c r="Y542" s="439"/>
      <c r="Z542" s="439"/>
      <c r="AA542" s="440"/>
      <c r="AB542" s="440"/>
      <c r="AC542" s="176"/>
    </row>
    <row r="543" spans="1:29">
      <c r="A543" s="3"/>
      <c r="B543" s="3"/>
      <c r="C543" s="3"/>
      <c r="D543" s="3"/>
      <c r="E543" s="3"/>
      <c r="F543" s="4"/>
      <c r="G543" s="3"/>
      <c r="H543" s="3"/>
      <c r="I543" s="10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438"/>
      <c r="U543" s="438"/>
      <c r="V543" s="438"/>
      <c r="W543" s="438"/>
      <c r="X543" s="438"/>
      <c r="Y543" s="439"/>
      <c r="Z543" s="439"/>
      <c r="AA543" s="440"/>
      <c r="AB543" s="440"/>
      <c r="AC543" s="176"/>
    </row>
    <row r="544" spans="1:29">
      <c r="A544" s="3"/>
      <c r="B544" s="3"/>
      <c r="C544" s="3"/>
      <c r="D544" s="3"/>
      <c r="E544" s="3"/>
      <c r="F544" s="4"/>
      <c r="G544" s="3"/>
      <c r="H544" s="3"/>
      <c r="I544" s="10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438"/>
      <c r="U544" s="438"/>
      <c r="V544" s="438"/>
      <c r="W544" s="438"/>
      <c r="X544" s="438"/>
      <c r="Y544" s="439"/>
      <c r="Z544" s="439"/>
      <c r="AA544" s="440"/>
      <c r="AB544" s="440"/>
      <c r="AC544" s="176"/>
    </row>
    <row r="545" spans="1:29">
      <c r="A545" s="3"/>
      <c r="B545" s="3"/>
      <c r="C545" s="3"/>
      <c r="D545" s="3"/>
      <c r="E545" s="3"/>
      <c r="F545" s="4"/>
      <c r="G545" s="3"/>
      <c r="H545" s="3"/>
      <c r="I545" s="10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438"/>
      <c r="U545" s="438"/>
      <c r="V545" s="438"/>
      <c r="W545" s="438"/>
      <c r="X545" s="438"/>
      <c r="Y545" s="439"/>
      <c r="Z545" s="439"/>
      <c r="AA545" s="440"/>
      <c r="AB545" s="440"/>
      <c r="AC545" s="176"/>
    </row>
    <row r="546" spans="1:29">
      <c r="A546" s="3"/>
      <c r="B546" s="3"/>
      <c r="C546" s="3"/>
      <c r="D546" s="3"/>
      <c r="E546" s="3"/>
      <c r="F546" s="4"/>
      <c r="G546" s="3"/>
      <c r="H546" s="3"/>
      <c r="I546" s="10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438"/>
      <c r="U546" s="438"/>
      <c r="V546" s="438"/>
      <c r="W546" s="438"/>
      <c r="X546" s="438"/>
      <c r="Y546" s="439"/>
      <c r="Z546" s="439"/>
      <c r="AA546" s="440"/>
      <c r="AB546" s="440"/>
      <c r="AC546" s="176"/>
    </row>
    <row r="547" spans="1:29">
      <c r="A547" s="3"/>
      <c r="B547" s="3"/>
      <c r="C547" s="3"/>
      <c r="D547" s="3"/>
      <c r="E547" s="3"/>
      <c r="F547" s="4"/>
      <c r="G547" s="3"/>
      <c r="H547" s="3"/>
      <c r="I547" s="10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438"/>
      <c r="U547" s="438"/>
      <c r="V547" s="438"/>
      <c r="W547" s="438"/>
      <c r="X547" s="438"/>
      <c r="Y547" s="439"/>
      <c r="Z547" s="439"/>
      <c r="AA547" s="440"/>
      <c r="AB547" s="440"/>
      <c r="AC547" s="176"/>
    </row>
    <row r="548" spans="1:29">
      <c r="A548" s="3"/>
      <c r="B548" s="3"/>
      <c r="C548" s="3"/>
      <c r="D548" s="3"/>
      <c r="E548" s="3"/>
      <c r="F548" s="4"/>
      <c r="G548" s="3"/>
      <c r="H548" s="3"/>
      <c r="I548" s="10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438"/>
      <c r="U548" s="438"/>
      <c r="V548" s="438"/>
      <c r="W548" s="438"/>
      <c r="X548" s="438"/>
      <c r="Y548" s="439"/>
      <c r="Z548" s="439"/>
      <c r="AA548" s="440"/>
      <c r="AB548" s="440"/>
      <c r="AC548" s="176"/>
    </row>
    <row r="549" spans="1:29">
      <c r="A549" s="3"/>
      <c r="B549" s="3"/>
      <c r="C549" s="3"/>
      <c r="D549" s="3"/>
      <c r="E549" s="3"/>
      <c r="F549" s="4"/>
      <c r="G549" s="3"/>
      <c r="H549" s="3"/>
      <c r="I549" s="10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438"/>
      <c r="U549" s="438"/>
      <c r="V549" s="438"/>
      <c r="W549" s="438"/>
      <c r="X549" s="438"/>
      <c r="Y549" s="439"/>
      <c r="Z549" s="439"/>
      <c r="AA549" s="440"/>
      <c r="AB549" s="440"/>
      <c r="AC549" s="176"/>
    </row>
    <row r="550" spans="1:29">
      <c r="A550" s="3"/>
      <c r="B550" s="3"/>
      <c r="C550" s="3"/>
      <c r="D550" s="3"/>
      <c r="E550" s="3"/>
      <c r="F550" s="4"/>
      <c r="G550" s="3"/>
      <c r="H550" s="3"/>
      <c r="I550" s="10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438"/>
      <c r="U550" s="438"/>
      <c r="V550" s="438"/>
      <c r="W550" s="438"/>
      <c r="X550" s="438"/>
      <c r="Y550" s="439"/>
      <c r="Z550" s="439"/>
      <c r="AA550" s="440"/>
      <c r="AB550" s="440"/>
      <c r="AC550" s="176"/>
    </row>
    <row r="551" spans="1:29">
      <c r="A551" s="3"/>
      <c r="B551" s="3"/>
      <c r="C551" s="3"/>
      <c r="D551" s="3"/>
      <c r="E551" s="3"/>
      <c r="F551" s="4"/>
      <c r="G551" s="3"/>
      <c r="H551" s="3"/>
      <c r="I551" s="10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438"/>
      <c r="U551" s="438"/>
      <c r="V551" s="438"/>
      <c r="W551" s="438"/>
      <c r="X551" s="438"/>
      <c r="Y551" s="439"/>
      <c r="Z551" s="439"/>
      <c r="AA551" s="440"/>
      <c r="AB551" s="440"/>
      <c r="AC551" s="176"/>
    </row>
    <row r="552" spans="1:29">
      <c r="A552" s="3"/>
      <c r="B552" s="3"/>
      <c r="C552" s="3"/>
      <c r="D552" s="3"/>
      <c r="E552" s="3"/>
      <c r="F552" s="4"/>
      <c r="G552" s="3"/>
      <c r="H552" s="3"/>
      <c r="I552" s="10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438"/>
      <c r="U552" s="438"/>
      <c r="V552" s="438"/>
      <c r="W552" s="438"/>
      <c r="X552" s="438"/>
      <c r="Y552" s="439"/>
      <c r="Z552" s="439"/>
      <c r="AA552" s="440"/>
      <c r="AB552" s="440"/>
      <c r="AC552" s="176"/>
    </row>
    <row r="553" spans="1:29">
      <c r="A553" s="3"/>
      <c r="B553" s="3"/>
      <c r="C553" s="3"/>
      <c r="D553" s="3"/>
      <c r="E553" s="3"/>
      <c r="F553" s="4"/>
      <c r="G553" s="3"/>
      <c r="H553" s="3"/>
      <c r="I553" s="10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438"/>
      <c r="U553" s="438"/>
      <c r="V553" s="438"/>
      <c r="W553" s="438"/>
      <c r="X553" s="438"/>
      <c r="Y553" s="439"/>
      <c r="Z553" s="439"/>
      <c r="AA553" s="440"/>
      <c r="AB553" s="440"/>
      <c r="AC553" s="176"/>
    </row>
    <row r="554" spans="1:29">
      <c r="A554" s="3"/>
      <c r="B554" s="3"/>
      <c r="C554" s="3"/>
      <c r="D554" s="3"/>
      <c r="E554" s="3"/>
      <c r="F554" s="4"/>
      <c r="G554" s="3"/>
      <c r="H554" s="3"/>
      <c r="I554" s="10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438"/>
      <c r="U554" s="438"/>
      <c r="V554" s="438"/>
      <c r="W554" s="438"/>
      <c r="X554" s="438"/>
      <c r="Y554" s="439"/>
      <c r="Z554" s="439"/>
      <c r="AA554" s="440"/>
      <c r="AB554" s="440"/>
      <c r="AC554" s="176"/>
    </row>
    <row r="555" spans="1:29">
      <c r="A555" s="3"/>
      <c r="B555" s="3"/>
      <c r="C555" s="3"/>
      <c r="D555" s="3"/>
      <c r="E555" s="3"/>
      <c r="F555" s="4"/>
      <c r="G555" s="3"/>
      <c r="H555" s="3"/>
      <c r="I555" s="10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438"/>
      <c r="U555" s="438"/>
      <c r="V555" s="438"/>
      <c r="W555" s="438"/>
      <c r="X555" s="438"/>
      <c r="Y555" s="439"/>
      <c r="Z555" s="439"/>
      <c r="AA555" s="440"/>
      <c r="AB555" s="440"/>
      <c r="AC555" s="176"/>
    </row>
    <row r="556" spans="1:29">
      <c r="A556" s="3"/>
      <c r="B556" s="3"/>
      <c r="C556" s="3"/>
      <c r="D556" s="3"/>
      <c r="E556" s="3"/>
      <c r="F556" s="4"/>
      <c r="G556" s="3"/>
      <c r="H556" s="3"/>
      <c r="I556" s="10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438"/>
      <c r="U556" s="438"/>
      <c r="V556" s="438"/>
      <c r="W556" s="438"/>
      <c r="X556" s="438"/>
      <c r="Y556" s="439"/>
      <c r="Z556" s="439"/>
      <c r="AA556" s="440"/>
      <c r="AB556" s="440"/>
      <c r="AC556" s="176"/>
    </row>
    <row r="557" spans="1:29">
      <c r="A557" s="3"/>
      <c r="B557" s="3"/>
      <c r="C557" s="3"/>
      <c r="D557" s="3"/>
      <c r="E557" s="3"/>
      <c r="F557" s="4"/>
      <c r="G557" s="3"/>
      <c r="H557" s="3"/>
      <c r="I557" s="10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438"/>
      <c r="U557" s="438"/>
      <c r="V557" s="438"/>
      <c r="W557" s="438"/>
      <c r="X557" s="438"/>
      <c r="Y557" s="439"/>
      <c r="Z557" s="439"/>
      <c r="AA557" s="440"/>
      <c r="AB557" s="440"/>
      <c r="AC557" s="176"/>
    </row>
    <row r="558" spans="1:29">
      <c r="A558" s="3"/>
      <c r="B558" s="3"/>
      <c r="C558" s="3"/>
      <c r="D558" s="3"/>
      <c r="E558" s="3"/>
      <c r="F558" s="4"/>
      <c r="G558" s="3"/>
      <c r="H558" s="3"/>
      <c r="I558" s="10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438"/>
      <c r="U558" s="438"/>
      <c r="V558" s="438"/>
      <c r="W558" s="438"/>
      <c r="X558" s="438"/>
      <c r="Y558" s="439"/>
      <c r="Z558" s="439"/>
      <c r="AA558" s="440"/>
      <c r="AB558" s="440"/>
      <c r="AC558" s="176"/>
    </row>
    <row r="559" spans="1:29">
      <c r="A559" s="3"/>
      <c r="B559" s="3"/>
      <c r="C559" s="3"/>
      <c r="D559" s="3"/>
      <c r="E559" s="3"/>
      <c r="F559" s="4"/>
      <c r="G559" s="3"/>
      <c r="H559" s="3"/>
      <c r="I559" s="10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438"/>
      <c r="U559" s="438"/>
      <c r="V559" s="438"/>
      <c r="W559" s="438"/>
      <c r="X559" s="438"/>
      <c r="Y559" s="439"/>
      <c r="Z559" s="439"/>
      <c r="AA559" s="440"/>
      <c r="AB559" s="440"/>
      <c r="AC559" s="176"/>
    </row>
    <row r="560" spans="1:29">
      <c r="A560" s="3"/>
      <c r="B560" s="3"/>
      <c r="C560" s="3"/>
      <c r="D560" s="3"/>
      <c r="E560" s="3"/>
      <c r="F560" s="4"/>
      <c r="G560" s="3"/>
      <c r="H560" s="3"/>
      <c r="I560" s="10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438"/>
      <c r="U560" s="438"/>
      <c r="V560" s="438"/>
      <c r="W560" s="438"/>
      <c r="X560" s="438"/>
      <c r="Y560" s="439"/>
      <c r="Z560" s="439"/>
      <c r="AA560" s="440"/>
      <c r="AB560" s="440"/>
      <c r="AC560" s="176"/>
    </row>
    <row r="561" spans="1:29">
      <c r="A561" s="3"/>
      <c r="B561" s="3"/>
      <c r="C561" s="3"/>
      <c r="D561" s="3"/>
      <c r="E561" s="3"/>
      <c r="F561" s="4"/>
      <c r="G561" s="3"/>
      <c r="H561" s="3"/>
      <c r="I561" s="10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438"/>
      <c r="U561" s="438"/>
      <c r="V561" s="438"/>
      <c r="W561" s="438"/>
      <c r="X561" s="438"/>
      <c r="Y561" s="439"/>
      <c r="Z561" s="439"/>
      <c r="AA561" s="440"/>
      <c r="AB561" s="440"/>
      <c r="AC561" s="176"/>
    </row>
    <row r="562" spans="1:29">
      <c r="A562" s="3"/>
      <c r="B562" s="3"/>
      <c r="C562" s="3"/>
      <c r="D562" s="3"/>
      <c r="E562" s="3"/>
      <c r="F562" s="4"/>
      <c r="G562" s="3"/>
      <c r="H562" s="3"/>
      <c r="I562" s="1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438"/>
      <c r="U562" s="438"/>
      <c r="V562" s="438"/>
      <c r="W562" s="438"/>
      <c r="X562" s="438"/>
      <c r="Y562" s="439"/>
      <c r="Z562" s="439"/>
      <c r="AA562" s="440"/>
      <c r="AB562" s="440"/>
      <c r="AC562" s="176"/>
    </row>
    <row r="563" spans="1:29">
      <c r="A563" s="3"/>
      <c r="B563" s="3"/>
      <c r="C563" s="3"/>
      <c r="D563" s="3"/>
      <c r="E563" s="3"/>
      <c r="F563" s="4"/>
      <c r="G563" s="3"/>
      <c r="H563" s="3"/>
      <c r="I563" s="1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438"/>
      <c r="U563" s="438"/>
      <c r="V563" s="438"/>
      <c r="W563" s="438"/>
      <c r="X563" s="438"/>
      <c r="Y563" s="439"/>
      <c r="Z563" s="439"/>
      <c r="AA563" s="440"/>
      <c r="AB563" s="440"/>
      <c r="AC563" s="176"/>
    </row>
    <row r="564" spans="1:29">
      <c r="A564" s="3"/>
      <c r="B564" s="3"/>
      <c r="C564" s="3"/>
      <c r="D564" s="3"/>
      <c r="E564" s="3"/>
      <c r="F564" s="4"/>
      <c r="G564" s="3"/>
      <c r="H564" s="3"/>
      <c r="I564" s="1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438"/>
      <c r="U564" s="438"/>
      <c r="V564" s="438"/>
      <c r="W564" s="438"/>
      <c r="X564" s="438"/>
      <c r="Y564" s="439"/>
      <c r="Z564" s="439"/>
      <c r="AA564" s="440"/>
      <c r="AB564" s="440"/>
      <c r="AC564" s="176"/>
    </row>
    <row r="565" spans="1:29">
      <c r="A565" s="3"/>
      <c r="B565" s="3"/>
      <c r="C565" s="3"/>
      <c r="D565" s="3"/>
      <c r="E565" s="3"/>
      <c r="F565" s="4"/>
      <c r="G565" s="3"/>
      <c r="H565" s="3"/>
      <c r="I565" s="1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438"/>
      <c r="U565" s="438"/>
      <c r="V565" s="438"/>
      <c r="W565" s="438"/>
      <c r="X565" s="438"/>
      <c r="Y565" s="439"/>
      <c r="Z565" s="439"/>
      <c r="AA565" s="440"/>
      <c r="AB565" s="440"/>
      <c r="AC565" s="176"/>
    </row>
    <row r="566" spans="1:29">
      <c r="A566" s="3"/>
      <c r="B566" s="3"/>
      <c r="C566" s="3"/>
      <c r="D566" s="3"/>
      <c r="E566" s="3"/>
      <c r="F566" s="4"/>
      <c r="G566" s="3"/>
      <c r="H566" s="3"/>
      <c r="I566" s="10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438"/>
      <c r="U566" s="438"/>
      <c r="V566" s="438"/>
      <c r="W566" s="438"/>
      <c r="X566" s="438"/>
      <c r="Y566" s="439"/>
      <c r="Z566" s="439"/>
      <c r="AA566" s="440"/>
      <c r="AB566" s="440"/>
      <c r="AC566" s="176"/>
    </row>
    <row r="567" spans="1:29">
      <c r="A567" s="3"/>
      <c r="B567" s="3"/>
      <c r="C567" s="3"/>
      <c r="D567" s="3"/>
      <c r="E567" s="3"/>
      <c r="F567" s="4"/>
      <c r="G567" s="3"/>
      <c r="H567" s="3"/>
      <c r="I567" s="10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438"/>
      <c r="U567" s="438"/>
      <c r="V567" s="438"/>
      <c r="W567" s="438"/>
      <c r="X567" s="438"/>
      <c r="Y567" s="439"/>
      <c r="Z567" s="439"/>
      <c r="AA567" s="440"/>
      <c r="AB567" s="440"/>
      <c r="AC567" s="176"/>
    </row>
    <row r="568" spans="1:29">
      <c r="A568" s="3"/>
      <c r="B568" s="3"/>
      <c r="C568" s="3"/>
      <c r="D568" s="3"/>
      <c r="E568" s="3"/>
      <c r="F568" s="4"/>
      <c r="G568" s="3"/>
      <c r="H568" s="3"/>
      <c r="I568" s="10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438"/>
      <c r="U568" s="438"/>
      <c r="V568" s="438"/>
      <c r="W568" s="438"/>
      <c r="X568" s="438"/>
      <c r="Y568" s="439"/>
      <c r="Z568" s="439"/>
      <c r="AA568" s="440"/>
      <c r="AB568" s="440"/>
      <c r="AC568" s="176"/>
    </row>
    <row r="569" spans="1:29">
      <c r="A569" s="3"/>
      <c r="B569" s="3"/>
      <c r="C569" s="3"/>
      <c r="D569" s="3"/>
      <c r="E569" s="3"/>
      <c r="F569" s="4"/>
      <c r="G569" s="3"/>
      <c r="H569" s="3"/>
      <c r="I569" s="10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438"/>
      <c r="U569" s="438"/>
      <c r="V569" s="438"/>
      <c r="W569" s="438"/>
      <c r="X569" s="438"/>
      <c r="Y569" s="439"/>
      <c r="Z569" s="439"/>
      <c r="AA569" s="440"/>
      <c r="AB569" s="440"/>
      <c r="AC569" s="176"/>
    </row>
    <row r="570" spans="1:29">
      <c r="A570" s="3"/>
      <c r="B570" s="3"/>
      <c r="C570" s="3"/>
      <c r="D570" s="3"/>
      <c r="E570" s="3"/>
      <c r="F570" s="4"/>
      <c r="G570" s="3"/>
      <c r="H570" s="3"/>
      <c r="I570" s="10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438"/>
      <c r="U570" s="438"/>
      <c r="V570" s="438"/>
      <c r="W570" s="438"/>
      <c r="X570" s="438"/>
      <c r="Y570" s="439"/>
      <c r="Z570" s="439"/>
      <c r="AA570" s="440"/>
      <c r="AB570" s="440"/>
      <c r="AC570" s="176"/>
    </row>
    <row r="571" spans="1:29">
      <c r="A571" s="3"/>
      <c r="B571" s="3"/>
      <c r="C571" s="3"/>
      <c r="D571" s="3"/>
      <c r="E571" s="3"/>
      <c r="F571" s="4"/>
      <c r="G571" s="3"/>
      <c r="H571" s="3"/>
      <c r="I571" s="10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438"/>
      <c r="U571" s="438"/>
      <c r="V571" s="438"/>
      <c r="W571" s="438"/>
      <c r="X571" s="438"/>
      <c r="Y571" s="439"/>
      <c r="Z571" s="439"/>
      <c r="AA571" s="440"/>
      <c r="AB571" s="440"/>
      <c r="AC571" s="176"/>
    </row>
    <row r="572" spans="1:29">
      <c r="A572" s="3"/>
      <c r="B572" s="3"/>
      <c r="C572" s="3"/>
      <c r="D572" s="3"/>
      <c r="E572" s="3"/>
      <c r="F572" s="4"/>
      <c r="G572" s="3"/>
      <c r="H572" s="3"/>
      <c r="I572" s="10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438"/>
      <c r="U572" s="438"/>
      <c r="V572" s="438"/>
      <c r="W572" s="438"/>
      <c r="X572" s="438"/>
      <c r="Y572" s="439"/>
      <c r="Z572" s="439"/>
      <c r="AA572" s="440"/>
      <c r="AB572" s="440"/>
      <c r="AC572" s="176"/>
    </row>
    <row r="573" spans="1:29">
      <c r="A573" s="3"/>
      <c r="B573" s="3"/>
      <c r="C573" s="3"/>
      <c r="D573" s="3"/>
      <c r="E573" s="3"/>
      <c r="F573" s="4"/>
      <c r="G573" s="3"/>
      <c r="H573" s="3"/>
      <c r="I573" s="10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438"/>
      <c r="U573" s="438"/>
      <c r="V573" s="438"/>
      <c r="W573" s="438"/>
      <c r="X573" s="438"/>
      <c r="Y573" s="439"/>
      <c r="Z573" s="439"/>
      <c r="AA573" s="440"/>
      <c r="AB573" s="440"/>
      <c r="AC573" s="176"/>
    </row>
    <row r="574" spans="1:29">
      <c r="A574" s="3"/>
      <c r="B574" s="3"/>
      <c r="C574" s="3"/>
      <c r="D574" s="3"/>
      <c r="E574" s="3"/>
      <c r="F574" s="4"/>
      <c r="G574" s="3"/>
      <c r="H574" s="3"/>
      <c r="I574" s="10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438"/>
      <c r="U574" s="438"/>
      <c r="V574" s="438"/>
      <c r="W574" s="438"/>
      <c r="X574" s="438"/>
      <c r="Y574" s="439"/>
      <c r="Z574" s="439"/>
      <c r="AA574" s="440"/>
      <c r="AB574" s="440"/>
      <c r="AC574" s="176"/>
    </row>
    <row r="575" spans="1:29">
      <c r="A575" s="3"/>
      <c r="B575" s="3"/>
      <c r="C575" s="3"/>
      <c r="D575" s="3"/>
      <c r="E575" s="3"/>
      <c r="F575" s="4"/>
      <c r="G575" s="3"/>
      <c r="H575" s="3"/>
      <c r="I575" s="10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438"/>
      <c r="U575" s="438"/>
      <c r="V575" s="438"/>
      <c r="W575" s="438"/>
      <c r="X575" s="438"/>
      <c r="Y575" s="439"/>
      <c r="Z575" s="439"/>
      <c r="AA575" s="440"/>
      <c r="AB575" s="440"/>
      <c r="AC575" s="176"/>
    </row>
    <row r="576" spans="1:29">
      <c r="A576" s="3"/>
      <c r="B576" s="3"/>
      <c r="C576" s="3"/>
      <c r="D576" s="3"/>
      <c r="E576" s="3"/>
      <c r="F576" s="4"/>
      <c r="G576" s="3"/>
      <c r="H576" s="3"/>
      <c r="I576" s="10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438"/>
      <c r="U576" s="438"/>
      <c r="V576" s="438"/>
      <c r="W576" s="438"/>
      <c r="X576" s="438"/>
      <c r="Y576" s="439"/>
      <c r="Z576" s="439"/>
      <c r="AA576" s="440"/>
      <c r="AB576" s="440"/>
      <c r="AC576" s="176"/>
    </row>
    <row r="577" spans="1:29">
      <c r="A577" s="3"/>
      <c r="B577" s="3"/>
      <c r="C577" s="3"/>
      <c r="D577" s="3"/>
      <c r="E577" s="3"/>
      <c r="F577" s="4"/>
      <c r="G577" s="3"/>
      <c r="H577" s="3"/>
      <c r="I577" s="10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438"/>
      <c r="U577" s="438"/>
      <c r="V577" s="438"/>
      <c r="W577" s="438"/>
      <c r="X577" s="438"/>
      <c r="Y577" s="439"/>
      <c r="Z577" s="439"/>
      <c r="AA577" s="440"/>
      <c r="AB577" s="440"/>
      <c r="AC577" s="176"/>
    </row>
    <row r="578" spans="1:29">
      <c r="A578" s="3"/>
      <c r="B578" s="3"/>
      <c r="C578" s="3"/>
      <c r="D578" s="3"/>
      <c r="E578" s="3"/>
      <c r="F578" s="4"/>
      <c r="G578" s="3"/>
      <c r="H578" s="3"/>
      <c r="I578" s="10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438"/>
      <c r="U578" s="438"/>
      <c r="V578" s="438"/>
      <c r="W578" s="438"/>
      <c r="X578" s="438"/>
      <c r="Y578" s="439"/>
      <c r="Z578" s="439"/>
      <c r="AA578" s="440"/>
      <c r="AB578" s="440"/>
      <c r="AC578" s="176"/>
    </row>
    <row r="579" spans="1:29">
      <c r="A579" s="3"/>
      <c r="B579" s="3"/>
      <c r="C579" s="3"/>
      <c r="D579" s="3"/>
      <c r="E579" s="3"/>
      <c r="F579" s="4"/>
      <c r="G579" s="3"/>
      <c r="H579" s="3"/>
      <c r="I579" s="10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438"/>
      <c r="U579" s="438"/>
      <c r="V579" s="438"/>
      <c r="W579" s="438"/>
      <c r="X579" s="438"/>
      <c r="Y579" s="439"/>
      <c r="Z579" s="439"/>
      <c r="AA579" s="440"/>
      <c r="AB579" s="440"/>
      <c r="AC579" s="176"/>
    </row>
    <row r="580" spans="1:29">
      <c r="A580" s="3"/>
      <c r="B580" s="3"/>
      <c r="C580" s="3"/>
      <c r="D580" s="3"/>
      <c r="E580" s="3"/>
      <c r="F580" s="4"/>
      <c r="G580" s="3"/>
      <c r="H580" s="3"/>
      <c r="I580" s="10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438"/>
      <c r="U580" s="438"/>
      <c r="V580" s="438"/>
      <c r="W580" s="438"/>
      <c r="X580" s="438"/>
      <c r="Y580" s="439"/>
      <c r="Z580" s="439"/>
      <c r="AA580" s="440"/>
      <c r="AB580" s="440"/>
      <c r="AC580" s="176"/>
    </row>
    <row r="581" spans="1:29">
      <c r="A581" s="3"/>
      <c r="B581" s="3"/>
      <c r="C581" s="3"/>
      <c r="D581" s="3"/>
      <c r="E581" s="3"/>
      <c r="F581" s="4"/>
      <c r="G581" s="3"/>
      <c r="H581" s="3"/>
      <c r="I581" s="10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438"/>
      <c r="U581" s="438"/>
      <c r="V581" s="438"/>
      <c r="W581" s="438"/>
      <c r="X581" s="438"/>
      <c r="Y581" s="439"/>
      <c r="Z581" s="439"/>
      <c r="AA581" s="440"/>
      <c r="AB581" s="440"/>
      <c r="AC581" s="176"/>
    </row>
    <row r="582" spans="1:29">
      <c r="A582" s="3"/>
      <c r="B582" s="3"/>
      <c r="C582" s="3"/>
      <c r="D582" s="3"/>
      <c r="E582" s="3"/>
      <c r="F582" s="4"/>
      <c r="G582" s="3"/>
      <c r="H582" s="3"/>
      <c r="I582" s="10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438"/>
      <c r="U582" s="438"/>
      <c r="V582" s="438"/>
      <c r="W582" s="438"/>
      <c r="X582" s="438"/>
      <c r="Y582" s="439"/>
      <c r="Z582" s="439"/>
      <c r="AA582" s="440"/>
      <c r="AB582" s="440"/>
      <c r="AC582" s="176"/>
    </row>
    <row r="583" spans="1:29">
      <c r="A583" s="3"/>
      <c r="B583" s="3"/>
      <c r="C583" s="3"/>
      <c r="D583" s="3"/>
      <c r="E583" s="3"/>
      <c r="F583" s="4"/>
      <c r="G583" s="3"/>
      <c r="H583" s="3"/>
      <c r="I583" s="10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438"/>
      <c r="U583" s="438"/>
      <c r="V583" s="438"/>
      <c r="W583" s="438"/>
      <c r="X583" s="438"/>
      <c r="Y583" s="439"/>
      <c r="Z583" s="439"/>
      <c r="AA583" s="440"/>
      <c r="AB583" s="440"/>
      <c r="AC583" s="176"/>
    </row>
    <row r="584" spans="1:29">
      <c r="A584" s="3"/>
      <c r="B584" s="3"/>
      <c r="C584" s="3"/>
      <c r="D584" s="3"/>
      <c r="E584" s="3"/>
      <c r="F584" s="4"/>
      <c r="G584" s="3"/>
      <c r="H584" s="3"/>
      <c r="I584" s="10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438"/>
      <c r="U584" s="438"/>
      <c r="V584" s="438"/>
      <c r="W584" s="438"/>
      <c r="X584" s="438"/>
      <c r="Y584" s="439"/>
      <c r="Z584" s="439"/>
      <c r="AA584" s="440"/>
      <c r="AB584" s="440"/>
      <c r="AC584" s="176"/>
    </row>
    <row r="585" spans="1:29">
      <c r="A585" s="3"/>
      <c r="B585" s="3"/>
      <c r="C585" s="3"/>
      <c r="D585" s="3"/>
      <c r="E585" s="3"/>
      <c r="F585" s="4"/>
      <c r="G585" s="3"/>
      <c r="H585" s="3"/>
      <c r="I585" s="10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438"/>
      <c r="U585" s="438"/>
      <c r="V585" s="438"/>
      <c r="W585" s="438"/>
      <c r="X585" s="438"/>
      <c r="Y585" s="439"/>
      <c r="Z585" s="439"/>
      <c r="AA585" s="440"/>
      <c r="AB585" s="440"/>
      <c r="AC585" s="176"/>
    </row>
    <row r="586" spans="1:29">
      <c r="A586" s="3"/>
      <c r="B586" s="3"/>
      <c r="C586" s="3"/>
      <c r="D586" s="3"/>
      <c r="E586" s="3"/>
      <c r="F586" s="4"/>
      <c r="G586" s="3"/>
      <c r="H586" s="3"/>
      <c r="I586" s="10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438"/>
      <c r="U586" s="438"/>
      <c r="V586" s="438"/>
      <c r="W586" s="438"/>
      <c r="X586" s="438"/>
      <c r="Y586" s="439"/>
      <c r="Z586" s="439"/>
      <c r="AA586" s="440"/>
      <c r="AB586" s="440"/>
      <c r="AC586" s="176"/>
    </row>
    <row r="587" spans="1:29">
      <c r="A587" s="3"/>
      <c r="B587" s="3"/>
      <c r="C587" s="3"/>
      <c r="D587" s="3"/>
      <c r="E587" s="3"/>
      <c r="F587" s="4"/>
      <c r="G587" s="3"/>
      <c r="H587" s="3"/>
      <c r="I587" s="10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438"/>
      <c r="U587" s="438"/>
      <c r="V587" s="438"/>
      <c r="W587" s="438"/>
      <c r="X587" s="438"/>
      <c r="Y587" s="439"/>
      <c r="Z587" s="439"/>
      <c r="AA587" s="440"/>
      <c r="AB587" s="440"/>
      <c r="AC587" s="176"/>
    </row>
    <row r="588" spans="1:29">
      <c r="A588" s="3"/>
      <c r="B588" s="3"/>
      <c r="C588" s="3"/>
      <c r="D588" s="3"/>
      <c r="E588" s="3"/>
      <c r="F588" s="4"/>
      <c r="G588" s="3"/>
      <c r="H588" s="3"/>
      <c r="I588" s="10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438"/>
      <c r="U588" s="438"/>
      <c r="V588" s="438"/>
      <c r="W588" s="438"/>
      <c r="X588" s="438"/>
      <c r="Y588" s="439"/>
      <c r="Z588" s="439"/>
      <c r="AA588" s="440"/>
      <c r="AB588" s="440"/>
      <c r="AC588" s="176"/>
    </row>
    <row r="589" spans="1:29">
      <c r="A589" s="3"/>
      <c r="B589" s="3"/>
      <c r="C589" s="3"/>
      <c r="D589" s="3"/>
      <c r="E589" s="3"/>
      <c r="F589" s="4"/>
      <c r="G589" s="3"/>
      <c r="H589" s="3"/>
      <c r="I589" s="10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438"/>
      <c r="U589" s="438"/>
      <c r="V589" s="438"/>
      <c r="W589" s="438"/>
      <c r="X589" s="438"/>
      <c r="Y589" s="439"/>
      <c r="Z589" s="439"/>
      <c r="AA589" s="440"/>
      <c r="AB589" s="440"/>
      <c r="AC589" s="176"/>
    </row>
    <row r="590" spans="1:29">
      <c r="A590" s="3"/>
      <c r="B590" s="3"/>
      <c r="C590" s="3"/>
      <c r="D590" s="3"/>
      <c r="E590" s="3"/>
      <c r="F590" s="4"/>
      <c r="G590" s="3"/>
      <c r="H590" s="3"/>
      <c r="I590" s="10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438"/>
      <c r="U590" s="438"/>
      <c r="V590" s="438"/>
      <c r="W590" s="438"/>
      <c r="X590" s="438"/>
      <c r="Y590" s="439"/>
      <c r="Z590" s="439"/>
      <c r="AA590" s="440"/>
      <c r="AB590" s="440"/>
      <c r="AC590" s="176"/>
    </row>
    <row r="591" spans="1:29">
      <c r="A591" s="3"/>
      <c r="B591" s="3"/>
      <c r="C591" s="3"/>
      <c r="D591" s="3"/>
      <c r="E591" s="3"/>
      <c r="F591" s="4"/>
      <c r="G591" s="3"/>
      <c r="H591" s="3"/>
      <c r="I591" s="10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438"/>
      <c r="U591" s="438"/>
      <c r="V591" s="438"/>
      <c r="W591" s="438"/>
      <c r="X591" s="438"/>
      <c r="Y591" s="439"/>
      <c r="Z591" s="439"/>
      <c r="AA591" s="440"/>
      <c r="AB591" s="440"/>
      <c r="AC591" s="176"/>
    </row>
    <row r="592" spans="1:29">
      <c r="A592" s="3"/>
      <c r="B592" s="3"/>
      <c r="C592" s="3"/>
      <c r="D592" s="3"/>
      <c r="E592" s="3"/>
      <c r="F592" s="4"/>
      <c r="G592" s="3"/>
      <c r="H592" s="3"/>
      <c r="I592" s="10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438"/>
      <c r="U592" s="438"/>
      <c r="V592" s="438"/>
      <c r="W592" s="438"/>
      <c r="X592" s="438"/>
      <c r="Y592" s="439"/>
      <c r="Z592" s="439"/>
      <c r="AA592" s="440"/>
      <c r="AB592" s="440"/>
      <c r="AC592" s="176"/>
    </row>
    <row r="593" spans="1:29">
      <c r="A593" s="3"/>
      <c r="B593" s="3"/>
      <c r="C593" s="3"/>
      <c r="D593" s="3"/>
      <c r="E593" s="3"/>
      <c r="F593" s="4"/>
      <c r="G593" s="3"/>
      <c r="H593" s="3"/>
      <c r="I593" s="10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438"/>
      <c r="U593" s="438"/>
      <c r="V593" s="438"/>
      <c r="W593" s="438"/>
      <c r="X593" s="438"/>
      <c r="Y593" s="439"/>
      <c r="Z593" s="439"/>
      <c r="AA593" s="440"/>
      <c r="AB593" s="440"/>
      <c r="AC593" s="176"/>
    </row>
    <row r="594" spans="1:29">
      <c r="A594" s="3"/>
      <c r="B594" s="3"/>
      <c r="C594" s="3"/>
      <c r="D594" s="3"/>
      <c r="E594" s="3"/>
      <c r="F594" s="4"/>
      <c r="G594" s="3"/>
      <c r="H594" s="3"/>
      <c r="I594" s="10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438"/>
      <c r="U594" s="438"/>
      <c r="V594" s="438"/>
      <c r="W594" s="438"/>
      <c r="X594" s="438"/>
      <c r="Y594" s="439"/>
      <c r="Z594" s="439"/>
      <c r="AA594" s="440"/>
      <c r="AB594" s="440"/>
      <c r="AC594" s="176"/>
    </row>
    <row r="595" spans="1:29">
      <c r="A595" s="3"/>
      <c r="B595" s="3"/>
      <c r="C595" s="3"/>
      <c r="D595" s="3"/>
      <c r="E595" s="3"/>
      <c r="F595" s="4"/>
      <c r="G595" s="3"/>
      <c r="H595" s="3"/>
      <c r="I595" s="10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438"/>
      <c r="U595" s="438"/>
      <c r="V595" s="438"/>
      <c r="W595" s="438"/>
      <c r="X595" s="438"/>
      <c r="Y595" s="439"/>
      <c r="Z595" s="439"/>
      <c r="AA595" s="440"/>
      <c r="AB595" s="440"/>
      <c r="AC595" s="176"/>
    </row>
    <row r="596" spans="1:29">
      <c r="A596" s="3"/>
      <c r="B596" s="3"/>
      <c r="C596" s="3"/>
      <c r="D596" s="3"/>
      <c r="E596" s="3"/>
      <c r="F596" s="4"/>
      <c r="G596" s="3"/>
      <c r="H596" s="3"/>
      <c r="I596" s="10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438"/>
      <c r="U596" s="438"/>
      <c r="V596" s="438"/>
      <c r="W596" s="438"/>
      <c r="X596" s="438"/>
      <c r="Y596" s="439"/>
      <c r="Z596" s="439"/>
      <c r="AA596" s="440"/>
      <c r="AB596" s="440"/>
      <c r="AC596" s="176"/>
    </row>
    <row r="597" spans="1:29">
      <c r="A597" s="3"/>
      <c r="B597" s="3"/>
      <c r="C597" s="3"/>
      <c r="D597" s="3"/>
      <c r="E597" s="3"/>
      <c r="F597" s="4"/>
      <c r="G597" s="3"/>
      <c r="H597" s="3"/>
      <c r="I597" s="10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438"/>
      <c r="U597" s="438"/>
      <c r="V597" s="438"/>
      <c r="W597" s="438"/>
      <c r="X597" s="438"/>
      <c r="Y597" s="439"/>
      <c r="Z597" s="439"/>
      <c r="AA597" s="440"/>
      <c r="AB597" s="440"/>
      <c r="AC597" s="176"/>
    </row>
    <row r="598" spans="1:29">
      <c r="A598" s="3"/>
      <c r="B598" s="3"/>
      <c r="C598" s="3"/>
      <c r="D598" s="3"/>
      <c r="E598" s="3"/>
      <c r="F598" s="4"/>
      <c r="G598" s="3"/>
      <c r="H598" s="3"/>
      <c r="I598" s="10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438"/>
      <c r="U598" s="438"/>
      <c r="V598" s="438"/>
      <c r="W598" s="438"/>
      <c r="X598" s="438"/>
      <c r="Y598" s="439"/>
      <c r="Z598" s="439"/>
      <c r="AA598" s="440"/>
      <c r="AB598" s="440"/>
      <c r="AC598" s="176"/>
    </row>
    <row r="599" spans="1:29">
      <c r="A599" s="3"/>
      <c r="B599" s="3"/>
      <c r="C599" s="3"/>
      <c r="D599" s="3"/>
      <c r="E599" s="3"/>
      <c r="F599" s="4"/>
      <c r="G599" s="3"/>
      <c r="H599" s="3"/>
      <c r="I599" s="10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438"/>
      <c r="U599" s="438"/>
      <c r="V599" s="438"/>
      <c r="W599" s="438"/>
      <c r="X599" s="438"/>
      <c r="Y599" s="439"/>
      <c r="Z599" s="439"/>
      <c r="AA599" s="440"/>
      <c r="AB599" s="440"/>
      <c r="AC599" s="176"/>
    </row>
    <row r="600" spans="1:29">
      <c r="A600" s="3"/>
      <c r="B600" s="3"/>
      <c r="C600" s="3"/>
      <c r="D600" s="3"/>
      <c r="E600" s="3"/>
      <c r="F600" s="4"/>
      <c r="G600" s="3"/>
      <c r="H600" s="3"/>
      <c r="I600" s="10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438"/>
      <c r="U600" s="438"/>
      <c r="V600" s="438"/>
      <c r="W600" s="438"/>
      <c r="X600" s="438"/>
      <c r="Y600" s="439"/>
      <c r="Z600" s="439"/>
      <c r="AA600" s="440"/>
      <c r="AB600" s="440"/>
      <c r="AC600" s="176"/>
    </row>
    <row r="601" spans="1:29">
      <c r="A601" s="3"/>
      <c r="B601" s="3"/>
      <c r="C601" s="3"/>
      <c r="D601" s="3"/>
      <c r="E601" s="3"/>
      <c r="F601" s="4"/>
      <c r="G601" s="3"/>
      <c r="H601" s="3"/>
      <c r="I601" s="10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438"/>
      <c r="U601" s="438"/>
      <c r="V601" s="438"/>
      <c r="W601" s="438"/>
      <c r="X601" s="438"/>
      <c r="Y601" s="439"/>
      <c r="Z601" s="439"/>
      <c r="AA601" s="440"/>
      <c r="AB601" s="440"/>
      <c r="AC601" s="176"/>
    </row>
    <row r="602" spans="1:29">
      <c r="A602" s="3"/>
      <c r="B602" s="3"/>
      <c r="C602" s="3"/>
      <c r="D602" s="3"/>
      <c r="E602" s="3"/>
      <c r="F602" s="4"/>
      <c r="G602" s="3"/>
      <c r="H602" s="3"/>
      <c r="I602" s="10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438"/>
      <c r="U602" s="438"/>
      <c r="V602" s="438"/>
      <c r="W602" s="438"/>
      <c r="X602" s="438"/>
      <c r="Y602" s="439"/>
      <c r="Z602" s="439"/>
      <c r="AA602" s="440"/>
      <c r="AB602" s="440"/>
      <c r="AC602" s="176"/>
    </row>
    <row r="603" spans="1:29">
      <c r="A603" s="3"/>
      <c r="B603" s="3"/>
      <c r="C603" s="3"/>
      <c r="D603" s="3"/>
      <c r="E603" s="3"/>
      <c r="F603" s="4"/>
      <c r="G603" s="3"/>
      <c r="H603" s="3"/>
      <c r="I603" s="10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438"/>
      <c r="U603" s="438"/>
      <c r="V603" s="438"/>
      <c r="W603" s="438"/>
      <c r="X603" s="438"/>
      <c r="Y603" s="439"/>
      <c r="Z603" s="439"/>
      <c r="AA603" s="440"/>
      <c r="AB603" s="440"/>
      <c r="AC603" s="176"/>
    </row>
    <row r="604" spans="1:29">
      <c r="A604" s="3"/>
      <c r="B604" s="3"/>
      <c r="C604" s="3"/>
      <c r="D604" s="3"/>
      <c r="E604" s="3"/>
      <c r="F604" s="4"/>
      <c r="G604" s="3"/>
      <c r="H604" s="3"/>
      <c r="I604" s="10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438"/>
      <c r="U604" s="438"/>
      <c r="V604" s="438"/>
      <c r="W604" s="438"/>
      <c r="X604" s="438"/>
      <c r="Y604" s="439"/>
      <c r="Z604" s="439"/>
      <c r="AA604" s="440"/>
      <c r="AB604" s="440"/>
      <c r="AC604" s="176"/>
    </row>
    <row r="605" spans="1:29">
      <c r="A605" s="3"/>
      <c r="B605" s="3"/>
      <c r="C605" s="3"/>
      <c r="D605" s="3"/>
      <c r="E605" s="3"/>
      <c r="F605" s="4"/>
      <c r="G605" s="3"/>
      <c r="H605" s="3"/>
      <c r="I605" s="10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438"/>
      <c r="U605" s="438"/>
      <c r="V605" s="438"/>
      <c r="W605" s="438"/>
      <c r="X605" s="438"/>
      <c r="Y605" s="439"/>
      <c r="Z605" s="439"/>
      <c r="AA605" s="440"/>
      <c r="AB605" s="440"/>
      <c r="AC605" s="176"/>
    </row>
    <row r="606" spans="1:29">
      <c r="A606" s="3"/>
      <c r="B606" s="3"/>
      <c r="C606" s="3"/>
      <c r="D606" s="3"/>
      <c r="E606" s="3"/>
      <c r="F606" s="4"/>
      <c r="G606" s="3"/>
      <c r="H606" s="3"/>
      <c r="I606" s="10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438"/>
      <c r="U606" s="438"/>
      <c r="V606" s="438"/>
      <c r="W606" s="438"/>
      <c r="X606" s="438"/>
      <c r="Y606" s="439"/>
      <c r="Z606" s="439"/>
      <c r="AA606" s="440"/>
      <c r="AB606" s="440"/>
      <c r="AC606" s="176"/>
    </row>
    <row r="607" spans="1:29">
      <c r="A607" s="3"/>
      <c r="B607" s="3"/>
      <c r="C607" s="3"/>
      <c r="D607" s="3"/>
      <c r="E607" s="3"/>
      <c r="F607" s="4"/>
      <c r="G607" s="3"/>
      <c r="H607" s="3"/>
      <c r="I607" s="10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438"/>
      <c r="U607" s="438"/>
      <c r="V607" s="438"/>
      <c r="W607" s="438"/>
      <c r="X607" s="438"/>
      <c r="Y607" s="439"/>
      <c r="Z607" s="439"/>
      <c r="AA607" s="440"/>
      <c r="AB607" s="440"/>
      <c r="AC607" s="176"/>
    </row>
    <row r="608" spans="1:29">
      <c r="A608" s="3"/>
      <c r="B608" s="3"/>
      <c r="C608" s="3"/>
      <c r="D608" s="3"/>
      <c r="E608" s="3"/>
      <c r="F608" s="4"/>
      <c r="G608" s="3"/>
      <c r="H608" s="3"/>
      <c r="I608" s="10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438"/>
      <c r="U608" s="438"/>
      <c r="V608" s="438"/>
      <c r="W608" s="438"/>
      <c r="X608" s="438"/>
      <c r="Y608" s="439"/>
      <c r="Z608" s="439"/>
      <c r="AA608" s="440"/>
      <c r="AB608" s="440"/>
      <c r="AC608" s="176"/>
    </row>
    <row r="609" spans="1:29">
      <c r="A609" s="3"/>
      <c r="B609" s="3"/>
      <c r="C609" s="3"/>
      <c r="D609" s="3"/>
      <c r="E609" s="3"/>
      <c r="F609" s="4"/>
      <c r="G609" s="3"/>
      <c r="H609" s="3"/>
      <c r="I609" s="10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438"/>
      <c r="U609" s="438"/>
      <c r="V609" s="438"/>
      <c r="W609" s="438"/>
      <c r="X609" s="438"/>
      <c r="Y609" s="439"/>
      <c r="Z609" s="439"/>
      <c r="AA609" s="440"/>
      <c r="AB609" s="440"/>
      <c r="AC609" s="176"/>
    </row>
    <row r="610" spans="1:29">
      <c r="A610" s="3"/>
      <c r="B610" s="3"/>
      <c r="C610" s="3"/>
      <c r="D610" s="3"/>
      <c r="E610" s="3"/>
      <c r="F610" s="4"/>
      <c r="G610" s="3"/>
      <c r="H610" s="3"/>
      <c r="I610" s="10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438"/>
      <c r="U610" s="438"/>
      <c r="V610" s="438"/>
      <c r="W610" s="438"/>
      <c r="X610" s="438"/>
      <c r="Y610" s="439"/>
      <c r="Z610" s="439"/>
      <c r="AA610" s="440"/>
      <c r="AB610" s="440"/>
      <c r="AC610" s="176"/>
    </row>
    <row r="611" spans="1:29">
      <c r="A611" s="3"/>
      <c r="B611" s="3"/>
      <c r="C611" s="3"/>
      <c r="D611" s="3"/>
      <c r="E611" s="3"/>
      <c r="F611" s="4"/>
      <c r="G611" s="3"/>
      <c r="H611" s="3"/>
      <c r="I611" s="10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438"/>
      <c r="U611" s="438"/>
      <c r="V611" s="438"/>
      <c r="W611" s="438"/>
      <c r="X611" s="438"/>
      <c r="Y611" s="439"/>
      <c r="Z611" s="439"/>
      <c r="AA611" s="440"/>
      <c r="AB611" s="440"/>
      <c r="AC611" s="176"/>
    </row>
    <row r="612" spans="1:29">
      <c r="A612" s="3"/>
      <c r="B612" s="3"/>
      <c r="C612" s="3"/>
      <c r="D612" s="3"/>
      <c r="E612" s="3"/>
      <c r="F612" s="4"/>
      <c r="G612" s="3"/>
      <c r="H612" s="3"/>
      <c r="I612" s="10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438"/>
      <c r="U612" s="438"/>
      <c r="V612" s="438"/>
      <c r="W612" s="438"/>
      <c r="X612" s="438"/>
      <c r="Y612" s="439"/>
      <c r="Z612" s="439"/>
      <c r="AA612" s="440"/>
      <c r="AB612" s="440"/>
      <c r="AC612" s="176"/>
    </row>
    <row r="613" spans="1:29">
      <c r="A613" s="3"/>
      <c r="B613" s="3"/>
      <c r="C613" s="3"/>
      <c r="D613" s="3"/>
      <c r="E613" s="3"/>
      <c r="F613" s="4"/>
      <c r="G613" s="3"/>
      <c r="H613" s="3"/>
      <c r="I613" s="10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438"/>
      <c r="U613" s="438"/>
      <c r="V613" s="438"/>
      <c r="W613" s="438"/>
      <c r="X613" s="438"/>
      <c r="Y613" s="439"/>
      <c r="Z613" s="439"/>
      <c r="AA613" s="440"/>
      <c r="AB613" s="440"/>
      <c r="AC613" s="176"/>
    </row>
    <row r="614" spans="1:29">
      <c r="A614" s="3"/>
      <c r="B614" s="3"/>
      <c r="C614" s="3"/>
      <c r="D614" s="3"/>
      <c r="E614" s="3"/>
      <c r="F614" s="4"/>
      <c r="G614" s="3"/>
      <c r="H614" s="3"/>
      <c r="I614" s="10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438"/>
      <c r="U614" s="438"/>
      <c r="V614" s="438"/>
      <c r="W614" s="438"/>
      <c r="X614" s="438"/>
      <c r="Y614" s="439"/>
      <c r="Z614" s="439"/>
      <c r="AA614" s="440"/>
      <c r="AB614" s="440"/>
      <c r="AC614" s="176"/>
    </row>
    <row r="615" spans="1:29">
      <c r="A615" s="3"/>
      <c r="B615" s="3"/>
      <c r="C615" s="3"/>
      <c r="D615" s="3"/>
      <c r="E615" s="3"/>
      <c r="F615" s="4"/>
      <c r="G615" s="3"/>
      <c r="H615" s="3"/>
      <c r="I615" s="10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438"/>
      <c r="U615" s="438"/>
      <c r="V615" s="438"/>
      <c r="W615" s="438"/>
      <c r="X615" s="438"/>
      <c r="Y615" s="439"/>
      <c r="Z615" s="439"/>
      <c r="AA615" s="440"/>
      <c r="AB615" s="440"/>
      <c r="AC615" s="176"/>
    </row>
    <row r="616" spans="1:29">
      <c r="A616" s="3"/>
      <c r="B616" s="3"/>
      <c r="C616" s="3"/>
      <c r="D616" s="3"/>
      <c r="E616" s="3"/>
      <c r="F616" s="4"/>
      <c r="G616" s="3"/>
      <c r="H616" s="3"/>
      <c r="I616" s="10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438"/>
      <c r="U616" s="438"/>
      <c r="V616" s="438"/>
      <c r="W616" s="438"/>
      <c r="X616" s="438"/>
      <c r="Y616" s="439"/>
      <c r="Z616" s="439"/>
      <c r="AA616" s="440"/>
      <c r="AB616" s="440"/>
      <c r="AC616" s="176"/>
    </row>
    <row r="617" spans="1:29">
      <c r="A617" s="3"/>
      <c r="B617" s="3"/>
      <c r="C617" s="3"/>
      <c r="D617" s="3"/>
      <c r="E617" s="3"/>
      <c r="F617" s="4"/>
      <c r="G617" s="3"/>
      <c r="H617" s="3"/>
      <c r="I617" s="10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438"/>
      <c r="U617" s="438"/>
      <c r="V617" s="438"/>
      <c r="W617" s="438"/>
      <c r="X617" s="438"/>
      <c r="Y617" s="439"/>
      <c r="Z617" s="439"/>
      <c r="AA617" s="440"/>
      <c r="AB617" s="440"/>
      <c r="AC617" s="176"/>
    </row>
    <row r="618" spans="1:29">
      <c r="A618" s="3"/>
      <c r="B618" s="3"/>
      <c r="C618" s="3"/>
      <c r="D618" s="3"/>
      <c r="E618" s="3"/>
      <c r="F618" s="4"/>
      <c r="G618" s="3"/>
      <c r="H618" s="3"/>
      <c r="I618" s="10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438"/>
      <c r="U618" s="438"/>
      <c r="V618" s="438"/>
      <c r="W618" s="438"/>
      <c r="X618" s="438"/>
      <c r="Y618" s="439"/>
      <c r="Z618" s="439"/>
      <c r="AA618" s="440"/>
      <c r="AB618" s="440"/>
      <c r="AC618" s="176"/>
    </row>
    <row r="619" spans="1:29">
      <c r="A619" s="3"/>
      <c r="B619" s="3"/>
      <c r="C619" s="3"/>
      <c r="D619" s="3"/>
      <c r="E619" s="3"/>
      <c r="F619" s="4"/>
      <c r="G619" s="3"/>
      <c r="H619" s="3"/>
      <c r="I619" s="10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438"/>
      <c r="U619" s="438"/>
      <c r="V619" s="438"/>
      <c r="W619" s="438"/>
      <c r="X619" s="438"/>
      <c r="Y619" s="439"/>
      <c r="Z619" s="439"/>
      <c r="AA619" s="440"/>
      <c r="AB619" s="440"/>
      <c r="AC619" s="176"/>
    </row>
    <row r="620" spans="1:29">
      <c r="A620" s="3"/>
      <c r="B620" s="3"/>
      <c r="C620" s="3"/>
      <c r="D620" s="3"/>
      <c r="E620" s="3"/>
      <c r="F620" s="4"/>
      <c r="G620" s="3"/>
      <c r="H620" s="3"/>
      <c r="I620" s="10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438"/>
      <c r="U620" s="438"/>
      <c r="V620" s="438"/>
      <c r="W620" s="438"/>
      <c r="X620" s="438"/>
      <c r="Y620" s="439"/>
      <c r="Z620" s="439"/>
      <c r="AA620" s="440"/>
      <c r="AB620" s="440"/>
      <c r="AC620" s="176"/>
    </row>
    <row r="621" spans="1:29">
      <c r="A621" s="3"/>
      <c r="B621" s="3"/>
      <c r="C621" s="3"/>
      <c r="D621" s="3"/>
      <c r="E621" s="3"/>
      <c r="F621" s="4"/>
      <c r="G621" s="3"/>
      <c r="H621" s="3"/>
      <c r="I621" s="10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438"/>
      <c r="U621" s="438"/>
      <c r="V621" s="438"/>
      <c r="W621" s="438"/>
      <c r="X621" s="438"/>
      <c r="Y621" s="439"/>
      <c r="Z621" s="439"/>
      <c r="AA621" s="440"/>
      <c r="AB621" s="440"/>
      <c r="AC621" s="176"/>
    </row>
    <row r="622" spans="1:29">
      <c r="A622" s="3"/>
      <c r="B622" s="3"/>
      <c r="C622" s="3"/>
      <c r="D622" s="3"/>
      <c r="E622" s="3"/>
      <c r="F622" s="4"/>
      <c r="G622" s="3"/>
      <c r="H622" s="3"/>
      <c r="I622" s="10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438"/>
      <c r="U622" s="438"/>
      <c r="V622" s="438"/>
      <c r="W622" s="438"/>
      <c r="X622" s="438"/>
      <c r="Y622" s="439"/>
      <c r="Z622" s="439"/>
      <c r="AA622" s="440"/>
      <c r="AB622" s="440"/>
      <c r="AC622" s="176"/>
    </row>
    <row r="623" spans="1:29">
      <c r="A623" s="3"/>
      <c r="B623" s="3"/>
      <c r="C623" s="3"/>
      <c r="D623" s="3"/>
      <c r="E623" s="3"/>
      <c r="F623" s="4"/>
      <c r="G623" s="3"/>
      <c r="H623" s="3"/>
      <c r="I623" s="10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438"/>
      <c r="U623" s="438"/>
      <c r="V623" s="438"/>
      <c r="W623" s="438"/>
      <c r="X623" s="438"/>
      <c r="Y623" s="439"/>
      <c r="Z623" s="439"/>
      <c r="AA623" s="440"/>
      <c r="AB623" s="440"/>
      <c r="AC623" s="176"/>
    </row>
    <row r="624" spans="1:29">
      <c r="A624" s="3"/>
      <c r="B624" s="3"/>
      <c r="C624" s="3"/>
      <c r="D624" s="3"/>
      <c r="E624" s="3"/>
      <c r="F624" s="4"/>
      <c r="G624" s="3"/>
      <c r="H624" s="3"/>
      <c r="I624" s="10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438"/>
      <c r="U624" s="438"/>
      <c r="V624" s="438"/>
      <c r="W624" s="438"/>
      <c r="X624" s="438"/>
      <c r="Y624" s="439"/>
      <c r="Z624" s="439"/>
      <c r="AA624" s="440"/>
      <c r="AB624" s="440"/>
      <c r="AC624" s="176"/>
    </row>
    <row r="625" spans="1:29">
      <c r="A625" s="3"/>
      <c r="B625" s="3"/>
      <c r="C625" s="3"/>
      <c r="D625" s="3"/>
      <c r="E625" s="3"/>
      <c r="F625" s="4"/>
      <c r="G625" s="3"/>
      <c r="H625" s="3"/>
      <c r="I625" s="10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438"/>
      <c r="U625" s="438"/>
      <c r="V625" s="438"/>
      <c r="W625" s="438"/>
      <c r="X625" s="438"/>
      <c r="Y625" s="439"/>
      <c r="Z625" s="439"/>
      <c r="AA625" s="440"/>
      <c r="AB625" s="440"/>
      <c r="AC625" s="176"/>
    </row>
    <row r="626" spans="1:29">
      <c r="A626" s="3"/>
      <c r="B626" s="3"/>
      <c r="C626" s="3"/>
      <c r="D626" s="3"/>
      <c r="E626" s="3"/>
      <c r="F626" s="4"/>
      <c r="G626" s="3"/>
      <c r="H626" s="3"/>
      <c r="I626" s="10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438"/>
      <c r="U626" s="438"/>
      <c r="V626" s="438"/>
      <c r="W626" s="438"/>
      <c r="X626" s="438"/>
      <c r="Y626" s="439"/>
      <c r="Z626" s="439"/>
      <c r="AA626" s="440"/>
      <c r="AB626" s="440"/>
      <c r="AC626" s="176"/>
    </row>
    <row r="627" spans="1:29">
      <c r="A627" s="3"/>
      <c r="B627" s="3"/>
      <c r="C627" s="3"/>
      <c r="D627" s="3"/>
      <c r="E627" s="3"/>
      <c r="F627" s="4"/>
      <c r="G627" s="3"/>
      <c r="H627" s="3"/>
      <c r="I627" s="10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438"/>
      <c r="U627" s="438"/>
      <c r="V627" s="438"/>
      <c r="W627" s="438"/>
      <c r="X627" s="438"/>
      <c r="Y627" s="439"/>
      <c r="Z627" s="439"/>
      <c r="AA627" s="440"/>
      <c r="AB627" s="440"/>
      <c r="AC627" s="176"/>
    </row>
    <row r="628" spans="1:29">
      <c r="A628" s="3"/>
      <c r="B628" s="3"/>
      <c r="C628" s="3"/>
      <c r="D628" s="3"/>
      <c r="E628" s="3"/>
      <c r="F628" s="4"/>
      <c r="G628" s="3"/>
      <c r="H628" s="3"/>
      <c r="I628" s="10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438"/>
      <c r="U628" s="438"/>
      <c r="V628" s="438"/>
      <c r="W628" s="438"/>
      <c r="X628" s="438"/>
      <c r="Y628" s="439"/>
      <c r="Z628" s="439"/>
      <c r="AA628" s="440"/>
      <c r="AB628" s="440"/>
      <c r="AC628" s="176"/>
    </row>
    <row r="629" spans="1:29">
      <c r="A629" s="3"/>
      <c r="B629" s="3"/>
      <c r="C629" s="3"/>
      <c r="D629" s="3"/>
      <c r="E629" s="3"/>
      <c r="F629" s="4"/>
      <c r="G629" s="3"/>
      <c r="H629" s="3"/>
      <c r="I629" s="10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438"/>
      <c r="U629" s="438"/>
      <c r="V629" s="438"/>
      <c r="W629" s="438"/>
      <c r="X629" s="438"/>
      <c r="Y629" s="439"/>
      <c r="Z629" s="439"/>
      <c r="AA629" s="440"/>
      <c r="AB629" s="440"/>
      <c r="AC629" s="176"/>
    </row>
    <row r="630" spans="1:29">
      <c r="A630" s="3"/>
      <c r="B630" s="3"/>
      <c r="C630" s="3"/>
      <c r="D630" s="3"/>
      <c r="E630" s="3"/>
      <c r="F630" s="4"/>
      <c r="G630" s="3"/>
      <c r="H630" s="3"/>
      <c r="I630" s="10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438"/>
      <c r="U630" s="438"/>
      <c r="V630" s="438"/>
      <c r="W630" s="438"/>
      <c r="X630" s="438"/>
      <c r="Y630" s="439"/>
      <c r="Z630" s="439"/>
      <c r="AA630" s="440"/>
      <c r="AB630" s="440"/>
      <c r="AC630" s="176"/>
    </row>
    <row r="631" spans="1:29">
      <c r="A631" s="3"/>
      <c r="B631" s="3"/>
      <c r="C631" s="3"/>
      <c r="D631" s="3"/>
      <c r="E631" s="3"/>
      <c r="F631" s="4"/>
      <c r="G631" s="3"/>
      <c r="H631" s="3"/>
      <c r="I631" s="10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438"/>
      <c r="U631" s="438"/>
      <c r="V631" s="438"/>
      <c r="W631" s="438"/>
      <c r="X631" s="438"/>
      <c r="Y631" s="439"/>
      <c r="Z631" s="439"/>
      <c r="AA631" s="440"/>
      <c r="AB631" s="440"/>
      <c r="AC631" s="176"/>
    </row>
    <row r="632" spans="1:29">
      <c r="A632" s="3"/>
      <c r="B632" s="3"/>
      <c r="C632" s="3"/>
      <c r="D632" s="3"/>
      <c r="E632" s="3"/>
      <c r="F632" s="4"/>
      <c r="G632" s="3"/>
      <c r="H632" s="3"/>
      <c r="I632" s="10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438"/>
      <c r="U632" s="438"/>
      <c r="V632" s="438"/>
      <c r="W632" s="438"/>
      <c r="X632" s="438"/>
      <c r="Y632" s="439"/>
      <c r="Z632" s="439"/>
      <c r="AA632" s="440"/>
      <c r="AB632" s="440"/>
      <c r="AC632" s="176"/>
    </row>
    <row r="633" spans="1:29">
      <c r="A633" s="3"/>
      <c r="B633" s="3"/>
      <c r="C633" s="3"/>
      <c r="D633" s="3"/>
      <c r="E633" s="3"/>
      <c r="F633" s="4"/>
      <c r="G633" s="3"/>
      <c r="H633" s="3"/>
      <c r="I633" s="10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438"/>
      <c r="U633" s="438"/>
      <c r="V633" s="438"/>
      <c r="W633" s="438"/>
      <c r="X633" s="438"/>
      <c r="Y633" s="439"/>
      <c r="Z633" s="439"/>
      <c r="AA633" s="440"/>
      <c r="AB633" s="440"/>
      <c r="AC633" s="176"/>
    </row>
    <row r="634" spans="1:29">
      <c r="A634" s="3"/>
      <c r="B634" s="3"/>
      <c r="C634" s="3"/>
      <c r="D634" s="3"/>
      <c r="E634" s="3"/>
      <c r="F634" s="4"/>
      <c r="G634" s="3"/>
      <c r="H634" s="3"/>
      <c r="I634" s="10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438"/>
      <c r="U634" s="438"/>
      <c r="V634" s="438"/>
      <c r="W634" s="438"/>
      <c r="X634" s="438"/>
      <c r="Y634" s="439"/>
      <c r="Z634" s="439"/>
      <c r="AA634" s="440"/>
      <c r="AB634" s="440"/>
      <c r="AC634" s="176"/>
    </row>
    <row r="635" spans="1:29">
      <c r="A635" s="3"/>
      <c r="B635" s="3"/>
      <c r="C635" s="3"/>
      <c r="D635" s="3"/>
      <c r="E635" s="3"/>
      <c r="F635" s="4"/>
      <c r="G635" s="3"/>
      <c r="H635" s="3"/>
      <c r="I635" s="10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438"/>
      <c r="U635" s="438"/>
      <c r="V635" s="438"/>
      <c r="W635" s="438"/>
      <c r="X635" s="438"/>
      <c r="Y635" s="439"/>
      <c r="Z635" s="439"/>
      <c r="AA635" s="440"/>
      <c r="AB635" s="440"/>
      <c r="AC635" s="176"/>
    </row>
    <row r="636" spans="1:29">
      <c r="A636" s="3"/>
      <c r="B636" s="3"/>
      <c r="C636" s="3"/>
      <c r="D636" s="3"/>
      <c r="E636" s="3"/>
      <c r="F636" s="4"/>
      <c r="G636" s="3"/>
      <c r="H636" s="3"/>
      <c r="I636" s="10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438"/>
      <c r="U636" s="438"/>
      <c r="V636" s="438"/>
      <c r="W636" s="438"/>
      <c r="X636" s="438"/>
      <c r="Y636" s="439"/>
      <c r="Z636" s="439"/>
      <c r="AA636" s="440"/>
      <c r="AB636" s="440"/>
      <c r="AC636" s="176"/>
    </row>
    <row r="637" spans="1:29">
      <c r="A637" s="3"/>
      <c r="B637" s="3"/>
      <c r="C637" s="3"/>
      <c r="D637" s="3"/>
      <c r="E637" s="3"/>
      <c r="F637" s="4"/>
      <c r="G637" s="3"/>
      <c r="H637" s="3"/>
      <c r="I637" s="10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438"/>
      <c r="U637" s="438"/>
      <c r="V637" s="438"/>
      <c r="W637" s="438"/>
      <c r="X637" s="438"/>
      <c r="Y637" s="439"/>
      <c r="Z637" s="439"/>
      <c r="AA637" s="440"/>
      <c r="AB637" s="440"/>
      <c r="AC637" s="176"/>
    </row>
    <row r="638" spans="1:29">
      <c r="A638" s="3"/>
      <c r="B638" s="3"/>
      <c r="C638" s="3"/>
      <c r="D638" s="3"/>
      <c r="E638" s="3"/>
      <c r="F638" s="4"/>
      <c r="G638" s="3"/>
      <c r="H638" s="3"/>
      <c r="I638" s="10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438"/>
      <c r="U638" s="438"/>
      <c r="V638" s="438"/>
      <c r="W638" s="438"/>
      <c r="X638" s="438"/>
      <c r="Y638" s="439"/>
      <c r="Z638" s="439"/>
      <c r="AA638" s="440"/>
      <c r="AB638" s="440"/>
      <c r="AC638" s="176"/>
    </row>
    <row r="639" spans="1:29">
      <c r="A639" s="3"/>
      <c r="B639" s="3"/>
      <c r="C639" s="3"/>
      <c r="D639" s="3"/>
      <c r="E639" s="3"/>
      <c r="F639" s="4"/>
      <c r="G639" s="3"/>
      <c r="H639" s="3"/>
      <c r="I639" s="10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438"/>
      <c r="U639" s="438"/>
      <c r="V639" s="438"/>
      <c r="W639" s="438"/>
      <c r="X639" s="438"/>
      <c r="Y639" s="439"/>
      <c r="Z639" s="439"/>
      <c r="AA639" s="440"/>
      <c r="AB639" s="440"/>
      <c r="AC639" s="176"/>
    </row>
    <row r="640" spans="1:29">
      <c r="A640" s="3"/>
      <c r="B640" s="3"/>
      <c r="C640" s="3"/>
      <c r="D640" s="3"/>
      <c r="E640" s="3"/>
      <c r="F640" s="4"/>
      <c r="G640" s="3"/>
      <c r="H640" s="3"/>
      <c r="I640" s="10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438"/>
      <c r="U640" s="438"/>
      <c r="V640" s="438"/>
      <c r="W640" s="438"/>
      <c r="X640" s="438"/>
      <c r="Y640" s="439"/>
      <c r="Z640" s="439"/>
      <c r="AA640" s="440"/>
      <c r="AB640" s="440"/>
      <c r="AC640" s="176"/>
    </row>
    <row r="641" spans="1:29">
      <c r="A641" s="3"/>
      <c r="B641" s="3"/>
      <c r="C641" s="3"/>
      <c r="D641" s="3"/>
      <c r="E641" s="3"/>
      <c r="F641" s="4"/>
      <c r="G641" s="3"/>
      <c r="H641" s="3"/>
      <c r="I641" s="10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438"/>
      <c r="U641" s="438"/>
      <c r="V641" s="438"/>
      <c r="W641" s="438"/>
      <c r="X641" s="438"/>
      <c r="Y641" s="439"/>
      <c r="Z641" s="439"/>
      <c r="AA641" s="440"/>
      <c r="AB641" s="440"/>
      <c r="AC641" s="176"/>
    </row>
    <row r="642" spans="1:29">
      <c r="A642" s="3"/>
      <c r="B642" s="3"/>
      <c r="C642" s="3"/>
      <c r="D642" s="3"/>
      <c r="E642" s="3"/>
      <c r="F642" s="4"/>
      <c r="G642" s="3"/>
      <c r="H642" s="3"/>
      <c r="I642" s="10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438"/>
      <c r="U642" s="438"/>
      <c r="V642" s="438"/>
      <c r="W642" s="438"/>
      <c r="X642" s="438"/>
      <c r="Y642" s="439"/>
      <c r="Z642" s="439"/>
      <c r="AA642" s="440"/>
      <c r="AB642" s="440"/>
      <c r="AC642" s="176"/>
    </row>
    <row r="643" spans="1:29">
      <c r="A643" s="3"/>
      <c r="B643" s="3"/>
      <c r="C643" s="3"/>
      <c r="D643" s="3"/>
      <c r="E643" s="3"/>
      <c r="F643" s="4"/>
      <c r="G643" s="3"/>
      <c r="H643" s="3"/>
      <c r="I643" s="10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438"/>
      <c r="U643" s="438"/>
      <c r="V643" s="438"/>
      <c r="W643" s="438"/>
      <c r="X643" s="438"/>
      <c r="Y643" s="439"/>
      <c r="Z643" s="439"/>
      <c r="AA643" s="440"/>
      <c r="AB643" s="440"/>
      <c r="AC643" s="176"/>
    </row>
    <row r="644" spans="1:29">
      <c r="A644" s="3"/>
      <c r="B644" s="3"/>
      <c r="C644" s="3"/>
      <c r="D644" s="3"/>
      <c r="E644" s="3"/>
      <c r="F644" s="4"/>
      <c r="G644" s="3"/>
      <c r="H644" s="3"/>
      <c r="I644" s="10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438"/>
      <c r="U644" s="438"/>
      <c r="V644" s="438"/>
      <c r="W644" s="438"/>
      <c r="X644" s="438"/>
      <c r="Y644" s="439"/>
      <c r="Z644" s="439"/>
      <c r="AA644" s="440"/>
      <c r="AB644" s="440"/>
      <c r="AC644" s="176"/>
    </row>
    <row r="645" spans="1:29">
      <c r="A645" s="3"/>
      <c r="B645" s="3"/>
      <c r="C645" s="3"/>
      <c r="D645" s="3"/>
      <c r="E645" s="3"/>
      <c r="F645" s="4"/>
      <c r="G645" s="3"/>
      <c r="H645" s="3"/>
      <c r="I645" s="10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438"/>
      <c r="U645" s="438"/>
      <c r="V645" s="438"/>
      <c r="W645" s="438"/>
      <c r="X645" s="438"/>
      <c r="Y645" s="439"/>
      <c r="Z645" s="439"/>
      <c r="AA645" s="440"/>
      <c r="AB645" s="440"/>
      <c r="AC645" s="176"/>
    </row>
    <row r="646" spans="1:29">
      <c r="A646" s="3"/>
      <c r="B646" s="3"/>
      <c r="C646" s="3"/>
      <c r="D646" s="3"/>
      <c r="E646" s="3"/>
      <c r="F646" s="4"/>
      <c r="G646" s="3"/>
      <c r="H646" s="3"/>
      <c r="I646" s="10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438"/>
      <c r="U646" s="438"/>
      <c r="V646" s="438"/>
      <c r="W646" s="438"/>
      <c r="X646" s="438"/>
      <c r="Y646" s="439"/>
      <c r="Z646" s="439"/>
      <c r="AA646" s="440"/>
      <c r="AB646" s="440"/>
      <c r="AC646" s="176"/>
    </row>
    <row r="647" spans="1:29">
      <c r="A647" s="3"/>
      <c r="B647" s="3"/>
      <c r="C647" s="3"/>
      <c r="D647" s="3"/>
      <c r="E647" s="3"/>
      <c r="F647" s="4"/>
      <c r="G647" s="3"/>
      <c r="H647" s="3"/>
      <c r="I647" s="10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438"/>
      <c r="U647" s="438"/>
      <c r="V647" s="438"/>
      <c r="W647" s="438"/>
      <c r="X647" s="438"/>
      <c r="Y647" s="439"/>
      <c r="Z647" s="439"/>
      <c r="AA647" s="440"/>
      <c r="AB647" s="440"/>
      <c r="AC647" s="176"/>
    </row>
    <row r="648" spans="1:29">
      <c r="A648" s="3"/>
      <c r="B648" s="3"/>
      <c r="C648" s="3"/>
      <c r="D648" s="3"/>
      <c r="E648" s="3"/>
      <c r="F648" s="4"/>
      <c r="G648" s="3"/>
      <c r="H648" s="3"/>
      <c r="I648" s="10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438"/>
      <c r="U648" s="438"/>
      <c r="V648" s="438"/>
      <c r="W648" s="438"/>
      <c r="X648" s="438"/>
      <c r="Y648" s="439"/>
      <c r="Z648" s="439"/>
      <c r="AA648" s="440"/>
      <c r="AB648" s="440"/>
      <c r="AC648" s="176"/>
    </row>
    <row r="649" spans="1:29">
      <c r="A649" s="3"/>
      <c r="B649" s="3"/>
      <c r="C649" s="3"/>
      <c r="D649" s="3"/>
      <c r="E649" s="3"/>
      <c r="F649" s="4"/>
      <c r="G649" s="3"/>
      <c r="H649" s="3"/>
      <c r="I649" s="10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438"/>
      <c r="U649" s="438"/>
      <c r="V649" s="438"/>
      <c r="W649" s="438"/>
      <c r="X649" s="438"/>
      <c r="Y649" s="439"/>
      <c r="Z649" s="439"/>
      <c r="AA649" s="440"/>
      <c r="AB649" s="440"/>
      <c r="AC649" s="176"/>
    </row>
    <row r="650" spans="1:29">
      <c r="A650" s="3"/>
      <c r="B650" s="3"/>
      <c r="C650" s="3"/>
      <c r="D650" s="3"/>
      <c r="E650" s="3"/>
      <c r="F650" s="4"/>
      <c r="G650" s="3"/>
      <c r="H650" s="3"/>
      <c r="I650" s="10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438"/>
      <c r="U650" s="438"/>
      <c r="V650" s="438"/>
      <c r="W650" s="438"/>
      <c r="X650" s="438"/>
      <c r="Y650" s="439"/>
      <c r="Z650" s="439"/>
      <c r="AA650" s="440"/>
      <c r="AB650" s="440"/>
      <c r="AC650" s="176"/>
    </row>
    <row r="651" spans="1:29">
      <c r="A651" s="3"/>
      <c r="B651" s="3"/>
      <c r="C651" s="3"/>
      <c r="D651" s="3"/>
      <c r="E651" s="3"/>
      <c r="F651" s="4"/>
      <c r="G651" s="3"/>
      <c r="H651" s="3"/>
      <c r="I651" s="10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438"/>
      <c r="U651" s="438"/>
      <c r="V651" s="438"/>
      <c r="W651" s="438"/>
      <c r="X651" s="438"/>
      <c r="Y651" s="439"/>
      <c r="Z651" s="439"/>
      <c r="AA651" s="440"/>
      <c r="AB651" s="440"/>
      <c r="AC651" s="176"/>
    </row>
    <row r="652" spans="1:29">
      <c r="A652" s="3"/>
      <c r="B652" s="3"/>
      <c r="C652" s="3"/>
      <c r="D652" s="3"/>
      <c r="E652" s="3"/>
      <c r="F652" s="4"/>
      <c r="G652" s="3"/>
      <c r="H652" s="3"/>
      <c r="I652" s="10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438"/>
      <c r="U652" s="438"/>
      <c r="V652" s="438"/>
      <c r="W652" s="438"/>
      <c r="X652" s="438"/>
      <c r="Y652" s="439"/>
      <c r="Z652" s="439"/>
      <c r="AA652" s="440"/>
      <c r="AB652" s="440"/>
      <c r="AC652" s="176"/>
    </row>
    <row r="653" spans="1:29">
      <c r="A653" s="3"/>
      <c r="B653" s="3"/>
      <c r="C653" s="3"/>
      <c r="D653" s="3"/>
      <c r="E653" s="3"/>
      <c r="F653" s="4"/>
      <c r="G653" s="3"/>
      <c r="H653" s="3"/>
      <c r="I653" s="10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438"/>
      <c r="U653" s="438"/>
      <c r="V653" s="438"/>
      <c r="W653" s="438"/>
      <c r="X653" s="438"/>
      <c r="Y653" s="439"/>
      <c r="Z653" s="439"/>
      <c r="AA653" s="440"/>
      <c r="AB653" s="440"/>
      <c r="AC653" s="176"/>
    </row>
    <row r="654" spans="1:29">
      <c r="A654" s="3"/>
      <c r="B654" s="3"/>
      <c r="C654" s="3"/>
      <c r="D654" s="3"/>
      <c r="E654" s="3"/>
      <c r="F654" s="4"/>
      <c r="G654" s="3"/>
      <c r="H654" s="3"/>
      <c r="I654" s="10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438"/>
      <c r="U654" s="438"/>
      <c r="V654" s="438"/>
      <c r="W654" s="438"/>
      <c r="X654" s="438"/>
      <c r="Y654" s="439"/>
      <c r="Z654" s="439"/>
      <c r="AA654" s="440"/>
      <c r="AB654" s="440"/>
      <c r="AC654" s="176"/>
    </row>
    <row r="655" spans="1:29">
      <c r="A655" s="3"/>
      <c r="B655" s="3"/>
      <c r="C655" s="3"/>
      <c r="D655" s="3"/>
      <c r="E655" s="3"/>
      <c r="F655" s="4"/>
      <c r="G655" s="3"/>
      <c r="H655" s="3"/>
      <c r="I655" s="10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438"/>
      <c r="U655" s="438"/>
      <c r="V655" s="438"/>
      <c r="W655" s="438"/>
      <c r="X655" s="438"/>
      <c r="Y655" s="439"/>
      <c r="Z655" s="439"/>
      <c r="AA655" s="440"/>
      <c r="AB655" s="440"/>
      <c r="AC655" s="176"/>
    </row>
    <row r="656" spans="1:29">
      <c r="A656" s="3"/>
      <c r="B656" s="3"/>
      <c r="C656" s="3"/>
      <c r="D656" s="3"/>
      <c r="E656" s="3"/>
      <c r="F656" s="4"/>
      <c r="G656" s="3"/>
      <c r="H656" s="3"/>
      <c r="I656" s="10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438"/>
      <c r="U656" s="438"/>
      <c r="V656" s="438"/>
      <c r="W656" s="438"/>
      <c r="X656" s="438"/>
      <c r="Y656" s="439"/>
      <c r="Z656" s="439"/>
      <c r="AA656" s="440"/>
      <c r="AB656" s="440"/>
      <c r="AC656" s="176"/>
    </row>
    <row r="657" spans="1:29">
      <c r="A657" s="3"/>
      <c r="B657" s="3"/>
      <c r="C657" s="3"/>
      <c r="D657" s="3"/>
      <c r="E657" s="3"/>
      <c r="F657" s="4"/>
      <c r="G657" s="3"/>
      <c r="H657" s="3"/>
      <c r="I657" s="10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438"/>
      <c r="U657" s="438"/>
      <c r="V657" s="438"/>
      <c r="W657" s="438"/>
      <c r="X657" s="438"/>
      <c r="Y657" s="439"/>
      <c r="Z657" s="439"/>
      <c r="AA657" s="440"/>
      <c r="AB657" s="440"/>
      <c r="AC657" s="176"/>
    </row>
    <row r="658" spans="1:29">
      <c r="A658" s="3"/>
      <c r="B658" s="3"/>
      <c r="C658" s="3"/>
      <c r="D658" s="3"/>
      <c r="E658" s="3"/>
      <c r="F658" s="4"/>
      <c r="G658" s="3"/>
      <c r="H658" s="3"/>
      <c r="I658" s="10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438"/>
      <c r="U658" s="438"/>
      <c r="V658" s="438"/>
      <c r="W658" s="438"/>
      <c r="X658" s="438"/>
      <c r="Y658" s="439"/>
      <c r="Z658" s="439"/>
      <c r="AA658" s="440"/>
      <c r="AB658" s="440"/>
      <c r="AC658" s="176"/>
    </row>
    <row r="659" spans="1:29">
      <c r="A659" s="3"/>
      <c r="B659" s="3"/>
      <c r="C659" s="3"/>
      <c r="D659" s="3"/>
      <c r="E659" s="3"/>
      <c r="F659" s="4"/>
      <c r="G659" s="3"/>
      <c r="H659" s="3"/>
      <c r="I659" s="10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438"/>
      <c r="U659" s="438"/>
      <c r="V659" s="438"/>
      <c r="W659" s="438"/>
      <c r="X659" s="438"/>
      <c r="Y659" s="439"/>
      <c r="Z659" s="439"/>
      <c r="AA659" s="440"/>
      <c r="AB659" s="440"/>
      <c r="AC659" s="176"/>
    </row>
    <row r="660" spans="1:29">
      <c r="A660" s="3"/>
      <c r="B660" s="3"/>
      <c r="C660" s="3"/>
      <c r="D660" s="3"/>
      <c r="E660" s="3"/>
      <c r="F660" s="4"/>
      <c r="G660" s="3"/>
      <c r="H660" s="3"/>
      <c r="I660" s="10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438"/>
      <c r="U660" s="438"/>
      <c r="V660" s="438"/>
      <c r="W660" s="438"/>
      <c r="X660" s="438"/>
      <c r="Y660" s="439"/>
      <c r="Z660" s="439"/>
      <c r="AA660" s="440"/>
      <c r="AB660" s="440"/>
      <c r="AC660" s="176"/>
    </row>
    <row r="661" spans="1:29">
      <c r="A661" s="3"/>
      <c r="B661" s="3"/>
      <c r="C661" s="3"/>
      <c r="D661" s="3"/>
      <c r="E661" s="3"/>
      <c r="F661" s="4"/>
      <c r="G661" s="3"/>
      <c r="H661" s="3"/>
      <c r="I661" s="10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438"/>
      <c r="U661" s="438"/>
      <c r="V661" s="438"/>
      <c r="W661" s="438"/>
      <c r="X661" s="438"/>
      <c r="Y661" s="439"/>
      <c r="Z661" s="439"/>
      <c r="AA661" s="440"/>
      <c r="AB661" s="440"/>
      <c r="AC661" s="176"/>
    </row>
    <row r="662" spans="1:29">
      <c r="A662" s="3"/>
      <c r="B662" s="3"/>
      <c r="C662" s="3"/>
      <c r="D662" s="3"/>
      <c r="E662" s="3"/>
      <c r="F662" s="4"/>
      <c r="G662" s="3"/>
      <c r="H662" s="3"/>
      <c r="I662" s="10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438"/>
      <c r="U662" s="438"/>
      <c r="V662" s="438"/>
      <c r="W662" s="438"/>
      <c r="X662" s="438"/>
      <c r="Y662" s="439"/>
      <c r="Z662" s="439"/>
      <c r="AA662" s="440"/>
      <c r="AB662" s="440"/>
      <c r="AC662" s="176"/>
    </row>
    <row r="663" spans="1:29">
      <c r="A663" s="3"/>
      <c r="B663" s="3"/>
      <c r="C663" s="3"/>
      <c r="D663" s="3"/>
      <c r="E663" s="3"/>
      <c r="F663" s="4"/>
      <c r="G663" s="3"/>
      <c r="H663" s="3"/>
      <c r="I663" s="10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438"/>
      <c r="U663" s="438"/>
      <c r="V663" s="438"/>
      <c r="W663" s="438"/>
      <c r="X663" s="438"/>
      <c r="Y663" s="439"/>
      <c r="Z663" s="439"/>
      <c r="AA663" s="440"/>
      <c r="AB663" s="440"/>
      <c r="AC663" s="176"/>
    </row>
    <row r="664" spans="1:29">
      <c r="A664" s="3"/>
      <c r="B664" s="3"/>
      <c r="C664" s="3"/>
      <c r="D664" s="3"/>
      <c r="E664" s="3"/>
      <c r="F664" s="4"/>
      <c r="G664" s="3"/>
      <c r="H664" s="3"/>
      <c r="I664" s="10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438"/>
      <c r="U664" s="438"/>
      <c r="V664" s="438"/>
      <c r="W664" s="438"/>
      <c r="X664" s="438"/>
      <c r="Y664" s="439"/>
      <c r="Z664" s="439"/>
      <c r="AA664" s="440"/>
      <c r="AB664" s="440"/>
      <c r="AC664" s="176"/>
    </row>
    <row r="665" spans="1:29">
      <c r="A665" s="3"/>
      <c r="B665" s="3"/>
      <c r="C665" s="3"/>
      <c r="D665" s="3"/>
      <c r="E665" s="3"/>
      <c r="F665" s="4"/>
      <c r="G665" s="3"/>
      <c r="H665" s="3"/>
      <c r="I665" s="10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438"/>
      <c r="U665" s="438"/>
      <c r="V665" s="438"/>
      <c r="W665" s="438"/>
      <c r="X665" s="438"/>
      <c r="Y665" s="439"/>
      <c r="Z665" s="439"/>
      <c r="AA665" s="440"/>
      <c r="AB665" s="440"/>
      <c r="AC665" s="176"/>
    </row>
    <row r="666" spans="1:29">
      <c r="A666" s="3"/>
      <c r="B666" s="3"/>
      <c r="C666" s="3"/>
      <c r="D666" s="3"/>
      <c r="E666" s="3"/>
      <c r="F666" s="4"/>
      <c r="G666" s="3"/>
      <c r="H666" s="3"/>
      <c r="I666" s="10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438"/>
      <c r="U666" s="438"/>
      <c r="V666" s="438"/>
      <c r="W666" s="438"/>
      <c r="X666" s="438"/>
      <c r="Y666" s="439"/>
      <c r="Z666" s="439"/>
      <c r="AA666" s="440"/>
      <c r="AB666" s="440"/>
      <c r="AC666" s="176"/>
    </row>
    <row r="667" spans="1:29">
      <c r="A667" s="3"/>
      <c r="B667" s="3"/>
      <c r="C667" s="3"/>
      <c r="D667" s="3"/>
      <c r="E667" s="3"/>
      <c r="F667" s="4"/>
      <c r="G667" s="3"/>
      <c r="H667" s="3"/>
      <c r="I667" s="10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438"/>
      <c r="U667" s="438"/>
      <c r="V667" s="438"/>
      <c r="W667" s="438"/>
      <c r="X667" s="438"/>
      <c r="Y667" s="439"/>
      <c r="Z667" s="439"/>
      <c r="AA667" s="440"/>
      <c r="AB667" s="440"/>
      <c r="AC667" s="176"/>
    </row>
    <row r="668" spans="1:29">
      <c r="A668" s="3"/>
      <c r="B668" s="3"/>
      <c r="C668" s="3"/>
      <c r="D668" s="3"/>
      <c r="E668" s="3"/>
      <c r="F668" s="4"/>
      <c r="G668" s="3"/>
      <c r="H668" s="3"/>
      <c r="I668" s="10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438"/>
      <c r="U668" s="438"/>
      <c r="V668" s="438"/>
      <c r="W668" s="438"/>
      <c r="X668" s="438"/>
      <c r="Y668" s="439"/>
      <c r="Z668" s="439"/>
      <c r="AA668" s="440"/>
      <c r="AB668" s="440"/>
      <c r="AC668" s="176"/>
    </row>
    <row r="669" spans="1:29">
      <c r="A669" s="3"/>
      <c r="B669" s="3"/>
      <c r="C669" s="3"/>
      <c r="D669" s="3"/>
      <c r="E669" s="3"/>
      <c r="F669" s="4"/>
      <c r="G669" s="3"/>
      <c r="H669" s="3"/>
      <c r="I669" s="10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438"/>
      <c r="U669" s="438"/>
      <c r="V669" s="438"/>
      <c r="W669" s="438"/>
      <c r="X669" s="438"/>
      <c r="Y669" s="439"/>
      <c r="Z669" s="439"/>
      <c r="AA669" s="440"/>
      <c r="AB669" s="440"/>
      <c r="AC669" s="176"/>
    </row>
    <row r="670" spans="1:29">
      <c r="A670" s="3"/>
      <c r="B670" s="3"/>
      <c r="C670" s="3"/>
      <c r="D670" s="3"/>
      <c r="E670" s="3"/>
      <c r="F670" s="4"/>
      <c r="G670" s="3"/>
      <c r="H670" s="3"/>
      <c r="I670" s="10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438"/>
      <c r="U670" s="438"/>
      <c r="V670" s="438"/>
      <c r="W670" s="438"/>
      <c r="X670" s="438"/>
      <c r="Y670" s="439"/>
      <c r="Z670" s="439"/>
      <c r="AA670" s="440"/>
      <c r="AB670" s="440"/>
      <c r="AC670" s="176"/>
    </row>
    <row r="671" spans="1:29">
      <c r="A671" s="3"/>
      <c r="B671" s="3"/>
      <c r="C671" s="3"/>
      <c r="D671" s="3"/>
      <c r="E671" s="3"/>
      <c r="F671" s="4"/>
      <c r="G671" s="3"/>
      <c r="H671" s="3"/>
      <c r="I671" s="10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438"/>
      <c r="U671" s="438"/>
      <c r="V671" s="438"/>
      <c r="W671" s="438"/>
      <c r="X671" s="438"/>
      <c r="Y671" s="439"/>
      <c r="Z671" s="439"/>
      <c r="AA671" s="440"/>
      <c r="AB671" s="440"/>
      <c r="AC671" s="176"/>
    </row>
    <row r="672" spans="1:29">
      <c r="A672" s="3"/>
      <c r="B672" s="3"/>
      <c r="C672" s="3"/>
      <c r="D672" s="3"/>
      <c r="E672" s="3"/>
      <c r="F672" s="4"/>
      <c r="G672" s="3"/>
      <c r="H672" s="3"/>
      <c r="I672" s="10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438"/>
      <c r="U672" s="438"/>
      <c r="V672" s="438"/>
      <c r="W672" s="438"/>
      <c r="X672" s="438"/>
      <c r="Y672" s="439"/>
      <c r="Z672" s="439"/>
      <c r="AA672" s="440"/>
      <c r="AB672" s="440"/>
      <c r="AC672" s="176"/>
    </row>
    <row r="673" spans="1:29">
      <c r="A673" s="3"/>
      <c r="B673" s="3"/>
      <c r="C673" s="3"/>
      <c r="D673" s="3"/>
      <c r="E673" s="3"/>
      <c r="F673" s="4"/>
      <c r="G673" s="3"/>
      <c r="H673" s="3"/>
      <c r="I673" s="10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438"/>
      <c r="U673" s="438"/>
      <c r="V673" s="438"/>
      <c r="W673" s="438"/>
      <c r="X673" s="438"/>
      <c r="Y673" s="439"/>
      <c r="Z673" s="439"/>
      <c r="AA673" s="440"/>
      <c r="AB673" s="440"/>
      <c r="AC673" s="176"/>
    </row>
    <row r="674" spans="1:29">
      <c r="A674" s="3"/>
      <c r="B674" s="3"/>
      <c r="C674" s="3"/>
      <c r="D674" s="3"/>
      <c r="E674" s="3"/>
      <c r="F674" s="4"/>
      <c r="G674" s="3"/>
      <c r="H674" s="3"/>
      <c r="I674" s="10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438"/>
      <c r="U674" s="438"/>
      <c r="V674" s="438"/>
      <c r="W674" s="438"/>
      <c r="X674" s="438"/>
      <c r="Y674" s="439"/>
      <c r="Z674" s="439"/>
      <c r="AA674" s="440"/>
      <c r="AB674" s="440"/>
      <c r="AC674" s="176"/>
    </row>
    <row r="675" spans="1:29">
      <c r="A675" s="3"/>
      <c r="B675" s="3"/>
      <c r="C675" s="3"/>
      <c r="D675" s="3"/>
      <c r="E675" s="3"/>
      <c r="F675" s="4"/>
      <c r="G675" s="3"/>
      <c r="H675" s="3"/>
      <c r="I675" s="10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438"/>
      <c r="U675" s="438"/>
      <c r="V675" s="438"/>
      <c r="W675" s="438"/>
      <c r="X675" s="438"/>
      <c r="Y675" s="439"/>
      <c r="Z675" s="439"/>
      <c r="AA675" s="440"/>
      <c r="AB675" s="440"/>
      <c r="AC675" s="176"/>
    </row>
    <row r="676" spans="1:29">
      <c r="A676" s="3"/>
      <c r="B676" s="3"/>
      <c r="C676" s="3"/>
      <c r="D676" s="3"/>
      <c r="E676" s="3"/>
      <c r="F676" s="4"/>
      <c r="G676" s="3"/>
      <c r="H676" s="3"/>
      <c r="I676" s="10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438"/>
      <c r="U676" s="438"/>
      <c r="V676" s="438"/>
      <c r="W676" s="438"/>
      <c r="X676" s="438"/>
      <c r="Y676" s="439"/>
      <c r="Z676" s="439"/>
      <c r="AA676" s="440"/>
      <c r="AB676" s="440"/>
      <c r="AC676" s="176"/>
    </row>
    <row r="677" spans="1:29">
      <c r="A677" s="3"/>
      <c r="B677" s="3"/>
      <c r="C677" s="3"/>
      <c r="D677" s="3"/>
      <c r="E677" s="3"/>
      <c r="F677" s="4"/>
      <c r="G677" s="3"/>
      <c r="H677" s="3"/>
      <c r="I677" s="10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438"/>
      <c r="U677" s="438"/>
      <c r="V677" s="438"/>
      <c r="W677" s="438"/>
      <c r="X677" s="438"/>
      <c r="Y677" s="439"/>
      <c r="Z677" s="439"/>
      <c r="AA677" s="440"/>
      <c r="AB677" s="440"/>
      <c r="AC677" s="176"/>
    </row>
    <row r="678" spans="1:29">
      <c r="A678" s="3"/>
      <c r="B678" s="3"/>
      <c r="C678" s="3"/>
      <c r="D678" s="3"/>
      <c r="E678" s="3"/>
      <c r="F678" s="4"/>
      <c r="G678" s="3"/>
      <c r="H678" s="3"/>
      <c r="I678" s="10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438"/>
      <c r="U678" s="438"/>
      <c r="V678" s="438"/>
      <c r="W678" s="438"/>
      <c r="X678" s="438"/>
      <c r="Y678" s="439"/>
      <c r="Z678" s="439"/>
      <c r="AA678" s="440"/>
      <c r="AB678" s="440"/>
      <c r="AC678" s="176"/>
    </row>
    <row r="679" spans="1:29">
      <c r="A679" s="3"/>
      <c r="B679" s="3"/>
      <c r="C679" s="3"/>
      <c r="D679" s="3"/>
      <c r="E679" s="3"/>
      <c r="F679" s="4"/>
      <c r="G679" s="3"/>
      <c r="H679" s="3"/>
      <c r="I679" s="10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438"/>
      <c r="U679" s="438"/>
      <c r="V679" s="438"/>
      <c r="W679" s="438"/>
      <c r="X679" s="438"/>
      <c r="Y679" s="439"/>
      <c r="Z679" s="439"/>
      <c r="AA679" s="440"/>
      <c r="AB679" s="440"/>
      <c r="AC679" s="176"/>
    </row>
    <row r="680" spans="1:29">
      <c r="A680" s="3"/>
      <c r="B680" s="3"/>
      <c r="C680" s="3"/>
      <c r="D680" s="3"/>
      <c r="E680" s="3"/>
      <c r="F680" s="4"/>
      <c r="G680" s="3"/>
      <c r="H680" s="3"/>
      <c r="I680" s="10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438"/>
      <c r="U680" s="438"/>
      <c r="V680" s="438"/>
      <c r="W680" s="438"/>
      <c r="X680" s="438"/>
      <c r="Y680" s="439"/>
      <c r="Z680" s="439"/>
      <c r="AA680" s="440"/>
      <c r="AB680" s="440"/>
      <c r="AC680" s="176"/>
    </row>
    <row r="681" spans="1:29">
      <c r="A681" s="3"/>
      <c r="B681" s="3"/>
      <c r="C681" s="3"/>
      <c r="D681" s="3"/>
      <c r="E681" s="3"/>
      <c r="F681" s="4"/>
      <c r="G681" s="3"/>
      <c r="H681" s="3"/>
      <c r="I681" s="10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438"/>
      <c r="U681" s="438"/>
      <c r="V681" s="438"/>
      <c r="W681" s="438"/>
      <c r="X681" s="438"/>
      <c r="Y681" s="439"/>
      <c r="Z681" s="439"/>
      <c r="AA681" s="440"/>
      <c r="AB681" s="440"/>
      <c r="AC681" s="176"/>
    </row>
    <row r="682" spans="1:29">
      <c r="A682" s="3"/>
      <c r="B682" s="3"/>
      <c r="C682" s="3"/>
      <c r="D682" s="3"/>
      <c r="E682" s="3"/>
      <c r="F682" s="4"/>
      <c r="G682" s="3"/>
      <c r="H682" s="3"/>
      <c r="I682" s="10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438"/>
      <c r="U682" s="438"/>
      <c r="V682" s="438"/>
      <c r="W682" s="438"/>
      <c r="X682" s="438"/>
      <c r="Y682" s="439"/>
      <c r="Z682" s="439"/>
      <c r="AA682" s="440"/>
      <c r="AB682" s="440"/>
      <c r="AC682" s="176"/>
    </row>
    <row r="683" spans="1:29">
      <c r="A683" s="3"/>
      <c r="B683" s="3"/>
      <c r="C683" s="3"/>
      <c r="D683" s="3"/>
      <c r="E683" s="3"/>
      <c r="F683" s="4"/>
      <c r="G683" s="3"/>
      <c r="H683" s="3"/>
      <c r="I683" s="10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438"/>
      <c r="U683" s="438"/>
      <c r="V683" s="438"/>
      <c r="W683" s="438"/>
      <c r="X683" s="438"/>
      <c r="Y683" s="439"/>
      <c r="Z683" s="439"/>
      <c r="AA683" s="440"/>
      <c r="AB683" s="440"/>
      <c r="AC683" s="176"/>
    </row>
    <row r="684" spans="1:29">
      <c r="A684" s="3"/>
      <c r="B684" s="3"/>
      <c r="C684" s="3"/>
      <c r="D684" s="3"/>
      <c r="E684" s="3"/>
      <c r="F684" s="4"/>
      <c r="G684" s="3"/>
      <c r="H684" s="3"/>
      <c r="I684" s="10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438"/>
      <c r="U684" s="438"/>
      <c r="V684" s="438"/>
      <c r="W684" s="438"/>
      <c r="X684" s="438"/>
      <c r="Y684" s="439"/>
      <c r="Z684" s="439"/>
      <c r="AA684" s="440"/>
      <c r="AB684" s="440"/>
      <c r="AC684" s="176"/>
    </row>
    <row r="685" spans="1:29">
      <c r="A685" s="3"/>
      <c r="B685" s="3"/>
      <c r="C685" s="3"/>
      <c r="D685" s="3"/>
      <c r="E685" s="3"/>
      <c r="F685" s="4"/>
      <c r="G685" s="3"/>
      <c r="H685" s="3"/>
      <c r="I685" s="10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438"/>
      <c r="U685" s="438"/>
      <c r="V685" s="438"/>
      <c r="W685" s="438"/>
      <c r="X685" s="438"/>
      <c r="Y685" s="439"/>
      <c r="Z685" s="439"/>
      <c r="AA685" s="440"/>
      <c r="AB685" s="440"/>
      <c r="AC685" s="176"/>
    </row>
    <row r="686" spans="1:29">
      <c r="A686" s="3"/>
      <c r="B686" s="3"/>
      <c r="C686" s="3"/>
      <c r="D686" s="3"/>
      <c r="E686" s="3"/>
      <c r="F686" s="4"/>
      <c r="G686" s="3"/>
      <c r="H686" s="3"/>
      <c r="I686" s="10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438"/>
      <c r="U686" s="438"/>
      <c r="V686" s="438"/>
      <c r="W686" s="438"/>
      <c r="X686" s="438"/>
      <c r="Y686" s="439"/>
      <c r="Z686" s="439"/>
      <c r="AA686" s="440"/>
      <c r="AB686" s="440"/>
      <c r="AC686" s="176"/>
    </row>
    <row r="687" spans="1:29">
      <c r="A687" s="3"/>
      <c r="B687" s="3"/>
      <c r="C687" s="3"/>
      <c r="D687" s="3"/>
      <c r="E687" s="3"/>
      <c r="F687" s="4"/>
      <c r="G687" s="3"/>
      <c r="H687" s="3"/>
      <c r="I687" s="10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438"/>
      <c r="U687" s="438"/>
      <c r="V687" s="438"/>
      <c r="W687" s="438"/>
      <c r="X687" s="438"/>
      <c r="Y687" s="439"/>
      <c r="Z687" s="439"/>
      <c r="AA687" s="440"/>
      <c r="AB687" s="440"/>
      <c r="AC687" s="176"/>
    </row>
    <row r="688" spans="1:29">
      <c r="A688" s="3"/>
      <c r="B688" s="3"/>
      <c r="C688" s="3"/>
      <c r="D688" s="3"/>
      <c r="E688" s="3"/>
      <c r="F688" s="4"/>
      <c r="G688" s="3"/>
      <c r="H688" s="3"/>
      <c r="I688" s="10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438"/>
      <c r="U688" s="438"/>
      <c r="V688" s="438"/>
      <c r="W688" s="438"/>
      <c r="X688" s="438"/>
      <c r="Y688" s="439"/>
      <c r="Z688" s="439"/>
      <c r="AA688" s="440"/>
      <c r="AB688" s="440"/>
      <c r="AC688" s="176"/>
    </row>
    <row r="689" spans="1:29">
      <c r="A689" s="3"/>
      <c r="B689" s="3"/>
      <c r="C689" s="3"/>
      <c r="D689" s="3"/>
      <c r="E689" s="3"/>
      <c r="F689" s="4"/>
      <c r="G689" s="3"/>
      <c r="H689" s="3"/>
      <c r="I689" s="10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438"/>
      <c r="U689" s="438"/>
      <c r="V689" s="438"/>
      <c r="W689" s="438"/>
      <c r="X689" s="438"/>
      <c r="Y689" s="439"/>
      <c r="Z689" s="439"/>
      <c r="AA689" s="440"/>
      <c r="AB689" s="440"/>
      <c r="AC689" s="176"/>
    </row>
    <row r="690" spans="1:29">
      <c r="A690" s="3"/>
      <c r="B690" s="3"/>
      <c r="C690" s="3"/>
      <c r="D690" s="3"/>
      <c r="E690" s="3"/>
      <c r="F690" s="4"/>
      <c r="G690" s="3"/>
      <c r="H690" s="3"/>
      <c r="I690" s="10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438"/>
      <c r="U690" s="438"/>
      <c r="V690" s="438"/>
      <c r="W690" s="438"/>
      <c r="X690" s="438"/>
      <c r="Y690" s="439"/>
      <c r="Z690" s="439"/>
      <c r="AA690" s="440"/>
      <c r="AB690" s="440"/>
      <c r="AC690" s="176"/>
    </row>
    <row r="691" spans="1:29">
      <c r="A691" s="3"/>
      <c r="B691" s="3"/>
      <c r="C691" s="3"/>
      <c r="D691" s="3"/>
      <c r="E691" s="3"/>
      <c r="F691" s="4"/>
      <c r="G691" s="3"/>
      <c r="H691" s="3"/>
      <c r="I691" s="10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438"/>
      <c r="U691" s="438"/>
      <c r="V691" s="438"/>
      <c r="W691" s="438"/>
      <c r="X691" s="438"/>
      <c r="Y691" s="439"/>
      <c r="Z691" s="439"/>
      <c r="AA691" s="440"/>
      <c r="AB691" s="440"/>
      <c r="AC691" s="176"/>
    </row>
    <row r="692" spans="1:29">
      <c r="A692" s="3"/>
      <c r="B692" s="3"/>
      <c r="C692" s="3"/>
      <c r="D692" s="3"/>
      <c r="E692" s="3"/>
      <c r="F692" s="4"/>
      <c r="G692" s="3"/>
      <c r="H692" s="3"/>
      <c r="I692" s="10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438"/>
      <c r="U692" s="438"/>
      <c r="V692" s="438"/>
      <c r="W692" s="438"/>
      <c r="X692" s="438"/>
      <c r="Y692" s="439"/>
      <c r="Z692" s="439"/>
      <c r="AA692" s="440"/>
      <c r="AB692" s="440"/>
      <c r="AC692" s="176"/>
    </row>
    <row r="693" spans="1:29">
      <c r="A693" s="3"/>
      <c r="B693" s="3"/>
      <c r="C693" s="3"/>
      <c r="D693" s="3"/>
      <c r="E693" s="3"/>
      <c r="F693" s="4"/>
      <c r="G693" s="3"/>
      <c r="H693" s="3"/>
      <c r="I693" s="10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438"/>
      <c r="U693" s="438"/>
      <c r="V693" s="438"/>
      <c r="W693" s="438"/>
      <c r="X693" s="438"/>
      <c r="Y693" s="439"/>
      <c r="Z693" s="439"/>
      <c r="AA693" s="440"/>
      <c r="AB693" s="440"/>
      <c r="AC693" s="176"/>
    </row>
    <row r="694" spans="1:29">
      <c r="A694" s="3"/>
      <c r="B694" s="3"/>
      <c r="C694" s="3"/>
      <c r="D694" s="3"/>
      <c r="E694" s="3"/>
      <c r="F694" s="4"/>
      <c r="G694" s="3"/>
      <c r="H694" s="3"/>
      <c r="I694" s="10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438"/>
      <c r="U694" s="438"/>
      <c r="V694" s="438"/>
      <c r="W694" s="438"/>
      <c r="X694" s="438"/>
      <c r="Y694" s="439"/>
      <c r="Z694" s="439"/>
      <c r="AA694" s="440"/>
      <c r="AB694" s="440"/>
      <c r="AC694" s="176"/>
    </row>
    <row r="695" spans="1:29">
      <c r="A695" s="3"/>
      <c r="B695" s="3"/>
      <c r="C695" s="3"/>
      <c r="D695" s="3"/>
      <c r="E695" s="3"/>
      <c r="F695" s="4"/>
      <c r="G695" s="3"/>
      <c r="H695" s="3"/>
      <c r="I695" s="10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438"/>
      <c r="U695" s="438"/>
      <c r="V695" s="438"/>
      <c r="W695" s="438"/>
      <c r="X695" s="438"/>
      <c r="Y695" s="439"/>
      <c r="Z695" s="439"/>
      <c r="AA695" s="440"/>
      <c r="AB695" s="440"/>
      <c r="AC695" s="176"/>
    </row>
    <row r="696" spans="1:29">
      <c r="A696" s="3"/>
      <c r="B696" s="3"/>
      <c r="C696" s="3"/>
      <c r="D696" s="3"/>
      <c r="E696" s="3"/>
      <c r="F696" s="4"/>
      <c r="G696" s="3"/>
      <c r="H696" s="3"/>
      <c r="I696" s="10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438"/>
      <c r="U696" s="438"/>
      <c r="V696" s="438"/>
      <c r="W696" s="438"/>
      <c r="X696" s="438"/>
      <c r="Y696" s="439"/>
      <c r="Z696" s="439"/>
      <c r="AA696" s="440"/>
      <c r="AB696" s="440"/>
      <c r="AC696" s="176"/>
    </row>
    <row r="697" spans="1:29">
      <c r="A697" s="3"/>
      <c r="B697" s="3"/>
      <c r="C697" s="3"/>
      <c r="D697" s="3"/>
      <c r="E697" s="3"/>
      <c r="F697" s="4"/>
      <c r="G697" s="3"/>
      <c r="H697" s="3"/>
      <c r="I697" s="10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438"/>
      <c r="U697" s="438"/>
      <c r="V697" s="438"/>
      <c r="W697" s="438"/>
      <c r="X697" s="438"/>
      <c r="Y697" s="439"/>
      <c r="Z697" s="439"/>
      <c r="AA697" s="440"/>
      <c r="AB697" s="440"/>
      <c r="AC697" s="176"/>
    </row>
    <row r="698" spans="1:29">
      <c r="A698" s="3"/>
      <c r="B698" s="3"/>
      <c r="C698" s="3"/>
      <c r="D698" s="3"/>
      <c r="E698" s="3"/>
      <c r="F698" s="4"/>
      <c r="G698" s="3"/>
      <c r="H698" s="3"/>
      <c r="I698" s="10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438"/>
      <c r="U698" s="438"/>
      <c r="V698" s="438"/>
      <c r="W698" s="438"/>
      <c r="X698" s="438"/>
      <c r="Y698" s="439"/>
      <c r="Z698" s="439"/>
      <c r="AA698" s="440"/>
      <c r="AB698" s="440"/>
      <c r="AC698" s="176"/>
    </row>
    <row r="699" spans="1:29">
      <c r="A699" s="3"/>
      <c r="B699" s="3"/>
      <c r="C699" s="3"/>
      <c r="D699" s="3"/>
      <c r="E699" s="3"/>
      <c r="F699" s="4"/>
      <c r="G699" s="3"/>
      <c r="H699" s="3"/>
      <c r="I699" s="10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438"/>
      <c r="U699" s="438"/>
      <c r="V699" s="438"/>
      <c r="W699" s="438"/>
      <c r="X699" s="438"/>
      <c r="Y699" s="439"/>
      <c r="Z699" s="439"/>
      <c r="AA699" s="440"/>
      <c r="AB699" s="440"/>
      <c r="AC699" s="176"/>
    </row>
    <row r="700" spans="1:29">
      <c r="A700" s="3"/>
      <c r="B700" s="3"/>
      <c r="C700" s="3"/>
      <c r="D700" s="3"/>
      <c r="E700" s="3"/>
      <c r="F700" s="4"/>
      <c r="G700" s="3"/>
      <c r="H700" s="3"/>
      <c r="I700" s="10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438"/>
      <c r="U700" s="438"/>
      <c r="V700" s="438"/>
      <c r="W700" s="438"/>
      <c r="X700" s="438"/>
      <c r="Y700" s="439"/>
      <c r="Z700" s="439"/>
      <c r="AA700" s="440"/>
      <c r="AB700" s="440"/>
      <c r="AC700" s="176"/>
    </row>
    <row r="701" spans="1:29">
      <c r="A701" s="3"/>
      <c r="B701" s="3"/>
      <c r="C701" s="3"/>
      <c r="D701" s="3"/>
      <c r="E701" s="3"/>
      <c r="F701" s="4"/>
      <c r="G701" s="3"/>
      <c r="H701" s="3"/>
      <c r="I701" s="10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438"/>
      <c r="U701" s="438"/>
      <c r="V701" s="438"/>
      <c r="W701" s="438"/>
      <c r="X701" s="438"/>
      <c r="Y701" s="439"/>
      <c r="Z701" s="439"/>
      <c r="AA701" s="440"/>
      <c r="AB701" s="440"/>
      <c r="AC701" s="176"/>
    </row>
    <row r="702" spans="1:29">
      <c r="A702" s="3"/>
      <c r="B702" s="3"/>
      <c r="C702" s="3"/>
      <c r="D702" s="3"/>
      <c r="E702" s="3"/>
      <c r="F702" s="4"/>
      <c r="G702" s="3"/>
      <c r="H702" s="3"/>
      <c r="I702" s="10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438"/>
      <c r="U702" s="438"/>
      <c r="V702" s="438"/>
      <c r="W702" s="438"/>
      <c r="X702" s="438"/>
      <c r="Y702" s="439"/>
      <c r="Z702" s="439"/>
      <c r="AA702" s="440"/>
      <c r="AB702" s="440"/>
      <c r="AC702" s="176"/>
    </row>
    <row r="703" spans="1:29">
      <c r="A703" s="3"/>
      <c r="B703" s="3"/>
      <c r="C703" s="3"/>
      <c r="D703" s="3"/>
      <c r="E703" s="3"/>
      <c r="F703" s="4"/>
      <c r="G703" s="3"/>
      <c r="H703" s="3"/>
      <c r="I703" s="10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438"/>
      <c r="U703" s="438"/>
      <c r="V703" s="438"/>
      <c r="W703" s="438"/>
      <c r="X703" s="438"/>
      <c r="Y703" s="439"/>
      <c r="Z703" s="439"/>
      <c r="AA703" s="440"/>
      <c r="AB703" s="440"/>
      <c r="AC703" s="176"/>
    </row>
    <row r="704" spans="1:29">
      <c r="A704" s="3"/>
      <c r="B704" s="3"/>
      <c r="C704" s="3"/>
      <c r="D704" s="3"/>
      <c r="E704" s="3"/>
      <c r="F704" s="4"/>
      <c r="G704" s="3"/>
      <c r="H704" s="3"/>
      <c r="I704" s="10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438"/>
      <c r="U704" s="438"/>
      <c r="V704" s="438"/>
      <c r="W704" s="438"/>
      <c r="X704" s="438"/>
      <c r="Y704" s="439"/>
      <c r="Z704" s="439"/>
      <c r="AA704" s="440"/>
      <c r="AB704" s="440"/>
      <c r="AC704" s="176"/>
    </row>
    <row r="705" spans="1:29">
      <c r="A705" s="3"/>
      <c r="B705" s="3"/>
      <c r="C705" s="3"/>
      <c r="D705" s="3"/>
      <c r="E705" s="3"/>
      <c r="F705" s="4"/>
      <c r="G705" s="3"/>
      <c r="H705" s="3"/>
      <c r="I705" s="10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438"/>
      <c r="U705" s="438"/>
      <c r="V705" s="438"/>
      <c r="W705" s="438"/>
      <c r="X705" s="438"/>
      <c r="Y705" s="439"/>
      <c r="Z705" s="439"/>
      <c r="AA705" s="440"/>
      <c r="AB705" s="440"/>
      <c r="AC705" s="176"/>
    </row>
    <row r="706" spans="1:29">
      <c r="A706" s="3"/>
      <c r="B706" s="3"/>
      <c r="C706" s="3"/>
      <c r="D706" s="3"/>
      <c r="E706" s="3"/>
      <c r="F706" s="4"/>
      <c r="G706" s="3"/>
      <c r="H706" s="3"/>
      <c r="I706" s="10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438"/>
      <c r="U706" s="438"/>
      <c r="V706" s="438"/>
      <c r="W706" s="438"/>
      <c r="X706" s="438"/>
      <c r="Y706" s="439"/>
      <c r="Z706" s="439"/>
      <c r="AA706" s="440"/>
      <c r="AB706" s="440"/>
      <c r="AC706" s="176"/>
    </row>
    <row r="707" spans="1:29">
      <c r="A707" s="3"/>
      <c r="B707" s="3"/>
      <c r="C707" s="3"/>
      <c r="D707" s="3"/>
      <c r="E707" s="3"/>
      <c r="F707" s="4"/>
      <c r="G707" s="3"/>
      <c r="H707" s="3"/>
      <c r="I707" s="10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438"/>
      <c r="U707" s="438"/>
      <c r="V707" s="438"/>
      <c r="W707" s="438"/>
      <c r="X707" s="438"/>
      <c r="Y707" s="439"/>
      <c r="Z707" s="439"/>
      <c r="AA707" s="440"/>
      <c r="AB707" s="440"/>
      <c r="AC707" s="176"/>
    </row>
    <row r="708" spans="1:29">
      <c r="A708" s="3"/>
      <c r="B708" s="3"/>
      <c r="C708" s="3"/>
      <c r="D708" s="3"/>
      <c r="E708" s="3"/>
      <c r="F708" s="4"/>
      <c r="G708" s="3"/>
      <c r="H708" s="3"/>
      <c r="I708" s="10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438"/>
      <c r="U708" s="438"/>
      <c r="V708" s="438"/>
      <c r="W708" s="438"/>
      <c r="X708" s="438"/>
      <c r="Y708" s="439"/>
      <c r="Z708" s="439"/>
      <c r="AA708" s="440"/>
      <c r="AB708" s="440"/>
      <c r="AC708" s="176"/>
    </row>
    <row r="709" spans="1:29">
      <c r="A709" s="3"/>
      <c r="B709" s="3"/>
      <c r="C709" s="3"/>
      <c r="D709" s="3"/>
      <c r="E709" s="3"/>
      <c r="F709" s="4"/>
      <c r="G709" s="3"/>
      <c r="H709" s="3"/>
      <c r="I709" s="10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438"/>
      <c r="U709" s="438"/>
      <c r="V709" s="438"/>
      <c r="W709" s="438"/>
      <c r="X709" s="438"/>
      <c r="Y709" s="439"/>
      <c r="Z709" s="439"/>
      <c r="AA709" s="440"/>
      <c r="AB709" s="440"/>
      <c r="AC709" s="176"/>
    </row>
    <row r="710" spans="1:29">
      <c r="A710" s="3"/>
      <c r="B710" s="3"/>
      <c r="C710" s="3"/>
      <c r="D710" s="3"/>
      <c r="E710" s="3"/>
      <c r="F710" s="4"/>
      <c r="G710" s="3"/>
      <c r="H710" s="3"/>
      <c r="I710" s="10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438"/>
      <c r="U710" s="438"/>
      <c r="V710" s="438"/>
      <c r="W710" s="438"/>
      <c r="X710" s="438"/>
      <c r="Y710" s="439"/>
      <c r="Z710" s="439"/>
      <c r="AA710" s="440"/>
      <c r="AB710" s="440"/>
      <c r="AC710" s="176"/>
    </row>
    <row r="711" spans="1:29">
      <c r="A711" s="3"/>
      <c r="B711" s="3"/>
      <c r="C711" s="3"/>
      <c r="D711" s="3"/>
      <c r="E711" s="3"/>
      <c r="F711" s="4"/>
      <c r="G711" s="3"/>
      <c r="H711" s="3"/>
      <c r="I711" s="10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438"/>
      <c r="U711" s="438"/>
      <c r="V711" s="438"/>
      <c r="W711" s="438"/>
      <c r="X711" s="438"/>
      <c r="Y711" s="439"/>
      <c r="Z711" s="439"/>
      <c r="AA711" s="440"/>
      <c r="AB711" s="440"/>
      <c r="AC711" s="176"/>
    </row>
    <row r="712" spans="1:29">
      <c r="A712" s="3"/>
      <c r="B712" s="3"/>
      <c r="C712" s="3"/>
      <c r="D712" s="3"/>
      <c r="E712" s="3"/>
      <c r="F712" s="4"/>
      <c r="G712" s="3"/>
      <c r="H712" s="3"/>
      <c r="I712" s="10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438"/>
      <c r="U712" s="438"/>
      <c r="V712" s="438"/>
      <c r="W712" s="438"/>
      <c r="X712" s="438"/>
      <c r="Y712" s="439"/>
      <c r="Z712" s="439"/>
      <c r="AA712" s="440"/>
      <c r="AB712" s="440"/>
      <c r="AC712" s="176"/>
    </row>
    <row r="713" spans="1:29">
      <c r="A713" s="3"/>
      <c r="B713" s="3"/>
      <c r="C713" s="3"/>
      <c r="D713" s="3"/>
      <c r="E713" s="3"/>
      <c r="F713" s="4"/>
      <c r="G713" s="3"/>
      <c r="H713" s="3"/>
      <c r="I713" s="10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438"/>
      <c r="U713" s="438"/>
      <c r="V713" s="438"/>
      <c r="W713" s="438"/>
      <c r="X713" s="438"/>
      <c r="Y713" s="439"/>
      <c r="Z713" s="439"/>
      <c r="AA713" s="440"/>
      <c r="AB713" s="440"/>
      <c r="AC713" s="176"/>
    </row>
    <row r="714" spans="1:29">
      <c r="A714" s="3"/>
      <c r="B714" s="3"/>
      <c r="C714" s="3"/>
      <c r="D714" s="3"/>
      <c r="E714" s="3"/>
      <c r="F714" s="4"/>
      <c r="G714" s="3"/>
      <c r="H714" s="3"/>
      <c r="I714" s="10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438"/>
      <c r="U714" s="438"/>
      <c r="V714" s="438"/>
      <c r="W714" s="438"/>
      <c r="X714" s="438"/>
      <c r="Y714" s="439"/>
      <c r="Z714" s="439"/>
      <c r="AA714" s="440"/>
      <c r="AB714" s="440"/>
      <c r="AC714" s="176"/>
    </row>
    <row r="715" spans="1:29">
      <c r="A715" s="3"/>
      <c r="B715" s="3"/>
      <c r="C715" s="3"/>
      <c r="D715" s="3"/>
      <c r="E715" s="3"/>
      <c r="F715" s="4"/>
      <c r="G715" s="3"/>
      <c r="H715" s="3"/>
      <c r="I715" s="10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438"/>
      <c r="U715" s="438"/>
      <c r="V715" s="438"/>
      <c r="W715" s="438"/>
      <c r="X715" s="438"/>
      <c r="Y715" s="439"/>
      <c r="Z715" s="439"/>
      <c r="AA715" s="440"/>
      <c r="AB715" s="440"/>
      <c r="AC715" s="176"/>
    </row>
    <row r="716" spans="1:29">
      <c r="A716" s="3"/>
      <c r="B716" s="3"/>
      <c r="C716" s="3"/>
      <c r="D716" s="3"/>
      <c r="E716" s="3"/>
      <c r="F716" s="4"/>
      <c r="G716" s="3"/>
      <c r="H716" s="3"/>
      <c r="I716" s="10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438"/>
      <c r="U716" s="438"/>
      <c r="V716" s="438"/>
      <c r="W716" s="438"/>
      <c r="X716" s="438"/>
      <c r="Y716" s="439"/>
      <c r="Z716" s="439"/>
      <c r="AA716" s="440"/>
      <c r="AB716" s="440"/>
      <c r="AC716" s="176"/>
    </row>
    <row r="717" spans="1:29">
      <c r="A717" s="3"/>
      <c r="B717" s="3"/>
      <c r="C717" s="3"/>
      <c r="D717" s="3"/>
      <c r="E717" s="3"/>
      <c r="F717" s="4"/>
      <c r="G717" s="3"/>
      <c r="H717" s="3"/>
      <c r="I717" s="10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438"/>
      <c r="U717" s="438"/>
      <c r="V717" s="438"/>
      <c r="W717" s="438"/>
      <c r="X717" s="438"/>
      <c r="Y717" s="439"/>
      <c r="Z717" s="439"/>
      <c r="AA717" s="440"/>
      <c r="AB717" s="440"/>
      <c r="AC717" s="176"/>
    </row>
    <row r="718" spans="1:29">
      <c r="A718" s="3"/>
      <c r="B718" s="3"/>
      <c r="C718" s="3"/>
      <c r="D718" s="3"/>
      <c r="E718" s="3"/>
      <c r="F718" s="4"/>
      <c r="G718" s="3"/>
      <c r="H718" s="3"/>
      <c r="I718" s="10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438"/>
      <c r="U718" s="438"/>
      <c r="V718" s="438"/>
      <c r="W718" s="438"/>
      <c r="X718" s="438"/>
      <c r="Y718" s="439"/>
      <c r="Z718" s="439"/>
      <c r="AA718" s="440"/>
      <c r="AB718" s="440"/>
      <c r="AC718" s="176"/>
    </row>
    <row r="719" spans="1:29">
      <c r="A719" s="3"/>
      <c r="B719" s="3"/>
      <c r="C719" s="3"/>
      <c r="D719" s="3"/>
      <c r="E719" s="3"/>
      <c r="F719" s="4"/>
      <c r="G719" s="3"/>
      <c r="H719" s="3"/>
      <c r="I719" s="10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438"/>
      <c r="U719" s="438"/>
      <c r="V719" s="438"/>
      <c r="W719" s="438"/>
      <c r="X719" s="438"/>
      <c r="Y719" s="439"/>
      <c r="Z719" s="439"/>
      <c r="AA719" s="440"/>
      <c r="AB719" s="440"/>
      <c r="AC719" s="176"/>
    </row>
    <row r="720" spans="1:29">
      <c r="A720" s="3"/>
      <c r="B720" s="3"/>
      <c r="C720" s="3"/>
      <c r="D720" s="3"/>
      <c r="E720" s="3"/>
      <c r="F720" s="4"/>
      <c r="G720" s="3"/>
      <c r="H720" s="3"/>
      <c r="I720" s="10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438"/>
      <c r="U720" s="438"/>
      <c r="V720" s="438"/>
      <c r="W720" s="438"/>
      <c r="X720" s="438"/>
      <c r="Y720" s="439"/>
      <c r="Z720" s="439"/>
      <c r="AA720" s="440"/>
      <c r="AB720" s="440"/>
      <c r="AC720" s="176"/>
    </row>
    <row r="721" spans="1:29">
      <c r="A721" s="3"/>
      <c r="B721" s="3"/>
      <c r="C721" s="3"/>
      <c r="D721" s="3"/>
      <c r="E721" s="3"/>
      <c r="F721" s="4"/>
      <c r="G721" s="3"/>
      <c r="H721" s="3"/>
      <c r="I721" s="10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438"/>
      <c r="U721" s="438"/>
      <c r="V721" s="438"/>
      <c r="W721" s="438"/>
      <c r="X721" s="438"/>
      <c r="Y721" s="439"/>
      <c r="Z721" s="439"/>
      <c r="AA721" s="440"/>
      <c r="AB721" s="440"/>
      <c r="AC721" s="176"/>
    </row>
    <row r="722" spans="1:29">
      <c r="A722" s="3"/>
      <c r="B722" s="3"/>
      <c r="C722" s="3"/>
      <c r="D722" s="3"/>
      <c r="E722" s="3"/>
      <c r="F722" s="4"/>
      <c r="G722" s="3"/>
      <c r="H722" s="3"/>
      <c r="I722" s="10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438"/>
      <c r="U722" s="438"/>
      <c r="V722" s="438"/>
      <c r="W722" s="438"/>
      <c r="X722" s="438"/>
      <c r="Y722" s="439"/>
      <c r="Z722" s="439"/>
      <c r="AA722" s="440"/>
      <c r="AB722" s="440"/>
      <c r="AC722" s="176"/>
    </row>
    <row r="723" spans="1:29">
      <c r="A723" s="3"/>
      <c r="B723" s="3"/>
      <c r="C723" s="3"/>
      <c r="D723" s="3"/>
      <c r="E723" s="3"/>
      <c r="F723" s="4"/>
      <c r="G723" s="3"/>
      <c r="H723" s="3"/>
      <c r="I723" s="10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438"/>
      <c r="U723" s="438"/>
      <c r="V723" s="438"/>
      <c r="W723" s="438"/>
      <c r="X723" s="438"/>
      <c r="Y723" s="439"/>
      <c r="Z723" s="439"/>
      <c r="AA723" s="440"/>
      <c r="AB723" s="440"/>
      <c r="AC723" s="176"/>
    </row>
    <row r="724" spans="1:29">
      <c r="A724" s="3"/>
      <c r="B724" s="3"/>
      <c r="C724" s="3"/>
      <c r="D724" s="3"/>
      <c r="E724" s="3"/>
      <c r="F724" s="4"/>
      <c r="G724" s="3"/>
      <c r="H724" s="3"/>
      <c r="I724" s="10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438"/>
      <c r="U724" s="438"/>
      <c r="V724" s="438"/>
      <c r="W724" s="438"/>
      <c r="X724" s="438"/>
      <c r="Y724" s="439"/>
      <c r="Z724" s="439"/>
      <c r="AA724" s="440"/>
      <c r="AB724" s="440"/>
      <c r="AC724" s="176"/>
    </row>
    <row r="725" spans="1:29">
      <c r="A725" s="3"/>
      <c r="B725" s="3"/>
      <c r="C725" s="3"/>
      <c r="D725" s="3"/>
      <c r="E725" s="3"/>
      <c r="F725" s="4"/>
      <c r="G725" s="3"/>
      <c r="H725" s="3"/>
      <c r="I725" s="10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438"/>
      <c r="U725" s="438"/>
      <c r="V725" s="438"/>
      <c r="W725" s="438"/>
      <c r="X725" s="438"/>
      <c r="Y725" s="439"/>
      <c r="Z725" s="439"/>
      <c r="AA725" s="440"/>
      <c r="AB725" s="440"/>
      <c r="AC725" s="176"/>
    </row>
    <row r="726" spans="1:29">
      <c r="A726" s="3"/>
      <c r="B726" s="3"/>
      <c r="C726" s="3"/>
      <c r="D726" s="3"/>
      <c r="E726" s="3"/>
      <c r="F726" s="4"/>
      <c r="G726" s="3"/>
      <c r="H726" s="3"/>
      <c r="I726" s="10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438"/>
      <c r="U726" s="438"/>
      <c r="V726" s="438"/>
      <c r="W726" s="438"/>
      <c r="X726" s="438"/>
      <c r="Y726" s="439"/>
      <c r="Z726" s="439"/>
      <c r="AA726" s="440"/>
      <c r="AB726" s="440"/>
      <c r="AC726" s="176"/>
    </row>
    <row r="727" spans="1:29">
      <c r="A727" s="3"/>
      <c r="B727" s="3"/>
      <c r="C727" s="3"/>
      <c r="D727" s="3"/>
      <c r="E727" s="3"/>
      <c r="F727" s="4"/>
      <c r="G727" s="3"/>
      <c r="H727" s="3"/>
      <c r="I727" s="10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438"/>
      <c r="U727" s="438"/>
      <c r="V727" s="438"/>
      <c r="W727" s="438"/>
      <c r="X727" s="438"/>
      <c r="Y727" s="439"/>
      <c r="Z727" s="439"/>
      <c r="AA727" s="440"/>
      <c r="AB727" s="440"/>
      <c r="AC727" s="176"/>
    </row>
    <row r="728" spans="1:29">
      <c r="A728" s="3"/>
      <c r="B728" s="3"/>
      <c r="C728" s="3"/>
      <c r="D728" s="3"/>
      <c r="E728" s="3"/>
      <c r="F728" s="4"/>
      <c r="G728" s="3"/>
      <c r="H728" s="3"/>
      <c r="I728" s="10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438"/>
      <c r="U728" s="438"/>
      <c r="V728" s="438"/>
      <c r="W728" s="438"/>
      <c r="X728" s="438"/>
      <c r="Y728" s="439"/>
      <c r="Z728" s="439"/>
      <c r="AA728" s="440"/>
      <c r="AB728" s="440"/>
      <c r="AC728" s="176"/>
    </row>
    <row r="729" spans="1:29">
      <c r="A729" s="3"/>
      <c r="B729" s="3"/>
      <c r="C729" s="3"/>
      <c r="D729" s="3"/>
      <c r="E729" s="3"/>
      <c r="F729" s="4"/>
      <c r="G729" s="3"/>
      <c r="H729" s="3"/>
      <c r="I729" s="10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438"/>
      <c r="U729" s="438"/>
      <c r="V729" s="438"/>
      <c r="W729" s="438"/>
      <c r="X729" s="438"/>
      <c r="Y729" s="439"/>
      <c r="Z729" s="439"/>
      <c r="AA729" s="440"/>
      <c r="AB729" s="440"/>
      <c r="AC729" s="176"/>
    </row>
    <row r="730" spans="1:29">
      <c r="A730" s="3"/>
      <c r="B730" s="3"/>
      <c r="C730" s="3"/>
      <c r="D730" s="3"/>
      <c r="E730" s="3"/>
      <c r="F730" s="4"/>
      <c r="G730" s="3"/>
      <c r="H730" s="3"/>
      <c r="I730" s="10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438"/>
      <c r="U730" s="438"/>
      <c r="V730" s="438"/>
      <c r="W730" s="438"/>
      <c r="X730" s="438"/>
      <c r="Y730" s="439"/>
      <c r="Z730" s="439"/>
      <c r="AA730" s="440"/>
      <c r="AB730" s="440"/>
      <c r="AC730" s="176"/>
    </row>
    <row r="731" spans="1:29">
      <c r="A731" s="3"/>
      <c r="B731" s="3"/>
      <c r="C731" s="3"/>
      <c r="D731" s="3"/>
      <c r="E731" s="3"/>
      <c r="F731" s="4"/>
      <c r="G731" s="3"/>
      <c r="H731" s="3"/>
      <c r="I731" s="10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438"/>
      <c r="U731" s="438"/>
      <c r="V731" s="438"/>
      <c r="W731" s="438"/>
      <c r="X731" s="438"/>
      <c r="Y731" s="439"/>
      <c r="Z731" s="439"/>
      <c r="AA731" s="440"/>
      <c r="AB731" s="440"/>
      <c r="AC731" s="176"/>
    </row>
    <row r="732" spans="1:29">
      <c r="A732" s="3"/>
      <c r="B732" s="3"/>
      <c r="C732" s="3"/>
      <c r="D732" s="3"/>
      <c r="E732" s="3"/>
      <c r="F732" s="4"/>
      <c r="G732" s="3"/>
      <c r="H732" s="3"/>
      <c r="I732" s="10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438"/>
      <c r="U732" s="438"/>
      <c r="V732" s="438"/>
      <c r="W732" s="438"/>
      <c r="X732" s="438"/>
      <c r="Y732" s="439"/>
      <c r="Z732" s="439"/>
      <c r="AA732" s="440"/>
      <c r="AB732" s="440"/>
      <c r="AC732" s="176"/>
    </row>
    <row r="733" spans="1:29">
      <c r="A733" s="3"/>
      <c r="B733" s="3"/>
      <c r="C733" s="3"/>
      <c r="D733" s="3"/>
      <c r="E733" s="3"/>
      <c r="F733" s="4"/>
      <c r="G733" s="3"/>
      <c r="H733" s="3"/>
      <c r="I733" s="10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438"/>
      <c r="U733" s="438"/>
      <c r="V733" s="438"/>
      <c r="W733" s="438"/>
      <c r="X733" s="438"/>
      <c r="Y733" s="439"/>
      <c r="Z733" s="439"/>
      <c r="AA733" s="440"/>
      <c r="AB733" s="440"/>
      <c r="AC733" s="176"/>
    </row>
    <row r="734" spans="1:29">
      <c r="A734" s="3"/>
      <c r="B734" s="3"/>
      <c r="C734" s="3"/>
      <c r="D734" s="3"/>
      <c r="E734" s="3"/>
      <c r="F734" s="4"/>
      <c r="G734" s="3"/>
      <c r="H734" s="3"/>
      <c r="I734" s="10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438"/>
      <c r="U734" s="438"/>
      <c r="V734" s="438"/>
      <c r="W734" s="438"/>
      <c r="X734" s="438"/>
      <c r="Y734" s="439"/>
      <c r="Z734" s="439"/>
      <c r="AA734" s="440"/>
      <c r="AB734" s="440"/>
      <c r="AC734" s="176"/>
    </row>
    <row r="735" spans="1:29">
      <c r="A735" s="3"/>
      <c r="B735" s="3"/>
      <c r="C735" s="3"/>
      <c r="D735" s="3"/>
      <c r="E735" s="3"/>
      <c r="F735" s="4"/>
      <c r="G735" s="3"/>
      <c r="H735" s="3"/>
      <c r="I735" s="10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438"/>
      <c r="U735" s="438"/>
      <c r="V735" s="438"/>
      <c r="W735" s="438"/>
      <c r="X735" s="438"/>
      <c r="Y735" s="439"/>
      <c r="Z735" s="439"/>
      <c r="AA735" s="440"/>
      <c r="AB735" s="440"/>
      <c r="AC735" s="176"/>
    </row>
    <row r="736" spans="1:29">
      <c r="A736" s="3"/>
      <c r="B736" s="3"/>
      <c r="C736" s="3"/>
      <c r="D736" s="3"/>
      <c r="E736" s="3"/>
      <c r="F736" s="4"/>
      <c r="G736" s="3"/>
      <c r="H736" s="3"/>
      <c r="I736" s="10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438"/>
      <c r="U736" s="438"/>
      <c r="V736" s="438"/>
      <c r="W736" s="438"/>
      <c r="X736" s="438"/>
      <c r="Y736" s="439"/>
      <c r="Z736" s="439"/>
      <c r="AA736" s="440"/>
      <c r="AB736" s="440"/>
      <c r="AC736" s="176"/>
    </row>
    <row r="737" spans="1:29">
      <c r="A737" s="3"/>
      <c r="B737" s="3"/>
      <c r="C737" s="3"/>
      <c r="D737" s="3"/>
      <c r="E737" s="3"/>
      <c r="F737" s="4"/>
      <c r="G737" s="3"/>
      <c r="H737" s="3"/>
      <c r="I737" s="10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438"/>
      <c r="U737" s="438"/>
      <c r="V737" s="438"/>
      <c r="W737" s="438"/>
      <c r="X737" s="438"/>
      <c r="Y737" s="439"/>
      <c r="Z737" s="439"/>
      <c r="AA737" s="440"/>
      <c r="AB737" s="440"/>
      <c r="AC737" s="176"/>
    </row>
    <row r="738" spans="1:29">
      <c r="A738" s="3"/>
      <c r="B738" s="3"/>
      <c r="C738" s="3"/>
      <c r="D738" s="3"/>
      <c r="E738" s="3"/>
      <c r="F738" s="4"/>
      <c r="G738" s="3"/>
      <c r="H738" s="3"/>
      <c r="I738" s="10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438"/>
      <c r="U738" s="438"/>
      <c r="V738" s="438"/>
      <c r="W738" s="438"/>
      <c r="X738" s="438"/>
      <c r="Y738" s="439"/>
      <c r="Z738" s="439"/>
      <c r="AA738" s="440"/>
      <c r="AB738" s="440"/>
      <c r="AC738" s="176"/>
    </row>
    <row r="739" spans="1:29">
      <c r="A739" s="3"/>
      <c r="B739" s="3"/>
      <c r="C739" s="3"/>
      <c r="D739" s="3"/>
      <c r="E739" s="3"/>
      <c r="F739" s="4"/>
      <c r="G739" s="3"/>
      <c r="H739" s="3"/>
      <c r="I739" s="10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438"/>
      <c r="U739" s="438"/>
      <c r="V739" s="438"/>
      <c r="W739" s="438"/>
      <c r="X739" s="438"/>
      <c r="Y739" s="439"/>
      <c r="Z739" s="439"/>
      <c r="AA739" s="440"/>
      <c r="AB739" s="440"/>
      <c r="AC739" s="176"/>
    </row>
    <row r="740" spans="1:29">
      <c r="A740" s="3"/>
      <c r="B740" s="3"/>
      <c r="C740" s="3"/>
      <c r="D740" s="3"/>
      <c r="E740" s="3"/>
      <c r="F740" s="4"/>
      <c r="G740" s="3"/>
      <c r="H740" s="3"/>
      <c r="I740" s="10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438"/>
      <c r="U740" s="438"/>
      <c r="V740" s="438"/>
      <c r="W740" s="438"/>
      <c r="X740" s="438"/>
      <c r="Y740" s="439"/>
      <c r="Z740" s="439"/>
      <c r="AA740" s="440"/>
      <c r="AB740" s="440"/>
      <c r="AC740" s="176"/>
    </row>
    <row r="741" spans="1:29">
      <c r="A741" s="3"/>
      <c r="B741" s="3"/>
      <c r="C741" s="3"/>
      <c r="D741" s="3"/>
      <c r="E741" s="3"/>
      <c r="F741" s="4"/>
      <c r="G741" s="3"/>
      <c r="H741" s="3"/>
      <c r="I741" s="10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438"/>
      <c r="U741" s="438"/>
      <c r="V741" s="438"/>
      <c r="W741" s="438"/>
      <c r="X741" s="438"/>
      <c r="Y741" s="439"/>
      <c r="Z741" s="439"/>
      <c r="AA741" s="440"/>
      <c r="AB741" s="440"/>
      <c r="AC741" s="176"/>
    </row>
    <row r="742" spans="1:29">
      <c r="A742" s="3"/>
      <c r="B742" s="3"/>
      <c r="C742" s="3"/>
      <c r="D742" s="3"/>
      <c r="E742" s="3"/>
      <c r="F742" s="4"/>
      <c r="G742" s="3"/>
      <c r="H742" s="3"/>
      <c r="I742" s="10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438"/>
      <c r="U742" s="438"/>
      <c r="V742" s="438"/>
      <c r="W742" s="438"/>
      <c r="X742" s="438"/>
      <c r="Y742" s="439"/>
      <c r="Z742" s="439"/>
      <c r="AA742" s="440"/>
      <c r="AB742" s="440"/>
      <c r="AC742" s="176"/>
    </row>
    <row r="743" spans="1:29">
      <c r="A743" s="3"/>
      <c r="B743" s="3"/>
      <c r="C743" s="3"/>
      <c r="D743" s="3"/>
      <c r="E743" s="3"/>
      <c r="F743" s="4"/>
      <c r="G743" s="3"/>
      <c r="H743" s="3"/>
      <c r="I743" s="10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438"/>
      <c r="U743" s="438"/>
      <c r="V743" s="438"/>
      <c r="W743" s="438"/>
      <c r="X743" s="438"/>
      <c r="Y743" s="439"/>
      <c r="Z743" s="439"/>
      <c r="AA743" s="440"/>
      <c r="AB743" s="440"/>
      <c r="AC743" s="176"/>
    </row>
    <row r="744" spans="1:29">
      <c r="A744" s="3"/>
      <c r="B744" s="3"/>
      <c r="C744" s="3"/>
      <c r="D744" s="3"/>
      <c r="E744" s="3"/>
      <c r="F744" s="4"/>
      <c r="G744" s="3"/>
      <c r="H744" s="3"/>
      <c r="I744" s="10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438"/>
      <c r="U744" s="438"/>
      <c r="V744" s="438"/>
      <c r="W744" s="438"/>
      <c r="X744" s="438"/>
      <c r="Y744" s="439"/>
      <c r="Z744" s="439"/>
      <c r="AA744" s="440"/>
      <c r="AB744" s="440"/>
      <c r="AC744" s="176"/>
    </row>
    <row r="745" spans="1:29">
      <c r="A745" s="3"/>
      <c r="B745" s="3"/>
      <c r="C745" s="3"/>
      <c r="D745" s="3"/>
      <c r="E745" s="3"/>
      <c r="F745" s="4"/>
      <c r="G745" s="3"/>
      <c r="H745" s="3"/>
      <c r="I745" s="10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438"/>
      <c r="U745" s="438"/>
      <c r="V745" s="438"/>
      <c r="W745" s="438"/>
      <c r="X745" s="438"/>
      <c r="Y745" s="439"/>
      <c r="Z745" s="439"/>
      <c r="AA745" s="440"/>
      <c r="AB745" s="440"/>
      <c r="AC745" s="176"/>
    </row>
    <row r="746" spans="1:29">
      <c r="A746" s="3"/>
      <c r="B746" s="3"/>
      <c r="C746" s="3"/>
      <c r="D746" s="3"/>
      <c r="E746" s="3"/>
      <c r="F746" s="4"/>
      <c r="G746" s="3"/>
      <c r="H746" s="3"/>
      <c r="I746" s="10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438"/>
      <c r="U746" s="438"/>
      <c r="V746" s="438"/>
      <c r="W746" s="438"/>
      <c r="X746" s="438"/>
      <c r="Y746" s="439"/>
      <c r="Z746" s="439"/>
      <c r="AA746" s="440"/>
      <c r="AB746" s="440"/>
      <c r="AC746" s="176"/>
    </row>
    <row r="747" spans="1:29">
      <c r="A747" s="3"/>
      <c r="B747" s="3"/>
      <c r="C747" s="3"/>
      <c r="D747" s="3"/>
      <c r="E747" s="3"/>
      <c r="F747" s="4"/>
      <c r="G747" s="3"/>
      <c r="H747" s="3"/>
      <c r="I747" s="10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438"/>
      <c r="U747" s="438"/>
      <c r="V747" s="438"/>
      <c r="W747" s="438"/>
      <c r="X747" s="438"/>
      <c r="Y747" s="439"/>
      <c r="Z747" s="439"/>
      <c r="AA747" s="440"/>
      <c r="AB747" s="440"/>
      <c r="AC747" s="176"/>
    </row>
    <row r="748" spans="1:29">
      <c r="A748" s="3"/>
      <c r="B748" s="3"/>
      <c r="C748" s="3"/>
      <c r="D748" s="3"/>
      <c r="E748" s="3"/>
      <c r="F748" s="4"/>
      <c r="G748" s="3"/>
      <c r="H748" s="3"/>
      <c r="I748" s="10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438"/>
      <c r="U748" s="438"/>
      <c r="V748" s="438"/>
      <c r="W748" s="438"/>
      <c r="X748" s="438"/>
      <c r="Y748" s="439"/>
      <c r="Z748" s="439"/>
      <c r="AA748" s="440"/>
      <c r="AB748" s="440"/>
      <c r="AC748" s="176"/>
    </row>
    <row r="749" spans="1:29">
      <c r="A749" s="3"/>
      <c r="B749" s="3"/>
      <c r="C749" s="3"/>
      <c r="D749" s="3"/>
      <c r="E749" s="3"/>
      <c r="F749" s="4"/>
      <c r="G749" s="3"/>
      <c r="H749" s="3"/>
      <c r="I749" s="10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438"/>
      <c r="U749" s="438"/>
      <c r="V749" s="438"/>
      <c r="W749" s="438"/>
      <c r="X749" s="438"/>
      <c r="Y749" s="439"/>
      <c r="Z749" s="439"/>
      <c r="AA749" s="440"/>
      <c r="AB749" s="440"/>
      <c r="AC749" s="176"/>
    </row>
    <row r="750" spans="1:29">
      <c r="A750" s="3"/>
      <c r="B750" s="3"/>
      <c r="C750" s="3"/>
      <c r="D750" s="3"/>
      <c r="E750" s="3"/>
      <c r="F750" s="4"/>
      <c r="G750" s="3"/>
      <c r="H750" s="3"/>
      <c r="I750" s="10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438"/>
      <c r="U750" s="438"/>
      <c r="V750" s="438"/>
      <c r="W750" s="438"/>
      <c r="X750" s="438"/>
      <c r="Y750" s="439"/>
      <c r="Z750" s="439"/>
      <c r="AA750" s="440"/>
      <c r="AB750" s="440"/>
      <c r="AC750" s="176"/>
    </row>
    <row r="751" spans="1:29">
      <c r="A751" s="3"/>
      <c r="B751" s="3"/>
      <c r="C751" s="3"/>
      <c r="D751" s="3"/>
      <c r="E751" s="3"/>
      <c r="F751" s="4"/>
      <c r="G751" s="3"/>
      <c r="H751" s="3"/>
      <c r="I751" s="10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438"/>
      <c r="U751" s="438"/>
      <c r="V751" s="438"/>
      <c r="W751" s="438"/>
      <c r="X751" s="438"/>
      <c r="Y751" s="439"/>
      <c r="Z751" s="439"/>
      <c r="AA751" s="440"/>
      <c r="AB751" s="440"/>
      <c r="AC751" s="176"/>
    </row>
    <row r="752" spans="1:29">
      <c r="A752" s="3"/>
      <c r="B752" s="3"/>
      <c r="C752" s="3"/>
      <c r="D752" s="3"/>
      <c r="E752" s="3"/>
      <c r="F752" s="4"/>
      <c r="G752" s="3"/>
      <c r="H752" s="3"/>
      <c r="I752" s="10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438"/>
      <c r="U752" s="438"/>
      <c r="V752" s="438"/>
      <c r="W752" s="438"/>
      <c r="X752" s="438"/>
      <c r="Y752" s="439"/>
      <c r="Z752" s="439"/>
      <c r="AA752" s="440"/>
      <c r="AB752" s="440"/>
      <c r="AC752" s="176"/>
    </row>
    <row r="753" spans="1:29">
      <c r="A753" s="3"/>
      <c r="B753" s="3"/>
      <c r="C753" s="3"/>
      <c r="D753" s="3"/>
      <c r="E753" s="3"/>
      <c r="F753" s="4"/>
      <c r="G753" s="3"/>
      <c r="H753" s="3"/>
      <c r="I753" s="10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438"/>
      <c r="U753" s="438"/>
      <c r="V753" s="438"/>
      <c r="W753" s="438"/>
      <c r="X753" s="438"/>
      <c r="Y753" s="439"/>
      <c r="Z753" s="439"/>
      <c r="AA753" s="440"/>
      <c r="AB753" s="440"/>
      <c r="AC753" s="176"/>
    </row>
    <row r="754" spans="1:29">
      <c r="A754" s="3"/>
      <c r="B754" s="3"/>
      <c r="C754" s="3"/>
      <c r="D754" s="3"/>
      <c r="E754" s="3"/>
      <c r="F754" s="4"/>
      <c r="G754" s="3"/>
      <c r="H754" s="3"/>
      <c r="I754" s="10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438"/>
      <c r="U754" s="438"/>
      <c r="V754" s="438"/>
      <c r="W754" s="438"/>
      <c r="X754" s="438"/>
      <c r="Y754" s="439"/>
      <c r="Z754" s="439"/>
      <c r="AA754" s="440"/>
      <c r="AB754" s="440"/>
      <c r="AC754" s="176"/>
    </row>
    <row r="755" spans="1:29">
      <c r="A755" s="3"/>
      <c r="B755" s="3"/>
      <c r="C755" s="3"/>
      <c r="D755" s="3"/>
      <c r="E755" s="3"/>
      <c r="F755" s="4"/>
      <c r="G755" s="3"/>
      <c r="H755" s="3"/>
      <c r="I755" s="10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438"/>
      <c r="U755" s="438"/>
      <c r="V755" s="438"/>
      <c r="W755" s="438"/>
      <c r="X755" s="438"/>
      <c r="Y755" s="439"/>
      <c r="Z755" s="439"/>
      <c r="AA755" s="440"/>
      <c r="AB755" s="440"/>
      <c r="AC755" s="176"/>
    </row>
    <row r="756" spans="1:29">
      <c r="A756" s="3"/>
      <c r="B756" s="3"/>
      <c r="C756" s="3"/>
      <c r="D756" s="3"/>
      <c r="E756" s="3"/>
      <c r="F756" s="4"/>
      <c r="G756" s="3"/>
      <c r="H756" s="3"/>
      <c r="I756" s="10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438"/>
      <c r="U756" s="438"/>
      <c r="V756" s="438"/>
      <c r="W756" s="438"/>
      <c r="X756" s="438"/>
      <c r="Y756" s="439"/>
      <c r="Z756" s="439"/>
      <c r="AA756" s="440"/>
      <c r="AB756" s="440"/>
      <c r="AC756" s="176"/>
    </row>
    <row r="757" spans="1:29">
      <c r="A757" s="3"/>
      <c r="B757" s="3"/>
      <c r="C757" s="3"/>
      <c r="D757" s="3"/>
      <c r="E757" s="3"/>
      <c r="F757" s="4"/>
      <c r="G757" s="3"/>
      <c r="H757" s="3"/>
      <c r="I757" s="10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438"/>
      <c r="U757" s="438"/>
      <c r="V757" s="438"/>
      <c r="W757" s="438"/>
      <c r="X757" s="438"/>
      <c r="Y757" s="439"/>
      <c r="Z757" s="439"/>
      <c r="AA757" s="440"/>
      <c r="AB757" s="440"/>
      <c r="AC757" s="176"/>
    </row>
    <row r="758" spans="1:29">
      <c r="A758" s="3"/>
      <c r="B758" s="3"/>
      <c r="C758" s="3"/>
      <c r="D758" s="3"/>
      <c r="E758" s="3"/>
      <c r="F758" s="4"/>
      <c r="G758" s="3"/>
      <c r="H758" s="3"/>
      <c r="I758" s="10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438"/>
      <c r="U758" s="438"/>
      <c r="V758" s="438"/>
      <c r="W758" s="438"/>
      <c r="X758" s="438"/>
      <c r="Y758" s="439"/>
      <c r="Z758" s="439"/>
      <c r="AA758" s="440"/>
      <c r="AB758" s="440"/>
      <c r="AC758" s="176"/>
    </row>
    <row r="759" spans="1:29">
      <c r="A759" s="3"/>
      <c r="B759" s="3"/>
      <c r="C759" s="3"/>
      <c r="D759" s="3"/>
      <c r="E759" s="3"/>
      <c r="F759" s="4"/>
      <c r="G759" s="3"/>
      <c r="H759" s="3"/>
      <c r="I759" s="10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438"/>
      <c r="U759" s="438"/>
      <c r="V759" s="438"/>
      <c r="W759" s="438"/>
      <c r="X759" s="438"/>
      <c r="Y759" s="439"/>
      <c r="Z759" s="439"/>
      <c r="AA759" s="440"/>
      <c r="AB759" s="440"/>
      <c r="AC759" s="176"/>
    </row>
    <row r="760" spans="1:29">
      <c r="A760" s="3"/>
      <c r="B760" s="3"/>
      <c r="C760" s="3"/>
      <c r="D760" s="3"/>
      <c r="E760" s="3"/>
      <c r="F760" s="4"/>
      <c r="G760" s="3"/>
      <c r="H760" s="3"/>
      <c r="I760" s="10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438"/>
      <c r="U760" s="438"/>
      <c r="V760" s="438"/>
      <c r="W760" s="438"/>
      <c r="X760" s="438"/>
      <c r="Y760" s="439"/>
      <c r="Z760" s="439"/>
      <c r="AA760" s="440"/>
      <c r="AB760" s="440"/>
      <c r="AC760" s="176"/>
    </row>
    <row r="761" spans="1:29">
      <c r="A761" s="3"/>
      <c r="B761" s="3"/>
      <c r="C761" s="3"/>
      <c r="D761" s="3"/>
      <c r="E761" s="3"/>
      <c r="F761" s="4"/>
      <c r="G761" s="3"/>
      <c r="H761" s="3"/>
      <c r="I761" s="10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438"/>
      <c r="U761" s="438"/>
      <c r="V761" s="438"/>
      <c r="W761" s="438"/>
      <c r="X761" s="438"/>
      <c r="Y761" s="439"/>
      <c r="Z761" s="439"/>
      <c r="AA761" s="440"/>
      <c r="AB761" s="440"/>
      <c r="AC761" s="176"/>
    </row>
    <row r="762" spans="1:29">
      <c r="A762" s="3"/>
      <c r="B762" s="3"/>
      <c r="C762" s="3"/>
      <c r="D762" s="3"/>
      <c r="E762" s="3"/>
      <c r="F762" s="4"/>
      <c r="G762" s="3"/>
      <c r="H762" s="3"/>
      <c r="I762" s="10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438"/>
      <c r="U762" s="438"/>
      <c r="V762" s="438"/>
      <c r="W762" s="438"/>
      <c r="X762" s="438"/>
      <c r="Y762" s="439"/>
      <c r="Z762" s="439"/>
      <c r="AA762" s="440"/>
      <c r="AB762" s="440"/>
      <c r="AC762" s="176"/>
    </row>
    <row r="763" spans="1:29">
      <c r="A763" s="3"/>
      <c r="B763" s="3"/>
      <c r="C763" s="3"/>
      <c r="D763" s="3"/>
      <c r="E763" s="3"/>
      <c r="F763" s="4"/>
      <c r="G763" s="3"/>
      <c r="H763" s="3"/>
      <c r="I763" s="10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438"/>
      <c r="U763" s="438"/>
      <c r="V763" s="438"/>
      <c r="W763" s="438"/>
      <c r="X763" s="438"/>
      <c r="Y763" s="439"/>
      <c r="Z763" s="439"/>
      <c r="AA763" s="440"/>
      <c r="AB763" s="440"/>
      <c r="AC763" s="176"/>
    </row>
    <row r="764" spans="1:29">
      <c r="A764" s="3"/>
      <c r="B764" s="3"/>
      <c r="C764" s="3"/>
      <c r="D764" s="3"/>
      <c r="E764" s="3"/>
      <c r="F764" s="4"/>
      <c r="G764" s="3"/>
      <c r="H764" s="3"/>
      <c r="I764" s="10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438"/>
      <c r="U764" s="438"/>
      <c r="V764" s="438"/>
      <c r="W764" s="438"/>
      <c r="X764" s="438"/>
      <c r="Y764" s="439"/>
      <c r="Z764" s="439"/>
      <c r="AA764" s="440"/>
      <c r="AB764" s="440"/>
      <c r="AC764" s="176"/>
    </row>
    <row r="765" spans="1:29">
      <c r="A765" s="3"/>
      <c r="B765" s="3"/>
      <c r="C765" s="3"/>
      <c r="D765" s="3"/>
      <c r="E765" s="3"/>
      <c r="F765" s="4"/>
      <c r="G765" s="3"/>
      <c r="H765" s="3"/>
      <c r="I765" s="10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438"/>
      <c r="U765" s="438"/>
      <c r="V765" s="438"/>
      <c r="W765" s="438"/>
      <c r="X765" s="438"/>
      <c r="Y765" s="439"/>
      <c r="Z765" s="439"/>
      <c r="AA765" s="440"/>
      <c r="AB765" s="440"/>
      <c r="AC765" s="176"/>
    </row>
    <row r="766" spans="1:29">
      <c r="A766" s="3"/>
      <c r="B766" s="3"/>
      <c r="C766" s="3"/>
      <c r="D766" s="3"/>
      <c r="E766" s="3"/>
      <c r="F766" s="4"/>
      <c r="G766" s="3"/>
      <c r="H766" s="3"/>
      <c r="I766" s="10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438"/>
      <c r="U766" s="438"/>
      <c r="V766" s="438"/>
      <c r="W766" s="438"/>
      <c r="X766" s="438"/>
      <c r="Y766" s="439"/>
      <c r="Z766" s="439"/>
      <c r="AA766" s="440"/>
      <c r="AB766" s="440"/>
      <c r="AC766" s="176"/>
    </row>
    <row r="767" spans="1:29">
      <c r="A767" s="3"/>
      <c r="B767" s="3"/>
      <c r="C767" s="3"/>
      <c r="D767" s="3"/>
      <c r="E767" s="3"/>
      <c r="F767" s="4"/>
      <c r="G767" s="3"/>
      <c r="H767" s="3"/>
      <c r="I767" s="10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438"/>
      <c r="U767" s="438"/>
      <c r="V767" s="438"/>
      <c r="W767" s="438"/>
      <c r="X767" s="438"/>
      <c r="Y767" s="439"/>
      <c r="Z767" s="439"/>
      <c r="AA767" s="440"/>
      <c r="AB767" s="440"/>
      <c r="AC767" s="176"/>
    </row>
    <row r="768" spans="1:29">
      <c r="A768" s="3"/>
      <c r="B768" s="3"/>
      <c r="C768" s="3"/>
      <c r="D768" s="3"/>
      <c r="E768" s="3"/>
      <c r="F768" s="4"/>
      <c r="G768" s="3"/>
      <c r="H768" s="3"/>
      <c r="I768" s="10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438"/>
      <c r="U768" s="438"/>
      <c r="V768" s="438"/>
      <c r="W768" s="438"/>
      <c r="X768" s="438"/>
      <c r="Y768" s="439"/>
      <c r="Z768" s="439"/>
      <c r="AA768" s="440"/>
      <c r="AB768" s="440"/>
      <c r="AC768" s="176"/>
    </row>
    <row r="769" spans="1:29">
      <c r="A769" s="3"/>
      <c r="B769" s="3"/>
      <c r="C769" s="3"/>
      <c r="D769" s="3"/>
      <c r="E769" s="3"/>
      <c r="F769" s="4"/>
      <c r="G769" s="3"/>
      <c r="H769" s="3"/>
      <c r="I769" s="10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438"/>
      <c r="U769" s="438"/>
      <c r="V769" s="438"/>
      <c r="W769" s="438"/>
      <c r="X769" s="438"/>
      <c r="Y769" s="439"/>
      <c r="Z769" s="439"/>
      <c r="AA769" s="440"/>
      <c r="AB769" s="440"/>
      <c r="AC769" s="176"/>
    </row>
    <row r="770" spans="1:29">
      <c r="A770" s="3"/>
      <c r="B770" s="3"/>
      <c r="C770" s="3"/>
      <c r="D770" s="3"/>
      <c r="E770" s="3"/>
      <c r="F770" s="4"/>
      <c r="G770" s="3"/>
      <c r="H770" s="3"/>
      <c r="I770" s="10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438"/>
      <c r="U770" s="438"/>
      <c r="V770" s="438"/>
      <c r="W770" s="438"/>
      <c r="X770" s="438"/>
      <c r="Y770" s="439"/>
      <c r="Z770" s="439"/>
      <c r="AA770" s="440"/>
      <c r="AB770" s="440"/>
      <c r="AC770" s="176"/>
    </row>
    <row r="771" spans="1:29">
      <c r="A771" s="3"/>
      <c r="B771" s="3"/>
      <c r="C771" s="3"/>
      <c r="D771" s="3"/>
      <c r="E771" s="3"/>
      <c r="F771" s="4"/>
      <c r="G771" s="3"/>
      <c r="H771" s="3"/>
      <c r="I771" s="10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438"/>
      <c r="U771" s="438"/>
      <c r="V771" s="438"/>
      <c r="W771" s="438"/>
      <c r="X771" s="438"/>
      <c r="Y771" s="439"/>
      <c r="Z771" s="439"/>
      <c r="AA771" s="440"/>
      <c r="AB771" s="440"/>
      <c r="AC771" s="176"/>
    </row>
    <row r="772" spans="1:29">
      <c r="A772" s="3"/>
      <c r="B772" s="3"/>
      <c r="C772" s="3"/>
      <c r="D772" s="3"/>
      <c r="E772" s="3"/>
      <c r="F772" s="4"/>
      <c r="G772" s="3"/>
      <c r="H772" s="3"/>
      <c r="I772" s="10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438"/>
      <c r="U772" s="438"/>
      <c r="V772" s="438"/>
      <c r="W772" s="438"/>
      <c r="X772" s="438"/>
      <c r="Y772" s="439"/>
      <c r="Z772" s="439"/>
      <c r="AA772" s="440"/>
      <c r="AB772" s="440"/>
      <c r="AC772" s="176"/>
    </row>
    <row r="773" spans="1:29">
      <c r="A773" s="3"/>
      <c r="B773" s="3"/>
      <c r="C773" s="3"/>
      <c r="D773" s="3"/>
      <c r="E773" s="3"/>
      <c r="F773" s="4"/>
      <c r="G773" s="3"/>
      <c r="H773" s="3"/>
      <c r="I773" s="10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438"/>
      <c r="U773" s="438"/>
      <c r="V773" s="438"/>
      <c r="W773" s="438"/>
      <c r="X773" s="438"/>
      <c r="Y773" s="439"/>
      <c r="Z773" s="439"/>
      <c r="AA773" s="440"/>
      <c r="AB773" s="440"/>
      <c r="AC773" s="176"/>
    </row>
    <row r="774" spans="1:29">
      <c r="A774" s="3"/>
      <c r="B774" s="3"/>
      <c r="C774" s="3"/>
      <c r="D774" s="3"/>
      <c r="E774" s="3"/>
      <c r="F774" s="4"/>
      <c r="G774" s="3"/>
      <c r="H774" s="3"/>
      <c r="I774" s="10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438"/>
      <c r="U774" s="438"/>
      <c r="V774" s="438"/>
      <c r="W774" s="438"/>
      <c r="X774" s="438"/>
      <c r="Y774" s="439"/>
      <c r="Z774" s="439"/>
      <c r="AA774" s="440"/>
      <c r="AB774" s="440"/>
      <c r="AC774" s="176"/>
    </row>
    <row r="775" spans="1:29">
      <c r="A775" s="3"/>
      <c r="B775" s="3"/>
      <c r="C775" s="3"/>
      <c r="D775" s="3"/>
      <c r="E775" s="3"/>
      <c r="F775" s="4"/>
      <c r="G775" s="3"/>
      <c r="H775" s="3"/>
      <c r="I775" s="10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438"/>
      <c r="U775" s="438"/>
      <c r="V775" s="438"/>
      <c r="W775" s="438"/>
      <c r="X775" s="438"/>
      <c r="Y775" s="439"/>
      <c r="Z775" s="439"/>
      <c r="AA775" s="440"/>
      <c r="AB775" s="440"/>
      <c r="AC775" s="176"/>
    </row>
    <row r="776" spans="1:29">
      <c r="A776" s="3"/>
      <c r="B776" s="3"/>
      <c r="C776" s="3"/>
      <c r="D776" s="3"/>
      <c r="E776" s="3"/>
      <c r="F776" s="4"/>
      <c r="G776" s="3"/>
      <c r="H776" s="3"/>
      <c r="I776" s="10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438"/>
      <c r="U776" s="438"/>
      <c r="V776" s="438"/>
      <c r="W776" s="438"/>
      <c r="X776" s="438"/>
      <c r="Y776" s="439"/>
      <c r="Z776" s="439"/>
      <c r="AA776" s="440"/>
      <c r="AB776" s="440"/>
      <c r="AC776" s="176"/>
    </row>
    <row r="777" spans="1:29">
      <c r="A777" s="3"/>
      <c r="B777" s="3"/>
      <c r="C777" s="3"/>
      <c r="D777" s="3"/>
      <c r="E777" s="3"/>
      <c r="F777" s="4"/>
      <c r="G777" s="3"/>
      <c r="H777" s="3"/>
      <c r="I777" s="10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438"/>
      <c r="U777" s="438"/>
      <c r="V777" s="438"/>
      <c r="W777" s="438"/>
      <c r="X777" s="438"/>
      <c r="Y777" s="439"/>
      <c r="Z777" s="439"/>
      <c r="AA777" s="440"/>
      <c r="AB777" s="440"/>
      <c r="AC777" s="176"/>
    </row>
    <row r="778" spans="1:29">
      <c r="A778" s="3"/>
      <c r="B778" s="3"/>
      <c r="C778" s="3"/>
      <c r="D778" s="3"/>
      <c r="E778" s="3"/>
      <c r="F778" s="4"/>
      <c r="G778" s="3"/>
      <c r="H778" s="3"/>
      <c r="I778" s="10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438"/>
      <c r="U778" s="438"/>
      <c r="V778" s="438"/>
      <c r="W778" s="438"/>
      <c r="X778" s="438"/>
      <c r="Y778" s="439"/>
      <c r="Z778" s="439"/>
      <c r="AA778" s="440"/>
      <c r="AB778" s="440"/>
      <c r="AC778" s="176"/>
    </row>
    <row r="779" spans="1:29">
      <c r="A779" s="3"/>
      <c r="B779" s="3"/>
      <c r="C779" s="3"/>
      <c r="D779" s="3"/>
      <c r="E779" s="3"/>
      <c r="F779" s="4"/>
      <c r="G779" s="3"/>
      <c r="H779" s="3"/>
      <c r="I779" s="10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438"/>
      <c r="U779" s="438"/>
      <c r="V779" s="438"/>
      <c r="W779" s="438"/>
      <c r="X779" s="438"/>
      <c r="Y779" s="439"/>
      <c r="Z779" s="439"/>
      <c r="AA779" s="440"/>
      <c r="AB779" s="440"/>
      <c r="AC779" s="176"/>
    </row>
    <row r="780" spans="1:29">
      <c r="A780" s="3"/>
      <c r="B780" s="3"/>
      <c r="C780" s="3"/>
      <c r="D780" s="3"/>
      <c r="E780" s="3"/>
      <c r="F780" s="4"/>
      <c r="G780" s="3"/>
      <c r="H780" s="3"/>
      <c r="I780" s="10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438"/>
      <c r="U780" s="438"/>
      <c r="V780" s="438"/>
      <c r="W780" s="438"/>
      <c r="X780" s="438"/>
      <c r="Y780" s="439"/>
      <c r="Z780" s="439"/>
      <c r="AA780" s="440"/>
      <c r="AB780" s="440"/>
      <c r="AC780" s="176"/>
    </row>
    <row r="781" spans="1:29">
      <c r="A781" s="3"/>
      <c r="B781" s="3"/>
      <c r="C781" s="3"/>
      <c r="D781" s="3"/>
      <c r="E781" s="3"/>
      <c r="F781" s="4"/>
      <c r="G781" s="3"/>
      <c r="H781" s="3"/>
      <c r="I781" s="10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438"/>
      <c r="U781" s="438"/>
      <c r="V781" s="438"/>
      <c r="W781" s="438"/>
      <c r="X781" s="438"/>
      <c r="Y781" s="439"/>
      <c r="Z781" s="439"/>
      <c r="AA781" s="440"/>
      <c r="AB781" s="440"/>
      <c r="AC781" s="176"/>
    </row>
    <row r="782" spans="1:29">
      <c r="A782" s="3"/>
      <c r="B782" s="3"/>
      <c r="C782" s="3"/>
      <c r="D782" s="3"/>
      <c r="E782" s="3"/>
      <c r="F782" s="4"/>
      <c r="G782" s="3"/>
      <c r="H782" s="3"/>
      <c r="I782" s="10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438"/>
      <c r="U782" s="438"/>
      <c r="V782" s="438"/>
      <c r="W782" s="438"/>
      <c r="X782" s="438"/>
      <c r="Y782" s="439"/>
      <c r="Z782" s="439"/>
      <c r="AA782" s="440"/>
      <c r="AB782" s="440"/>
      <c r="AC782" s="176"/>
    </row>
    <row r="783" spans="1:29">
      <c r="A783" s="3"/>
      <c r="B783" s="3"/>
      <c r="C783" s="3"/>
      <c r="D783" s="3"/>
      <c r="E783" s="3"/>
      <c r="F783" s="4"/>
      <c r="G783" s="3"/>
      <c r="H783" s="3"/>
      <c r="I783" s="10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438"/>
      <c r="U783" s="438"/>
      <c r="V783" s="438"/>
      <c r="W783" s="438"/>
      <c r="X783" s="438"/>
      <c r="Y783" s="439"/>
      <c r="Z783" s="439"/>
      <c r="AA783" s="440"/>
      <c r="AB783" s="440"/>
      <c r="AC783" s="176"/>
    </row>
    <row r="784" spans="1:29">
      <c r="A784" s="3"/>
      <c r="B784" s="3"/>
      <c r="C784" s="3"/>
      <c r="D784" s="3"/>
      <c r="E784" s="3"/>
      <c r="F784" s="4"/>
      <c r="G784" s="3"/>
      <c r="H784" s="3"/>
      <c r="I784" s="10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438"/>
      <c r="U784" s="438"/>
      <c r="V784" s="438"/>
      <c r="W784" s="438"/>
      <c r="X784" s="438"/>
      <c r="Y784" s="439"/>
      <c r="Z784" s="439"/>
      <c r="AA784" s="440"/>
      <c r="AB784" s="440"/>
      <c r="AC784" s="176"/>
    </row>
    <row r="785" spans="1:29">
      <c r="A785" s="3"/>
      <c r="B785" s="3"/>
      <c r="C785" s="3"/>
      <c r="D785" s="3"/>
      <c r="E785" s="3"/>
      <c r="F785" s="4"/>
      <c r="G785" s="3"/>
      <c r="H785" s="3"/>
      <c r="I785" s="10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438"/>
      <c r="U785" s="438"/>
      <c r="V785" s="438"/>
      <c r="W785" s="438"/>
      <c r="X785" s="438"/>
      <c r="Y785" s="439"/>
      <c r="Z785" s="439"/>
      <c r="AA785" s="440"/>
      <c r="AB785" s="440"/>
      <c r="AC785" s="176"/>
    </row>
    <row r="786" spans="1:29">
      <c r="A786" s="3"/>
      <c r="B786" s="3"/>
      <c r="C786" s="3"/>
      <c r="D786" s="3"/>
      <c r="E786" s="3"/>
      <c r="F786" s="4"/>
      <c r="G786" s="3"/>
      <c r="H786" s="3"/>
      <c r="I786" s="10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438"/>
      <c r="U786" s="438"/>
      <c r="V786" s="438"/>
      <c r="W786" s="438"/>
      <c r="X786" s="438"/>
      <c r="Y786" s="439"/>
      <c r="Z786" s="439"/>
      <c r="AA786" s="440"/>
      <c r="AB786" s="440"/>
      <c r="AC786" s="176"/>
    </row>
    <row r="787" spans="1:29">
      <c r="A787" s="3"/>
      <c r="B787" s="3"/>
      <c r="C787" s="3"/>
      <c r="D787" s="3"/>
      <c r="E787" s="3"/>
      <c r="F787" s="4"/>
      <c r="G787" s="3"/>
      <c r="H787" s="3"/>
      <c r="I787" s="10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438"/>
      <c r="U787" s="438"/>
      <c r="V787" s="438"/>
      <c r="W787" s="438"/>
      <c r="X787" s="438"/>
      <c r="Y787" s="439"/>
      <c r="Z787" s="439"/>
      <c r="AA787" s="440"/>
      <c r="AB787" s="440"/>
      <c r="AC787" s="176"/>
    </row>
    <row r="788" spans="1:29">
      <c r="A788" s="3"/>
      <c r="B788" s="3"/>
      <c r="C788" s="3"/>
      <c r="D788" s="3"/>
      <c r="E788" s="3"/>
      <c r="F788" s="4"/>
      <c r="G788" s="3"/>
      <c r="H788" s="3"/>
      <c r="I788" s="10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438"/>
      <c r="U788" s="438"/>
      <c r="V788" s="438"/>
      <c r="W788" s="438"/>
      <c r="X788" s="438"/>
      <c r="Y788" s="439"/>
      <c r="Z788" s="439"/>
      <c r="AA788" s="440"/>
      <c r="AB788" s="440"/>
      <c r="AC788" s="176"/>
    </row>
    <row r="789" spans="1:29">
      <c r="A789" s="3"/>
      <c r="B789" s="3"/>
      <c r="C789" s="3"/>
      <c r="D789" s="3"/>
      <c r="E789" s="3"/>
      <c r="F789" s="4"/>
      <c r="G789" s="3"/>
      <c r="H789" s="3"/>
      <c r="I789" s="10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438"/>
      <c r="U789" s="438"/>
      <c r="V789" s="438"/>
      <c r="W789" s="438"/>
      <c r="X789" s="438"/>
      <c r="Y789" s="439"/>
      <c r="Z789" s="439"/>
      <c r="AA789" s="440"/>
      <c r="AB789" s="440"/>
      <c r="AC789" s="176"/>
    </row>
    <row r="790" spans="1:29">
      <c r="A790" s="3"/>
      <c r="B790" s="3"/>
      <c r="C790" s="3"/>
      <c r="D790" s="3"/>
      <c r="E790" s="3"/>
      <c r="F790" s="4"/>
      <c r="G790" s="3"/>
      <c r="H790" s="3"/>
      <c r="I790" s="10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438"/>
      <c r="U790" s="438"/>
      <c r="V790" s="438"/>
      <c r="W790" s="438"/>
      <c r="X790" s="438"/>
      <c r="Y790" s="439"/>
      <c r="Z790" s="439"/>
      <c r="AA790" s="440"/>
      <c r="AB790" s="440"/>
      <c r="AC790" s="176"/>
    </row>
    <row r="791" spans="1:29">
      <c r="A791" s="3"/>
      <c r="B791" s="3"/>
      <c r="C791" s="3"/>
      <c r="D791" s="3"/>
      <c r="E791" s="3"/>
      <c r="F791" s="4"/>
      <c r="G791" s="3"/>
      <c r="H791" s="3"/>
      <c r="I791" s="10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438"/>
      <c r="U791" s="438"/>
      <c r="V791" s="438"/>
      <c r="W791" s="438"/>
      <c r="X791" s="438"/>
      <c r="Y791" s="439"/>
      <c r="Z791" s="439"/>
      <c r="AA791" s="440"/>
      <c r="AB791" s="440"/>
      <c r="AC791" s="176"/>
    </row>
    <row r="792" spans="1:29">
      <c r="A792" s="3"/>
      <c r="B792" s="3"/>
      <c r="C792" s="3"/>
      <c r="D792" s="3"/>
      <c r="E792" s="3"/>
      <c r="F792" s="4"/>
      <c r="G792" s="3"/>
      <c r="H792" s="3"/>
      <c r="I792" s="10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438"/>
      <c r="U792" s="438"/>
      <c r="V792" s="438"/>
      <c r="W792" s="438"/>
      <c r="X792" s="438"/>
      <c r="Y792" s="439"/>
      <c r="Z792" s="439"/>
      <c r="AA792" s="440"/>
      <c r="AB792" s="440"/>
      <c r="AC792" s="176"/>
    </row>
    <row r="793" spans="1:29">
      <c r="A793" s="3"/>
      <c r="B793" s="3"/>
      <c r="C793" s="3"/>
      <c r="D793" s="3"/>
      <c r="E793" s="3"/>
      <c r="F793" s="4"/>
      <c r="G793" s="3"/>
      <c r="H793" s="3"/>
      <c r="I793" s="10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438"/>
      <c r="U793" s="438"/>
      <c r="V793" s="438"/>
      <c r="W793" s="438"/>
      <c r="X793" s="438"/>
      <c r="Y793" s="439"/>
      <c r="Z793" s="439"/>
      <c r="AA793" s="440"/>
      <c r="AB793" s="440"/>
      <c r="AC793" s="176"/>
    </row>
    <row r="794" spans="1:29">
      <c r="A794" s="3"/>
      <c r="B794" s="3"/>
      <c r="C794" s="3"/>
      <c r="D794" s="3"/>
      <c r="E794" s="3"/>
      <c r="F794" s="4"/>
      <c r="G794" s="3"/>
      <c r="H794" s="3"/>
      <c r="I794" s="10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438"/>
      <c r="U794" s="438"/>
      <c r="V794" s="438"/>
      <c r="W794" s="438"/>
      <c r="X794" s="438"/>
      <c r="Y794" s="439"/>
      <c r="Z794" s="439"/>
      <c r="AA794" s="440"/>
      <c r="AB794" s="440"/>
      <c r="AC794" s="176"/>
    </row>
    <row r="795" spans="1:29">
      <c r="A795" s="3"/>
      <c r="B795" s="3"/>
      <c r="C795" s="3"/>
      <c r="D795" s="3"/>
      <c r="E795" s="3"/>
      <c r="F795" s="4"/>
      <c r="G795" s="3"/>
      <c r="H795" s="3"/>
      <c r="I795" s="10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438"/>
      <c r="U795" s="438"/>
      <c r="V795" s="438"/>
      <c r="W795" s="438"/>
      <c r="X795" s="438"/>
      <c r="Y795" s="439"/>
      <c r="Z795" s="439"/>
      <c r="AA795" s="440"/>
      <c r="AB795" s="440"/>
      <c r="AC795" s="176"/>
    </row>
    <row r="796" spans="1:29">
      <c r="A796" s="3"/>
      <c r="B796" s="3"/>
      <c r="C796" s="3"/>
      <c r="D796" s="3"/>
      <c r="E796" s="3"/>
      <c r="F796" s="4"/>
      <c r="G796" s="3"/>
      <c r="H796" s="3"/>
      <c r="I796" s="10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438"/>
      <c r="U796" s="438"/>
      <c r="V796" s="438"/>
      <c r="W796" s="438"/>
      <c r="X796" s="438"/>
      <c r="Y796" s="439"/>
      <c r="Z796" s="439"/>
      <c r="AA796" s="440"/>
      <c r="AB796" s="440"/>
      <c r="AC796" s="176"/>
    </row>
    <row r="797" spans="1:29">
      <c r="A797" s="3"/>
      <c r="B797" s="3"/>
      <c r="C797" s="3"/>
      <c r="D797" s="3"/>
      <c r="E797" s="3"/>
      <c r="F797" s="4"/>
      <c r="G797" s="3"/>
      <c r="H797" s="3"/>
      <c r="I797" s="10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438"/>
      <c r="U797" s="438"/>
      <c r="V797" s="438"/>
      <c r="W797" s="438"/>
      <c r="X797" s="438"/>
      <c r="Y797" s="439"/>
      <c r="Z797" s="439"/>
      <c r="AA797" s="440"/>
      <c r="AB797" s="440"/>
      <c r="AC797" s="176"/>
    </row>
    <row r="798" spans="1:29">
      <c r="A798" s="3"/>
      <c r="B798" s="3"/>
      <c r="C798" s="3"/>
      <c r="D798" s="3"/>
      <c r="E798" s="3"/>
      <c r="F798" s="4"/>
      <c r="G798" s="3"/>
      <c r="H798" s="3"/>
      <c r="I798" s="10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438"/>
      <c r="U798" s="438"/>
      <c r="V798" s="438"/>
      <c r="W798" s="438"/>
      <c r="X798" s="438"/>
      <c r="Y798" s="439"/>
      <c r="Z798" s="439"/>
      <c r="AA798" s="440"/>
      <c r="AB798" s="440"/>
      <c r="AC798" s="176"/>
    </row>
    <row r="799" spans="1:29">
      <c r="A799" s="3"/>
      <c r="B799" s="3"/>
      <c r="C799" s="3"/>
      <c r="D799" s="3"/>
      <c r="E799" s="3"/>
      <c r="F799" s="4"/>
      <c r="G799" s="3"/>
      <c r="H799" s="3"/>
      <c r="I799" s="10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438"/>
      <c r="U799" s="438"/>
      <c r="V799" s="438"/>
      <c r="W799" s="438"/>
      <c r="X799" s="438"/>
      <c r="Y799" s="439"/>
      <c r="Z799" s="439"/>
      <c r="AA799" s="440"/>
      <c r="AB799" s="440"/>
      <c r="AC799" s="176"/>
    </row>
    <row r="800" spans="1:29">
      <c r="A800" s="3"/>
      <c r="B800" s="3"/>
      <c r="C800" s="3"/>
      <c r="D800" s="3"/>
      <c r="E800" s="3"/>
      <c r="F800" s="4"/>
      <c r="G800" s="3"/>
      <c r="H800" s="3"/>
      <c r="I800" s="10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438"/>
      <c r="U800" s="438"/>
      <c r="V800" s="438"/>
      <c r="W800" s="438"/>
      <c r="X800" s="438"/>
      <c r="Y800" s="439"/>
      <c r="Z800" s="439"/>
      <c r="AA800" s="440"/>
      <c r="AB800" s="440"/>
      <c r="AC800" s="176"/>
    </row>
    <row r="801" spans="1:29">
      <c r="A801" s="3"/>
      <c r="B801" s="3"/>
      <c r="C801" s="3"/>
      <c r="D801" s="3"/>
      <c r="E801" s="3"/>
      <c r="F801" s="4"/>
      <c r="G801" s="3"/>
      <c r="H801" s="3"/>
      <c r="I801" s="10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438"/>
      <c r="U801" s="438"/>
      <c r="V801" s="438"/>
      <c r="W801" s="438"/>
      <c r="X801" s="438"/>
      <c r="Y801" s="439"/>
      <c r="Z801" s="439"/>
      <c r="AA801" s="440"/>
      <c r="AB801" s="440"/>
      <c r="AC801" s="176"/>
    </row>
    <row r="802" spans="1:29">
      <c r="A802" s="3"/>
      <c r="B802" s="3"/>
      <c r="C802" s="3"/>
      <c r="D802" s="3"/>
      <c r="E802" s="3"/>
      <c r="F802" s="4"/>
      <c r="G802" s="3"/>
      <c r="H802" s="3"/>
      <c r="I802" s="10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438"/>
      <c r="U802" s="438"/>
      <c r="V802" s="438"/>
      <c r="W802" s="438"/>
      <c r="X802" s="438"/>
      <c r="Y802" s="439"/>
      <c r="Z802" s="439"/>
      <c r="AA802" s="440"/>
      <c r="AB802" s="440"/>
      <c r="AC802" s="176"/>
    </row>
    <row r="803" spans="1:29">
      <c r="A803" s="3"/>
      <c r="B803" s="3"/>
      <c r="C803" s="3"/>
      <c r="D803" s="3"/>
      <c r="E803" s="3"/>
      <c r="F803" s="4"/>
      <c r="G803" s="3"/>
      <c r="H803" s="3"/>
      <c r="I803" s="10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438"/>
      <c r="U803" s="438"/>
      <c r="V803" s="438"/>
      <c r="W803" s="438"/>
      <c r="X803" s="438"/>
      <c r="Y803" s="439"/>
      <c r="Z803" s="439"/>
      <c r="AA803" s="440"/>
      <c r="AB803" s="440"/>
      <c r="AC803" s="176"/>
    </row>
    <row r="804" spans="1:29">
      <c r="A804" s="3"/>
      <c r="B804" s="3"/>
      <c r="C804" s="3"/>
      <c r="D804" s="3"/>
      <c r="E804" s="3"/>
      <c r="F804" s="4"/>
      <c r="G804" s="3"/>
      <c r="H804" s="3"/>
      <c r="I804" s="10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438"/>
      <c r="U804" s="438"/>
      <c r="V804" s="438"/>
      <c r="W804" s="438"/>
      <c r="X804" s="438"/>
      <c r="Y804" s="439"/>
      <c r="Z804" s="439"/>
      <c r="AA804" s="440"/>
      <c r="AB804" s="440"/>
      <c r="AC804" s="176"/>
    </row>
    <row r="805" spans="1:29">
      <c r="A805" s="3"/>
      <c r="B805" s="3"/>
      <c r="C805" s="3"/>
      <c r="D805" s="3"/>
      <c r="E805" s="3"/>
      <c r="F805" s="4"/>
      <c r="G805" s="3"/>
      <c r="H805" s="3"/>
      <c r="I805" s="10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438"/>
      <c r="U805" s="438"/>
      <c r="V805" s="438"/>
      <c r="W805" s="438"/>
      <c r="X805" s="438"/>
      <c r="Y805" s="439"/>
      <c r="Z805" s="439"/>
      <c r="AA805" s="440"/>
      <c r="AB805" s="440"/>
      <c r="AC805" s="176"/>
    </row>
    <row r="806" spans="1:29">
      <c r="A806" s="3"/>
      <c r="B806" s="3"/>
      <c r="C806" s="3"/>
      <c r="D806" s="3"/>
      <c r="E806" s="3"/>
      <c r="F806" s="4"/>
      <c r="G806" s="3"/>
      <c r="H806" s="3"/>
      <c r="I806" s="10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438"/>
      <c r="U806" s="438"/>
      <c r="V806" s="438"/>
      <c r="W806" s="438"/>
      <c r="X806" s="438"/>
      <c r="Y806" s="439"/>
      <c r="Z806" s="439"/>
      <c r="AA806" s="440"/>
      <c r="AB806" s="440"/>
      <c r="AC806" s="176"/>
    </row>
    <row r="807" spans="1:29">
      <c r="A807" s="3"/>
      <c r="B807" s="3"/>
      <c r="C807" s="3"/>
      <c r="D807" s="3"/>
      <c r="E807" s="3"/>
      <c r="F807" s="4"/>
      <c r="G807" s="3"/>
      <c r="H807" s="3"/>
      <c r="I807" s="10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438"/>
      <c r="U807" s="438"/>
      <c r="V807" s="438"/>
      <c r="W807" s="438"/>
      <c r="X807" s="438"/>
      <c r="Y807" s="439"/>
      <c r="Z807" s="439"/>
      <c r="AA807" s="440"/>
      <c r="AB807" s="440"/>
      <c r="AC807" s="176"/>
    </row>
    <row r="808" spans="1:29">
      <c r="A808" s="3"/>
      <c r="B808" s="3"/>
      <c r="C808" s="3"/>
      <c r="D808" s="3"/>
      <c r="E808" s="3"/>
      <c r="F808" s="4"/>
      <c r="G808" s="3"/>
      <c r="H808" s="3"/>
      <c r="I808" s="10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438"/>
      <c r="U808" s="438"/>
      <c r="V808" s="438"/>
      <c r="W808" s="438"/>
      <c r="X808" s="438"/>
      <c r="Y808" s="439"/>
      <c r="Z808" s="439"/>
      <c r="AA808" s="440"/>
      <c r="AB808" s="440"/>
      <c r="AC808" s="176"/>
    </row>
    <row r="809" spans="1:29">
      <c r="A809" s="3"/>
      <c r="B809" s="3"/>
      <c r="C809" s="3"/>
      <c r="D809" s="3"/>
      <c r="E809" s="3"/>
      <c r="F809" s="4"/>
      <c r="G809" s="3"/>
      <c r="H809" s="3"/>
      <c r="I809" s="10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438"/>
      <c r="U809" s="438"/>
      <c r="V809" s="438"/>
      <c r="W809" s="438"/>
      <c r="X809" s="438"/>
      <c r="Y809" s="439"/>
      <c r="Z809" s="439"/>
      <c r="AA809" s="440"/>
      <c r="AB809" s="440"/>
      <c r="AC809" s="176"/>
    </row>
    <row r="810" spans="1:29">
      <c r="A810" s="3"/>
      <c r="B810" s="3"/>
      <c r="C810" s="3"/>
      <c r="D810" s="3"/>
      <c r="E810" s="3"/>
      <c r="F810" s="4"/>
      <c r="G810" s="3"/>
      <c r="H810" s="3"/>
      <c r="I810" s="10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438"/>
      <c r="U810" s="438"/>
      <c r="V810" s="438"/>
      <c r="W810" s="438"/>
      <c r="X810" s="438"/>
      <c r="Y810" s="439"/>
      <c r="Z810" s="439"/>
      <c r="AA810" s="440"/>
      <c r="AB810" s="440"/>
      <c r="AC810" s="176"/>
    </row>
    <row r="811" spans="1:29">
      <c r="A811" s="3"/>
      <c r="B811" s="3"/>
      <c r="C811" s="3"/>
      <c r="D811" s="3"/>
      <c r="E811" s="3"/>
      <c r="F811" s="4"/>
      <c r="G811" s="3"/>
      <c r="H811" s="3"/>
      <c r="I811" s="10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438"/>
      <c r="U811" s="438"/>
      <c r="V811" s="438"/>
      <c r="W811" s="438"/>
      <c r="X811" s="438"/>
      <c r="Y811" s="439"/>
      <c r="Z811" s="439"/>
      <c r="AA811" s="440"/>
      <c r="AB811" s="440"/>
      <c r="AC811" s="176"/>
    </row>
    <row r="812" spans="1:29">
      <c r="A812" s="3"/>
      <c r="B812" s="3"/>
      <c r="C812" s="3"/>
      <c r="D812" s="3"/>
      <c r="E812" s="3"/>
      <c r="F812" s="4"/>
      <c r="G812" s="3"/>
      <c r="H812" s="3"/>
      <c r="I812" s="10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438"/>
      <c r="U812" s="438"/>
      <c r="V812" s="438"/>
      <c r="W812" s="438"/>
      <c r="X812" s="438"/>
      <c r="Y812" s="439"/>
      <c r="Z812" s="439"/>
      <c r="AA812" s="440"/>
      <c r="AB812" s="440"/>
      <c r="AC812" s="176"/>
    </row>
    <row r="813" spans="1:29">
      <c r="A813" s="3"/>
      <c r="B813" s="3"/>
      <c r="C813" s="3"/>
      <c r="D813" s="3"/>
      <c r="E813" s="3"/>
      <c r="F813" s="4"/>
      <c r="G813" s="3"/>
      <c r="H813" s="3"/>
      <c r="I813" s="10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438"/>
      <c r="U813" s="438"/>
      <c r="V813" s="438"/>
      <c r="W813" s="438"/>
      <c r="X813" s="438"/>
      <c r="Y813" s="439"/>
      <c r="Z813" s="439"/>
      <c r="AA813" s="440"/>
      <c r="AB813" s="440"/>
      <c r="AC813" s="176"/>
    </row>
    <row r="814" spans="1:29">
      <c r="A814" s="3"/>
      <c r="B814" s="3"/>
      <c r="C814" s="3"/>
      <c r="D814" s="3"/>
      <c r="E814" s="3"/>
      <c r="F814" s="4"/>
      <c r="G814" s="3"/>
      <c r="H814" s="3"/>
      <c r="I814" s="10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438"/>
      <c r="U814" s="438"/>
      <c r="V814" s="438"/>
      <c r="W814" s="438"/>
      <c r="X814" s="438"/>
      <c r="Y814" s="439"/>
      <c r="Z814" s="439"/>
      <c r="AA814" s="440"/>
      <c r="AB814" s="440"/>
      <c r="AC814" s="176"/>
    </row>
    <row r="815" spans="1:29">
      <c r="A815" s="3"/>
      <c r="B815" s="3"/>
      <c r="C815" s="3"/>
      <c r="D815" s="3"/>
      <c r="E815" s="3"/>
      <c r="F815" s="4"/>
      <c r="G815" s="3"/>
      <c r="H815" s="3"/>
      <c r="I815" s="10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438"/>
      <c r="U815" s="438"/>
      <c r="V815" s="438"/>
      <c r="W815" s="438"/>
      <c r="X815" s="438"/>
      <c r="Y815" s="439"/>
      <c r="Z815" s="439"/>
      <c r="AA815" s="440"/>
      <c r="AB815" s="440"/>
      <c r="AC815" s="176"/>
    </row>
    <row r="816" spans="1:29">
      <c r="A816" s="3"/>
      <c r="B816" s="3"/>
      <c r="C816" s="3"/>
      <c r="D816" s="3"/>
      <c r="E816" s="3"/>
      <c r="F816" s="4"/>
      <c r="G816" s="3"/>
      <c r="H816" s="3"/>
      <c r="I816" s="10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438"/>
      <c r="U816" s="438"/>
      <c r="V816" s="438"/>
      <c r="W816" s="438"/>
      <c r="X816" s="438"/>
      <c r="Y816" s="439"/>
      <c r="Z816" s="439"/>
      <c r="AA816" s="440"/>
      <c r="AB816" s="440"/>
      <c r="AC816" s="176"/>
    </row>
    <row r="817" spans="1:29">
      <c r="A817" s="3"/>
      <c r="B817" s="3"/>
      <c r="C817" s="3"/>
      <c r="D817" s="3"/>
      <c r="E817" s="3"/>
      <c r="F817" s="4"/>
      <c r="G817" s="3"/>
      <c r="H817" s="3"/>
      <c r="I817" s="10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438"/>
      <c r="U817" s="438"/>
      <c r="V817" s="438"/>
      <c r="W817" s="438"/>
      <c r="X817" s="438"/>
      <c r="Y817" s="439"/>
      <c r="Z817" s="439"/>
      <c r="AA817" s="440"/>
      <c r="AB817" s="440"/>
      <c r="AC817" s="176"/>
    </row>
    <row r="818" spans="1:29">
      <c r="A818" s="3"/>
      <c r="B818" s="3"/>
      <c r="C818" s="3"/>
      <c r="D818" s="3"/>
      <c r="E818" s="3"/>
      <c r="F818" s="4"/>
      <c r="G818" s="3"/>
      <c r="H818" s="3"/>
      <c r="I818" s="10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438"/>
      <c r="U818" s="438"/>
      <c r="V818" s="438"/>
      <c r="W818" s="438"/>
      <c r="X818" s="438"/>
      <c r="Y818" s="439"/>
      <c r="Z818" s="439"/>
      <c r="AA818" s="440"/>
      <c r="AB818" s="440"/>
      <c r="AC818" s="176"/>
    </row>
    <row r="819" spans="1:29">
      <c r="A819" s="3"/>
      <c r="B819" s="3"/>
      <c r="C819" s="3"/>
      <c r="D819" s="3"/>
      <c r="E819" s="3"/>
      <c r="F819" s="4"/>
      <c r="G819" s="3"/>
      <c r="H819" s="3"/>
      <c r="I819" s="10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438"/>
      <c r="U819" s="438"/>
      <c r="V819" s="438"/>
      <c r="W819" s="438"/>
      <c r="X819" s="438"/>
      <c r="Y819" s="439"/>
      <c r="Z819" s="439"/>
      <c r="AA819" s="440"/>
      <c r="AB819" s="440"/>
      <c r="AC819" s="176"/>
    </row>
    <row r="820" spans="1:29">
      <c r="A820" s="3"/>
      <c r="B820" s="3"/>
      <c r="C820" s="3"/>
      <c r="D820" s="3"/>
      <c r="E820" s="3"/>
      <c r="F820" s="4"/>
      <c r="G820" s="3"/>
      <c r="H820" s="3"/>
      <c r="I820" s="10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438"/>
      <c r="U820" s="438"/>
      <c r="V820" s="438"/>
      <c r="W820" s="438"/>
      <c r="X820" s="438"/>
      <c r="Y820" s="439"/>
      <c r="Z820" s="439"/>
      <c r="AA820" s="440"/>
      <c r="AB820" s="440"/>
      <c r="AC820" s="176"/>
    </row>
    <row r="821" spans="1:29">
      <c r="A821" s="3"/>
      <c r="B821" s="3"/>
      <c r="C821" s="3"/>
      <c r="D821" s="3"/>
      <c r="E821" s="3"/>
      <c r="F821" s="4"/>
      <c r="G821" s="3"/>
      <c r="H821" s="3"/>
      <c r="I821" s="10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438"/>
      <c r="U821" s="438"/>
      <c r="V821" s="438"/>
      <c r="W821" s="438"/>
      <c r="X821" s="438"/>
      <c r="Y821" s="439"/>
      <c r="Z821" s="439"/>
      <c r="AA821" s="440"/>
      <c r="AB821" s="440"/>
      <c r="AC821" s="176"/>
    </row>
    <row r="822" spans="1:29">
      <c r="A822" s="3"/>
      <c r="B822" s="3"/>
      <c r="C822" s="3"/>
      <c r="D822" s="3"/>
      <c r="E822" s="3"/>
      <c r="F822" s="4"/>
      <c r="G822" s="3"/>
      <c r="H822" s="3"/>
      <c r="I822" s="10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438"/>
      <c r="U822" s="438"/>
      <c r="V822" s="438"/>
      <c r="W822" s="438"/>
      <c r="X822" s="438"/>
      <c r="Y822" s="439"/>
      <c r="Z822" s="439"/>
      <c r="AA822" s="440"/>
      <c r="AB822" s="440"/>
      <c r="AC822" s="176"/>
    </row>
    <row r="823" spans="1:29">
      <c r="A823" s="3"/>
      <c r="B823" s="3"/>
      <c r="C823" s="3"/>
      <c r="D823" s="3"/>
      <c r="E823" s="3"/>
      <c r="F823" s="4"/>
      <c r="G823" s="3"/>
      <c r="H823" s="3"/>
      <c r="I823" s="10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438"/>
      <c r="U823" s="438"/>
      <c r="V823" s="438"/>
      <c r="W823" s="438"/>
      <c r="X823" s="438"/>
      <c r="Y823" s="439"/>
      <c r="Z823" s="439"/>
      <c r="AA823" s="440"/>
      <c r="AB823" s="440"/>
      <c r="AC823" s="176"/>
    </row>
    <row r="824" spans="1:29">
      <c r="A824" s="3"/>
      <c r="B824" s="3"/>
      <c r="C824" s="3"/>
      <c r="D824" s="3"/>
      <c r="E824" s="3"/>
      <c r="F824" s="4"/>
      <c r="G824" s="3"/>
      <c r="H824" s="3"/>
      <c r="I824" s="10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438"/>
      <c r="U824" s="438"/>
      <c r="V824" s="438"/>
      <c r="W824" s="438"/>
      <c r="X824" s="438"/>
      <c r="Y824" s="439"/>
      <c r="Z824" s="439"/>
      <c r="AA824" s="440"/>
      <c r="AB824" s="440"/>
      <c r="AC824" s="176"/>
    </row>
    <row r="825" spans="1:29">
      <c r="A825" s="3"/>
      <c r="B825" s="3"/>
      <c r="C825" s="3"/>
      <c r="D825" s="3"/>
      <c r="E825" s="3"/>
      <c r="F825" s="4"/>
      <c r="G825" s="3"/>
      <c r="H825" s="3"/>
      <c r="I825" s="10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438"/>
      <c r="U825" s="438"/>
      <c r="V825" s="438"/>
      <c r="W825" s="438"/>
      <c r="X825" s="438"/>
      <c r="Y825" s="439"/>
      <c r="Z825" s="439"/>
      <c r="AA825" s="440"/>
      <c r="AB825" s="440"/>
      <c r="AC825" s="176"/>
    </row>
  </sheetData>
  <mergeCells count="1">
    <mergeCell ref="J2:AC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3"/>
  <sheetViews>
    <sheetView topLeftCell="F1" zoomScale="77" zoomScaleNormal="77" workbookViewId="0">
      <pane ySplit="1" topLeftCell="A2" activePane="bottomLeft" state="frozen"/>
      <selection pane="bottomLeft" activeCell="P12" sqref="P12"/>
    </sheetView>
  </sheetViews>
  <sheetFormatPr baseColWidth="10" defaultColWidth="15.140625" defaultRowHeight="15" customHeight="1"/>
  <cols>
    <col min="1" max="2" width="5.140625" customWidth="1"/>
    <col min="3" max="3" width="5.7109375" customWidth="1"/>
    <col min="4" max="4" width="5.28515625" customWidth="1"/>
    <col min="5" max="5" width="19.140625" customWidth="1"/>
    <col min="6" max="6" width="20.85546875" customWidth="1"/>
    <col min="7" max="7" width="6.5703125" customWidth="1"/>
    <col min="8" max="8" width="6.42578125" customWidth="1"/>
    <col min="9" max="9" width="5.5703125" customWidth="1"/>
    <col min="10" max="10" width="16.7109375" customWidth="1"/>
    <col min="11" max="11" width="11.5703125" customWidth="1"/>
    <col min="12" max="12" width="11.5703125" style="501" customWidth="1"/>
    <col min="13" max="13" width="9" customWidth="1"/>
    <col min="14" max="14" width="9.7109375" customWidth="1"/>
    <col min="15" max="17" width="9.7109375" style="501" customWidth="1"/>
    <col min="18" max="18" width="18.5703125" customWidth="1"/>
    <col min="19" max="19" width="19" customWidth="1"/>
    <col min="20" max="24" width="8" customWidth="1"/>
  </cols>
  <sheetData>
    <row r="1" spans="1:24" ht="45.75" customHeight="1">
      <c r="A1" s="245"/>
      <c r="B1" s="469"/>
      <c r="C1" s="469"/>
      <c r="D1" s="469"/>
      <c r="E1" s="469"/>
      <c r="F1" s="469"/>
      <c r="G1" s="469"/>
      <c r="H1" s="469"/>
      <c r="I1" s="469"/>
      <c r="J1" s="502" t="s">
        <v>453</v>
      </c>
      <c r="K1" s="503" t="s">
        <v>452</v>
      </c>
      <c r="L1" s="503" t="s">
        <v>458</v>
      </c>
      <c r="M1" s="506" t="s">
        <v>455</v>
      </c>
      <c r="N1" s="506" t="s">
        <v>454</v>
      </c>
      <c r="O1" s="506" t="s">
        <v>456</v>
      </c>
      <c r="P1" s="506" t="s">
        <v>457</v>
      </c>
      <c r="Q1" s="503" t="s">
        <v>459</v>
      </c>
      <c r="R1" s="504" t="s">
        <v>460</v>
      </c>
      <c r="S1" s="469" t="s">
        <v>353</v>
      </c>
      <c r="T1" s="491"/>
      <c r="U1" s="491"/>
      <c r="V1" s="491"/>
      <c r="W1" s="491"/>
      <c r="X1" s="491"/>
    </row>
    <row r="2" spans="1:24" ht="45">
      <c r="A2" s="510" t="s">
        <v>349</v>
      </c>
      <c r="B2" s="469" t="s">
        <v>3</v>
      </c>
      <c r="C2" s="469" t="s">
        <v>4</v>
      </c>
      <c r="D2" s="469" t="s">
        <v>5</v>
      </c>
      <c r="E2" s="469" t="s">
        <v>6</v>
      </c>
      <c r="F2" s="469" t="s">
        <v>7</v>
      </c>
      <c r="G2" s="469" t="s">
        <v>8</v>
      </c>
      <c r="H2" s="469" t="s">
        <v>9</v>
      </c>
      <c r="I2" s="469" t="s">
        <v>10</v>
      </c>
      <c r="J2" s="502" t="s">
        <v>453</v>
      </c>
      <c r="K2" s="503" t="s">
        <v>452</v>
      </c>
      <c r="L2" s="503" t="s">
        <v>458</v>
      </c>
      <c r="M2" s="506" t="s">
        <v>455</v>
      </c>
      <c r="N2" s="506" t="s">
        <v>454</v>
      </c>
      <c r="O2" s="506" t="s">
        <v>456</v>
      </c>
      <c r="P2" s="506" t="s">
        <v>457</v>
      </c>
      <c r="Q2" s="503" t="s">
        <v>459</v>
      </c>
      <c r="R2" s="504" t="s">
        <v>460</v>
      </c>
      <c r="S2" s="469" t="s">
        <v>353</v>
      </c>
      <c r="T2" s="491"/>
      <c r="U2" s="491"/>
      <c r="V2" s="491"/>
      <c r="W2" s="491"/>
      <c r="X2" s="491"/>
    </row>
    <row r="3" spans="1:24" ht="15.75" customHeight="1">
      <c r="A3" s="512">
        <v>1</v>
      </c>
      <c r="B3" s="507">
        <v>2</v>
      </c>
      <c r="C3" s="507">
        <v>6</v>
      </c>
      <c r="D3" s="507">
        <v>2</v>
      </c>
      <c r="E3" s="469" t="s">
        <v>197</v>
      </c>
      <c r="F3" s="513" t="s">
        <v>198</v>
      </c>
      <c r="G3" s="469" t="s">
        <v>25</v>
      </c>
      <c r="H3" s="514">
        <v>50771</v>
      </c>
      <c r="I3" s="515">
        <v>9</v>
      </c>
      <c r="J3" s="505">
        <v>9.5660000000000007</v>
      </c>
      <c r="K3" s="469">
        <v>0.60089999999999999</v>
      </c>
      <c r="L3" s="505">
        <f>J3+K3</f>
        <v>10.1669</v>
      </c>
      <c r="M3" s="507">
        <v>2.6960000000000002</v>
      </c>
      <c r="N3" s="469">
        <v>0.127</v>
      </c>
      <c r="O3" s="469">
        <f>M3*1000</f>
        <v>2696</v>
      </c>
      <c r="P3" s="469">
        <f>N3*1000</f>
        <v>127</v>
      </c>
      <c r="Q3" s="469">
        <f>O3+P3</f>
        <v>2823</v>
      </c>
      <c r="R3" s="505">
        <f>Q3/L3</f>
        <v>277.66575849078873</v>
      </c>
      <c r="S3" s="469"/>
      <c r="T3" s="491"/>
      <c r="U3" s="491"/>
      <c r="V3" s="491"/>
      <c r="W3" s="491"/>
      <c r="X3" s="491"/>
    </row>
    <row r="4" spans="1:24" ht="15.75" customHeight="1">
      <c r="A4" s="512">
        <v>2</v>
      </c>
      <c r="B4" s="507">
        <v>2</v>
      </c>
      <c r="C4" s="507">
        <v>2</v>
      </c>
      <c r="D4" s="507">
        <v>4</v>
      </c>
      <c r="E4" s="469" t="s">
        <v>69</v>
      </c>
      <c r="F4" s="513" t="s">
        <v>70</v>
      </c>
      <c r="G4" s="469" t="s">
        <v>25</v>
      </c>
      <c r="H4" s="514">
        <v>50754</v>
      </c>
      <c r="I4" s="515">
        <v>205</v>
      </c>
      <c r="J4" s="505">
        <v>24.088100000000001</v>
      </c>
      <c r="K4" s="469">
        <v>2.286</v>
      </c>
      <c r="L4" s="505">
        <f t="shared" ref="L4:L67" si="0">J4+K4</f>
        <v>26.374100000000002</v>
      </c>
      <c r="M4" s="507">
        <v>4.4379999999999997</v>
      </c>
      <c r="N4" s="469">
        <v>0.28399999999999997</v>
      </c>
      <c r="O4" s="469">
        <f t="shared" ref="O4:O9" si="1">M4*1000</f>
        <v>4438</v>
      </c>
      <c r="P4" s="469">
        <f t="shared" ref="P4:P9" si="2">N4*1000</f>
        <v>284</v>
      </c>
      <c r="Q4" s="469">
        <f t="shared" ref="Q4:Q67" si="3">O4+P4</f>
        <v>4722</v>
      </c>
      <c r="R4" s="505">
        <f t="shared" ref="R4:R67" si="4">Q4/L4</f>
        <v>179.03928475284462</v>
      </c>
      <c r="S4" s="469"/>
      <c r="T4" s="491"/>
      <c r="U4" s="491"/>
      <c r="V4" s="491"/>
      <c r="W4" s="491"/>
      <c r="X4" s="491"/>
    </row>
    <row r="5" spans="1:24" ht="15.75" customHeight="1">
      <c r="A5" s="512">
        <v>3</v>
      </c>
      <c r="B5" s="507">
        <v>2</v>
      </c>
      <c r="C5" s="507">
        <v>4</v>
      </c>
      <c r="D5" s="507">
        <v>15</v>
      </c>
      <c r="E5" s="469" t="s">
        <v>160</v>
      </c>
      <c r="F5" s="513" t="s">
        <v>161</v>
      </c>
      <c r="G5" s="469" t="s">
        <v>34</v>
      </c>
      <c r="H5" s="514">
        <v>50707</v>
      </c>
      <c r="I5" s="515">
        <v>30</v>
      </c>
      <c r="J5" s="505">
        <v>6.1258999999999997</v>
      </c>
      <c r="K5" s="469">
        <v>0.69540000000000002</v>
      </c>
      <c r="L5" s="505">
        <f t="shared" si="0"/>
        <v>6.8212999999999999</v>
      </c>
      <c r="M5" s="507">
        <v>1.4059999999999999</v>
      </c>
      <c r="N5" s="469">
        <v>0.11700000000000001</v>
      </c>
      <c r="O5" s="469">
        <f t="shared" si="1"/>
        <v>1406</v>
      </c>
      <c r="P5" s="469">
        <f t="shared" si="2"/>
        <v>117</v>
      </c>
      <c r="Q5" s="469">
        <f t="shared" si="3"/>
        <v>1523</v>
      </c>
      <c r="R5" s="505">
        <f t="shared" si="4"/>
        <v>223.2712239602422</v>
      </c>
      <c r="S5" s="469"/>
      <c r="T5" s="491"/>
      <c r="U5" s="491"/>
      <c r="V5" s="491"/>
      <c r="W5" s="491"/>
      <c r="X5" s="491"/>
    </row>
    <row r="6" spans="1:24" ht="15.75" customHeight="1">
      <c r="A6" s="512">
        <v>4</v>
      </c>
      <c r="B6" s="507">
        <v>2</v>
      </c>
      <c r="C6" s="507">
        <v>5</v>
      </c>
      <c r="D6" s="507">
        <v>9</v>
      </c>
      <c r="E6" s="469" t="s">
        <v>189</v>
      </c>
      <c r="F6" s="516" t="s">
        <v>190</v>
      </c>
      <c r="G6" s="469" t="s">
        <v>31</v>
      </c>
      <c r="H6" s="514">
        <v>50798</v>
      </c>
      <c r="I6" s="515">
        <v>182</v>
      </c>
      <c r="J6" s="505">
        <v>11.465999999999999</v>
      </c>
      <c r="K6" s="469">
        <v>0.86009999999999998</v>
      </c>
      <c r="L6" s="505">
        <f t="shared" si="0"/>
        <v>12.326099999999999</v>
      </c>
      <c r="M6" s="507">
        <v>2.726</v>
      </c>
      <c r="N6" s="469">
        <v>0.15</v>
      </c>
      <c r="O6" s="469">
        <f t="shared" si="1"/>
        <v>2726</v>
      </c>
      <c r="P6" s="469">
        <f t="shared" si="2"/>
        <v>150</v>
      </c>
      <c r="Q6" s="469">
        <f t="shared" si="3"/>
        <v>2876</v>
      </c>
      <c r="R6" s="505">
        <f t="shared" si="4"/>
        <v>233.32603175375831</v>
      </c>
      <c r="S6" s="469"/>
      <c r="T6" s="491"/>
      <c r="U6" s="491"/>
      <c r="V6" s="491"/>
      <c r="W6" s="491"/>
      <c r="X6" s="491"/>
    </row>
    <row r="7" spans="1:24" ht="15.75" customHeight="1">
      <c r="A7" s="512">
        <v>36</v>
      </c>
      <c r="B7" s="507">
        <v>2</v>
      </c>
      <c r="C7" s="507">
        <v>4</v>
      </c>
      <c r="D7" s="507">
        <v>14</v>
      </c>
      <c r="E7" s="469" t="s">
        <v>145</v>
      </c>
      <c r="F7" s="517" t="s">
        <v>418</v>
      </c>
      <c r="G7" s="469" t="s">
        <v>31</v>
      </c>
      <c r="H7" s="514">
        <v>50809</v>
      </c>
      <c r="I7" s="515">
        <v>664</v>
      </c>
      <c r="J7" s="505">
        <v>4.8540000000000001</v>
      </c>
      <c r="K7" s="469">
        <v>0.49109999999999998</v>
      </c>
      <c r="L7" s="505">
        <f t="shared" si="0"/>
        <v>5.3451000000000004</v>
      </c>
      <c r="M7" s="507">
        <v>1.8049999999999999</v>
      </c>
      <c r="N7" s="469">
        <v>0.13400000000000001</v>
      </c>
      <c r="O7" s="469">
        <f t="shared" si="1"/>
        <v>1805</v>
      </c>
      <c r="P7" s="469">
        <f t="shared" si="2"/>
        <v>134</v>
      </c>
      <c r="Q7" s="469">
        <f t="shared" si="3"/>
        <v>1939</v>
      </c>
      <c r="R7" s="505">
        <f t="shared" si="4"/>
        <v>362.76215599333966</v>
      </c>
      <c r="S7" s="469"/>
      <c r="T7" s="491"/>
      <c r="U7" s="491"/>
      <c r="V7" s="491"/>
      <c r="W7" s="491"/>
      <c r="X7" s="491"/>
    </row>
    <row r="8" spans="1:24" ht="15.75" customHeight="1">
      <c r="A8" s="512">
        <v>5</v>
      </c>
      <c r="B8" s="507">
        <v>2</v>
      </c>
      <c r="C8" s="507">
        <v>1</v>
      </c>
      <c r="D8" s="507">
        <v>8</v>
      </c>
      <c r="E8" s="469" t="s">
        <v>35</v>
      </c>
      <c r="F8" s="513" t="s">
        <v>36</v>
      </c>
      <c r="G8" s="469" t="s">
        <v>31</v>
      </c>
      <c r="H8" s="514">
        <v>50794</v>
      </c>
      <c r="I8" s="515">
        <v>392</v>
      </c>
      <c r="J8" s="505">
        <v>5.1456</v>
      </c>
      <c r="K8" s="469">
        <v>0.2928</v>
      </c>
      <c r="L8" s="505">
        <f t="shared" si="0"/>
        <v>5.4383999999999997</v>
      </c>
      <c r="M8" s="507">
        <v>1.847</v>
      </c>
      <c r="N8" s="469">
        <v>8.2000000000000003E-2</v>
      </c>
      <c r="O8" s="469">
        <f t="shared" si="1"/>
        <v>1847</v>
      </c>
      <c r="P8" s="469">
        <f t="shared" si="2"/>
        <v>82</v>
      </c>
      <c r="Q8" s="469">
        <f t="shared" si="3"/>
        <v>1929</v>
      </c>
      <c r="R8" s="505">
        <f t="shared" si="4"/>
        <v>354.69991173874672</v>
      </c>
      <c r="S8" s="469"/>
      <c r="T8" s="491"/>
      <c r="U8" s="491"/>
      <c r="V8" s="491"/>
      <c r="W8" s="491"/>
      <c r="X8" s="491"/>
    </row>
    <row r="9" spans="1:24" ht="15.75" customHeight="1">
      <c r="A9" s="512">
        <v>6</v>
      </c>
      <c r="B9" s="507">
        <v>2</v>
      </c>
      <c r="C9" s="507">
        <v>4</v>
      </c>
      <c r="D9" s="507">
        <v>15</v>
      </c>
      <c r="E9" s="469" t="s">
        <v>149</v>
      </c>
      <c r="F9" s="456" t="s">
        <v>414</v>
      </c>
      <c r="G9" s="469" t="s">
        <v>31</v>
      </c>
      <c r="H9" s="514">
        <v>50815</v>
      </c>
      <c r="I9" s="515">
        <v>81</v>
      </c>
      <c r="J9" s="505">
        <v>0.30719999999999997</v>
      </c>
      <c r="K9" s="469">
        <v>0</v>
      </c>
      <c r="L9" s="505">
        <f t="shared" si="0"/>
        <v>0.30719999999999997</v>
      </c>
      <c r="M9" s="507">
        <v>0.16200000000000001</v>
      </c>
      <c r="N9" s="469">
        <v>0</v>
      </c>
      <c r="O9" s="469">
        <f t="shared" si="1"/>
        <v>162</v>
      </c>
      <c r="P9" s="469">
        <f t="shared" si="2"/>
        <v>0</v>
      </c>
      <c r="Q9" s="469">
        <f t="shared" si="3"/>
        <v>162</v>
      </c>
      <c r="R9" s="505">
        <f t="shared" si="4"/>
        <v>527.34375</v>
      </c>
      <c r="S9" s="469" t="s">
        <v>364</v>
      </c>
      <c r="T9" s="491"/>
      <c r="U9" s="491"/>
      <c r="V9" s="491"/>
      <c r="W9" s="491"/>
      <c r="X9" s="491"/>
    </row>
    <row r="10" spans="1:24" ht="15.75" customHeight="1">
      <c r="A10" s="512">
        <v>7</v>
      </c>
      <c r="B10" s="507">
        <v>2</v>
      </c>
      <c r="C10" s="507">
        <v>4</v>
      </c>
      <c r="D10" s="507">
        <v>9</v>
      </c>
      <c r="E10" s="469" t="s">
        <v>136</v>
      </c>
      <c r="F10" s="513" t="s">
        <v>137</v>
      </c>
      <c r="G10" s="469" t="s">
        <v>68</v>
      </c>
      <c r="H10" s="514">
        <v>50830</v>
      </c>
      <c r="I10" s="515">
        <v>329</v>
      </c>
      <c r="J10" s="505">
        <v>3.2730000000000001</v>
      </c>
      <c r="K10" s="469">
        <v>0.36149999999999999</v>
      </c>
      <c r="L10" s="505">
        <f t="shared" si="0"/>
        <v>3.6345000000000001</v>
      </c>
      <c r="M10" s="507">
        <v>0.91800000000000004</v>
      </c>
      <c r="N10" s="469">
        <v>7.8E-2</v>
      </c>
      <c r="O10" s="469">
        <f t="shared" ref="O10:O73" si="5">M10*1000</f>
        <v>918</v>
      </c>
      <c r="P10" s="469">
        <f t="shared" ref="P10:P73" si="6">N10*1000</f>
        <v>78</v>
      </c>
      <c r="Q10" s="469">
        <f t="shared" si="3"/>
        <v>996</v>
      </c>
      <c r="R10" s="505">
        <f t="shared" si="4"/>
        <v>274.04044572843583</v>
      </c>
      <c r="S10" s="469"/>
      <c r="T10" s="491"/>
      <c r="U10" s="491"/>
      <c r="V10" s="491"/>
      <c r="W10" s="491"/>
      <c r="X10" s="491"/>
    </row>
    <row r="11" spans="1:24" ht="15.75" customHeight="1">
      <c r="A11" s="512">
        <v>8</v>
      </c>
      <c r="B11" s="469">
        <v>2</v>
      </c>
      <c r="C11" s="507">
        <v>7</v>
      </c>
      <c r="D11" s="507">
        <v>2</v>
      </c>
      <c r="E11" s="469" t="s">
        <v>205</v>
      </c>
      <c r="F11" s="456" t="s">
        <v>415</v>
      </c>
      <c r="G11" s="469" t="s">
        <v>34</v>
      </c>
      <c r="H11" s="514">
        <v>50853</v>
      </c>
      <c r="I11" s="515">
        <v>642</v>
      </c>
      <c r="J11" s="505">
        <v>9.8124000000000002</v>
      </c>
      <c r="K11" s="469">
        <v>0.56200000000000006</v>
      </c>
      <c r="L11" s="505">
        <f t="shared" si="0"/>
        <v>10.3744</v>
      </c>
      <c r="M11" s="507">
        <v>2.8233999999999999</v>
      </c>
      <c r="N11" s="469">
        <v>0.10199999999999999</v>
      </c>
      <c r="O11" s="469">
        <f t="shared" si="5"/>
        <v>2823.4</v>
      </c>
      <c r="P11" s="469">
        <f t="shared" si="6"/>
        <v>102</v>
      </c>
      <c r="Q11" s="469">
        <f t="shared" si="3"/>
        <v>2925.4</v>
      </c>
      <c r="R11" s="505">
        <f t="shared" si="4"/>
        <v>281.98257248611969</v>
      </c>
      <c r="S11" s="469"/>
      <c r="T11" s="491"/>
      <c r="U11" s="491"/>
      <c r="V11" s="491"/>
      <c r="W11" s="491"/>
      <c r="X11" s="491"/>
    </row>
    <row r="12" spans="1:24" ht="15.75" customHeight="1">
      <c r="A12" s="512">
        <v>10</v>
      </c>
      <c r="B12" s="507">
        <v>2</v>
      </c>
      <c r="C12" s="507">
        <v>4</v>
      </c>
      <c r="D12" s="507">
        <v>15</v>
      </c>
      <c r="E12" s="469" t="s">
        <v>162</v>
      </c>
      <c r="F12" s="575" t="s">
        <v>420</v>
      </c>
      <c r="G12" s="469" t="s">
        <v>34</v>
      </c>
      <c r="H12" s="514">
        <v>50840</v>
      </c>
      <c r="I12" s="515">
        <v>1</v>
      </c>
      <c r="J12" s="505">
        <v>0.47289999999999999</v>
      </c>
      <c r="K12" s="469">
        <v>1.3100000000000001E-2</v>
      </c>
      <c r="L12" s="505">
        <f t="shared" si="0"/>
        <v>0.48599999999999999</v>
      </c>
      <c r="M12" s="507">
        <v>0.13500000000000001</v>
      </c>
      <c r="N12" s="469">
        <v>3.0000000000000001E-3</v>
      </c>
      <c r="O12" s="469">
        <f t="shared" si="5"/>
        <v>135</v>
      </c>
      <c r="P12" s="469">
        <f t="shared" si="6"/>
        <v>3</v>
      </c>
      <c r="Q12" s="469">
        <f t="shared" si="3"/>
        <v>138</v>
      </c>
      <c r="R12" s="505">
        <f t="shared" si="4"/>
        <v>283.95061728395063</v>
      </c>
      <c r="S12" s="469"/>
      <c r="T12" s="491"/>
      <c r="U12" s="491"/>
      <c r="V12" s="491"/>
      <c r="W12" s="491"/>
      <c r="X12" s="491"/>
    </row>
    <row r="13" spans="1:24" ht="15.75" customHeight="1">
      <c r="A13" s="512">
        <v>9</v>
      </c>
      <c r="B13" s="507">
        <v>2</v>
      </c>
      <c r="C13" s="507">
        <v>1</v>
      </c>
      <c r="D13" s="507">
        <v>15</v>
      </c>
      <c r="E13" s="469" t="s">
        <v>56</v>
      </c>
      <c r="F13" s="513" t="s">
        <v>57</v>
      </c>
      <c r="G13" s="469" t="s">
        <v>34</v>
      </c>
      <c r="H13" s="514">
        <v>50594</v>
      </c>
      <c r="I13" s="515">
        <v>154</v>
      </c>
      <c r="J13" s="505">
        <v>1.9457</v>
      </c>
      <c r="K13" s="469">
        <v>0.129</v>
      </c>
      <c r="L13" s="505">
        <f t="shared" si="0"/>
        <v>2.0747</v>
      </c>
      <c r="M13" s="507">
        <v>0.77800000000000002</v>
      </c>
      <c r="N13" s="469">
        <v>0.05</v>
      </c>
      <c r="O13" s="469">
        <f t="shared" si="5"/>
        <v>778</v>
      </c>
      <c r="P13" s="469">
        <f t="shared" si="6"/>
        <v>50</v>
      </c>
      <c r="Q13" s="469">
        <f t="shared" si="3"/>
        <v>828</v>
      </c>
      <c r="R13" s="505">
        <f t="shared" si="4"/>
        <v>399.09384489323759</v>
      </c>
      <c r="S13" s="469"/>
      <c r="T13" s="491"/>
      <c r="U13" s="491"/>
      <c r="V13" s="491"/>
      <c r="W13" s="491"/>
      <c r="X13" s="491"/>
    </row>
    <row r="14" spans="1:24" ht="15.75" customHeight="1">
      <c r="A14" s="512">
        <v>11</v>
      </c>
      <c r="B14" s="507">
        <v>2</v>
      </c>
      <c r="C14" s="507">
        <v>8</v>
      </c>
      <c r="D14" s="507">
        <v>14</v>
      </c>
      <c r="E14" s="469" t="s">
        <v>241</v>
      </c>
      <c r="F14" s="456" t="s">
        <v>416</v>
      </c>
      <c r="G14" s="469" t="s">
        <v>25</v>
      </c>
      <c r="H14" s="514">
        <v>50876</v>
      </c>
      <c r="I14" s="515">
        <v>420</v>
      </c>
      <c r="J14" s="505">
        <v>3.7770000000000001</v>
      </c>
      <c r="K14" s="469">
        <v>0.23549999999999999</v>
      </c>
      <c r="L14" s="505">
        <f t="shared" si="0"/>
        <v>4.0125000000000002</v>
      </c>
      <c r="M14" s="507">
        <v>1.323</v>
      </c>
      <c r="N14" s="469">
        <v>0.05</v>
      </c>
      <c r="O14" s="469">
        <f t="shared" si="5"/>
        <v>1323</v>
      </c>
      <c r="P14" s="469">
        <f t="shared" si="6"/>
        <v>50</v>
      </c>
      <c r="Q14" s="469">
        <f t="shared" si="3"/>
        <v>1373</v>
      </c>
      <c r="R14" s="505">
        <f t="shared" si="4"/>
        <v>342.18068535825546</v>
      </c>
      <c r="S14" s="469"/>
      <c r="T14" s="491"/>
      <c r="U14" s="491"/>
      <c r="V14" s="491"/>
      <c r="W14" s="491"/>
      <c r="X14" s="491"/>
    </row>
    <row r="15" spans="1:24" ht="15.75" customHeight="1">
      <c r="A15" s="512">
        <v>12</v>
      </c>
      <c r="B15" s="507">
        <v>2</v>
      </c>
      <c r="C15" s="507">
        <v>2</v>
      </c>
      <c r="D15" s="507">
        <v>13</v>
      </c>
      <c r="E15" s="469" t="s">
        <v>76</v>
      </c>
      <c r="F15" s="513" t="s">
        <v>77</v>
      </c>
      <c r="G15" s="469" t="s">
        <v>25</v>
      </c>
      <c r="H15" s="514">
        <v>50748</v>
      </c>
      <c r="I15" s="515">
        <v>296</v>
      </c>
      <c r="J15" s="505">
        <v>1.1515</v>
      </c>
      <c r="K15" s="469">
        <v>4.9299999999999997E-2</v>
      </c>
      <c r="L15" s="505">
        <f t="shared" si="0"/>
        <v>1.2007999999999999</v>
      </c>
      <c r="M15" s="507">
        <v>0.224</v>
      </c>
      <c r="N15" s="469">
        <v>0.01</v>
      </c>
      <c r="O15" s="469">
        <f t="shared" si="5"/>
        <v>224</v>
      </c>
      <c r="P15" s="469">
        <f t="shared" si="6"/>
        <v>10</v>
      </c>
      <c r="Q15" s="469">
        <f t="shared" si="3"/>
        <v>234</v>
      </c>
      <c r="R15" s="505">
        <f t="shared" si="4"/>
        <v>194.87008660892741</v>
      </c>
      <c r="S15" s="469"/>
      <c r="T15" s="491"/>
      <c r="U15" s="491"/>
      <c r="V15" s="491"/>
      <c r="W15" s="491"/>
      <c r="X15" s="491"/>
    </row>
    <row r="16" spans="1:24" ht="15.75" customHeight="1">
      <c r="A16" s="512">
        <v>13</v>
      </c>
      <c r="B16" s="507">
        <v>2</v>
      </c>
      <c r="C16" s="507">
        <v>1</v>
      </c>
      <c r="D16" s="507">
        <v>12</v>
      </c>
      <c r="E16" s="469" t="s">
        <v>46</v>
      </c>
      <c r="F16" s="513" t="s">
        <v>47</v>
      </c>
      <c r="G16" s="469" t="s">
        <v>25</v>
      </c>
      <c r="H16" s="514">
        <v>50262</v>
      </c>
      <c r="I16" s="515">
        <v>472</v>
      </c>
      <c r="J16" s="505">
        <v>37.866500000000002</v>
      </c>
      <c r="K16" s="469">
        <v>1.5541</v>
      </c>
      <c r="L16" s="505">
        <f t="shared" si="0"/>
        <v>39.4206</v>
      </c>
      <c r="M16" s="507">
        <v>16.433</v>
      </c>
      <c r="N16" s="469">
        <v>0.92600000000000005</v>
      </c>
      <c r="O16" s="469">
        <f t="shared" si="5"/>
        <v>16433</v>
      </c>
      <c r="P16" s="469">
        <f t="shared" si="6"/>
        <v>926</v>
      </c>
      <c r="Q16" s="469">
        <f t="shared" si="3"/>
        <v>17359</v>
      </c>
      <c r="R16" s="505">
        <f t="shared" si="4"/>
        <v>440.35352074803529</v>
      </c>
      <c r="S16" s="469"/>
      <c r="T16" s="491"/>
      <c r="U16" s="491"/>
      <c r="V16" s="491"/>
      <c r="W16" s="491"/>
      <c r="X16" s="491"/>
    </row>
    <row r="17" spans="1:24" ht="15.75" customHeight="1">
      <c r="A17" s="512">
        <v>14</v>
      </c>
      <c r="B17" s="507">
        <v>2</v>
      </c>
      <c r="C17" s="507">
        <v>6</v>
      </c>
      <c r="D17" s="507">
        <v>3</v>
      </c>
      <c r="E17" s="469" t="s">
        <v>201</v>
      </c>
      <c r="F17" s="513" t="s">
        <v>202</v>
      </c>
      <c r="G17" s="469" t="s">
        <v>34</v>
      </c>
      <c r="H17" s="514">
        <v>50601</v>
      </c>
      <c r="I17" s="515">
        <v>146</v>
      </c>
      <c r="J17" s="505">
        <v>2.0135000000000001</v>
      </c>
      <c r="K17" s="469">
        <v>0</v>
      </c>
      <c r="L17" s="505">
        <f t="shared" si="0"/>
        <v>2.0135000000000001</v>
      </c>
      <c r="M17" s="507">
        <v>0.36899999999999999</v>
      </c>
      <c r="N17" s="469">
        <v>0</v>
      </c>
      <c r="O17" s="469">
        <f t="shared" si="5"/>
        <v>369</v>
      </c>
      <c r="P17" s="469">
        <f t="shared" si="6"/>
        <v>0</v>
      </c>
      <c r="Q17" s="469">
        <f t="shared" si="3"/>
        <v>369</v>
      </c>
      <c r="R17" s="505">
        <f t="shared" si="4"/>
        <v>183.26297491929475</v>
      </c>
      <c r="S17" s="469" t="s">
        <v>364</v>
      </c>
      <c r="T17" s="491"/>
      <c r="U17" s="491"/>
      <c r="V17" s="491"/>
      <c r="W17" s="491"/>
      <c r="X17" s="491"/>
    </row>
    <row r="18" spans="1:24" ht="15.75" customHeight="1">
      <c r="A18" s="512">
        <v>16</v>
      </c>
      <c r="B18" s="507">
        <v>2</v>
      </c>
      <c r="C18" s="507">
        <v>4</v>
      </c>
      <c r="D18" s="507">
        <v>2</v>
      </c>
      <c r="E18" s="469" t="s">
        <v>126</v>
      </c>
      <c r="F18" s="469" t="s">
        <v>127</v>
      </c>
      <c r="G18" s="469" t="s">
        <v>25</v>
      </c>
      <c r="H18" s="514">
        <v>50767</v>
      </c>
      <c r="I18" s="515">
        <v>145</v>
      </c>
      <c r="J18" s="505">
        <v>11.478</v>
      </c>
      <c r="K18" s="469">
        <v>1.0767</v>
      </c>
      <c r="L18" s="505">
        <f t="shared" si="0"/>
        <v>12.5547</v>
      </c>
      <c r="M18" s="507">
        <v>4.069</v>
      </c>
      <c r="N18" s="469">
        <v>0.312</v>
      </c>
      <c r="O18" s="469">
        <f t="shared" si="5"/>
        <v>4069</v>
      </c>
      <c r="P18" s="469">
        <f t="shared" si="6"/>
        <v>312</v>
      </c>
      <c r="Q18" s="469">
        <f t="shared" si="3"/>
        <v>4381</v>
      </c>
      <c r="R18" s="505">
        <f t="shared" si="4"/>
        <v>348.95298175185388</v>
      </c>
      <c r="S18" s="469"/>
      <c r="T18" s="491"/>
      <c r="U18" s="491"/>
      <c r="V18" s="491"/>
      <c r="W18" s="491"/>
      <c r="X18" s="491"/>
    </row>
    <row r="19" spans="1:24" ht="15.75" customHeight="1">
      <c r="A19" s="512">
        <v>17</v>
      </c>
      <c r="B19" s="507">
        <v>2</v>
      </c>
      <c r="C19" s="507">
        <v>7</v>
      </c>
      <c r="D19" s="507">
        <v>18</v>
      </c>
      <c r="E19" s="469" t="s">
        <v>230</v>
      </c>
      <c r="F19" s="469" t="s">
        <v>231</v>
      </c>
      <c r="G19" s="469" t="s">
        <v>48</v>
      </c>
      <c r="H19" s="514">
        <v>50206</v>
      </c>
      <c r="I19" s="515">
        <v>73</v>
      </c>
      <c r="J19" s="505">
        <v>32.561100000000003</v>
      </c>
      <c r="K19" s="469">
        <v>13.7898</v>
      </c>
      <c r="L19" s="505">
        <f t="shared" si="0"/>
        <v>46.350900000000003</v>
      </c>
      <c r="M19" s="469">
        <v>12.5509</v>
      </c>
      <c r="N19" s="469">
        <v>3.3588</v>
      </c>
      <c r="O19" s="469">
        <f t="shared" si="5"/>
        <v>12550.9</v>
      </c>
      <c r="P19" s="469">
        <f t="shared" si="6"/>
        <v>3358.8</v>
      </c>
      <c r="Q19" s="469">
        <f t="shared" si="3"/>
        <v>15909.7</v>
      </c>
      <c r="R19" s="505">
        <f t="shared" si="4"/>
        <v>343.24468349050397</v>
      </c>
      <c r="S19" s="469"/>
      <c r="T19" s="491"/>
      <c r="U19" s="491"/>
      <c r="V19" s="491"/>
      <c r="W19" s="491"/>
      <c r="X19" s="491"/>
    </row>
    <row r="20" spans="1:24" ht="15.75" customHeight="1">
      <c r="A20" s="512">
        <v>18</v>
      </c>
      <c r="B20" s="507">
        <v>2</v>
      </c>
      <c r="C20" s="507">
        <v>3</v>
      </c>
      <c r="D20" s="507">
        <v>18</v>
      </c>
      <c r="E20" s="469" t="s">
        <v>114</v>
      </c>
      <c r="F20" s="469" t="s">
        <v>115</v>
      </c>
      <c r="G20" s="469" t="s">
        <v>117</v>
      </c>
      <c r="H20" s="514">
        <v>50535</v>
      </c>
      <c r="I20" s="515">
        <v>24</v>
      </c>
      <c r="J20" s="505">
        <v>0.22090000000000001</v>
      </c>
      <c r="K20" s="469">
        <v>1.4500000000000001E-2</v>
      </c>
      <c r="L20" s="505">
        <f t="shared" si="0"/>
        <v>0.23540000000000003</v>
      </c>
      <c r="M20" s="507">
        <v>6.6000000000000003E-2</v>
      </c>
      <c r="N20" s="469">
        <v>3.0000000000000001E-3</v>
      </c>
      <c r="O20" s="469">
        <f t="shared" si="5"/>
        <v>66</v>
      </c>
      <c r="P20" s="469">
        <f t="shared" si="6"/>
        <v>3</v>
      </c>
      <c r="Q20" s="469">
        <f t="shared" si="3"/>
        <v>69</v>
      </c>
      <c r="R20" s="505">
        <f t="shared" si="4"/>
        <v>293.11809685641458</v>
      </c>
      <c r="S20" s="469"/>
      <c r="T20" s="491"/>
      <c r="U20" s="491"/>
      <c r="V20" s="491"/>
      <c r="W20" s="491"/>
      <c r="X20" s="491"/>
    </row>
    <row r="21" spans="1:24" ht="15.75" customHeight="1">
      <c r="A21" s="512">
        <v>19</v>
      </c>
      <c r="B21" s="507">
        <v>2</v>
      </c>
      <c r="C21" s="507">
        <v>3</v>
      </c>
      <c r="D21" s="507">
        <v>19</v>
      </c>
      <c r="E21" s="469" t="s">
        <v>112</v>
      </c>
      <c r="F21" s="469" t="s">
        <v>113</v>
      </c>
      <c r="G21" s="469" t="s">
        <v>25</v>
      </c>
      <c r="H21" s="514">
        <v>50758</v>
      </c>
      <c r="I21" s="515">
        <v>133</v>
      </c>
      <c r="J21" s="505">
        <v>10.715</v>
      </c>
      <c r="K21" s="469">
        <v>1.218</v>
      </c>
      <c r="L21" s="505">
        <f t="shared" si="0"/>
        <v>11.933</v>
      </c>
      <c r="M21" s="507">
        <v>1.744</v>
      </c>
      <c r="N21" s="469">
        <v>0.125</v>
      </c>
      <c r="O21" s="469">
        <f t="shared" si="5"/>
        <v>1744</v>
      </c>
      <c r="P21" s="469">
        <f t="shared" si="6"/>
        <v>125</v>
      </c>
      <c r="Q21" s="469">
        <f t="shared" si="3"/>
        <v>1869</v>
      </c>
      <c r="R21" s="505">
        <f t="shared" si="4"/>
        <v>156.62448671750607</v>
      </c>
      <c r="S21" s="469"/>
      <c r="T21" s="491"/>
      <c r="U21" s="491"/>
      <c r="V21" s="491"/>
      <c r="W21" s="491"/>
      <c r="X21" s="491"/>
    </row>
    <row r="22" spans="1:24" ht="15.75" customHeight="1">
      <c r="A22" s="512">
        <v>20</v>
      </c>
      <c r="B22" s="507">
        <v>2</v>
      </c>
      <c r="C22" s="507">
        <v>1</v>
      </c>
      <c r="D22" s="507">
        <v>17</v>
      </c>
      <c r="E22" s="469" t="s">
        <v>60</v>
      </c>
      <c r="F22" s="469" t="s">
        <v>61</v>
      </c>
      <c r="G22" s="469" t="s">
        <v>34</v>
      </c>
      <c r="H22" s="514">
        <v>50467</v>
      </c>
      <c r="I22" s="515">
        <v>426</v>
      </c>
      <c r="J22" s="505">
        <v>13.55</v>
      </c>
      <c r="K22" s="469">
        <v>1.379</v>
      </c>
      <c r="L22" s="505">
        <f t="shared" si="0"/>
        <v>14.929</v>
      </c>
      <c r="M22" s="469">
        <v>4.3259999999999996</v>
      </c>
      <c r="N22" s="469">
        <v>0.26290000000000002</v>
      </c>
      <c r="O22" s="469">
        <f t="shared" si="5"/>
        <v>4326</v>
      </c>
      <c r="P22" s="469">
        <f t="shared" si="6"/>
        <v>262.90000000000003</v>
      </c>
      <c r="Q22" s="469">
        <f t="shared" si="3"/>
        <v>4588.8999999999996</v>
      </c>
      <c r="R22" s="505">
        <f t="shared" si="4"/>
        <v>307.38160626967641</v>
      </c>
      <c r="S22" s="469"/>
      <c r="T22" s="491"/>
      <c r="U22" s="491"/>
      <c r="V22" s="491"/>
      <c r="W22" s="491"/>
      <c r="X22" s="491"/>
    </row>
    <row r="23" spans="1:24" ht="15.75" customHeight="1">
      <c r="A23" s="512">
        <v>21</v>
      </c>
      <c r="B23" s="507">
        <v>2</v>
      </c>
      <c r="C23" s="507">
        <v>2</v>
      </c>
      <c r="D23" s="507">
        <v>9</v>
      </c>
      <c r="E23" s="469" t="s">
        <v>60</v>
      </c>
      <c r="F23" s="469" t="s">
        <v>71</v>
      </c>
      <c r="G23" s="469" t="s">
        <v>31</v>
      </c>
      <c r="H23" s="514">
        <v>50764</v>
      </c>
      <c r="I23" s="515">
        <v>48</v>
      </c>
      <c r="J23" s="505">
        <v>44.665500000000002</v>
      </c>
      <c r="K23" s="469">
        <v>7.2580999999999998</v>
      </c>
      <c r="L23" s="505">
        <f t="shared" si="0"/>
        <v>51.9236</v>
      </c>
      <c r="M23" s="507">
        <v>11.201000000000001</v>
      </c>
      <c r="N23" s="469">
        <v>1.446</v>
      </c>
      <c r="O23" s="469">
        <f t="shared" si="5"/>
        <v>11201</v>
      </c>
      <c r="P23" s="469">
        <f t="shared" si="6"/>
        <v>1446</v>
      </c>
      <c r="Q23" s="469">
        <f t="shared" si="3"/>
        <v>12647</v>
      </c>
      <c r="R23" s="505">
        <f t="shared" si="4"/>
        <v>243.56939811569305</v>
      </c>
      <c r="S23" s="469"/>
      <c r="T23" s="491"/>
      <c r="U23" s="491"/>
      <c r="V23" s="491"/>
      <c r="W23" s="491"/>
      <c r="X23" s="491"/>
    </row>
    <row r="24" spans="1:24" ht="15.75" customHeight="1">
      <c r="A24" s="512">
        <v>22</v>
      </c>
      <c r="B24" s="507">
        <v>2</v>
      </c>
      <c r="C24" s="507">
        <v>1</v>
      </c>
      <c r="D24" s="507">
        <v>13</v>
      </c>
      <c r="E24" s="469" t="s">
        <v>32</v>
      </c>
      <c r="F24" s="469" t="s">
        <v>33</v>
      </c>
      <c r="G24" s="469" t="s">
        <v>48</v>
      </c>
      <c r="H24" s="514">
        <v>50267</v>
      </c>
      <c r="I24" s="515">
        <v>442</v>
      </c>
      <c r="J24" s="505">
        <v>14.2278</v>
      </c>
      <c r="K24" s="469">
        <v>0.85750000000000004</v>
      </c>
      <c r="L24" s="505">
        <f t="shared" si="0"/>
        <v>15.0853</v>
      </c>
      <c r="M24" s="507">
        <v>4.8979999999999997</v>
      </c>
      <c r="N24" s="469">
        <v>0.20599999999999999</v>
      </c>
      <c r="O24" s="469">
        <f t="shared" si="5"/>
        <v>4898</v>
      </c>
      <c r="P24" s="469">
        <f t="shared" si="6"/>
        <v>206</v>
      </c>
      <c r="Q24" s="469">
        <f t="shared" si="3"/>
        <v>5104</v>
      </c>
      <c r="R24" s="505">
        <f t="shared" si="4"/>
        <v>338.34262493951064</v>
      </c>
      <c r="S24" s="469"/>
      <c r="T24" s="491"/>
      <c r="U24" s="491"/>
      <c r="V24" s="491"/>
      <c r="W24" s="491"/>
      <c r="X24" s="491"/>
    </row>
    <row r="25" spans="1:24" ht="15.75" customHeight="1">
      <c r="A25" s="512">
        <v>23</v>
      </c>
      <c r="B25" s="507">
        <v>2</v>
      </c>
      <c r="C25" s="507">
        <v>4</v>
      </c>
      <c r="D25" s="507">
        <v>15</v>
      </c>
      <c r="E25" s="469" t="s">
        <v>153</v>
      </c>
      <c r="F25" s="469" t="s">
        <v>154</v>
      </c>
      <c r="G25" s="469" t="s">
        <v>155</v>
      </c>
      <c r="H25" s="514">
        <v>50851</v>
      </c>
      <c r="I25" s="515">
        <v>15</v>
      </c>
      <c r="J25" s="505">
        <v>3.9037999999999999</v>
      </c>
      <c r="K25" s="469">
        <v>0.13850000000000001</v>
      </c>
      <c r="L25" s="505">
        <f t="shared" si="0"/>
        <v>4.0423</v>
      </c>
      <c r="M25" s="507">
        <v>1.444</v>
      </c>
      <c r="N25" s="469">
        <v>4.2000000000000003E-2</v>
      </c>
      <c r="O25" s="469">
        <f t="shared" si="5"/>
        <v>1444</v>
      </c>
      <c r="P25" s="469">
        <f t="shared" si="6"/>
        <v>42</v>
      </c>
      <c r="Q25" s="469">
        <f t="shared" si="3"/>
        <v>1486</v>
      </c>
      <c r="R25" s="505">
        <f t="shared" si="4"/>
        <v>367.61249783539074</v>
      </c>
      <c r="S25" s="469"/>
      <c r="T25" s="491"/>
      <c r="U25" s="491"/>
      <c r="V25" s="491"/>
      <c r="W25" s="491"/>
      <c r="X25" s="491"/>
    </row>
    <row r="26" spans="1:24" ht="15.75" customHeight="1">
      <c r="A26" s="512">
        <v>24</v>
      </c>
      <c r="B26" s="507">
        <v>2</v>
      </c>
      <c r="C26" s="507">
        <v>2</v>
      </c>
      <c r="D26" s="507">
        <v>3</v>
      </c>
      <c r="E26" s="469" t="s">
        <v>66</v>
      </c>
      <c r="F26" s="518" t="s">
        <v>355</v>
      </c>
      <c r="G26" s="518" t="s">
        <v>68</v>
      </c>
      <c r="H26" s="519">
        <v>50632</v>
      </c>
      <c r="I26" s="515">
        <v>220</v>
      </c>
      <c r="J26" s="505">
        <v>66.6066</v>
      </c>
      <c r="K26" s="469">
        <v>0</v>
      </c>
      <c r="L26" s="505">
        <f t="shared" si="0"/>
        <v>66.6066</v>
      </c>
      <c r="M26" s="507">
        <v>16.474</v>
      </c>
      <c r="N26" s="469">
        <v>0</v>
      </c>
      <c r="O26" s="469">
        <f t="shared" si="5"/>
        <v>16474</v>
      </c>
      <c r="P26" s="469">
        <f t="shared" si="6"/>
        <v>0</v>
      </c>
      <c r="Q26" s="469">
        <f t="shared" si="3"/>
        <v>16474</v>
      </c>
      <c r="R26" s="505">
        <f t="shared" si="4"/>
        <v>247.33284689505246</v>
      </c>
      <c r="S26" s="469"/>
      <c r="T26" s="491"/>
      <c r="U26" s="491"/>
      <c r="V26" s="491"/>
      <c r="W26" s="491"/>
      <c r="X26" s="491"/>
    </row>
    <row r="27" spans="1:24" ht="15.75" customHeight="1">
      <c r="A27" s="512">
        <v>25</v>
      </c>
      <c r="B27" s="507">
        <v>2</v>
      </c>
      <c r="C27" s="507">
        <v>7</v>
      </c>
      <c r="D27" s="507">
        <v>13</v>
      </c>
      <c r="E27" s="469" t="s">
        <v>66</v>
      </c>
      <c r="F27" s="469" t="s">
        <v>67</v>
      </c>
      <c r="G27" s="469" t="s">
        <v>31</v>
      </c>
      <c r="H27" s="514">
        <v>50323</v>
      </c>
      <c r="I27" s="515">
        <v>143</v>
      </c>
      <c r="J27" s="505">
        <v>46.881599999999999</v>
      </c>
      <c r="K27" s="469">
        <v>0</v>
      </c>
      <c r="L27" s="505">
        <f t="shared" si="0"/>
        <v>46.881599999999999</v>
      </c>
      <c r="M27" s="507">
        <v>10.759</v>
      </c>
      <c r="N27" s="469">
        <v>0</v>
      </c>
      <c r="O27" s="469">
        <f t="shared" si="5"/>
        <v>10759</v>
      </c>
      <c r="P27" s="469">
        <f t="shared" si="6"/>
        <v>0</v>
      </c>
      <c r="Q27" s="469">
        <f t="shared" si="3"/>
        <v>10759</v>
      </c>
      <c r="R27" s="505">
        <f t="shared" si="4"/>
        <v>229.49302071601653</v>
      </c>
      <c r="S27" s="469" t="s">
        <v>364</v>
      </c>
      <c r="T27" s="491"/>
      <c r="U27" s="491"/>
      <c r="V27" s="491"/>
      <c r="W27" s="491"/>
      <c r="X27" s="491"/>
    </row>
    <row r="28" spans="1:24" ht="15.75" customHeight="1">
      <c r="A28" s="512">
        <v>26</v>
      </c>
      <c r="B28" s="507">
        <v>2</v>
      </c>
      <c r="C28" s="507">
        <v>3</v>
      </c>
      <c r="D28" s="507">
        <v>13</v>
      </c>
      <c r="E28" s="469" t="s">
        <v>105</v>
      </c>
      <c r="F28" s="469" t="s">
        <v>106</v>
      </c>
      <c r="G28" s="469" t="s">
        <v>25</v>
      </c>
      <c r="H28" s="514">
        <v>50859</v>
      </c>
      <c r="I28" s="515">
        <v>349</v>
      </c>
      <c r="J28" s="505">
        <v>1.6056999999999999</v>
      </c>
      <c r="K28" s="469">
        <v>0.10730000000000001</v>
      </c>
      <c r="L28" s="505">
        <f t="shared" si="0"/>
        <v>1.7129999999999999</v>
      </c>
      <c r="M28" s="507">
        <v>0.53600000000000003</v>
      </c>
      <c r="N28" s="469">
        <v>1.9E-2</v>
      </c>
      <c r="O28" s="469">
        <f t="shared" si="5"/>
        <v>536</v>
      </c>
      <c r="P28" s="469">
        <f t="shared" si="6"/>
        <v>19</v>
      </c>
      <c r="Q28" s="469">
        <f t="shared" si="3"/>
        <v>555</v>
      </c>
      <c r="R28" s="505">
        <f t="shared" si="4"/>
        <v>323.99299474605959</v>
      </c>
      <c r="S28" s="469"/>
      <c r="T28" s="491"/>
      <c r="U28" s="491"/>
      <c r="V28" s="491"/>
      <c r="W28" s="491"/>
      <c r="X28" s="491"/>
    </row>
    <row r="29" spans="1:24" ht="15.75" customHeight="1">
      <c r="A29" s="512">
        <v>27</v>
      </c>
      <c r="B29" s="507">
        <v>2</v>
      </c>
      <c r="C29" s="507">
        <v>3</v>
      </c>
      <c r="D29" s="507">
        <v>6</v>
      </c>
      <c r="E29" s="469" t="s">
        <v>91</v>
      </c>
      <c r="F29" s="469" t="s">
        <v>92</v>
      </c>
      <c r="G29" s="469" t="s">
        <v>31</v>
      </c>
      <c r="H29" s="514">
        <v>50784</v>
      </c>
      <c r="I29" s="515">
        <v>32</v>
      </c>
      <c r="J29" s="505">
        <v>6.2744</v>
      </c>
      <c r="K29" s="469">
        <v>0.1842</v>
      </c>
      <c r="L29" s="505">
        <f t="shared" si="0"/>
        <v>6.4585999999999997</v>
      </c>
      <c r="M29" s="507">
        <v>1.7749999999999999</v>
      </c>
      <c r="N29" s="469">
        <v>4.4999999999999998E-2</v>
      </c>
      <c r="O29" s="469">
        <f t="shared" si="5"/>
        <v>1775</v>
      </c>
      <c r="P29" s="469">
        <f t="shared" si="6"/>
        <v>45</v>
      </c>
      <c r="Q29" s="469">
        <f t="shared" si="3"/>
        <v>1820</v>
      </c>
      <c r="R29" s="505">
        <f t="shared" si="4"/>
        <v>281.79481621404022</v>
      </c>
      <c r="S29" s="469"/>
      <c r="T29" s="491"/>
      <c r="U29" s="491"/>
      <c r="V29" s="491"/>
      <c r="W29" s="491"/>
      <c r="X29" s="491"/>
    </row>
    <row r="30" spans="1:24" ht="15.75" customHeight="1">
      <c r="A30" s="512">
        <v>28</v>
      </c>
      <c r="B30" s="507">
        <v>2</v>
      </c>
      <c r="C30" s="507">
        <v>7</v>
      </c>
      <c r="D30" s="507">
        <v>3</v>
      </c>
      <c r="E30" s="469" t="s">
        <v>208</v>
      </c>
      <c r="F30" s="469" t="s">
        <v>209</v>
      </c>
      <c r="G30" s="469" t="s">
        <v>68</v>
      </c>
      <c r="H30" s="514">
        <v>50635</v>
      </c>
      <c r="I30" s="515">
        <v>311</v>
      </c>
      <c r="J30" s="505">
        <v>17.0671</v>
      </c>
      <c r="K30" s="469">
        <v>2.7646000000000002</v>
      </c>
      <c r="L30" s="505">
        <f t="shared" si="0"/>
        <v>19.831700000000001</v>
      </c>
      <c r="M30" s="507">
        <v>5.1349999999999998</v>
      </c>
      <c r="N30" s="469">
        <v>0.58599999999999997</v>
      </c>
      <c r="O30" s="469">
        <f t="shared" si="5"/>
        <v>5135</v>
      </c>
      <c r="P30" s="469">
        <f t="shared" si="6"/>
        <v>586</v>
      </c>
      <c r="Q30" s="469">
        <f t="shared" si="3"/>
        <v>5721</v>
      </c>
      <c r="R30" s="505">
        <f t="shared" si="4"/>
        <v>288.47753848636273</v>
      </c>
      <c r="S30" s="469"/>
      <c r="T30" s="491"/>
      <c r="U30" s="491"/>
      <c r="V30" s="491"/>
      <c r="W30" s="491"/>
      <c r="X30" s="491"/>
    </row>
    <row r="31" spans="1:24" ht="15.75" customHeight="1">
      <c r="A31" s="512">
        <v>29</v>
      </c>
      <c r="B31" s="507">
        <v>2</v>
      </c>
      <c r="C31" s="507">
        <v>1</v>
      </c>
      <c r="D31" s="507">
        <v>9</v>
      </c>
      <c r="E31" s="469" t="s">
        <v>37</v>
      </c>
      <c r="F31" s="469" t="s">
        <v>38</v>
      </c>
      <c r="G31" s="469" t="s">
        <v>34</v>
      </c>
      <c r="H31" s="514">
        <v>50663</v>
      </c>
      <c r="I31" s="515">
        <v>127</v>
      </c>
      <c r="J31" s="505">
        <v>1.5341</v>
      </c>
      <c r="K31" s="469">
        <v>5.6000000000000001E-2</v>
      </c>
      <c r="L31" s="505">
        <f t="shared" si="0"/>
        <v>1.5901000000000001</v>
      </c>
      <c r="M31" s="507">
        <v>0.63900000000000001</v>
      </c>
      <c r="N31" s="469">
        <v>1.9E-2</v>
      </c>
      <c r="O31" s="469">
        <f t="shared" si="5"/>
        <v>639</v>
      </c>
      <c r="P31" s="469">
        <f t="shared" si="6"/>
        <v>19</v>
      </c>
      <c r="Q31" s="469">
        <f t="shared" si="3"/>
        <v>658</v>
      </c>
      <c r="R31" s="505">
        <f t="shared" si="4"/>
        <v>413.81045217281928</v>
      </c>
      <c r="S31" s="469"/>
      <c r="T31" s="491"/>
      <c r="U31" s="491"/>
      <c r="V31" s="491"/>
      <c r="W31" s="491"/>
      <c r="X31" s="491"/>
    </row>
    <row r="32" spans="1:24" ht="15.75" customHeight="1">
      <c r="A32" s="512">
        <v>30</v>
      </c>
      <c r="B32" s="507">
        <v>2</v>
      </c>
      <c r="C32" s="507">
        <v>4</v>
      </c>
      <c r="D32" s="507">
        <v>6</v>
      </c>
      <c r="E32" s="469" t="s">
        <v>132</v>
      </c>
      <c r="F32" s="469" t="s">
        <v>133</v>
      </c>
      <c r="G32" s="469" t="s">
        <v>109</v>
      </c>
      <c r="H32" s="514">
        <v>50716</v>
      </c>
      <c r="I32" s="515">
        <v>82</v>
      </c>
      <c r="J32" s="505">
        <v>3.5798000000000001</v>
      </c>
      <c r="K32" s="469">
        <v>0.191</v>
      </c>
      <c r="L32" s="505">
        <f t="shared" si="0"/>
        <v>3.7707999999999999</v>
      </c>
      <c r="M32" s="507">
        <v>0.92200000000000004</v>
      </c>
      <c r="N32" s="469">
        <v>4.5999999999999999E-2</v>
      </c>
      <c r="O32" s="469">
        <f t="shared" si="5"/>
        <v>922</v>
      </c>
      <c r="P32" s="469">
        <f t="shared" si="6"/>
        <v>46</v>
      </c>
      <c r="Q32" s="469">
        <f t="shared" si="3"/>
        <v>968</v>
      </c>
      <c r="R32" s="505">
        <f t="shared" si="4"/>
        <v>256.70945157526256</v>
      </c>
      <c r="S32" s="469"/>
      <c r="T32" s="491"/>
      <c r="U32" s="491"/>
      <c r="V32" s="491"/>
      <c r="W32" s="491"/>
      <c r="X32" s="491"/>
    </row>
    <row r="33" spans="1:24" ht="15.75" customHeight="1">
      <c r="A33" s="512">
        <v>31</v>
      </c>
      <c r="B33" s="507">
        <v>2</v>
      </c>
      <c r="C33" s="507">
        <v>5</v>
      </c>
      <c r="D33" s="507">
        <v>8</v>
      </c>
      <c r="E33" s="469" t="s">
        <v>187</v>
      </c>
      <c r="F33" s="469" t="s">
        <v>188</v>
      </c>
      <c r="G33" s="469" t="s">
        <v>68</v>
      </c>
      <c r="H33" s="514">
        <v>50881</v>
      </c>
      <c r="I33" s="515">
        <v>738</v>
      </c>
      <c r="J33" s="505">
        <v>0.32790000000000002</v>
      </c>
      <c r="K33" s="469">
        <v>0</v>
      </c>
      <c r="L33" s="505">
        <f t="shared" si="0"/>
        <v>0.32790000000000002</v>
      </c>
      <c r="M33" s="507">
        <v>0.113</v>
      </c>
      <c r="N33" s="469">
        <v>0</v>
      </c>
      <c r="O33" s="469">
        <f t="shared" si="5"/>
        <v>113</v>
      </c>
      <c r="P33" s="469">
        <f t="shared" si="6"/>
        <v>0</v>
      </c>
      <c r="Q33" s="469">
        <f t="shared" si="3"/>
        <v>113</v>
      </c>
      <c r="R33" s="505">
        <f t="shared" si="4"/>
        <v>344.61726136017074</v>
      </c>
      <c r="S33" s="469" t="s">
        <v>364</v>
      </c>
      <c r="T33" s="491"/>
      <c r="U33" s="491"/>
      <c r="V33" s="491"/>
      <c r="W33" s="491"/>
      <c r="X33" s="491"/>
    </row>
    <row r="34" spans="1:24" ht="15.75" customHeight="1">
      <c r="A34" s="512">
        <v>32</v>
      </c>
      <c r="B34" s="507">
        <v>2</v>
      </c>
      <c r="C34" s="507">
        <v>3</v>
      </c>
      <c r="D34" s="507">
        <v>8</v>
      </c>
      <c r="E34" s="469" t="s">
        <v>95</v>
      </c>
      <c r="F34" s="469" t="s">
        <v>96</v>
      </c>
      <c r="G34" s="469" t="s">
        <v>34</v>
      </c>
      <c r="H34" s="514">
        <v>50886</v>
      </c>
      <c r="I34" s="515">
        <v>289</v>
      </c>
      <c r="J34" s="505">
        <v>1.5185</v>
      </c>
      <c r="K34" s="469">
        <v>0.4254</v>
      </c>
      <c r="L34" s="505">
        <f t="shared" si="0"/>
        <v>1.9439</v>
      </c>
      <c r="M34" s="507">
        <v>0.38600000000000001</v>
      </c>
      <c r="N34" s="469">
        <v>7.0000000000000007E-2</v>
      </c>
      <c r="O34" s="469">
        <f t="shared" si="5"/>
        <v>386</v>
      </c>
      <c r="P34" s="469">
        <f t="shared" si="6"/>
        <v>70</v>
      </c>
      <c r="Q34" s="469">
        <f t="shared" si="3"/>
        <v>456</v>
      </c>
      <c r="R34" s="505">
        <f t="shared" si="4"/>
        <v>234.57996810535522</v>
      </c>
      <c r="S34" s="469"/>
      <c r="T34" s="491"/>
      <c r="U34" s="491"/>
      <c r="V34" s="491"/>
      <c r="W34" s="491"/>
      <c r="X34" s="491"/>
    </row>
    <row r="35" spans="1:24" ht="15.75" customHeight="1">
      <c r="A35" s="512">
        <v>33</v>
      </c>
      <c r="B35" s="507">
        <v>2</v>
      </c>
      <c r="C35" s="507">
        <v>3</v>
      </c>
      <c r="D35" s="507">
        <v>14</v>
      </c>
      <c r="E35" s="469" t="s">
        <v>107</v>
      </c>
      <c r="F35" s="469" t="s">
        <v>108</v>
      </c>
      <c r="G35" s="469" t="s">
        <v>25</v>
      </c>
      <c r="H35" s="514">
        <v>50847</v>
      </c>
      <c r="I35" s="515">
        <v>371</v>
      </c>
      <c r="J35" s="505">
        <v>0.1082</v>
      </c>
      <c r="K35" s="469">
        <v>0</v>
      </c>
      <c r="L35" s="505">
        <f t="shared" si="0"/>
        <v>0.1082</v>
      </c>
      <c r="M35" s="507">
        <v>2.7E-2</v>
      </c>
      <c r="N35" s="469">
        <v>0</v>
      </c>
      <c r="O35" s="469">
        <f t="shared" si="5"/>
        <v>27</v>
      </c>
      <c r="P35" s="469">
        <f t="shared" si="6"/>
        <v>0</v>
      </c>
      <c r="Q35" s="469">
        <f t="shared" si="3"/>
        <v>27</v>
      </c>
      <c r="R35" s="505">
        <f t="shared" si="4"/>
        <v>249.53789279112752</v>
      </c>
      <c r="S35" s="469" t="s">
        <v>369</v>
      </c>
      <c r="T35" s="491"/>
      <c r="U35" s="491"/>
      <c r="V35" s="491"/>
      <c r="W35" s="491"/>
      <c r="X35" s="491"/>
    </row>
    <row r="36" spans="1:24" ht="15.75" customHeight="1">
      <c r="A36" s="512">
        <v>34</v>
      </c>
      <c r="B36" s="507">
        <v>2</v>
      </c>
      <c r="C36" s="507">
        <v>5</v>
      </c>
      <c r="D36" s="507">
        <v>7</v>
      </c>
      <c r="E36" s="469" t="s">
        <v>185</v>
      </c>
      <c r="F36" s="469" t="s">
        <v>186</v>
      </c>
      <c r="G36" s="469" t="s">
        <v>31</v>
      </c>
      <c r="H36" s="514">
        <v>50844</v>
      </c>
      <c r="I36" s="515">
        <v>515</v>
      </c>
      <c r="J36" s="505">
        <v>1.1134999999999999</v>
      </c>
      <c r="K36" s="469">
        <v>0</v>
      </c>
      <c r="L36" s="505">
        <f t="shared" si="0"/>
        <v>1.1134999999999999</v>
      </c>
      <c r="M36" s="507">
        <v>0.36</v>
      </c>
      <c r="N36" s="469">
        <v>0</v>
      </c>
      <c r="O36" s="469">
        <f t="shared" si="5"/>
        <v>360</v>
      </c>
      <c r="P36" s="469">
        <f t="shared" si="6"/>
        <v>0</v>
      </c>
      <c r="Q36" s="469">
        <f t="shared" si="3"/>
        <v>360</v>
      </c>
      <c r="R36" s="505">
        <f t="shared" si="4"/>
        <v>323.30489447687472</v>
      </c>
      <c r="S36" s="469" t="s">
        <v>364</v>
      </c>
      <c r="T36" s="491"/>
      <c r="U36" s="491"/>
      <c r="V36" s="491"/>
      <c r="W36" s="491"/>
      <c r="X36" s="491"/>
    </row>
    <row r="37" spans="1:24" ht="15.75" customHeight="1">
      <c r="A37" s="512">
        <v>35</v>
      </c>
      <c r="B37" s="507">
        <v>2</v>
      </c>
      <c r="C37" s="507">
        <v>4</v>
      </c>
      <c r="D37" s="507">
        <v>22</v>
      </c>
      <c r="E37" s="469" t="s">
        <v>179</v>
      </c>
      <c r="F37" s="469" t="s">
        <v>180</v>
      </c>
      <c r="G37" s="469" t="s">
        <v>31</v>
      </c>
      <c r="H37" s="514">
        <v>50843</v>
      </c>
      <c r="I37" s="515">
        <v>330</v>
      </c>
      <c r="J37" s="505">
        <v>9.6319999999999997</v>
      </c>
      <c r="K37" s="469">
        <v>0</v>
      </c>
      <c r="L37" s="505">
        <f t="shared" si="0"/>
        <v>9.6319999999999997</v>
      </c>
      <c r="M37" s="507">
        <v>2.2309999999999999</v>
      </c>
      <c r="N37" s="469">
        <v>0</v>
      </c>
      <c r="O37" s="469">
        <f t="shared" si="5"/>
        <v>2231</v>
      </c>
      <c r="P37" s="469">
        <f t="shared" si="6"/>
        <v>0</v>
      </c>
      <c r="Q37" s="469">
        <f t="shared" si="3"/>
        <v>2231</v>
      </c>
      <c r="R37" s="505">
        <f t="shared" si="4"/>
        <v>231.62375415282392</v>
      </c>
      <c r="S37" s="469" t="s">
        <v>364</v>
      </c>
      <c r="T37" s="491"/>
      <c r="U37" s="491"/>
      <c r="V37" s="491"/>
      <c r="W37" s="491"/>
      <c r="X37" s="491"/>
    </row>
    <row r="38" spans="1:24" ht="15.75" customHeight="1">
      <c r="A38" s="512">
        <v>72</v>
      </c>
      <c r="B38" s="507">
        <v>2</v>
      </c>
      <c r="C38" s="507">
        <v>7</v>
      </c>
      <c r="D38" s="507">
        <v>12</v>
      </c>
      <c r="E38" s="469" t="s">
        <v>226</v>
      </c>
      <c r="F38" s="520" t="s">
        <v>408</v>
      </c>
      <c r="G38" s="469" t="s">
        <v>34</v>
      </c>
      <c r="H38" s="514">
        <v>50662</v>
      </c>
      <c r="I38" s="515">
        <v>31</v>
      </c>
      <c r="J38" s="505">
        <v>6.2751000000000001</v>
      </c>
      <c r="K38" s="469">
        <v>0.43169999999999997</v>
      </c>
      <c r="L38" s="505">
        <f t="shared" si="0"/>
        <v>6.7068000000000003</v>
      </c>
      <c r="M38" s="507">
        <v>2.1379999999999999</v>
      </c>
      <c r="N38" s="469">
        <v>0.108</v>
      </c>
      <c r="O38" s="469">
        <f t="shared" si="5"/>
        <v>2138</v>
      </c>
      <c r="P38" s="469">
        <f t="shared" si="6"/>
        <v>108</v>
      </c>
      <c r="Q38" s="469">
        <f t="shared" si="3"/>
        <v>2246</v>
      </c>
      <c r="R38" s="505">
        <f t="shared" si="4"/>
        <v>334.88399833005309</v>
      </c>
      <c r="S38" s="469"/>
      <c r="T38" s="491"/>
      <c r="U38" s="491"/>
      <c r="V38" s="491"/>
      <c r="W38" s="491"/>
      <c r="X38" s="491"/>
    </row>
    <row r="39" spans="1:24" ht="15.75" customHeight="1">
      <c r="A39" s="512">
        <v>37</v>
      </c>
      <c r="B39" s="507">
        <v>2</v>
      </c>
      <c r="C39" s="507">
        <v>1</v>
      </c>
      <c r="D39" s="507">
        <v>14</v>
      </c>
      <c r="E39" s="469" t="s">
        <v>51</v>
      </c>
      <c r="F39" s="517" t="s">
        <v>419</v>
      </c>
      <c r="G39" s="469" t="s">
        <v>25</v>
      </c>
      <c r="H39" s="514">
        <v>50875</v>
      </c>
      <c r="I39" s="515">
        <v>348</v>
      </c>
      <c r="J39" s="505">
        <v>0.17019999999999999</v>
      </c>
      <c r="K39" s="469">
        <v>0</v>
      </c>
      <c r="L39" s="505">
        <f t="shared" si="0"/>
        <v>0.17019999999999999</v>
      </c>
      <c r="M39" s="507">
        <v>7.3999999999999996E-2</v>
      </c>
      <c r="N39" s="469">
        <v>0</v>
      </c>
      <c r="O39" s="469">
        <f t="shared" si="5"/>
        <v>74</v>
      </c>
      <c r="P39" s="469">
        <f t="shared" si="6"/>
        <v>0</v>
      </c>
      <c r="Q39" s="469">
        <f t="shared" si="3"/>
        <v>74</v>
      </c>
      <c r="R39" s="505">
        <f t="shared" si="4"/>
        <v>434.78260869565219</v>
      </c>
      <c r="S39" s="469" t="s">
        <v>364</v>
      </c>
      <c r="T39" s="491"/>
      <c r="U39" s="491"/>
      <c r="V39" s="491"/>
      <c r="W39" s="491"/>
      <c r="X39" s="491"/>
    </row>
    <row r="40" spans="1:24" ht="18" customHeight="1">
      <c r="A40" s="512">
        <v>38</v>
      </c>
      <c r="B40" s="507">
        <v>2</v>
      </c>
      <c r="C40" s="507">
        <v>3</v>
      </c>
      <c r="D40" s="507">
        <v>2</v>
      </c>
      <c r="E40" s="469" t="s">
        <v>81</v>
      </c>
      <c r="F40" s="469" t="s">
        <v>82</v>
      </c>
      <c r="G40" s="469" t="s">
        <v>25</v>
      </c>
      <c r="H40" s="514">
        <v>50723</v>
      </c>
      <c r="I40" s="515">
        <v>44</v>
      </c>
      <c r="J40" s="505">
        <v>20.437999999999999</v>
      </c>
      <c r="K40" s="469">
        <v>1.5758000000000001</v>
      </c>
      <c r="L40" s="505">
        <f t="shared" si="0"/>
        <v>22.0138</v>
      </c>
      <c r="M40" s="507">
        <v>4.3479999999999999</v>
      </c>
      <c r="N40" s="469">
        <v>0.255</v>
      </c>
      <c r="O40" s="469">
        <f t="shared" si="5"/>
        <v>4348</v>
      </c>
      <c r="P40" s="469">
        <f t="shared" si="6"/>
        <v>255</v>
      </c>
      <c r="Q40" s="469">
        <f t="shared" si="3"/>
        <v>4603</v>
      </c>
      <c r="R40" s="505">
        <f t="shared" si="4"/>
        <v>209.09611243856128</v>
      </c>
      <c r="S40" s="469"/>
      <c r="T40" s="491"/>
      <c r="U40" s="491"/>
      <c r="V40" s="491"/>
      <c r="W40" s="491"/>
      <c r="X40" s="491"/>
    </row>
    <row r="41" spans="1:24" ht="15.75" customHeight="1">
      <c r="A41" s="512">
        <v>39</v>
      </c>
      <c r="B41" s="507">
        <v>2</v>
      </c>
      <c r="C41" s="507">
        <v>7</v>
      </c>
      <c r="D41" s="507">
        <v>18</v>
      </c>
      <c r="E41" s="469" t="s">
        <v>232</v>
      </c>
      <c r="F41" s="469" t="s">
        <v>356</v>
      </c>
      <c r="G41" s="469" t="s">
        <v>68</v>
      </c>
      <c r="H41" s="514">
        <v>50779</v>
      </c>
      <c r="I41" s="515">
        <v>91</v>
      </c>
      <c r="J41" s="505">
        <v>11.065</v>
      </c>
      <c r="K41" s="469">
        <v>0</v>
      </c>
      <c r="L41" s="505">
        <f t="shared" si="0"/>
        <v>11.065</v>
      </c>
      <c r="M41" s="469">
        <v>4.2244999999999999</v>
      </c>
      <c r="N41" s="469">
        <v>0</v>
      </c>
      <c r="O41" s="469">
        <f t="shared" si="5"/>
        <v>4224.5</v>
      </c>
      <c r="P41" s="469">
        <f t="shared" si="6"/>
        <v>0</v>
      </c>
      <c r="Q41" s="469">
        <f t="shared" si="3"/>
        <v>4224.5</v>
      </c>
      <c r="R41" s="505">
        <f t="shared" si="4"/>
        <v>381.78942611839136</v>
      </c>
      <c r="S41" s="469" t="s">
        <v>370</v>
      </c>
      <c r="T41" s="491"/>
      <c r="U41" s="491"/>
      <c r="V41" s="491"/>
      <c r="W41" s="491"/>
      <c r="X41" s="491"/>
    </row>
    <row r="42" spans="1:24" ht="15.75" customHeight="1">
      <c r="A42" s="512">
        <v>40</v>
      </c>
      <c r="B42" s="469">
        <v>2</v>
      </c>
      <c r="C42" s="507">
        <v>3</v>
      </c>
      <c r="D42" s="507">
        <v>2</v>
      </c>
      <c r="E42" s="469" t="s">
        <v>85</v>
      </c>
      <c r="F42" s="469" t="s">
        <v>86</v>
      </c>
      <c r="G42" s="469" t="s">
        <v>68</v>
      </c>
      <c r="H42" s="514">
        <v>50832</v>
      </c>
      <c r="I42" s="515">
        <v>251</v>
      </c>
      <c r="J42" s="505">
        <v>0.32090000000000002</v>
      </c>
      <c r="K42" s="469">
        <v>1.49E-2</v>
      </c>
      <c r="L42" s="505">
        <f t="shared" si="0"/>
        <v>0.33580000000000004</v>
      </c>
      <c r="M42" s="507">
        <v>0.16</v>
      </c>
      <c r="N42" s="469">
        <v>6.0000000000000001E-3</v>
      </c>
      <c r="O42" s="469">
        <f t="shared" si="5"/>
        <v>160</v>
      </c>
      <c r="P42" s="469">
        <f t="shared" si="6"/>
        <v>6</v>
      </c>
      <c r="Q42" s="469">
        <f t="shared" si="3"/>
        <v>166</v>
      </c>
      <c r="R42" s="505">
        <f t="shared" si="4"/>
        <v>494.34187016080995</v>
      </c>
      <c r="S42" s="469"/>
      <c r="T42" s="491"/>
      <c r="U42" s="491"/>
      <c r="V42" s="491"/>
      <c r="W42" s="491"/>
      <c r="X42" s="491"/>
    </row>
    <row r="43" spans="1:24" ht="15.75" customHeight="1">
      <c r="A43" s="512">
        <v>41</v>
      </c>
      <c r="B43" s="507">
        <v>2</v>
      </c>
      <c r="C43" s="507">
        <v>5</v>
      </c>
      <c r="D43" s="507">
        <v>10</v>
      </c>
      <c r="E43" s="469" t="s">
        <v>191</v>
      </c>
      <c r="F43" s="469" t="s">
        <v>413</v>
      </c>
      <c r="G43" s="469" t="s">
        <v>68</v>
      </c>
      <c r="H43" s="514">
        <v>50837</v>
      </c>
      <c r="I43" s="515">
        <v>330</v>
      </c>
      <c r="J43" s="505">
        <v>0.1056</v>
      </c>
      <c r="K43" s="469">
        <v>0</v>
      </c>
      <c r="L43" s="505">
        <f t="shared" si="0"/>
        <v>0.1056</v>
      </c>
      <c r="M43" s="507">
        <v>4.2999999999999997E-2</v>
      </c>
      <c r="N43" s="469">
        <v>0</v>
      </c>
      <c r="O43" s="469">
        <f t="shared" si="5"/>
        <v>43</v>
      </c>
      <c r="P43" s="469">
        <f t="shared" si="6"/>
        <v>0</v>
      </c>
      <c r="Q43" s="469">
        <f t="shared" si="3"/>
        <v>43</v>
      </c>
      <c r="R43" s="505">
        <f t="shared" si="4"/>
        <v>407.19696969696969</v>
      </c>
      <c r="S43" s="469" t="s">
        <v>364</v>
      </c>
      <c r="T43" s="491"/>
      <c r="U43" s="491"/>
      <c r="V43" s="491"/>
      <c r="W43" s="491"/>
      <c r="X43" s="491"/>
    </row>
    <row r="44" spans="1:24" ht="15.75" customHeight="1">
      <c r="A44" s="512">
        <v>42</v>
      </c>
      <c r="B44" s="469"/>
      <c r="C44" s="469"/>
      <c r="D44" s="469"/>
      <c r="E44" s="469"/>
      <c r="F44" s="520" t="s">
        <v>412</v>
      </c>
      <c r="G44" s="469"/>
      <c r="H44" s="469"/>
      <c r="I44" s="469"/>
      <c r="J44" s="505">
        <v>14.710800000000001</v>
      </c>
      <c r="K44" s="469">
        <v>0.70109999999999995</v>
      </c>
      <c r="L44" s="505">
        <f t="shared" si="0"/>
        <v>15.411900000000001</v>
      </c>
      <c r="M44" s="469">
        <v>3.6360000000000001</v>
      </c>
      <c r="N44" s="469">
        <v>0.1186</v>
      </c>
      <c r="O44" s="469">
        <f t="shared" si="5"/>
        <v>3636</v>
      </c>
      <c r="P44" s="469">
        <f t="shared" si="6"/>
        <v>118.6</v>
      </c>
      <c r="Q44" s="469">
        <f t="shared" si="3"/>
        <v>3754.6</v>
      </c>
      <c r="R44" s="505">
        <f t="shared" si="4"/>
        <v>243.61694534742631</v>
      </c>
      <c r="S44" s="469"/>
      <c r="T44" s="491"/>
      <c r="U44" s="491"/>
      <c r="V44" s="491"/>
      <c r="W44" s="491"/>
      <c r="X44" s="491"/>
    </row>
    <row r="45" spans="1:24" ht="15.75" customHeight="1">
      <c r="A45" s="512">
        <v>43</v>
      </c>
      <c r="B45" s="507">
        <v>2</v>
      </c>
      <c r="C45" s="507">
        <v>6</v>
      </c>
      <c r="D45" s="507">
        <v>1</v>
      </c>
      <c r="E45" s="469" t="s">
        <v>195</v>
      </c>
      <c r="F45" s="469" t="s">
        <v>196</v>
      </c>
      <c r="G45" s="469" t="s">
        <v>34</v>
      </c>
      <c r="H45" s="514">
        <v>50703</v>
      </c>
      <c r="I45" s="515">
        <v>190</v>
      </c>
      <c r="J45" s="505">
        <v>29.313600000000001</v>
      </c>
      <c r="K45" s="469">
        <v>1.7634000000000001</v>
      </c>
      <c r="L45" s="505">
        <f t="shared" si="0"/>
        <v>31.077000000000002</v>
      </c>
      <c r="M45" s="507">
        <v>9.9</v>
      </c>
      <c r="N45" s="469">
        <v>0.41799999999999998</v>
      </c>
      <c r="O45" s="469">
        <f t="shared" si="5"/>
        <v>9900</v>
      </c>
      <c r="P45" s="469">
        <f t="shared" si="6"/>
        <v>418</v>
      </c>
      <c r="Q45" s="469">
        <f t="shared" si="3"/>
        <v>10318</v>
      </c>
      <c r="R45" s="505">
        <f t="shared" si="4"/>
        <v>332.01402966824338</v>
      </c>
      <c r="S45" s="469"/>
      <c r="T45" s="491"/>
      <c r="U45" s="491"/>
      <c r="V45" s="491"/>
      <c r="W45" s="491"/>
      <c r="X45" s="491"/>
    </row>
    <row r="46" spans="1:24" ht="15.75" customHeight="1">
      <c r="A46" s="512">
        <v>44</v>
      </c>
      <c r="B46" s="507">
        <v>2</v>
      </c>
      <c r="C46" s="507">
        <v>4</v>
      </c>
      <c r="D46" s="507">
        <v>18</v>
      </c>
      <c r="E46" s="469" t="s">
        <v>171</v>
      </c>
      <c r="F46" s="469" t="s">
        <v>172</v>
      </c>
      <c r="G46" s="469" t="s">
        <v>25</v>
      </c>
      <c r="H46" s="514">
        <v>50831</v>
      </c>
      <c r="I46" s="515">
        <v>249</v>
      </c>
      <c r="J46" s="505">
        <v>20.040299999999998</v>
      </c>
      <c r="K46" s="469">
        <v>1.4018999999999999</v>
      </c>
      <c r="L46" s="505">
        <f t="shared" si="0"/>
        <v>21.4422</v>
      </c>
      <c r="M46" s="507">
        <v>5.024</v>
      </c>
      <c r="N46" s="469">
        <v>0.33</v>
      </c>
      <c r="O46" s="469">
        <f t="shared" si="5"/>
        <v>5024</v>
      </c>
      <c r="P46" s="469">
        <f t="shared" si="6"/>
        <v>330</v>
      </c>
      <c r="Q46" s="469">
        <f t="shared" si="3"/>
        <v>5354</v>
      </c>
      <c r="R46" s="505">
        <f t="shared" si="4"/>
        <v>249.69452761377099</v>
      </c>
      <c r="S46" s="469"/>
      <c r="T46" s="491"/>
      <c r="U46" s="491"/>
      <c r="V46" s="491"/>
      <c r="W46" s="491"/>
      <c r="X46" s="491"/>
    </row>
    <row r="47" spans="1:24" ht="15.75" customHeight="1">
      <c r="A47" s="512">
        <v>45</v>
      </c>
      <c r="B47" s="507">
        <v>2</v>
      </c>
      <c r="C47" s="507">
        <v>3</v>
      </c>
      <c r="D47" s="507">
        <v>9</v>
      </c>
      <c r="E47" s="469" t="s">
        <v>99</v>
      </c>
      <c r="F47" s="469" t="s">
        <v>359</v>
      </c>
      <c r="G47" s="469" t="s">
        <v>25</v>
      </c>
      <c r="H47" s="514">
        <v>50848</v>
      </c>
      <c r="I47" s="515">
        <v>217</v>
      </c>
      <c r="J47" s="505">
        <v>4.7449000000000003</v>
      </c>
      <c r="K47" s="469">
        <v>0.38329999999999997</v>
      </c>
      <c r="L47" s="505">
        <f t="shared" si="0"/>
        <v>5.1282000000000005</v>
      </c>
      <c r="M47" s="507">
        <v>1.006</v>
      </c>
      <c r="N47" s="469">
        <v>4.8000000000000001E-2</v>
      </c>
      <c r="O47" s="469">
        <f t="shared" si="5"/>
        <v>1006</v>
      </c>
      <c r="P47" s="469">
        <f t="shared" si="6"/>
        <v>48</v>
      </c>
      <c r="Q47" s="469">
        <f t="shared" si="3"/>
        <v>1054</v>
      </c>
      <c r="R47" s="505">
        <f t="shared" si="4"/>
        <v>205.53020553020551</v>
      </c>
      <c r="S47" s="469"/>
      <c r="T47" s="491"/>
      <c r="U47" s="491"/>
      <c r="V47" s="491"/>
      <c r="W47" s="491"/>
      <c r="X47" s="491"/>
    </row>
    <row r="48" spans="1:24" ht="15.75" customHeight="1">
      <c r="A48" s="512">
        <v>46</v>
      </c>
      <c r="B48" s="507">
        <v>2</v>
      </c>
      <c r="C48" s="507">
        <v>8</v>
      </c>
      <c r="D48" s="507">
        <v>5</v>
      </c>
      <c r="E48" s="469" t="s">
        <v>142</v>
      </c>
      <c r="F48" s="469" t="s">
        <v>143</v>
      </c>
      <c r="G48" s="469" t="s">
        <v>31</v>
      </c>
      <c r="H48" s="514">
        <v>50824</v>
      </c>
      <c r="I48" s="515">
        <v>67</v>
      </c>
      <c r="J48" s="505">
        <v>2.9390000000000001</v>
      </c>
      <c r="K48" s="469">
        <v>0.35270000000000001</v>
      </c>
      <c r="L48" s="505">
        <f t="shared" si="0"/>
        <v>3.2917000000000001</v>
      </c>
      <c r="M48" s="507">
        <v>0.441</v>
      </c>
      <c r="N48" s="469">
        <v>4.2000000000000003E-2</v>
      </c>
      <c r="O48" s="469">
        <f t="shared" si="5"/>
        <v>441</v>
      </c>
      <c r="P48" s="469">
        <f t="shared" si="6"/>
        <v>42</v>
      </c>
      <c r="Q48" s="469">
        <f t="shared" si="3"/>
        <v>483</v>
      </c>
      <c r="R48" s="505">
        <f t="shared" si="4"/>
        <v>146.73269131451832</v>
      </c>
      <c r="S48" s="469"/>
      <c r="T48" s="491"/>
      <c r="U48" s="491"/>
      <c r="V48" s="491"/>
      <c r="W48" s="491"/>
      <c r="X48" s="491"/>
    </row>
    <row r="49" spans="1:24" ht="15.75" customHeight="1">
      <c r="A49" s="512">
        <v>47</v>
      </c>
      <c r="B49" s="507">
        <v>2</v>
      </c>
      <c r="C49" s="507">
        <v>6</v>
      </c>
      <c r="D49" s="507">
        <v>4</v>
      </c>
      <c r="E49" s="469" t="s">
        <v>203</v>
      </c>
      <c r="F49" s="469" t="s">
        <v>204</v>
      </c>
      <c r="G49" s="469" t="s">
        <v>68</v>
      </c>
      <c r="H49" s="514">
        <v>50835</v>
      </c>
      <c r="I49" s="515">
        <v>580</v>
      </c>
      <c r="J49" s="505">
        <v>0.96060000000000001</v>
      </c>
      <c r="K49" s="469">
        <v>3.3300000000000003E-2</v>
      </c>
      <c r="L49" s="505">
        <f t="shared" si="0"/>
        <v>0.99390000000000001</v>
      </c>
      <c r="M49" s="507">
        <v>0.183</v>
      </c>
      <c r="N49" s="469">
        <v>6.0000000000000001E-3</v>
      </c>
      <c r="O49" s="469">
        <f t="shared" si="5"/>
        <v>183</v>
      </c>
      <c r="P49" s="469">
        <f t="shared" si="6"/>
        <v>6</v>
      </c>
      <c r="Q49" s="469">
        <f t="shared" si="3"/>
        <v>189</v>
      </c>
      <c r="R49" s="505">
        <f t="shared" si="4"/>
        <v>190.15997585270148</v>
      </c>
      <c r="S49" s="469"/>
      <c r="T49" s="491"/>
      <c r="U49" s="491"/>
      <c r="V49" s="491"/>
      <c r="W49" s="491"/>
      <c r="X49" s="491"/>
    </row>
    <row r="50" spans="1:24" ht="15.75" customHeight="1">
      <c r="A50" s="512">
        <v>48</v>
      </c>
      <c r="B50" s="507">
        <v>2</v>
      </c>
      <c r="C50" s="507">
        <v>3</v>
      </c>
      <c r="D50" s="507">
        <v>9</v>
      </c>
      <c r="E50" s="469" t="s">
        <v>100</v>
      </c>
      <c r="F50" s="469" t="s">
        <v>101</v>
      </c>
      <c r="G50" s="469" t="s">
        <v>25</v>
      </c>
      <c r="H50" s="514">
        <v>50746</v>
      </c>
      <c r="I50" s="515">
        <v>53</v>
      </c>
      <c r="J50" s="505">
        <v>1.9401999999999999</v>
      </c>
      <c r="K50" s="469">
        <v>6.8400000000000002E-2</v>
      </c>
      <c r="L50" s="505">
        <f t="shared" si="0"/>
        <v>2.0085999999999999</v>
      </c>
      <c r="M50" s="507">
        <v>0.625</v>
      </c>
      <c r="N50" s="469">
        <v>2.1000000000000001E-2</v>
      </c>
      <c r="O50" s="469">
        <f t="shared" si="5"/>
        <v>625</v>
      </c>
      <c r="P50" s="469">
        <f t="shared" si="6"/>
        <v>21</v>
      </c>
      <c r="Q50" s="469">
        <f t="shared" si="3"/>
        <v>646</v>
      </c>
      <c r="R50" s="505">
        <f t="shared" si="4"/>
        <v>321.61704669919345</v>
      </c>
      <c r="S50" s="469"/>
      <c r="T50" s="491"/>
      <c r="U50" s="491"/>
      <c r="V50" s="491"/>
      <c r="W50" s="491"/>
      <c r="X50" s="491"/>
    </row>
    <row r="51" spans="1:24" ht="15.75" customHeight="1">
      <c r="A51" s="512">
        <v>49</v>
      </c>
      <c r="B51" s="507">
        <v>2</v>
      </c>
      <c r="C51" s="507">
        <v>4</v>
      </c>
      <c r="D51" s="507">
        <v>15</v>
      </c>
      <c r="E51" s="469" t="s">
        <v>151</v>
      </c>
      <c r="F51" s="469" t="s">
        <v>152</v>
      </c>
      <c r="G51" s="469" t="s">
        <v>144</v>
      </c>
      <c r="H51" s="514">
        <v>50776</v>
      </c>
      <c r="I51" s="515">
        <v>28</v>
      </c>
      <c r="J51" s="505">
        <v>1.8623000000000001</v>
      </c>
      <c r="K51" s="469">
        <v>7.7899999999999997E-2</v>
      </c>
      <c r="L51" s="505">
        <f t="shared" si="0"/>
        <v>1.9402000000000001</v>
      </c>
      <c r="M51" s="507">
        <v>0.33500000000000002</v>
      </c>
      <c r="N51" s="469">
        <v>8.7999999999999995E-2</v>
      </c>
      <c r="O51" s="469">
        <f t="shared" si="5"/>
        <v>335</v>
      </c>
      <c r="P51" s="469">
        <f t="shared" si="6"/>
        <v>88</v>
      </c>
      <c r="Q51" s="469">
        <f t="shared" si="3"/>
        <v>423</v>
      </c>
      <c r="R51" s="505">
        <f t="shared" si="4"/>
        <v>218.01876095247911</v>
      </c>
      <c r="S51" s="469"/>
      <c r="T51" s="491"/>
      <c r="U51" s="491"/>
      <c r="V51" s="491"/>
      <c r="W51" s="491"/>
      <c r="X51" s="491"/>
    </row>
    <row r="52" spans="1:24" ht="15.75" customHeight="1">
      <c r="A52" s="512">
        <v>50</v>
      </c>
      <c r="B52" s="507">
        <v>2</v>
      </c>
      <c r="C52" s="507">
        <v>3</v>
      </c>
      <c r="D52" s="507">
        <v>11</v>
      </c>
      <c r="E52" s="469" t="s">
        <v>102</v>
      </c>
      <c r="F52" s="469" t="s">
        <v>104</v>
      </c>
      <c r="G52" s="469" t="s">
        <v>68</v>
      </c>
      <c r="H52" s="514">
        <v>50658</v>
      </c>
      <c r="I52" s="515">
        <v>136</v>
      </c>
      <c r="J52" s="505">
        <v>0.54779999999999995</v>
      </c>
      <c r="K52" s="469">
        <v>2.41E-2</v>
      </c>
      <c r="L52" s="505">
        <f t="shared" si="0"/>
        <v>0.57189999999999996</v>
      </c>
      <c r="M52" s="469">
        <v>0.25080000000000002</v>
      </c>
      <c r="N52" s="469">
        <v>2.1700000000000001E-2</v>
      </c>
      <c r="O52" s="469">
        <f t="shared" si="5"/>
        <v>250.8</v>
      </c>
      <c r="P52" s="469">
        <f t="shared" si="6"/>
        <v>21.7</v>
      </c>
      <c r="Q52" s="469">
        <f t="shared" si="3"/>
        <v>272.5</v>
      </c>
      <c r="R52" s="505">
        <f t="shared" si="4"/>
        <v>476.48190243049487</v>
      </c>
      <c r="S52" s="469"/>
      <c r="T52" s="491"/>
      <c r="U52" s="491"/>
      <c r="V52" s="491"/>
      <c r="W52" s="491"/>
      <c r="X52" s="491"/>
    </row>
    <row r="53" spans="1:24" ht="15.75" customHeight="1">
      <c r="A53" s="512">
        <v>51</v>
      </c>
      <c r="B53" s="507">
        <v>2</v>
      </c>
      <c r="C53" s="507">
        <v>3</v>
      </c>
      <c r="D53" s="507">
        <v>11</v>
      </c>
      <c r="E53" s="469" t="s">
        <v>102</v>
      </c>
      <c r="F53" s="469" t="s">
        <v>103</v>
      </c>
      <c r="G53" s="469" t="s">
        <v>31</v>
      </c>
      <c r="H53" s="514">
        <v>50821</v>
      </c>
      <c r="I53" s="515">
        <v>369</v>
      </c>
      <c r="J53" s="505">
        <v>4.9253</v>
      </c>
      <c r="K53" s="469">
        <v>0.19389999999999999</v>
      </c>
      <c r="L53" s="505">
        <f t="shared" si="0"/>
        <v>5.1192000000000002</v>
      </c>
      <c r="M53" s="507">
        <v>1.714</v>
      </c>
      <c r="N53" s="469">
        <v>5.5E-2</v>
      </c>
      <c r="O53" s="469">
        <f t="shared" si="5"/>
        <v>1714</v>
      </c>
      <c r="P53" s="469">
        <f t="shared" si="6"/>
        <v>55</v>
      </c>
      <c r="Q53" s="469">
        <f t="shared" si="3"/>
        <v>1769</v>
      </c>
      <c r="R53" s="505">
        <f t="shared" si="4"/>
        <v>345.56180653227068</v>
      </c>
      <c r="S53" s="469"/>
      <c r="T53" s="491"/>
      <c r="U53" s="491"/>
      <c r="V53" s="491"/>
      <c r="W53" s="491"/>
      <c r="X53" s="491"/>
    </row>
    <row r="54" spans="1:24" ht="15.75" customHeight="1">
      <c r="A54" s="512">
        <v>52</v>
      </c>
      <c r="B54" s="507">
        <v>2</v>
      </c>
      <c r="C54" s="507">
        <v>4</v>
      </c>
      <c r="D54" s="507">
        <v>10</v>
      </c>
      <c r="E54" s="469" t="s">
        <v>138</v>
      </c>
      <c r="F54" s="469" t="s">
        <v>139</v>
      </c>
      <c r="G54" s="469" t="s">
        <v>68</v>
      </c>
      <c r="H54" s="514">
        <v>50828</v>
      </c>
      <c r="I54" s="515">
        <v>954</v>
      </c>
      <c r="J54" s="505">
        <v>2.6989000000000001</v>
      </c>
      <c r="K54" s="469">
        <v>0</v>
      </c>
      <c r="L54" s="505">
        <f t="shared" si="0"/>
        <v>2.6989000000000001</v>
      </c>
      <c r="M54" s="507">
        <v>1.05</v>
      </c>
      <c r="N54" s="469">
        <v>0</v>
      </c>
      <c r="O54" s="469">
        <f t="shared" si="5"/>
        <v>1050</v>
      </c>
      <c r="P54" s="469">
        <f t="shared" si="6"/>
        <v>0</v>
      </c>
      <c r="Q54" s="469">
        <f t="shared" si="3"/>
        <v>1050</v>
      </c>
      <c r="R54" s="505">
        <f t="shared" si="4"/>
        <v>389.04738967727593</v>
      </c>
      <c r="S54" s="469" t="s">
        <v>364</v>
      </c>
      <c r="T54" s="491"/>
      <c r="U54" s="491"/>
      <c r="V54" s="491"/>
      <c r="W54" s="491"/>
      <c r="X54" s="491"/>
    </row>
    <row r="55" spans="1:24" ht="15.75" customHeight="1">
      <c r="A55" s="512">
        <v>53</v>
      </c>
      <c r="B55" s="507">
        <v>2</v>
      </c>
      <c r="C55" s="507">
        <v>4</v>
      </c>
      <c r="D55" s="507">
        <v>10</v>
      </c>
      <c r="E55" s="469" t="s">
        <v>140</v>
      </c>
      <c r="F55" s="520" t="s">
        <v>407</v>
      </c>
      <c r="G55" s="469" t="s">
        <v>68</v>
      </c>
      <c r="H55" s="514">
        <v>50638</v>
      </c>
      <c r="I55" s="515">
        <v>52</v>
      </c>
      <c r="J55" s="505">
        <v>0.91010000000000002</v>
      </c>
      <c r="K55" s="469">
        <v>4.0099999999999997E-2</v>
      </c>
      <c r="L55" s="505">
        <f t="shared" si="0"/>
        <v>0.95020000000000004</v>
      </c>
      <c r="M55" s="507">
        <v>0.38500000000000001</v>
      </c>
      <c r="N55" s="469">
        <v>1.7000000000000001E-2</v>
      </c>
      <c r="O55" s="469">
        <f t="shared" si="5"/>
        <v>385</v>
      </c>
      <c r="P55" s="469">
        <f t="shared" si="6"/>
        <v>17</v>
      </c>
      <c r="Q55" s="469">
        <f t="shared" si="3"/>
        <v>402</v>
      </c>
      <c r="R55" s="505">
        <f t="shared" si="4"/>
        <v>423.06882761523889</v>
      </c>
      <c r="S55" s="469"/>
      <c r="T55" s="491"/>
      <c r="U55" s="491"/>
      <c r="V55" s="491"/>
      <c r="W55" s="491"/>
      <c r="X55" s="491"/>
    </row>
    <row r="56" spans="1:24" ht="15.75" customHeight="1">
      <c r="A56" s="512">
        <v>54</v>
      </c>
      <c r="B56" s="507">
        <v>2</v>
      </c>
      <c r="C56" s="507">
        <v>2</v>
      </c>
      <c r="D56" s="507">
        <v>11</v>
      </c>
      <c r="E56" s="469" t="s">
        <v>74</v>
      </c>
      <c r="F56" s="469" t="s">
        <v>75</v>
      </c>
      <c r="G56" s="469" t="s">
        <v>25</v>
      </c>
      <c r="H56" s="514">
        <v>50736</v>
      </c>
      <c r="I56" s="515">
        <v>354</v>
      </c>
      <c r="J56" s="505">
        <v>9.6903000000000006</v>
      </c>
      <c r="K56" s="469">
        <v>0.21429999999999999</v>
      </c>
      <c r="L56" s="505">
        <f t="shared" si="0"/>
        <v>9.9046000000000003</v>
      </c>
      <c r="M56" s="507">
        <v>4.0590000000000002</v>
      </c>
      <c r="N56" s="469">
        <v>9.6000000000000002E-2</v>
      </c>
      <c r="O56" s="469">
        <f t="shared" si="5"/>
        <v>4059</v>
      </c>
      <c r="P56" s="469">
        <f t="shared" si="6"/>
        <v>96</v>
      </c>
      <c r="Q56" s="469">
        <f t="shared" si="3"/>
        <v>4155</v>
      </c>
      <c r="R56" s="505">
        <f t="shared" si="4"/>
        <v>419.50204955273307</v>
      </c>
      <c r="S56" s="469"/>
      <c r="T56" s="491"/>
      <c r="U56" s="491"/>
      <c r="V56" s="491"/>
      <c r="W56" s="491"/>
      <c r="X56" s="491"/>
    </row>
    <row r="57" spans="1:24" ht="15.75" customHeight="1">
      <c r="A57" s="512">
        <v>55</v>
      </c>
      <c r="B57" s="507">
        <v>2</v>
      </c>
      <c r="C57" s="507">
        <v>4</v>
      </c>
      <c r="D57" s="507">
        <v>7</v>
      </c>
      <c r="E57" s="469" t="s">
        <v>134</v>
      </c>
      <c r="F57" s="469" t="s">
        <v>135</v>
      </c>
      <c r="G57" s="469" t="s">
        <v>25</v>
      </c>
      <c r="H57" s="514">
        <v>50268</v>
      </c>
      <c r="I57" s="515">
        <v>411</v>
      </c>
      <c r="J57" s="505">
        <v>0.1236</v>
      </c>
      <c r="K57" s="469">
        <v>0</v>
      </c>
      <c r="L57" s="505">
        <f t="shared" si="0"/>
        <v>0.1236</v>
      </c>
      <c r="M57" s="507">
        <v>0.03</v>
      </c>
      <c r="N57" s="469">
        <v>0</v>
      </c>
      <c r="O57" s="469">
        <f t="shared" si="5"/>
        <v>30</v>
      </c>
      <c r="P57" s="469">
        <f t="shared" si="6"/>
        <v>0</v>
      </c>
      <c r="Q57" s="469">
        <f t="shared" si="3"/>
        <v>30</v>
      </c>
      <c r="R57" s="505">
        <f t="shared" si="4"/>
        <v>242.71844660194174</v>
      </c>
      <c r="S57" s="469" t="s">
        <v>364</v>
      </c>
      <c r="T57" s="491"/>
      <c r="U57" s="491"/>
      <c r="V57" s="491"/>
      <c r="W57" s="491"/>
      <c r="X57" s="491"/>
    </row>
    <row r="58" spans="1:24" ht="15.75" customHeight="1">
      <c r="A58" s="512">
        <v>56</v>
      </c>
      <c r="B58" s="469"/>
      <c r="C58" s="469"/>
      <c r="D58" s="469"/>
      <c r="E58" s="469"/>
      <c r="F58" s="508" t="s">
        <v>223</v>
      </c>
      <c r="G58" s="469"/>
      <c r="H58" s="469"/>
      <c r="I58" s="469"/>
      <c r="J58" s="505">
        <v>5.4630000000000001</v>
      </c>
      <c r="K58" s="469">
        <v>0.25330000000000003</v>
      </c>
      <c r="L58" s="505">
        <f t="shared" si="0"/>
        <v>5.7163000000000004</v>
      </c>
      <c r="M58" s="469">
        <v>1.5438000000000001</v>
      </c>
      <c r="N58" s="469">
        <v>6.6699999999999995E-2</v>
      </c>
      <c r="O58" s="469">
        <f t="shared" si="5"/>
        <v>1543.8</v>
      </c>
      <c r="P58" s="469">
        <f t="shared" si="6"/>
        <v>66.699999999999989</v>
      </c>
      <c r="Q58" s="469">
        <f t="shared" si="3"/>
        <v>1610.5</v>
      </c>
      <c r="R58" s="505">
        <f t="shared" si="4"/>
        <v>281.73818728898061</v>
      </c>
      <c r="S58" s="469"/>
      <c r="T58" s="491"/>
      <c r="U58" s="491"/>
      <c r="V58" s="491"/>
      <c r="W58" s="491"/>
      <c r="X58" s="491"/>
    </row>
    <row r="59" spans="1:24" ht="15.75" customHeight="1">
      <c r="A59" s="512">
        <v>57</v>
      </c>
      <c r="B59" s="507">
        <v>2</v>
      </c>
      <c r="C59" s="507">
        <v>4</v>
      </c>
      <c r="D59" s="507">
        <v>2</v>
      </c>
      <c r="E59" s="469" t="s">
        <v>124</v>
      </c>
      <c r="F59" s="469" t="s">
        <v>125</v>
      </c>
      <c r="G59" s="469" t="s">
        <v>31</v>
      </c>
      <c r="H59" s="514">
        <v>50761</v>
      </c>
      <c r="I59" s="515">
        <v>250</v>
      </c>
      <c r="J59" s="505">
        <v>4.2270000000000003</v>
      </c>
      <c r="K59" s="469">
        <v>0.2041</v>
      </c>
      <c r="L59" s="505">
        <f t="shared" si="0"/>
        <v>4.4311000000000007</v>
      </c>
      <c r="M59" s="507">
        <v>1.3979999999999999</v>
      </c>
      <c r="N59" s="469">
        <v>6.4000000000000001E-2</v>
      </c>
      <c r="O59" s="469">
        <f t="shared" si="5"/>
        <v>1398</v>
      </c>
      <c r="P59" s="469">
        <f t="shared" si="6"/>
        <v>64</v>
      </c>
      <c r="Q59" s="469">
        <f t="shared" si="3"/>
        <v>1462</v>
      </c>
      <c r="R59" s="505">
        <f t="shared" si="4"/>
        <v>329.94064679199289</v>
      </c>
      <c r="S59" s="469"/>
      <c r="T59" s="491"/>
      <c r="U59" s="491"/>
      <c r="V59" s="491"/>
      <c r="W59" s="491"/>
      <c r="X59" s="491"/>
    </row>
    <row r="60" spans="1:24" ht="15.75" customHeight="1">
      <c r="A60" s="512">
        <v>58</v>
      </c>
      <c r="B60" s="507">
        <v>2</v>
      </c>
      <c r="C60" s="507">
        <v>8</v>
      </c>
      <c r="D60" s="507">
        <v>2</v>
      </c>
      <c r="E60" s="469" t="s">
        <v>233</v>
      </c>
      <c r="F60" s="469" t="s">
        <v>234</v>
      </c>
      <c r="G60" s="469" t="s">
        <v>48</v>
      </c>
      <c r="H60" s="514">
        <v>50778</v>
      </c>
      <c r="I60" s="515">
        <v>118</v>
      </c>
      <c r="J60" s="505">
        <v>5.9189999999999996</v>
      </c>
      <c r="K60" s="469">
        <v>0.23849999999999999</v>
      </c>
      <c r="L60" s="505">
        <f t="shared" si="0"/>
        <v>6.1574999999999998</v>
      </c>
      <c r="M60" s="507">
        <v>2.0840000000000001</v>
      </c>
      <c r="N60" s="469">
        <v>7.0999999999999994E-2</v>
      </c>
      <c r="O60" s="469">
        <f t="shared" si="5"/>
        <v>2084</v>
      </c>
      <c r="P60" s="469">
        <f t="shared" si="6"/>
        <v>71</v>
      </c>
      <c r="Q60" s="469">
        <f t="shared" si="3"/>
        <v>2155</v>
      </c>
      <c r="R60" s="505">
        <f t="shared" si="4"/>
        <v>349.97969955339016</v>
      </c>
      <c r="S60" s="469"/>
      <c r="T60" s="491"/>
      <c r="U60" s="491"/>
      <c r="V60" s="491"/>
      <c r="W60" s="491"/>
      <c r="X60" s="491"/>
    </row>
    <row r="61" spans="1:24" ht="15.75" customHeight="1">
      <c r="A61" s="512">
        <v>59</v>
      </c>
      <c r="B61" s="507">
        <v>2</v>
      </c>
      <c r="C61" s="507">
        <v>5</v>
      </c>
      <c r="D61" s="507">
        <v>6</v>
      </c>
      <c r="E61" s="469" t="s">
        <v>49</v>
      </c>
      <c r="F61" s="469" t="s">
        <v>50</v>
      </c>
      <c r="G61" s="469" t="s">
        <v>68</v>
      </c>
      <c r="H61" s="514">
        <v>50838</v>
      </c>
      <c r="I61" s="515">
        <v>1374</v>
      </c>
      <c r="J61" s="505">
        <v>27.4239</v>
      </c>
      <c r="K61" s="469">
        <v>5.9122000000000003</v>
      </c>
      <c r="L61" s="505">
        <f t="shared" si="0"/>
        <v>33.336100000000002</v>
      </c>
      <c r="M61" s="507">
        <v>7.0949999999999998</v>
      </c>
      <c r="N61" s="469">
        <v>1.206</v>
      </c>
      <c r="O61" s="469">
        <f t="shared" si="5"/>
        <v>7095</v>
      </c>
      <c r="P61" s="469">
        <f t="shared" si="6"/>
        <v>1206</v>
      </c>
      <c r="Q61" s="469">
        <f t="shared" si="3"/>
        <v>8301</v>
      </c>
      <c r="R61" s="505">
        <f t="shared" si="4"/>
        <v>249.00933222542528</v>
      </c>
      <c r="S61" s="469"/>
      <c r="T61" s="491"/>
      <c r="U61" s="491"/>
      <c r="V61" s="491"/>
      <c r="W61" s="491"/>
      <c r="X61" s="491"/>
    </row>
    <row r="62" spans="1:24" ht="15.75" customHeight="1">
      <c r="A62" s="512">
        <v>60</v>
      </c>
      <c r="B62" s="469"/>
      <c r="C62" s="469"/>
      <c r="D62" s="469"/>
      <c r="E62" s="469"/>
      <c r="F62" s="469" t="s">
        <v>194</v>
      </c>
      <c r="G62" s="469"/>
      <c r="H62" s="469"/>
      <c r="I62" s="469"/>
      <c r="J62" s="505">
        <v>20.236000000000001</v>
      </c>
      <c r="K62" s="469">
        <v>4.6144999999999996</v>
      </c>
      <c r="L62" s="505">
        <f t="shared" si="0"/>
        <v>24.8505</v>
      </c>
      <c r="M62" s="469">
        <v>6.2927999999999997</v>
      </c>
      <c r="N62" s="469">
        <v>1.149</v>
      </c>
      <c r="O62" s="469">
        <f t="shared" si="5"/>
        <v>6292.7999999999993</v>
      </c>
      <c r="P62" s="469">
        <f t="shared" si="6"/>
        <v>1149</v>
      </c>
      <c r="Q62" s="469">
        <f t="shared" si="3"/>
        <v>7441.7999999999993</v>
      </c>
      <c r="R62" s="505">
        <f t="shared" si="4"/>
        <v>299.46278746906495</v>
      </c>
      <c r="S62" s="469"/>
      <c r="T62" s="491"/>
      <c r="U62" s="491"/>
      <c r="V62" s="491"/>
      <c r="W62" s="491"/>
      <c r="X62" s="491"/>
    </row>
    <row r="63" spans="1:24" ht="15.75" customHeight="1">
      <c r="A63" s="512">
        <v>61</v>
      </c>
      <c r="B63" s="507">
        <v>2</v>
      </c>
      <c r="C63" s="507">
        <v>1</v>
      </c>
      <c r="D63" s="507">
        <v>11</v>
      </c>
      <c r="E63" s="469" t="s">
        <v>44</v>
      </c>
      <c r="F63" s="469" t="s">
        <v>45</v>
      </c>
      <c r="G63" s="469" t="s">
        <v>31</v>
      </c>
      <c r="H63" s="514">
        <v>50795</v>
      </c>
      <c r="I63" s="515">
        <v>754</v>
      </c>
      <c r="J63" s="505">
        <v>5.7130000000000001</v>
      </c>
      <c r="K63" s="469">
        <v>0.49440000000000001</v>
      </c>
      <c r="L63" s="505">
        <f t="shared" si="0"/>
        <v>6.2073999999999998</v>
      </c>
      <c r="M63" s="507">
        <v>1.4330000000000001</v>
      </c>
      <c r="N63" s="469">
        <v>0.113</v>
      </c>
      <c r="O63" s="469">
        <f t="shared" si="5"/>
        <v>1433</v>
      </c>
      <c r="P63" s="469">
        <f t="shared" si="6"/>
        <v>113</v>
      </c>
      <c r="Q63" s="469">
        <f t="shared" si="3"/>
        <v>1546</v>
      </c>
      <c r="R63" s="505">
        <f t="shared" si="4"/>
        <v>249.05757644102201</v>
      </c>
      <c r="S63" s="469"/>
      <c r="T63" s="491"/>
      <c r="U63" s="491"/>
      <c r="V63" s="491"/>
      <c r="W63" s="491"/>
      <c r="X63" s="491"/>
    </row>
    <row r="64" spans="1:24" ht="15.75" customHeight="1">
      <c r="A64" s="512">
        <v>62</v>
      </c>
      <c r="B64" s="507">
        <v>2</v>
      </c>
      <c r="C64" s="507">
        <v>4</v>
      </c>
      <c r="D64" s="507">
        <v>20</v>
      </c>
      <c r="E64" s="469" t="s">
        <v>175</v>
      </c>
      <c r="F64" s="469" t="s">
        <v>176</v>
      </c>
      <c r="G64" s="469" t="s">
        <v>31</v>
      </c>
      <c r="H64" s="514">
        <v>50867</v>
      </c>
      <c r="I64" s="515">
        <v>303</v>
      </c>
      <c r="J64" s="505">
        <v>3.6326999999999998</v>
      </c>
      <c r="K64" s="469">
        <v>4.6800000000000001E-2</v>
      </c>
      <c r="L64" s="505">
        <f t="shared" si="0"/>
        <v>3.6795</v>
      </c>
      <c r="M64" s="507">
        <v>0.41199999999999998</v>
      </c>
      <c r="N64" s="469">
        <v>0</v>
      </c>
      <c r="O64" s="469">
        <f t="shared" si="5"/>
        <v>412</v>
      </c>
      <c r="P64" s="469">
        <f t="shared" si="6"/>
        <v>0</v>
      </c>
      <c r="Q64" s="469">
        <f t="shared" si="3"/>
        <v>412</v>
      </c>
      <c r="R64" s="505">
        <f t="shared" si="4"/>
        <v>111.97173529012095</v>
      </c>
      <c r="S64" s="469"/>
      <c r="T64" s="491"/>
      <c r="U64" s="491"/>
      <c r="V64" s="491"/>
      <c r="W64" s="491"/>
      <c r="X64" s="491"/>
    </row>
    <row r="65" spans="1:24" ht="15.75" customHeight="1">
      <c r="A65" s="512">
        <v>63</v>
      </c>
      <c r="B65" s="507">
        <v>2</v>
      </c>
      <c r="C65" s="507">
        <v>5</v>
      </c>
      <c r="D65" s="507">
        <v>1</v>
      </c>
      <c r="E65" s="469" t="s">
        <v>181</v>
      </c>
      <c r="F65" s="469" t="s">
        <v>182</v>
      </c>
      <c r="G65" s="469" t="s">
        <v>31</v>
      </c>
      <c r="H65" s="514">
        <v>50782</v>
      </c>
      <c r="I65" s="515">
        <v>162</v>
      </c>
      <c r="J65" s="505">
        <v>10.606</v>
      </c>
      <c r="K65" s="469">
        <v>0</v>
      </c>
      <c r="L65" s="505">
        <f t="shared" si="0"/>
        <v>10.606</v>
      </c>
      <c r="M65" s="507">
        <v>3.0979999999999999</v>
      </c>
      <c r="N65" s="469">
        <v>0</v>
      </c>
      <c r="O65" s="469">
        <f t="shared" si="5"/>
        <v>3098</v>
      </c>
      <c r="P65" s="469">
        <f t="shared" si="6"/>
        <v>0</v>
      </c>
      <c r="Q65" s="469">
        <f t="shared" si="3"/>
        <v>3098</v>
      </c>
      <c r="R65" s="505">
        <f t="shared" si="4"/>
        <v>292.09881199321137</v>
      </c>
      <c r="S65" s="469" t="s">
        <v>364</v>
      </c>
      <c r="T65" s="491"/>
      <c r="U65" s="491"/>
      <c r="V65" s="491"/>
      <c r="W65" s="491"/>
      <c r="X65" s="491"/>
    </row>
    <row r="66" spans="1:24" ht="15.75" customHeight="1">
      <c r="A66" s="512">
        <v>64</v>
      </c>
      <c r="B66" s="507">
        <v>2</v>
      </c>
      <c r="C66" s="507">
        <v>4</v>
      </c>
      <c r="D66" s="507">
        <v>15</v>
      </c>
      <c r="E66" s="469" t="s">
        <v>156</v>
      </c>
      <c r="F66" s="469" t="s">
        <v>157</v>
      </c>
      <c r="G66" s="469" t="s">
        <v>31</v>
      </c>
      <c r="H66" s="514">
        <v>50805</v>
      </c>
      <c r="I66" s="515">
        <v>15</v>
      </c>
      <c r="J66" s="505">
        <v>5.2915000000000001</v>
      </c>
      <c r="K66" s="469">
        <v>0.40570000000000001</v>
      </c>
      <c r="L66" s="505">
        <f t="shared" si="0"/>
        <v>5.6972000000000005</v>
      </c>
      <c r="M66" s="507">
        <v>0.27700000000000002</v>
      </c>
      <c r="N66" s="469">
        <v>1.7000000000000001E-2</v>
      </c>
      <c r="O66" s="469">
        <f t="shared" si="5"/>
        <v>277</v>
      </c>
      <c r="P66" s="469">
        <f t="shared" si="6"/>
        <v>17</v>
      </c>
      <c r="Q66" s="469">
        <f t="shared" si="3"/>
        <v>294</v>
      </c>
      <c r="R66" s="505">
        <f t="shared" si="4"/>
        <v>51.60429684757424</v>
      </c>
      <c r="S66" s="469"/>
      <c r="T66" s="491"/>
      <c r="U66" s="491"/>
      <c r="V66" s="491"/>
      <c r="W66" s="491"/>
      <c r="X66" s="491"/>
    </row>
    <row r="67" spans="1:24" ht="15.75" customHeight="1">
      <c r="A67" s="512">
        <v>65</v>
      </c>
      <c r="B67" s="507">
        <v>2</v>
      </c>
      <c r="C67" s="507">
        <v>1</v>
      </c>
      <c r="D67" s="507">
        <v>3</v>
      </c>
      <c r="E67" s="469" t="s">
        <v>29</v>
      </c>
      <c r="F67" s="469" t="s">
        <v>30</v>
      </c>
      <c r="G67" s="469" t="s">
        <v>31</v>
      </c>
      <c r="H67" s="514">
        <v>50759</v>
      </c>
      <c r="I67" s="515">
        <v>232</v>
      </c>
      <c r="J67" s="505">
        <v>2.7909999999999999</v>
      </c>
      <c r="K67" s="469">
        <v>0.2656</v>
      </c>
      <c r="L67" s="505">
        <f t="shared" si="0"/>
        <v>3.0566</v>
      </c>
      <c r="M67" s="507">
        <v>0.42299999999999999</v>
      </c>
      <c r="N67" s="469">
        <v>2.8000000000000001E-2</v>
      </c>
      <c r="O67" s="469">
        <f t="shared" si="5"/>
        <v>423</v>
      </c>
      <c r="P67" s="469">
        <f t="shared" si="6"/>
        <v>28</v>
      </c>
      <c r="Q67" s="469">
        <f t="shared" si="3"/>
        <v>451</v>
      </c>
      <c r="R67" s="505">
        <f t="shared" si="4"/>
        <v>147.54956487600603</v>
      </c>
      <c r="S67" s="469"/>
      <c r="T67" s="491"/>
      <c r="U67" s="491"/>
      <c r="V67" s="491"/>
      <c r="W67" s="491"/>
      <c r="X67" s="491"/>
    </row>
    <row r="68" spans="1:24" ht="15.75" customHeight="1">
      <c r="A68" s="512">
        <v>66</v>
      </c>
      <c r="B68" s="507">
        <v>2</v>
      </c>
      <c r="C68" s="507">
        <v>2</v>
      </c>
      <c r="D68" s="507">
        <v>2</v>
      </c>
      <c r="E68" s="469" t="s">
        <v>62</v>
      </c>
      <c r="F68" s="469" t="s">
        <v>63</v>
      </c>
      <c r="G68" s="469" t="s">
        <v>34</v>
      </c>
      <c r="H68" s="514">
        <v>50752</v>
      </c>
      <c r="I68" s="515">
        <v>89</v>
      </c>
      <c r="J68" s="505">
        <v>2.3826999999999998</v>
      </c>
      <c r="K68" s="469">
        <v>0.41260000000000002</v>
      </c>
      <c r="L68" s="505">
        <f t="shared" ref="L68:L90" si="7">J68+K68</f>
        <v>2.7952999999999997</v>
      </c>
      <c r="M68" s="507">
        <v>0.39</v>
      </c>
      <c r="N68" s="469">
        <v>0.1041</v>
      </c>
      <c r="O68" s="469">
        <f t="shared" si="5"/>
        <v>390</v>
      </c>
      <c r="P68" s="469">
        <f t="shared" si="6"/>
        <v>104.1</v>
      </c>
      <c r="Q68" s="469">
        <f t="shared" ref="Q68:Q90" si="8">O68+P68</f>
        <v>494.1</v>
      </c>
      <c r="R68" s="505">
        <f t="shared" ref="R68:R90" si="9">Q68/L68</f>
        <v>176.76099166457985</v>
      </c>
      <c r="S68" s="469"/>
      <c r="T68" s="491"/>
      <c r="U68" s="491"/>
      <c r="V68" s="491"/>
      <c r="W68" s="491"/>
      <c r="X68" s="491"/>
    </row>
    <row r="69" spans="1:24" ht="15.75" customHeight="1">
      <c r="A69" s="512">
        <v>67</v>
      </c>
      <c r="B69" s="469">
        <v>2</v>
      </c>
      <c r="C69" s="469"/>
      <c r="D69" s="469"/>
      <c r="E69" s="469" t="s">
        <v>362</v>
      </c>
      <c r="F69" s="469" t="s">
        <v>361</v>
      </c>
      <c r="G69" s="469"/>
      <c r="H69" s="469"/>
      <c r="I69" s="469"/>
      <c r="J69" s="505">
        <v>34.7029</v>
      </c>
      <c r="K69" s="469">
        <v>7.9367999999999999</v>
      </c>
      <c r="L69" s="505">
        <f t="shared" si="7"/>
        <v>42.639699999999998</v>
      </c>
      <c r="M69" s="469">
        <v>3.6059000000000001</v>
      </c>
      <c r="N69" s="469">
        <v>0.41260000000000002</v>
      </c>
      <c r="O69" s="469">
        <f t="shared" si="5"/>
        <v>3605.9</v>
      </c>
      <c r="P69" s="469">
        <f t="shared" si="6"/>
        <v>412.6</v>
      </c>
      <c r="Q69" s="469">
        <f t="shared" si="8"/>
        <v>4018.5</v>
      </c>
      <c r="R69" s="505">
        <f t="shared" si="9"/>
        <v>94.243158371189296</v>
      </c>
      <c r="S69" s="469"/>
      <c r="T69" s="491"/>
      <c r="U69" s="491"/>
      <c r="V69" s="491"/>
      <c r="W69" s="491"/>
      <c r="X69" s="491"/>
    </row>
    <row r="70" spans="1:24" ht="15.75" customHeight="1">
      <c r="A70" s="512">
        <v>68</v>
      </c>
      <c r="B70" s="469">
        <v>2</v>
      </c>
      <c r="C70" s="507">
        <v>4</v>
      </c>
      <c r="D70" s="507">
        <v>17</v>
      </c>
      <c r="E70" s="469" t="s">
        <v>169</v>
      </c>
      <c r="F70" s="469" t="s">
        <v>170</v>
      </c>
      <c r="G70" s="469" t="s">
        <v>34</v>
      </c>
      <c r="H70" s="514">
        <v>50596</v>
      </c>
      <c r="I70" s="515">
        <v>110</v>
      </c>
      <c r="J70" s="505">
        <v>2.6638000000000002</v>
      </c>
      <c r="K70" s="469">
        <v>0.14499999999999999</v>
      </c>
      <c r="L70" s="505">
        <f t="shared" si="7"/>
        <v>2.8088000000000002</v>
      </c>
      <c r="M70" s="507">
        <v>0.90400000000000003</v>
      </c>
      <c r="N70" s="469">
        <v>3.5999999999999997E-2</v>
      </c>
      <c r="O70" s="469">
        <f t="shared" si="5"/>
        <v>904</v>
      </c>
      <c r="P70" s="469">
        <f t="shared" si="6"/>
        <v>36</v>
      </c>
      <c r="Q70" s="469">
        <f t="shared" si="8"/>
        <v>940</v>
      </c>
      <c r="R70" s="505">
        <f t="shared" si="9"/>
        <v>334.66248931928226</v>
      </c>
      <c r="S70" s="469"/>
      <c r="T70" s="491"/>
      <c r="U70" s="491"/>
      <c r="V70" s="491"/>
      <c r="W70" s="491"/>
      <c r="X70" s="491"/>
    </row>
    <row r="71" spans="1:24" ht="15.75" customHeight="1">
      <c r="A71" s="512">
        <v>69</v>
      </c>
      <c r="B71" s="507">
        <v>2</v>
      </c>
      <c r="C71" s="507">
        <v>7</v>
      </c>
      <c r="D71" s="507">
        <v>4</v>
      </c>
      <c r="E71" s="469" t="s">
        <v>214</v>
      </c>
      <c r="F71" s="469" t="s">
        <v>215</v>
      </c>
      <c r="G71" s="469" t="s">
        <v>34</v>
      </c>
      <c r="H71" s="514">
        <v>50580</v>
      </c>
      <c r="I71" s="515">
        <v>25</v>
      </c>
      <c r="J71" s="505">
        <v>2.0699999999999998</v>
      </c>
      <c r="K71" s="469">
        <v>6.3E-2</v>
      </c>
      <c r="L71" s="505">
        <f t="shared" si="7"/>
        <v>2.133</v>
      </c>
      <c r="M71" s="507">
        <v>0.84699999999999998</v>
      </c>
      <c r="N71" s="469">
        <v>2.5999999999999999E-2</v>
      </c>
      <c r="O71" s="469">
        <f t="shared" si="5"/>
        <v>847</v>
      </c>
      <c r="P71" s="469">
        <f t="shared" si="6"/>
        <v>26</v>
      </c>
      <c r="Q71" s="469">
        <f t="shared" si="8"/>
        <v>873</v>
      </c>
      <c r="R71" s="505">
        <f t="shared" si="9"/>
        <v>409.28270042194094</v>
      </c>
      <c r="S71" s="469"/>
      <c r="T71" s="491"/>
      <c r="U71" s="491"/>
      <c r="V71" s="491"/>
      <c r="W71" s="491"/>
      <c r="X71" s="491"/>
    </row>
    <row r="72" spans="1:24" ht="15.75" customHeight="1">
      <c r="A72" s="512">
        <v>70</v>
      </c>
      <c r="B72" s="507">
        <v>2</v>
      </c>
      <c r="C72" s="507">
        <v>3</v>
      </c>
      <c r="D72" s="507">
        <v>22</v>
      </c>
      <c r="E72" s="469" t="s">
        <v>122</v>
      </c>
      <c r="F72" s="469" t="s">
        <v>123</v>
      </c>
      <c r="G72" s="469" t="s">
        <v>34</v>
      </c>
      <c r="H72" s="514">
        <v>50732</v>
      </c>
      <c r="I72" s="515">
        <v>274</v>
      </c>
      <c r="J72" s="505">
        <v>5.6910999999999996</v>
      </c>
      <c r="K72" s="469">
        <v>0.157</v>
      </c>
      <c r="L72" s="505">
        <f t="shared" si="7"/>
        <v>5.8480999999999996</v>
      </c>
      <c r="M72" s="507">
        <v>2.6579999999999999</v>
      </c>
      <c r="N72" s="469">
        <v>5.7000000000000002E-2</v>
      </c>
      <c r="O72" s="469">
        <f t="shared" si="5"/>
        <v>2658</v>
      </c>
      <c r="P72" s="469">
        <f t="shared" si="6"/>
        <v>57</v>
      </c>
      <c r="Q72" s="469">
        <f t="shared" si="8"/>
        <v>2715</v>
      </c>
      <c r="R72" s="505">
        <f t="shared" si="9"/>
        <v>464.25334724098428</v>
      </c>
      <c r="S72" s="469"/>
      <c r="T72" s="491"/>
      <c r="U72" s="491"/>
      <c r="V72" s="491"/>
      <c r="W72" s="491"/>
      <c r="X72" s="491"/>
    </row>
    <row r="73" spans="1:24" ht="15.75" customHeight="1">
      <c r="A73" s="512">
        <v>71</v>
      </c>
      <c r="B73" s="507">
        <v>2</v>
      </c>
      <c r="C73" s="507">
        <v>7</v>
      </c>
      <c r="D73" s="507">
        <v>4</v>
      </c>
      <c r="E73" s="469" t="s">
        <v>218</v>
      </c>
      <c r="F73" s="469" t="s">
        <v>219</v>
      </c>
      <c r="G73" s="469" t="s">
        <v>34</v>
      </c>
      <c r="H73" s="514">
        <v>50547</v>
      </c>
      <c r="I73" s="515">
        <v>73</v>
      </c>
      <c r="J73" s="505">
        <v>8.4400000000000003E-2</v>
      </c>
      <c r="K73" s="469">
        <v>0</v>
      </c>
      <c r="L73" s="505">
        <f t="shared" si="7"/>
        <v>8.4400000000000003E-2</v>
      </c>
      <c r="M73" s="507">
        <v>2.5999999999999999E-2</v>
      </c>
      <c r="N73" s="469">
        <v>0</v>
      </c>
      <c r="O73" s="469">
        <f t="shared" si="5"/>
        <v>26</v>
      </c>
      <c r="P73" s="469">
        <f t="shared" si="6"/>
        <v>0</v>
      </c>
      <c r="Q73" s="469">
        <f t="shared" si="8"/>
        <v>26</v>
      </c>
      <c r="R73" s="505">
        <f t="shared" si="9"/>
        <v>308.05687203791467</v>
      </c>
      <c r="S73" s="469" t="s">
        <v>364</v>
      </c>
      <c r="T73" s="491"/>
      <c r="U73" s="491"/>
      <c r="V73" s="491"/>
      <c r="W73" s="491"/>
      <c r="X73" s="491"/>
    </row>
    <row r="74" spans="1:24" ht="15.75" customHeight="1">
      <c r="A74" s="512">
        <v>73</v>
      </c>
      <c r="B74" s="507">
        <v>2</v>
      </c>
      <c r="C74" s="507">
        <v>3</v>
      </c>
      <c r="D74" s="507">
        <v>21</v>
      </c>
      <c r="E74" s="469" t="s">
        <v>120</v>
      </c>
      <c r="F74" s="469" t="s">
        <v>121</v>
      </c>
      <c r="G74" s="469" t="s">
        <v>25</v>
      </c>
      <c r="H74" s="514">
        <v>50745</v>
      </c>
      <c r="I74" s="515">
        <v>131</v>
      </c>
      <c r="J74" s="505">
        <v>47.082500000000003</v>
      </c>
      <c r="K74" s="469">
        <v>4.0547000000000004</v>
      </c>
      <c r="L74" s="505">
        <f t="shared" si="7"/>
        <v>51.137200000000007</v>
      </c>
      <c r="M74" s="507">
        <v>11.242000000000001</v>
      </c>
      <c r="N74" s="469">
        <v>0.624</v>
      </c>
      <c r="O74" s="469">
        <f t="shared" ref="O74:O90" si="10">M74*1000</f>
        <v>11242</v>
      </c>
      <c r="P74" s="469">
        <f t="shared" ref="P74:P90" si="11">N74*1000</f>
        <v>624</v>
      </c>
      <c r="Q74" s="469">
        <f t="shared" si="8"/>
        <v>11866</v>
      </c>
      <c r="R74" s="505">
        <f t="shared" si="9"/>
        <v>232.04242703941551</v>
      </c>
      <c r="S74" s="469"/>
      <c r="T74" s="491"/>
      <c r="U74" s="491"/>
      <c r="V74" s="491"/>
      <c r="W74" s="491"/>
      <c r="X74" s="491"/>
    </row>
    <row r="75" spans="1:24" ht="15.75" customHeight="1">
      <c r="A75" s="512">
        <v>15</v>
      </c>
      <c r="B75" s="507">
        <v>2</v>
      </c>
      <c r="C75" s="507">
        <v>5</v>
      </c>
      <c r="D75" s="507">
        <v>5</v>
      </c>
      <c r="E75" s="469" t="s">
        <v>183</v>
      </c>
      <c r="F75" s="456" t="s">
        <v>417</v>
      </c>
      <c r="G75" s="469" t="s">
        <v>31</v>
      </c>
      <c r="H75" s="514">
        <v>50808</v>
      </c>
      <c r="I75" s="515">
        <v>363</v>
      </c>
      <c r="J75" s="505">
        <v>4.0027999999999997</v>
      </c>
      <c r="K75" s="469">
        <v>0.1048</v>
      </c>
      <c r="L75" s="505">
        <f t="shared" si="7"/>
        <v>4.1075999999999997</v>
      </c>
      <c r="M75" s="507">
        <v>1.427</v>
      </c>
      <c r="N75" s="469">
        <v>3.2000000000000001E-2</v>
      </c>
      <c r="O75" s="469">
        <f t="shared" si="10"/>
        <v>1427</v>
      </c>
      <c r="P75" s="469">
        <f t="shared" si="11"/>
        <v>32</v>
      </c>
      <c r="Q75" s="469">
        <f t="shared" si="8"/>
        <v>1459</v>
      </c>
      <c r="R75" s="505">
        <f t="shared" si="9"/>
        <v>355.19524783328467</v>
      </c>
      <c r="S75" s="469"/>
      <c r="T75" s="491"/>
      <c r="U75" s="491"/>
      <c r="V75" s="491"/>
      <c r="W75" s="491"/>
      <c r="X75" s="491"/>
    </row>
    <row r="76" spans="1:24" ht="15.75" customHeight="1">
      <c r="A76" s="512">
        <v>74</v>
      </c>
      <c r="B76" s="507">
        <v>2</v>
      </c>
      <c r="C76" s="507">
        <v>4</v>
      </c>
      <c r="D76" s="507">
        <v>16</v>
      </c>
      <c r="E76" s="469" t="s">
        <v>167</v>
      </c>
      <c r="F76" s="469" t="s">
        <v>168</v>
      </c>
      <c r="G76" s="469" t="s">
        <v>31</v>
      </c>
      <c r="H76" s="514">
        <v>50865</v>
      </c>
      <c r="I76" s="515">
        <v>628</v>
      </c>
      <c r="J76" s="505">
        <v>7.6405000000000003</v>
      </c>
      <c r="K76" s="469">
        <v>1.1830000000000001</v>
      </c>
      <c r="L76" s="505">
        <f t="shared" si="7"/>
        <v>8.823500000000001</v>
      </c>
      <c r="M76" s="507">
        <v>1.9419999999999999</v>
      </c>
      <c r="N76" s="469">
        <v>0.28899999999999998</v>
      </c>
      <c r="O76" s="469">
        <f t="shared" si="10"/>
        <v>1942</v>
      </c>
      <c r="P76" s="469">
        <f t="shared" si="11"/>
        <v>289</v>
      </c>
      <c r="Q76" s="469">
        <f t="shared" si="8"/>
        <v>2231</v>
      </c>
      <c r="R76" s="505">
        <f t="shared" si="9"/>
        <v>252.84750949169828</v>
      </c>
      <c r="S76" s="469"/>
      <c r="T76" s="491"/>
      <c r="U76" s="491"/>
      <c r="V76" s="491"/>
      <c r="W76" s="491"/>
      <c r="X76" s="491"/>
    </row>
    <row r="77" spans="1:24" ht="15.75" customHeight="1">
      <c r="A77" s="512">
        <v>75</v>
      </c>
      <c r="B77" s="507">
        <v>2</v>
      </c>
      <c r="C77" s="507">
        <v>3</v>
      </c>
      <c r="D77" s="507">
        <v>5</v>
      </c>
      <c r="E77" s="469" t="s">
        <v>89</v>
      </c>
      <c r="F77" s="469" t="s">
        <v>90</v>
      </c>
      <c r="G77" s="469" t="s">
        <v>34</v>
      </c>
      <c r="H77" s="514">
        <v>50854</v>
      </c>
      <c r="I77" s="515">
        <v>179</v>
      </c>
      <c r="J77" s="505">
        <v>16.423999999999999</v>
      </c>
      <c r="K77" s="469">
        <v>2.2572000000000001</v>
      </c>
      <c r="L77" s="505">
        <f t="shared" si="7"/>
        <v>18.6812</v>
      </c>
      <c r="M77" s="507">
        <v>3.1309999999999998</v>
      </c>
      <c r="N77" s="469">
        <v>0.30099999999999999</v>
      </c>
      <c r="O77" s="469">
        <f t="shared" si="10"/>
        <v>3131</v>
      </c>
      <c r="P77" s="469">
        <f t="shared" si="11"/>
        <v>301</v>
      </c>
      <c r="Q77" s="469">
        <f t="shared" si="8"/>
        <v>3432</v>
      </c>
      <c r="R77" s="505">
        <f t="shared" si="9"/>
        <v>183.71410830139391</v>
      </c>
      <c r="S77" s="469"/>
      <c r="T77" s="491"/>
      <c r="U77" s="491"/>
      <c r="V77" s="491"/>
      <c r="W77" s="491"/>
      <c r="X77" s="491"/>
    </row>
    <row r="78" spans="1:24" ht="15.75" customHeight="1">
      <c r="A78" s="512">
        <v>77</v>
      </c>
      <c r="B78" s="507">
        <v>2</v>
      </c>
      <c r="C78" s="507">
        <v>1</v>
      </c>
      <c r="D78" s="507">
        <v>9</v>
      </c>
      <c r="E78" s="469" t="s">
        <v>39</v>
      </c>
      <c r="F78" s="469" t="s">
        <v>42</v>
      </c>
      <c r="G78" s="469" t="s">
        <v>25</v>
      </c>
      <c r="H78" s="514">
        <v>50530</v>
      </c>
      <c r="I78" s="515">
        <v>48</v>
      </c>
      <c r="J78" s="505">
        <v>108.35</v>
      </c>
      <c r="K78" s="469">
        <v>22.922999999999998</v>
      </c>
      <c r="L78" s="505">
        <f t="shared" si="7"/>
        <v>131.273</v>
      </c>
      <c r="M78" s="507">
        <v>20.056000000000001</v>
      </c>
      <c r="N78" s="469">
        <v>1.7569999999999999</v>
      </c>
      <c r="O78" s="469">
        <f t="shared" si="10"/>
        <v>20056</v>
      </c>
      <c r="P78" s="469">
        <f t="shared" si="11"/>
        <v>1757</v>
      </c>
      <c r="Q78" s="469">
        <f t="shared" si="8"/>
        <v>21813</v>
      </c>
      <c r="R78" s="505">
        <f t="shared" si="9"/>
        <v>166.16516724688245</v>
      </c>
      <c r="S78" s="469"/>
      <c r="T78" s="511"/>
      <c r="U78" s="491"/>
      <c r="V78" s="491"/>
      <c r="W78" s="491"/>
      <c r="X78" s="491"/>
    </row>
    <row r="79" spans="1:24" ht="15.75" customHeight="1">
      <c r="A79" s="512">
        <v>76</v>
      </c>
      <c r="B79" s="507">
        <v>2</v>
      </c>
      <c r="C79" s="507">
        <v>8</v>
      </c>
      <c r="D79" s="507">
        <v>11</v>
      </c>
      <c r="E79" s="469" t="s">
        <v>237</v>
      </c>
      <c r="F79" s="469" t="s">
        <v>238</v>
      </c>
      <c r="G79" s="469" t="s">
        <v>25</v>
      </c>
      <c r="H79" s="514">
        <v>50751</v>
      </c>
      <c r="I79" s="515">
        <v>239</v>
      </c>
      <c r="J79" s="505">
        <v>10.347099999999999</v>
      </c>
      <c r="K79" s="469">
        <v>0.63329999999999997</v>
      </c>
      <c r="L79" s="505">
        <f t="shared" si="7"/>
        <v>10.980399999999999</v>
      </c>
      <c r="M79" s="507">
        <v>1.77</v>
      </c>
      <c r="N79" s="469">
        <v>0.1</v>
      </c>
      <c r="O79" s="469">
        <f t="shared" si="10"/>
        <v>1770</v>
      </c>
      <c r="P79" s="469">
        <f t="shared" si="11"/>
        <v>100</v>
      </c>
      <c r="Q79" s="469">
        <f t="shared" si="8"/>
        <v>1870</v>
      </c>
      <c r="R79" s="505">
        <f t="shared" si="9"/>
        <v>170.30344978325016</v>
      </c>
      <c r="S79" s="469"/>
      <c r="T79" s="491"/>
      <c r="U79" s="491"/>
      <c r="V79" s="491"/>
      <c r="W79" s="491"/>
      <c r="X79" s="491"/>
    </row>
    <row r="80" spans="1:24" ht="15.75" customHeight="1">
      <c r="A80" s="512">
        <v>78</v>
      </c>
      <c r="B80" s="507">
        <v>2</v>
      </c>
      <c r="C80" s="507">
        <v>6</v>
      </c>
      <c r="D80" s="507">
        <v>3</v>
      </c>
      <c r="E80" s="469" t="s">
        <v>199</v>
      </c>
      <c r="F80" s="469" t="s">
        <v>200</v>
      </c>
      <c r="G80" s="469" t="s">
        <v>34</v>
      </c>
      <c r="H80" s="514">
        <v>50603</v>
      </c>
      <c r="I80" s="515">
        <v>32</v>
      </c>
      <c r="J80" s="505">
        <v>44.058300000000003</v>
      </c>
      <c r="K80" s="469">
        <v>5.3230000000000004</v>
      </c>
      <c r="L80" s="505">
        <f t="shared" si="7"/>
        <v>49.381300000000003</v>
      </c>
      <c r="M80" s="507">
        <v>6.5510000000000002</v>
      </c>
      <c r="N80" s="469">
        <v>0.54800000000000004</v>
      </c>
      <c r="O80" s="469">
        <f t="shared" si="10"/>
        <v>6551</v>
      </c>
      <c r="P80" s="469">
        <f t="shared" si="11"/>
        <v>548</v>
      </c>
      <c r="Q80" s="469">
        <f t="shared" si="8"/>
        <v>7099</v>
      </c>
      <c r="R80" s="505">
        <f t="shared" si="9"/>
        <v>143.75887228566279</v>
      </c>
      <c r="S80" s="469"/>
      <c r="T80" s="491"/>
      <c r="U80" s="491"/>
      <c r="V80" s="491"/>
      <c r="W80" s="491"/>
      <c r="X80" s="491"/>
    </row>
    <row r="81" spans="1:24" ht="15.75" customHeight="1">
      <c r="A81" s="512">
        <v>81</v>
      </c>
      <c r="B81" s="521">
        <v>2</v>
      </c>
      <c r="C81" s="521">
        <v>7</v>
      </c>
      <c r="D81" s="521">
        <v>7</v>
      </c>
      <c r="E81" s="521" t="s">
        <v>97</v>
      </c>
      <c r="F81" s="522" t="s">
        <v>409</v>
      </c>
      <c r="G81" s="521" t="s">
        <v>25</v>
      </c>
      <c r="H81" s="523">
        <v>50869</v>
      </c>
      <c r="I81" s="524">
        <v>214</v>
      </c>
      <c r="J81" s="505">
        <v>0.87150000000000005</v>
      </c>
      <c r="K81" s="469">
        <v>6.6000000000000003E-2</v>
      </c>
      <c r="L81" s="505">
        <f t="shared" si="7"/>
        <v>0.9375</v>
      </c>
      <c r="M81" s="469">
        <v>0.24779999999999999</v>
      </c>
      <c r="N81" s="469">
        <v>6.4000000000000001E-2</v>
      </c>
      <c r="O81" s="469">
        <f t="shared" si="10"/>
        <v>247.79999999999998</v>
      </c>
      <c r="P81" s="469">
        <f t="shared" si="11"/>
        <v>64</v>
      </c>
      <c r="Q81" s="469">
        <f t="shared" si="8"/>
        <v>311.79999999999995</v>
      </c>
      <c r="R81" s="505">
        <f t="shared" si="9"/>
        <v>332.58666666666664</v>
      </c>
      <c r="S81" s="469"/>
      <c r="T81" s="491"/>
      <c r="U81" s="491"/>
      <c r="V81" s="491"/>
      <c r="W81" s="491"/>
      <c r="X81" s="491"/>
    </row>
    <row r="82" spans="1:24" ht="15.75" customHeight="1">
      <c r="A82" s="512">
        <v>79</v>
      </c>
      <c r="B82" s="507">
        <v>2</v>
      </c>
      <c r="C82" s="507">
        <v>3</v>
      </c>
      <c r="D82" s="507">
        <v>9</v>
      </c>
      <c r="E82" s="469" t="s">
        <v>97</v>
      </c>
      <c r="F82" s="521" t="s">
        <v>98</v>
      </c>
      <c r="G82" s="469" t="s">
        <v>68</v>
      </c>
      <c r="H82" s="514">
        <v>50845</v>
      </c>
      <c r="I82" s="515">
        <v>459</v>
      </c>
      <c r="J82" s="505">
        <v>2.597</v>
      </c>
      <c r="K82" s="469">
        <v>0.16</v>
      </c>
      <c r="L82" s="505">
        <f t="shared" si="7"/>
        <v>2.7570000000000001</v>
      </c>
      <c r="M82" s="507">
        <v>0.56499999999999995</v>
      </c>
      <c r="N82" s="469">
        <v>2.3E-2</v>
      </c>
      <c r="O82" s="469">
        <f t="shared" si="10"/>
        <v>565</v>
      </c>
      <c r="P82" s="469">
        <f t="shared" si="11"/>
        <v>23</v>
      </c>
      <c r="Q82" s="469">
        <f t="shared" si="8"/>
        <v>588</v>
      </c>
      <c r="R82" s="505">
        <f t="shared" si="9"/>
        <v>213.27529923830249</v>
      </c>
      <c r="S82" s="469"/>
      <c r="T82" s="491"/>
      <c r="U82" s="491"/>
      <c r="V82" s="491"/>
      <c r="W82" s="491"/>
      <c r="X82" s="491"/>
    </row>
    <row r="83" spans="1:24" ht="16.5" customHeight="1">
      <c r="A83" s="512">
        <v>80</v>
      </c>
      <c r="B83" s="469">
        <v>2</v>
      </c>
      <c r="C83" s="469">
        <v>7</v>
      </c>
      <c r="D83" s="469">
        <v>11</v>
      </c>
      <c r="E83" s="469" t="s">
        <v>224</v>
      </c>
      <c r="F83" s="469" t="s">
        <v>225</v>
      </c>
      <c r="G83" s="469" t="s">
        <v>25</v>
      </c>
      <c r="H83" s="514">
        <v>50872</v>
      </c>
      <c r="I83" s="525">
        <v>200</v>
      </c>
      <c r="J83" s="505">
        <v>4.6927000000000003</v>
      </c>
      <c r="K83" s="469">
        <v>0.28510000000000002</v>
      </c>
      <c r="L83" s="505">
        <f t="shared" si="7"/>
        <v>4.9778000000000002</v>
      </c>
      <c r="M83" s="507">
        <v>0.72</v>
      </c>
      <c r="N83" s="469">
        <v>3.2000000000000001E-2</v>
      </c>
      <c r="O83" s="469">
        <f t="shared" si="10"/>
        <v>720</v>
      </c>
      <c r="P83" s="469">
        <f t="shared" si="11"/>
        <v>32</v>
      </c>
      <c r="Q83" s="469">
        <f t="shared" si="8"/>
        <v>752</v>
      </c>
      <c r="R83" s="505">
        <f t="shared" si="9"/>
        <v>151.07075414841898</v>
      </c>
      <c r="S83" s="469"/>
      <c r="T83" s="491"/>
      <c r="U83" s="491"/>
      <c r="V83" s="491"/>
      <c r="W83" s="491"/>
      <c r="X83" s="491"/>
    </row>
    <row r="84" spans="1:24" ht="15.75" customHeight="1">
      <c r="A84" s="512">
        <v>82</v>
      </c>
      <c r="B84" s="507">
        <v>2</v>
      </c>
      <c r="C84" s="507">
        <v>3</v>
      </c>
      <c r="D84" s="507">
        <v>1</v>
      </c>
      <c r="E84" s="469" t="s">
        <v>78</v>
      </c>
      <c r="F84" s="469" t="s">
        <v>79</v>
      </c>
      <c r="G84" s="469" t="s">
        <v>31</v>
      </c>
      <c r="H84" s="514">
        <v>50801</v>
      </c>
      <c r="I84" s="515">
        <v>371</v>
      </c>
      <c r="J84" s="509">
        <v>1.4683999999999999</v>
      </c>
      <c r="K84" s="469">
        <v>8.9700000000000002E-2</v>
      </c>
      <c r="L84" s="505">
        <f t="shared" si="7"/>
        <v>1.5581</v>
      </c>
      <c r="M84" s="469">
        <v>0.56210000000000004</v>
      </c>
      <c r="N84" s="469">
        <v>2.3099999999999999E-2</v>
      </c>
      <c r="O84" s="469">
        <f t="shared" si="10"/>
        <v>562.1</v>
      </c>
      <c r="P84" s="469">
        <f t="shared" si="11"/>
        <v>23.099999999999998</v>
      </c>
      <c r="Q84" s="469">
        <f t="shared" si="8"/>
        <v>585.20000000000005</v>
      </c>
      <c r="R84" s="505">
        <f t="shared" si="9"/>
        <v>375.58564918811373</v>
      </c>
      <c r="S84" s="469"/>
      <c r="T84" s="491"/>
      <c r="U84" s="491"/>
      <c r="V84" s="491"/>
      <c r="W84" s="491"/>
      <c r="X84" s="491"/>
    </row>
    <row r="85" spans="1:24" ht="15.75" customHeight="1">
      <c r="A85" s="512">
        <v>83</v>
      </c>
      <c r="B85" s="507">
        <v>2</v>
      </c>
      <c r="C85" s="507">
        <v>4</v>
      </c>
      <c r="D85" s="507">
        <v>20</v>
      </c>
      <c r="E85" s="469" t="s">
        <v>173</v>
      </c>
      <c r="F85" s="469" t="s">
        <v>174</v>
      </c>
      <c r="G85" s="469" t="s">
        <v>25</v>
      </c>
      <c r="H85" s="514">
        <v>50678</v>
      </c>
      <c r="I85" s="515">
        <v>4</v>
      </c>
      <c r="J85" s="505">
        <v>4.3479000000000001</v>
      </c>
      <c r="K85" s="469">
        <v>0.78029999999999999</v>
      </c>
      <c r="L85" s="505">
        <f t="shared" si="7"/>
        <v>5.1281999999999996</v>
      </c>
      <c r="M85" s="507">
        <v>0.33400000000000002</v>
      </c>
      <c r="N85" s="469">
        <v>4.3999999999999997E-2</v>
      </c>
      <c r="O85" s="469">
        <f t="shared" si="10"/>
        <v>334</v>
      </c>
      <c r="P85" s="469">
        <f t="shared" si="11"/>
        <v>44</v>
      </c>
      <c r="Q85" s="469">
        <f t="shared" si="8"/>
        <v>378</v>
      </c>
      <c r="R85" s="505">
        <f t="shared" si="9"/>
        <v>73.710073710073715</v>
      </c>
      <c r="S85" s="469"/>
      <c r="T85" s="491"/>
      <c r="U85" s="491"/>
      <c r="V85" s="491"/>
      <c r="W85" s="491"/>
      <c r="X85" s="491"/>
    </row>
    <row r="86" spans="1:24" ht="15.75" customHeight="1">
      <c r="A86" s="512">
        <v>84</v>
      </c>
      <c r="B86" s="507">
        <v>2</v>
      </c>
      <c r="C86" s="507">
        <v>1</v>
      </c>
      <c r="D86" s="507">
        <v>16</v>
      </c>
      <c r="E86" s="469" t="s">
        <v>58</v>
      </c>
      <c r="F86" s="526" t="s">
        <v>59</v>
      </c>
      <c r="G86" s="469" t="s">
        <v>31</v>
      </c>
      <c r="H86" s="514">
        <v>50797</v>
      </c>
      <c r="I86" s="515">
        <v>311</v>
      </c>
      <c r="J86" s="505">
        <v>13.477499999999999</v>
      </c>
      <c r="K86" s="469">
        <v>0</v>
      </c>
      <c r="L86" s="505">
        <f t="shared" si="7"/>
        <v>13.477499999999999</v>
      </c>
      <c r="M86" s="507">
        <v>1.897</v>
      </c>
      <c r="N86" s="469">
        <v>0</v>
      </c>
      <c r="O86" s="469">
        <f t="shared" si="10"/>
        <v>1897</v>
      </c>
      <c r="P86" s="469">
        <f t="shared" si="11"/>
        <v>0</v>
      </c>
      <c r="Q86" s="469">
        <f t="shared" si="8"/>
        <v>1897</v>
      </c>
      <c r="R86" s="505">
        <f t="shared" si="9"/>
        <v>140.75310703023558</v>
      </c>
      <c r="S86" s="469" t="s">
        <v>364</v>
      </c>
      <c r="T86" s="491"/>
      <c r="U86" s="491"/>
      <c r="V86" s="491"/>
      <c r="W86" s="491"/>
      <c r="X86" s="491"/>
    </row>
    <row r="87" spans="1:24">
      <c r="A87" s="512">
        <v>85</v>
      </c>
      <c r="B87" s="507">
        <v>2</v>
      </c>
      <c r="C87" s="507">
        <v>4</v>
      </c>
      <c r="D87" s="507">
        <v>21</v>
      </c>
      <c r="E87" s="469" t="s">
        <v>177</v>
      </c>
      <c r="F87" s="469" t="s">
        <v>178</v>
      </c>
      <c r="G87" s="469" t="s">
        <v>31</v>
      </c>
      <c r="H87" s="514">
        <v>50861</v>
      </c>
      <c r="I87" s="515">
        <v>714</v>
      </c>
      <c r="J87" s="505">
        <v>5.8955000000000002</v>
      </c>
      <c r="K87" s="469">
        <v>0.23219999999999999</v>
      </c>
      <c r="L87" s="505">
        <f t="shared" si="7"/>
        <v>6.1276999999999999</v>
      </c>
      <c r="M87" s="507">
        <v>1.3169999999999999</v>
      </c>
      <c r="N87" s="469">
        <v>4.2999999999999997E-2</v>
      </c>
      <c r="O87" s="469">
        <f t="shared" si="10"/>
        <v>1317</v>
      </c>
      <c r="P87" s="469">
        <f t="shared" si="11"/>
        <v>43</v>
      </c>
      <c r="Q87" s="469">
        <f t="shared" si="8"/>
        <v>1360</v>
      </c>
      <c r="R87" s="505">
        <f t="shared" si="9"/>
        <v>221.94298023728317</v>
      </c>
      <c r="S87" s="469"/>
      <c r="T87" s="491"/>
      <c r="U87" s="491"/>
      <c r="V87" s="491"/>
      <c r="W87" s="491"/>
      <c r="X87" s="491"/>
    </row>
    <row r="88" spans="1:24">
      <c r="A88" s="512">
        <v>86</v>
      </c>
      <c r="B88" s="507">
        <v>2</v>
      </c>
      <c r="C88" s="507">
        <v>4</v>
      </c>
      <c r="D88" s="507">
        <v>15</v>
      </c>
      <c r="E88" s="469" t="s">
        <v>158</v>
      </c>
      <c r="F88" s="520" t="s">
        <v>410</v>
      </c>
      <c r="G88" s="469" t="s">
        <v>31</v>
      </c>
      <c r="H88" s="514">
        <v>50849</v>
      </c>
      <c r="I88" s="515">
        <v>27</v>
      </c>
      <c r="J88" s="505">
        <v>6.4287999999999998</v>
      </c>
      <c r="K88" s="469">
        <v>0.26590000000000003</v>
      </c>
      <c r="L88" s="505">
        <f t="shared" si="7"/>
        <v>6.6947000000000001</v>
      </c>
      <c r="M88" s="507">
        <v>1.8480000000000001</v>
      </c>
      <c r="N88" s="469">
        <v>4.9000000000000002E-2</v>
      </c>
      <c r="O88" s="469">
        <f t="shared" si="10"/>
        <v>1848</v>
      </c>
      <c r="P88" s="469">
        <f t="shared" si="11"/>
        <v>49</v>
      </c>
      <c r="Q88" s="469">
        <f t="shared" si="8"/>
        <v>1897</v>
      </c>
      <c r="R88" s="505">
        <f t="shared" si="9"/>
        <v>283.35847760168491</v>
      </c>
      <c r="S88" s="469"/>
      <c r="T88" s="491"/>
      <c r="U88" s="491"/>
      <c r="V88" s="491"/>
      <c r="W88" s="491"/>
      <c r="X88" s="491"/>
    </row>
    <row r="89" spans="1:24">
      <c r="A89" s="512">
        <v>87</v>
      </c>
      <c r="B89" s="507">
        <v>2</v>
      </c>
      <c r="C89" s="507">
        <v>3</v>
      </c>
      <c r="D89" s="507">
        <v>3</v>
      </c>
      <c r="E89" s="469" t="s">
        <v>72</v>
      </c>
      <c r="F89" s="520" t="s">
        <v>411</v>
      </c>
      <c r="G89" s="469" t="s">
        <v>68</v>
      </c>
      <c r="H89" s="514">
        <v>50618</v>
      </c>
      <c r="I89" s="515">
        <v>96</v>
      </c>
      <c r="J89" s="505">
        <v>0.3463</v>
      </c>
      <c r="K89" s="469">
        <v>0</v>
      </c>
      <c r="L89" s="505">
        <f t="shared" si="7"/>
        <v>0.3463</v>
      </c>
      <c r="M89" s="507">
        <v>0.125</v>
      </c>
      <c r="N89" s="469">
        <v>0</v>
      </c>
      <c r="O89" s="469">
        <f t="shared" si="10"/>
        <v>125</v>
      </c>
      <c r="P89" s="469">
        <f t="shared" si="11"/>
        <v>0</v>
      </c>
      <c r="Q89" s="469">
        <f t="shared" si="8"/>
        <v>125</v>
      </c>
      <c r="R89" s="505">
        <f t="shared" si="9"/>
        <v>360.95870632399652</v>
      </c>
      <c r="S89" s="469" t="s">
        <v>364</v>
      </c>
      <c r="T89" s="491"/>
      <c r="U89" s="491"/>
      <c r="V89" s="491"/>
      <c r="W89" s="491"/>
      <c r="X89" s="491"/>
    </row>
    <row r="90" spans="1:24">
      <c r="A90" s="512">
        <v>88</v>
      </c>
      <c r="B90" s="507">
        <v>2</v>
      </c>
      <c r="C90" s="507">
        <v>3</v>
      </c>
      <c r="D90" s="507">
        <v>7</v>
      </c>
      <c r="E90" s="469" t="s">
        <v>93</v>
      </c>
      <c r="F90" s="513" t="s">
        <v>94</v>
      </c>
      <c r="G90" s="469" t="s">
        <v>34</v>
      </c>
      <c r="H90" s="514">
        <v>50604</v>
      </c>
      <c r="I90" s="515">
        <v>350</v>
      </c>
      <c r="J90" s="505">
        <v>2.3037999999999998</v>
      </c>
      <c r="K90" s="469">
        <v>7.9100000000000004E-2</v>
      </c>
      <c r="L90" s="505">
        <f t="shared" si="7"/>
        <v>2.3828999999999998</v>
      </c>
      <c r="M90" s="507">
        <v>1.1719999999999999</v>
      </c>
      <c r="N90" s="469">
        <v>3.4000000000000002E-2</v>
      </c>
      <c r="O90" s="469">
        <f t="shared" si="10"/>
        <v>1172</v>
      </c>
      <c r="P90" s="469">
        <f t="shared" si="11"/>
        <v>34</v>
      </c>
      <c r="Q90" s="469">
        <f t="shared" si="8"/>
        <v>1206</v>
      </c>
      <c r="R90" s="505">
        <f t="shared" si="9"/>
        <v>506.10600528767475</v>
      </c>
      <c r="S90" s="469"/>
      <c r="T90" s="491"/>
      <c r="U90" s="491"/>
      <c r="V90" s="491"/>
      <c r="W90" s="491"/>
      <c r="X90" s="491"/>
    </row>
    <row r="91" spans="1:24">
      <c r="A91" s="189"/>
      <c r="B91" s="189"/>
      <c r="C91" s="189"/>
      <c r="D91" s="189"/>
      <c r="E91" s="189"/>
      <c r="F91" s="189"/>
      <c r="G91" s="189"/>
      <c r="H91" s="189"/>
      <c r="I91" s="189"/>
      <c r="J91" s="423"/>
      <c r="K91" s="189"/>
      <c r="M91" s="189"/>
      <c r="N91" s="189"/>
      <c r="R91" s="189"/>
      <c r="S91" s="189"/>
      <c r="T91" s="491"/>
      <c r="U91" s="491"/>
      <c r="V91" s="491"/>
      <c r="W91" s="491"/>
      <c r="X91" s="491"/>
    </row>
    <row r="92" spans="1:24">
      <c r="A92" s="189"/>
      <c r="B92" s="189"/>
      <c r="C92" s="189"/>
      <c r="D92" s="189"/>
      <c r="E92" s="189"/>
      <c r="F92" s="189"/>
      <c r="G92" s="189"/>
      <c r="H92" s="189"/>
      <c r="I92" s="189"/>
      <c r="J92" s="423"/>
      <c r="K92" s="189"/>
      <c r="M92" s="189"/>
      <c r="N92" s="189"/>
      <c r="R92" s="189"/>
      <c r="S92" s="189"/>
      <c r="T92" s="189"/>
      <c r="U92" s="189"/>
      <c r="V92" s="189"/>
      <c r="W92" s="189"/>
      <c r="X92" s="189"/>
    </row>
    <row r="93" spans="1:24">
      <c r="A93" s="189"/>
      <c r="B93" s="189"/>
      <c r="C93" s="189"/>
      <c r="D93" s="189"/>
      <c r="E93" s="189"/>
      <c r="F93" s="189"/>
      <c r="G93" s="189"/>
      <c r="H93" s="189"/>
      <c r="I93" s="189"/>
      <c r="J93" s="423"/>
      <c r="K93" s="189"/>
      <c r="M93" s="189"/>
      <c r="N93" s="189"/>
      <c r="R93" s="189"/>
      <c r="S93" s="189"/>
      <c r="T93" s="189"/>
      <c r="U93" s="189"/>
      <c r="V93" s="189"/>
      <c r="W93" s="189"/>
      <c r="X93" s="189"/>
    </row>
    <row r="94" spans="1:24">
      <c r="A94" s="189"/>
      <c r="B94" s="189"/>
      <c r="C94" s="189"/>
      <c r="D94" s="189"/>
      <c r="E94" s="189"/>
      <c r="F94" s="189"/>
      <c r="G94" s="189"/>
      <c r="H94" s="189"/>
      <c r="I94" s="189"/>
      <c r="J94" s="423"/>
      <c r="K94" s="189"/>
      <c r="M94" s="189"/>
      <c r="N94" s="189"/>
      <c r="R94" s="189"/>
      <c r="S94" s="189"/>
      <c r="T94" s="189"/>
      <c r="U94" s="189"/>
      <c r="V94" s="189"/>
      <c r="W94" s="189"/>
      <c r="X94" s="189"/>
    </row>
    <row r="95" spans="1:24">
      <c r="A95" s="189"/>
      <c r="B95" s="189"/>
      <c r="C95" s="189"/>
      <c r="D95" s="189"/>
      <c r="E95" s="189"/>
      <c r="F95" s="189"/>
      <c r="G95" s="189"/>
      <c r="H95" s="189"/>
      <c r="I95" s="189"/>
      <c r="J95" s="423"/>
      <c r="K95" s="189"/>
      <c r="M95" s="189"/>
      <c r="N95" s="189"/>
      <c r="R95" s="189"/>
      <c r="S95" s="189"/>
      <c r="T95" s="189"/>
      <c r="U95" s="189"/>
      <c r="V95" s="189"/>
      <c r="W95" s="189"/>
      <c r="X95" s="189"/>
    </row>
    <row r="96" spans="1:24">
      <c r="A96" s="189"/>
      <c r="B96" s="189"/>
      <c r="C96" s="189"/>
      <c r="D96" s="189"/>
      <c r="E96" s="189"/>
      <c r="F96" s="189"/>
      <c r="G96" s="189"/>
      <c r="H96" s="189"/>
      <c r="I96" s="189"/>
      <c r="J96" s="423"/>
      <c r="K96" s="189"/>
      <c r="M96" s="189"/>
      <c r="N96" s="189"/>
      <c r="R96" s="189"/>
      <c r="S96" s="189"/>
      <c r="T96" s="189"/>
      <c r="U96" s="189"/>
      <c r="V96" s="189"/>
      <c r="W96" s="189"/>
      <c r="X96" s="189"/>
    </row>
    <row r="97" spans="1:24">
      <c r="A97" s="189"/>
      <c r="B97" s="189"/>
      <c r="C97" s="189"/>
      <c r="D97" s="189"/>
      <c r="E97" s="189"/>
      <c r="F97" s="189"/>
      <c r="G97" s="189"/>
      <c r="H97" s="189"/>
      <c r="I97" s="189"/>
      <c r="J97" s="423"/>
      <c r="K97" s="189"/>
      <c r="M97" s="189"/>
      <c r="N97" s="189"/>
      <c r="R97" s="189"/>
      <c r="S97" s="189"/>
      <c r="T97" s="189"/>
      <c r="U97" s="189"/>
      <c r="V97" s="189"/>
      <c r="W97" s="189"/>
      <c r="X97" s="189"/>
    </row>
    <row r="98" spans="1:24">
      <c r="A98" s="189"/>
      <c r="B98" s="189"/>
      <c r="C98" s="189"/>
      <c r="D98" s="189"/>
      <c r="E98" s="189"/>
      <c r="F98" s="189"/>
      <c r="G98" s="189"/>
      <c r="H98" s="189"/>
      <c r="I98" s="189"/>
      <c r="J98" s="423"/>
      <c r="K98" s="189"/>
      <c r="M98" s="189"/>
      <c r="N98" s="189"/>
      <c r="R98" s="189"/>
      <c r="S98" s="189"/>
      <c r="T98" s="189"/>
      <c r="U98" s="189"/>
      <c r="V98" s="189"/>
      <c r="W98" s="189"/>
      <c r="X98" s="189"/>
    </row>
    <row r="99" spans="1:24">
      <c r="A99" s="189"/>
      <c r="B99" s="189"/>
      <c r="C99" s="189"/>
      <c r="D99" s="189"/>
      <c r="E99" s="189"/>
      <c r="F99" s="189"/>
      <c r="G99" s="189"/>
      <c r="H99" s="189"/>
      <c r="I99" s="189"/>
      <c r="J99" s="423"/>
      <c r="K99" s="189"/>
      <c r="M99" s="189"/>
      <c r="N99" s="189"/>
      <c r="R99" s="189"/>
      <c r="S99" s="189"/>
      <c r="T99" s="189"/>
      <c r="U99" s="189"/>
      <c r="V99" s="189"/>
      <c r="W99" s="189"/>
      <c r="X99" s="189"/>
    </row>
    <row r="100" spans="1:24">
      <c r="A100" s="189"/>
      <c r="B100" s="189"/>
      <c r="C100" s="189"/>
      <c r="D100" s="189"/>
      <c r="E100" s="189"/>
      <c r="F100" s="189"/>
      <c r="G100" s="189"/>
      <c r="H100" s="189"/>
      <c r="I100" s="189"/>
      <c r="J100" s="423"/>
      <c r="K100" s="189"/>
      <c r="M100" s="189"/>
      <c r="N100" s="189"/>
      <c r="R100" s="189"/>
      <c r="S100" s="189"/>
      <c r="T100" s="189"/>
      <c r="U100" s="189"/>
      <c r="V100" s="189"/>
      <c r="W100" s="189"/>
      <c r="X100" s="189"/>
    </row>
    <row r="101" spans="1:24">
      <c r="A101" s="189"/>
      <c r="B101" s="189"/>
      <c r="C101" s="189"/>
      <c r="D101" s="189"/>
      <c r="E101" s="189"/>
      <c r="F101" s="189"/>
      <c r="G101" s="189"/>
      <c r="H101" s="189"/>
      <c r="I101" s="189"/>
      <c r="J101" s="423"/>
      <c r="K101" s="189"/>
      <c r="M101" s="189"/>
      <c r="N101" s="189"/>
      <c r="R101" s="189"/>
      <c r="S101" s="189"/>
      <c r="T101" s="189"/>
      <c r="U101" s="189"/>
      <c r="V101" s="189"/>
      <c r="W101" s="189"/>
      <c r="X101" s="189"/>
    </row>
    <row r="102" spans="1:24">
      <c r="A102" s="189"/>
      <c r="B102" s="189"/>
      <c r="C102" s="189"/>
      <c r="D102" s="189"/>
      <c r="E102" s="189"/>
      <c r="F102" s="189"/>
      <c r="G102" s="189"/>
      <c r="H102" s="189"/>
      <c r="I102" s="189"/>
      <c r="J102" s="423"/>
      <c r="K102" s="189"/>
      <c r="M102" s="189"/>
      <c r="N102" s="189"/>
      <c r="R102" s="189"/>
      <c r="S102" s="189"/>
      <c r="T102" s="189"/>
      <c r="U102" s="189"/>
      <c r="V102" s="189"/>
      <c r="W102" s="189"/>
      <c r="X102" s="189"/>
    </row>
    <row r="103" spans="1:24">
      <c r="A103" s="189"/>
      <c r="B103" s="189"/>
      <c r="C103" s="189"/>
      <c r="D103" s="189"/>
      <c r="E103" s="189"/>
      <c r="F103" s="189"/>
      <c r="G103" s="189"/>
      <c r="H103" s="189"/>
      <c r="I103" s="189"/>
      <c r="J103" s="423"/>
      <c r="K103" s="189"/>
      <c r="M103" s="189"/>
      <c r="N103" s="189"/>
      <c r="R103" s="189"/>
      <c r="S103" s="189"/>
      <c r="T103" s="189"/>
      <c r="U103" s="189"/>
      <c r="V103" s="189"/>
      <c r="W103" s="189"/>
      <c r="X103" s="189"/>
    </row>
    <row r="104" spans="1:24">
      <c r="A104" s="189"/>
      <c r="B104" s="189"/>
      <c r="C104" s="189"/>
      <c r="D104" s="189"/>
      <c r="E104" s="189"/>
      <c r="F104" s="189"/>
      <c r="G104" s="189"/>
      <c r="H104" s="189"/>
      <c r="I104" s="189"/>
      <c r="J104" s="423"/>
      <c r="K104" s="189"/>
      <c r="M104" s="189"/>
      <c r="N104" s="189"/>
      <c r="R104" s="189"/>
      <c r="S104" s="189"/>
      <c r="T104" s="189"/>
      <c r="U104" s="189"/>
      <c r="V104" s="189"/>
      <c r="W104" s="189"/>
      <c r="X104" s="189"/>
    </row>
    <row r="105" spans="1:24">
      <c r="A105" s="189"/>
      <c r="B105" s="189"/>
      <c r="C105" s="189"/>
      <c r="D105" s="189"/>
      <c r="E105" s="189"/>
      <c r="F105" s="189"/>
      <c r="G105" s="189"/>
      <c r="H105" s="189"/>
      <c r="I105" s="189"/>
      <c r="J105" s="423"/>
      <c r="K105" s="189"/>
      <c r="M105" s="189"/>
      <c r="N105" s="189"/>
      <c r="R105" s="189"/>
      <c r="S105" s="189"/>
      <c r="T105" s="189"/>
      <c r="U105" s="189"/>
      <c r="V105" s="189"/>
      <c r="W105" s="189"/>
      <c r="X105" s="189"/>
    </row>
    <row r="106" spans="1:24">
      <c r="A106" s="189"/>
      <c r="B106" s="189"/>
      <c r="C106" s="189"/>
      <c r="D106" s="189"/>
      <c r="E106" s="189"/>
      <c r="F106" s="189"/>
      <c r="G106" s="189"/>
      <c r="H106" s="189"/>
      <c r="I106" s="189"/>
      <c r="J106" s="423"/>
      <c r="K106" s="189"/>
      <c r="M106" s="189"/>
      <c r="N106" s="189"/>
      <c r="R106" s="189"/>
      <c r="S106" s="189"/>
      <c r="T106" s="189"/>
      <c r="U106" s="189"/>
      <c r="V106" s="189"/>
      <c r="W106" s="189"/>
      <c r="X106" s="189"/>
    </row>
    <row r="107" spans="1:24">
      <c r="A107" s="189"/>
      <c r="B107" s="189"/>
      <c r="C107" s="189"/>
      <c r="D107" s="189"/>
      <c r="E107" s="189"/>
      <c r="F107" s="189"/>
      <c r="G107" s="189"/>
      <c r="H107" s="189"/>
      <c r="I107" s="189"/>
      <c r="J107" s="423"/>
      <c r="K107" s="189"/>
      <c r="M107" s="189"/>
      <c r="N107" s="189"/>
      <c r="R107" s="189"/>
      <c r="S107" s="189"/>
      <c r="T107" s="189"/>
      <c r="U107" s="189"/>
      <c r="V107" s="189"/>
      <c r="W107" s="189"/>
      <c r="X107" s="189"/>
    </row>
    <row r="108" spans="1:24">
      <c r="A108" s="189"/>
      <c r="B108" s="189"/>
      <c r="C108" s="189"/>
      <c r="D108" s="189"/>
      <c r="E108" s="189"/>
      <c r="F108" s="189"/>
      <c r="G108" s="189"/>
      <c r="H108" s="189"/>
      <c r="I108" s="189"/>
      <c r="J108" s="423"/>
      <c r="K108" s="189"/>
      <c r="M108" s="189"/>
      <c r="N108" s="189"/>
      <c r="R108" s="189"/>
      <c r="S108" s="189"/>
      <c r="T108" s="189"/>
      <c r="U108" s="189"/>
      <c r="V108" s="189"/>
      <c r="W108" s="189"/>
      <c r="X108" s="189"/>
    </row>
    <row r="109" spans="1:24">
      <c r="A109" s="189"/>
      <c r="B109" s="189"/>
      <c r="C109" s="189"/>
      <c r="D109" s="189"/>
      <c r="E109" s="189"/>
      <c r="F109" s="189"/>
      <c r="G109" s="189"/>
      <c r="H109" s="189"/>
      <c r="I109" s="189"/>
      <c r="J109" s="423"/>
      <c r="K109" s="189"/>
      <c r="M109" s="189"/>
      <c r="N109" s="189"/>
      <c r="R109" s="189"/>
      <c r="S109" s="189"/>
      <c r="T109" s="189"/>
      <c r="U109" s="189"/>
      <c r="V109" s="189"/>
      <c r="W109" s="189"/>
      <c r="X109" s="189"/>
    </row>
    <row r="110" spans="1:24">
      <c r="A110" s="189"/>
      <c r="B110" s="189"/>
      <c r="C110" s="189"/>
      <c r="D110" s="189"/>
      <c r="E110" s="189"/>
      <c r="F110" s="189"/>
      <c r="G110" s="189"/>
      <c r="H110" s="189"/>
      <c r="I110" s="189"/>
      <c r="J110" s="423"/>
      <c r="K110" s="189"/>
      <c r="M110" s="189"/>
      <c r="N110" s="189"/>
      <c r="R110" s="189"/>
      <c r="S110" s="189"/>
      <c r="T110" s="189"/>
      <c r="U110" s="189"/>
      <c r="V110" s="189"/>
      <c r="W110" s="189"/>
      <c r="X110" s="189"/>
    </row>
    <row r="111" spans="1:24">
      <c r="A111" s="189"/>
      <c r="B111" s="189"/>
      <c r="C111" s="189"/>
      <c r="D111" s="189"/>
      <c r="E111" s="189"/>
      <c r="F111" s="189"/>
      <c r="G111" s="189"/>
      <c r="H111" s="189"/>
      <c r="I111" s="189"/>
      <c r="J111" s="423"/>
      <c r="K111" s="189"/>
      <c r="M111" s="189"/>
      <c r="N111" s="189"/>
      <c r="R111" s="189"/>
      <c r="S111" s="189"/>
      <c r="T111" s="189"/>
      <c r="U111" s="189"/>
      <c r="V111" s="189"/>
      <c r="W111" s="189"/>
      <c r="X111" s="189"/>
    </row>
    <row r="112" spans="1:24">
      <c r="A112" s="189"/>
      <c r="B112" s="189"/>
      <c r="C112" s="189"/>
      <c r="D112" s="189"/>
      <c r="E112" s="189"/>
      <c r="F112" s="189"/>
      <c r="G112" s="189"/>
      <c r="H112" s="189"/>
      <c r="I112" s="189"/>
      <c r="J112" s="423"/>
      <c r="K112" s="189"/>
      <c r="M112" s="189"/>
      <c r="N112" s="189"/>
      <c r="R112" s="189"/>
      <c r="S112" s="189"/>
      <c r="T112" s="189"/>
      <c r="U112" s="189"/>
      <c r="V112" s="189"/>
      <c r="W112" s="189"/>
      <c r="X112" s="189"/>
    </row>
    <row r="113" spans="1:24">
      <c r="A113" s="189"/>
      <c r="B113" s="189"/>
      <c r="C113" s="189"/>
      <c r="D113" s="189"/>
      <c r="E113" s="189"/>
      <c r="F113" s="189"/>
      <c r="G113" s="189"/>
      <c r="H113" s="189"/>
      <c r="I113" s="189"/>
      <c r="J113" s="423"/>
      <c r="K113" s="189"/>
      <c r="M113" s="189"/>
      <c r="N113" s="189"/>
      <c r="R113" s="189"/>
      <c r="S113" s="189"/>
      <c r="T113" s="189"/>
      <c r="U113" s="189"/>
      <c r="V113" s="189"/>
      <c r="W113" s="189"/>
      <c r="X113" s="189"/>
    </row>
    <row r="114" spans="1:24">
      <c r="A114" s="189"/>
      <c r="B114" s="189"/>
      <c r="C114" s="189"/>
      <c r="D114" s="189"/>
      <c r="E114" s="189"/>
      <c r="F114" s="189"/>
      <c r="G114" s="189"/>
      <c r="H114" s="189"/>
      <c r="I114" s="189"/>
      <c r="J114" s="423"/>
      <c r="K114" s="189"/>
      <c r="M114" s="189"/>
      <c r="N114" s="189"/>
      <c r="R114" s="189"/>
      <c r="S114" s="189"/>
      <c r="T114" s="189"/>
      <c r="U114" s="189"/>
      <c r="V114" s="189"/>
      <c r="W114" s="189"/>
      <c r="X114" s="189"/>
    </row>
    <row r="115" spans="1:24">
      <c r="A115" s="189"/>
      <c r="B115" s="189"/>
      <c r="C115" s="189"/>
      <c r="D115" s="189"/>
      <c r="E115" s="189"/>
      <c r="F115" s="189"/>
      <c r="G115" s="189"/>
      <c r="H115" s="189"/>
      <c r="I115" s="189"/>
      <c r="J115" s="423"/>
      <c r="K115" s="189"/>
      <c r="M115" s="189"/>
      <c r="N115" s="189"/>
      <c r="R115" s="189"/>
      <c r="S115" s="189"/>
      <c r="T115" s="189"/>
      <c r="U115" s="189"/>
      <c r="V115" s="189"/>
      <c r="W115" s="189"/>
      <c r="X115" s="189"/>
    </row>
    <row r="116" spans="1:24">
      <c r="A116" s="189"/>
      <c r="B116" s="189"/>
      <c r="C116" s="189"/>
      <c r="D116" s="189"/>
      <c r="E116" s="189"/>
      <c r="F116" s="189"/>
      <c r="G116" s="189"/>
      <c r="H116" s="189"/>
      <c r="I116" s="189"/>
      <c r="J116" s="423"/>
      <c r="K116" s="189"/>
      <c r="M116" s="189"/>
      <c r="N116" s="189"/>
      <c r="R116" s="189"/>
      <c r="S116" s="189"/>
      <c r="T116" s="189"/>
      <c r="U116" s="189"/>
      <c r="V116" s="189"/>
      <c r="W116" s="189"/>
      <c r="X116" s="189"/>
    </row>
    <row r="117" spans="1:24">
      <c r="A117" s="189"/>
      <c r="B117" s="189"/>
      <c r="C117" s="189"/>
      <c r="D117" s="189"/>
      <c r="E117" s="189"/>
      <c r="F117" s="189"/>
      <c r="G117" s="189"/>
      <c r="H117" s="189"/>
      <c r="I117" s="189"/>
      <c r="J117" s="423"/>
      <c r="K117" s="189"/>
      <c r="M117" s="189"/>
      <c r="N117" s="189"/>
      <c r="R117" s="189"/>
      <c r="S117" s="189"/>
      <c r="T117" s="189"/>
      <c r="U117" s="189"/>
      <c r="V117" s="189"/>
      <c r="W117" s="189"/>
      <c r="X117" s="189"/>
    </row>
    <row r="118" spans="1:24">
      <c r="A118" s="189"/>
      <c r="B118" s="189"/>
      <c r="C118" s="189"/>
      <c r="D118" s="189"/>
      <c r="E118" s="189"/>
      <c r="F118" s="189"/>
      <c r="G118" s="189"/>
      <c r="H118" s="189"/>
      <c r="I118" s="189"/>
      <c r="J118" s="423"/>
      <c r="K118" s="189"/>
      <c r="M118" s="189"/>
      <c r="N118" s="189"/>
      <c r="R118" s="189"/>
      <c r="S118" s="189"/>
      <c r="T118" s="189"/>
      <c r="U118" s="189"/>
      <c r="V118" s="189"/>
      <c r="W118" s="189"/>
      <c r="X118" s="189"/>
    </row>
    <row r="119" spans="1:24">
      <c r="A119" s="189"/>
      <c r="B119" s="189"/>
      <c r="C119" s="189"/>
      <c r="D119" s="189"/>
      <c r="E119" s="189"/>
      <c r="F119" s="189"/>
      <c r="G119" s="189"/>
      <c r="H119" s="189"/>
      <c r="I119" s="189"/>
      <c r="J119" s="423"/>
      <c r="K119" s="189"/>
      <c r="M119" s="189"/>
      <c r="N119" s="189"/>
      <c r="R119" s="189"/>
      <c r="S119" s="189"/>
      <c r="T119" s="189"/>
      <c r="U119" s="189"/>
      <c r="V119" s="189"/>
      <c r="W119" s="189"/>
      <c r="X119" s="189"/>
    </row>
    <row r="120" spans="1:24">
      <c r="A120" s="189"/>
      <c r="B120" s="189"/>
      <c r="C120" s="189"/>
      <c r="D120" s="189"/>
      <c r="E120" s="189"/>
      <c r="F120" s="189"/>
      <c r="G120" s="189"/>
      <c r="H120" s="189"/>
      <c r="I120" s="189"/>
      <c r="J120" s="423"/>
      <c r="K120" s="189"/>
      <c r="M120" s="189"/>
      <c r="N120" s="189"/>
      <c r="R120" s="189"/>
      <c r="S120" s="189"/>
      <c r="T120" s="189"/>
      <c r="U120" s="189"/>
      <c r="V120" s="189"/>
      <c r="W120" s="189"/>
      <c r="X120" s="189"/>
    </row>
    <row r="121" spans="1:24">
      <c r="A121" s="189"/>
      <c r="B121" s="189"/>
      <c r="C121" s="189"/>
      <c r="D121" s="189"/>
      <c r="E121" s="189"/>
      <c r="F121" s="189"/>
      <c r="G121" s="189"/>
      <c r="H121" s="189"/>
      <c r="I121" s="189"/>
      <c r="J121" s="423"/>
      <c r="K121" s="189"/>
      <c r="M121" s="189"/>
      <c r="N121" s="189"/>
      <c r="R121" s="189"/>
      <c r="S121" s="189"/>
      <c r="T121" s="189"/>
      <c r="U121" s="189"/>
      <c r="V121" s="189"/>
      <c r="W121" s="189"/>
      <c r="X121" s="189"/>
    </row>
    <row r="122" spans="1:24">
      <c r="A122" s="189"/>
      <c r="B122" s="189"/>
      <c r="C122" s="189"/>
      <c r="D122" s="189"/>
      <c r="E122" s="189"/>
      <c r="F122" s="189"/>
      <c r="G122" s="189"/>
      <c r="H122" s="189"/>
      <c r="I122" s="189"/>
      <c r="J122" s="423"/>
      <c r="K122" s="189"/>
      <c r="M122" s="189"/>
      <c r="N122" s="189"/>
      <c r="R122" s="189"/>
      <c r="S122" s="189"/>
      <c r="T122" s="189"/>
      <c r="U122" s="189"/>
      <c r="V122" s="189"/>
      <c r="W122" s="189"/>
      <c r="X122" s="189"/>
    </row>
    <row r="123" spans="1:24">
      <c r="A123" s="189"/>
      <c r="B123" s="189"/>
      <c r="C123" s="189"/>
      <c r="D123" s="189"/>
      <c r="E123" s="189"/>
      <c r="F123" s="189"/>
      <c r="G123" s="189"/>
      <c r="H123" s="189"/>
      <c r="I123" s="189"/>
      <c r="J123" s="423"/>
      <c r="K123" s="189"/>
      <c r="M123" s="189"/>
      <c r="N123" s="189"/>
      <c r="R123" s="189"/>
      <c r="S123" s="189"/>
      <c r="T123" s="189"/>
      <c r="U123" s="189"/>
      <c r="V123" s="189"/>
      <c r="W123" s="189"/>
      <c r="X123" s="189"/>
    </row>
    <row r="124" spans="1:24">
      <c r="A124" s="189"/>
      <c r="B124" s="189"/>
      <c r="C124" s="189"/>
      <c r="D124" s="189"/>
      <c r="E124" s="189"/>
      <c r="F124" s="189"/>
      <c r="G124" s="189"/>
      <c r="H124" s="189"/>
      <c r="I124" s="189"/>
      <c r="J124" s="423"/>
      <c r="K124" s="189"/>
      <c r="M124" s="189"/>
      <c r="N124" s="189"/>
      <c r="R124" s="189"/>
      <c r="S124" s="189"/>
      <c r="T124" s="189"/>
      <c r="U124" s="189"/>
      <c r="V124" s="189"/>
      <c r="W124" s="189"/>
      <c r="X124" s="189"/>
    </row>
    <row r="125" spans="1:24">
      <c r="A125" s="189"/>
      <c r="B125" s="189"/>
      <c r="C125" s="189"/>
      <c r="D125" s="189"/>
      <c r="E125" s="189"/>
      <c r="F125" s="189"/>
      <c r="G125" s="189"/>
      <c r="H125" s="189"/>
      <c r="I125" s="189"/>
      <c r="J125" s="423"/>
      <c r="K125" s="189"/>
      <c r="M125" s="189"/>
      <c r="N125" s="189"/>
      <c r="R125" s="189"/>
      <c r="S125" s="189"/>
      <c r="T125" s="189"/>
      <c r="U125" s="189"/>
      <c r="V125" s="189"/>
      <c r="W125" s="189"/>
      <c r="X125" s="189"/>
    </row>
    <row r="126" spans="1:24">
      <c r="A126" s="189"/>
      <c r="B126" s="189"/>
      <c r="C126" s="189"/>
      <c r="D126" s="189"/>
      <c r="E126" s="189"/>
      <c r="F126" s="189"/>
      <c r="G126" s="189"/>
      <c r="H126" s="189"/>
      <c r="I126" s="189"/>
      <c r="J126" s="423"/>
      <c r="K126" s="189"/>
      <c r="M126" s="189"/>
      <c r="N126" s="189"/>
      <c r="R126" s="189"/>
      <c r="S126" s="189"/>
      <c r="T126" s="189"/>
      <c r="U126" s="189"/>
      <c r="V126" s="189"/>
      <c r="W126" s="189"/>
      <c r="X126" s="189"/>
    </row>
    <row r="127" spans="1:24">
      <c r="A127" s="189"/>
      <c r="B127" s="189"/>
      <c r="C127" s="189"/>
      <c r="D127" s="189"/>
      <c r="E127" s="189"/>
      <c r="F127" s="189"/>
      <c r="G127" s="189"/>
      <c r="H127" s="189"/>
      <c r="I127" s="189"/>
      <c r="J127" s="423"/>
      <c r="K127" s="189"/>
      <c r="M127" s="189"/>
      <c r="N127" s="189"/>
      <c r="R127" s="189"/>
      <c r="S127" s="189"/>
      <c r="T127" s="189"/>
      <c r="U127" s="189"/>
      <c r="V127" s="189"/>
      <c r="W127" s="189"/>
      <c r="X127" s="189"/>
    </row>
    <row r="128" spans="1:24">
      <c r="A128" s="189"/>
      <c r="B128" s="189"/>
      <c r="C128" s="189"/>
      <c r="D128" s="189"/>
      <c r="E128" s="189"/>
      <c r="F128" s="189"/>
      <c r="G128" s="189"/>
      <c r="H128" s="189"/>
      <c r="I128" s="189"/>
      <c r="J128" s="423"/>
      <c r="K128" s="189"/>
      <c r="M128" s="189"/>
      <c r="N128" s="189"/>
      <c r="R128" s="189"/>
      <c r="S128" s="189"/>
      <c r="T128" s="189"/>
      <c r="U128" s="189"/>
      <c r="V128" s="189"/>
      <c r="W128" s="189"/>
      <c r="X128" s="189"/>
    </row>
    <row r="129" spans="1:24">
      <c r="A129" s="189"/>
      <c r="B129" s="189"/>
      <c r="C129" s="189"/>
      <c r="D129" s="189"/>
      <c r="E129" s="189"/>
      <c r="F129" s="189"/>
      <c r="G129" s="189"/>
      <c r="H129" s="189"/>
      <c r="I129" s="189"/>
      <c r="J129" s="423"/>
      <c r="K129" s="189"/>
      <c r="M129" s="189"/>
      <c r="N129" s="189"/>
      <c r="R129" s="189"/>
      <c r="S129" s="189"/>
      <c r="T129" s="189"/>
      <c r="U129" s="189"/>
      <c r="V129" s="189"/>
      <c r="W129" s="189"/>
      <c r="X129" s="189"/>
    </row>
    <row r="130" spans="1:24">
      <c r="A130" s="189"/>
      <c r="B130" s="189"/>
      <c r="C130" s="189"/>
      <c r="D130" s="189"/>
      <c r="E130" s="189"/>
      <c r="F130" s="189"/>
      <c r="G130" s="189"/>
      <c r="H130" s="189"/>
      <c r="I130" s="189"/>
      <c r="J130" s="423"/>
      <c r="K130" s="189"/>
      <c r="M130" s="189"/>
      <c r="N130" s="189"/>
      <c r="R130" s="189"/>
      <c r="S130" s="189"/>
      <c r="T130" s="189"/>
      <c r="U130" s="189"/>
      <c r="V130" s="189"/>
      <c r="W130" s="189"/>
      <c r="X130" s="189"/>
    </row>
    <row r="131" spans="1:24">
      <c r="A131" s="189"/>
      <c r="B131" s="189"/>
      <c r="C131" s="189"/>
      <c r="D131" s="189"/>
      <c r="E131" s="189"/>
      <c r="F131" s="189"/>
      <c r="G131" s="189"/>
      <c r="H131" s="189"/>
      <c r="I131" s="189"/>
      <c r="J131" s="423"/>
      <c r="K131" s="189"/>
      <c r="M131" s="189"/>
      <c r="N131" s="189"/>
      <c r="R131" s="189"/>
      <c r="S131" s="189"/>
      <c r="T131" s="189"/>
      <c r="U131" s="189"/>
      <c r="V131" s="189"/>
      <c r="W131" s="189"/>
      <c r="X131" s="189"/>
    </row>
    <row r="132" spans="1:24">
      <c r="A132" s="189"/>
      <c r="B132" s="189"/>
      <c r="C132" s="189"/>
      <c r="D132" s="189"/>
      <c r="E132" s="189"/>
      <c r="F132" s="189"/>
      <c r="G132" s="189"/>
      <c r="H132" s="189"/>
      <c r="I132" s="189"/>
      <c r="J132" s="423"/>
      <c r="K132" s="189"/>
      <c r="M132" s="189"/>
      <c r="N132" s="189"/>
      <c r="R132" s="189"/>
      <c r="S132" s="189"/>
      <c r="T132" s="189"/>
      <c r="U132" s="189"/>
      <c r="V132" s="189"/>
      <c r="W132" s="189"/>
      <c r="X132" s="189"/>
    </row>
    <row r="133" spans="1:24">
      <c r="A133" s="189"/>
      <c r="B133" s="189"/>
      <c r="C133" s="189"/>
      <c r="D133" s="189"/>
      <c r="E133" s="189"/>
      <c r="F133" s="189"/>
      <c r="G133" s="189"/>
      <c r="H133" s="189"/>
      <c r="I133" s="189"/>
      <c r="J133" s="423"/>
      <c r="K133" s="189"/>
      <c r="M133" s="189"/>
      <c r="N133" s="189"/>
      <c r="R133" s="189"/>
      <c r="S133" s="189"/>
      <c r="T133" s="189"/>
      <c r="U133" s="189"/>
      <c r="V133" s="189"/>
      <c r="W133" s="189"/>
      <c r="X133" s="189"/>
    </row>
    <row r="134" spans="1:24">
      <c r="A134" s="189"/>
      <c r="B134" s="189"/>
      <c r="C134" s="189"/>
      <c r="D134" s="189"/>
      <c r="E134" s="189"/>
      <c r="F134" s="189"/>
      <c r="G134" s="189"/>
      <c r="H134" s="189"/>
      <c r="I134" s="189"/>
      <c r="J134" s="423"/>
      <c r="K134" s="189"/>
      <c r="M134" s="189"/>
      <c r="N134" s="189"/>
      <c r="R134" s="189"/>
      <c r="S134" s="189"/>
      <c r="T134" s="189"/>
      <c r="U134" s="189"/>
      <c r="V134" s="189"/>
      <c r="W134" s="189"/>
      <c r="X134" s="189"/>
    </row>
    <row r="135" spans="1:24">
      <c r="A135" s="189"/>
      <c r="B135" s="189"/>
      <c r="C135" s="189"/>
      <c r="D135" s="189"/>
      <c r="E135" s="189"/>
      <c r="F135" s="189"/>
      <c r="G135" s="189"/>
      <c r="H135" s="189"/>
      <c r="I135" s="189"/>
      <c r="J135" s="423"/>
      <c r="K135" s="189"/>
      <c r="M135" s="189"/>
      <c r="N135" s="189"/>
      <c r="R135" s="189"/>
      <c r="S135" s="189"/>
      <c r="T135" s="189"/>
      <c r="U135" s="189"/>
      <c r="V135" s="189"/>
      <c r="W135" s="189"/>
      <c r="X135" s="189"/>
    </row>
    <row r="136" spans="1:24">
      <c r="A136" s="189"/>
      <c r="B136" s="189"/>
      <c r="C136" s="189"/>
      <c r="D136" s="189"/>
      <c r="E136" s="189"/>
      <c r="F136" s="189"/>
      <c r="G136" s="189"/>
      <c r="H136" s="189"/>
      <c r="I136" s="189"/>
      <c r="J136" s="423"/>
      <c r="K136" s="189"/>
      <c r="M136" s="189"/>
      <c r="N136" s="189"/>
      <c r="R136" s="189"/>
      <c r="S136" s="189"/>
      <c r="T136" s="189"/>
      <c r="U136" s="189"/>
      <c r="V136" s="189"/>
      <c r="W136" s="189"/>
      <c r="X136" s="189"/>
    </row>
    <row r="137" spans="1:24">
      <c r="A137" s="189"/>
      <c r="B137" s="189"/>
      <c r="C137" s="189"/>
      <c r="D137" s="189"/>
      <c r="E137" s="189"/>
      <c r="F137" s="189"/>
      <c r="G137" s="189"/>
      <c r="H137" s="189"/>
      <c r="I137" s="189"/>
      <c r="J137" s="423"/>
      <c r="K137" s="189"/>
      <c r="M137" s="189"/>
      <c r="N137" s="189"/>
      <c r="R137" s="189"/>
      <c r="S137" s="189"/>
      <c r="T137" s="189"/>
      <c r="U137" s="189"/>
      <c r="V137" s="189"/>
      <c r="W137" s="189"/>
      <c r="X137" s="189"/>
    </row>
    <row r="138" spans="1:24">
      <c r="A138" s="189"/>
      <c r="B138" s="189"/>
      <c r="C138" s="189"/>
      <c r="D138" s="189"/>
      <c r="E138" s="189"/>
      <c r="F138" s="189"/>
      <c r="G138" s="189"/>
      <c r="H138" s="189"/>
      <c r="I138" s="189"/>
      <c r="J138" s="423"/>
      <c r="K138" s="189"/>
      <c r="M138" s="189"/>
      <c r="N138" s="189"/>
      <c r="R138" s="189"/>
      <c r="S138" s="189"/>
      <c r="T138" s="189"/>
      <c r="U138" s="189"/>
      <c r="V138" s="189"/>
      <c r="W138" s="189"/>
      <c r="X138" s="189"/>
    </row>
    <row r="139" spans="1:24">
      <c r="A139" s="189"/>
      <c r="B139" s="189"/>
      <c r="C139" s="189"/>
      <c r="D139" s="189"/>
      <c r="E139" s="189"/>
      <c r="F139" s="189"/>
      <c r="G139" s="189"/>
      <c r="H139" s="189"/>
      <c r="I139" s="189"/>
      <c r="J139" s="423"/>
      <c r="K139" s="189"/>
      <c r="M139" s="189"/>
      <c r="N139" s="189"/>
      <c r="R139" s="189"/>
      <c r="S139" s="189"/>
      <c r="T139" s="189"/>
      <c r="U139" s="189"/>
      <c r="V139" s="189"/>
      <c r="W139" s="189"/>
      <c r="X139" s="189"/>
    </row>
    <row r="140" spans="1:24">
      <c r="A140" s="189"/>
      <c r="B140" s="189"/>
      <c r="C140" s="189"/>
      <c r="D140" s="189"/>
      <c r="E140" s="189"/>
      <c r="F140" s="189"/>
      <c r="G140" s="189"/>
      <c r="H140" s="189"/>
      <c r="I140" s="189"/>
      <c r="J140" s="423"/>
      <c r="K140" s="189"/>
      <c r="M140" s="189"/>
      <c r="N140" s="189"/>
      <c r="R140" s="189"/>
      <c r="S140" s="189"/>
      <c r="T140" s="189"/>
      <c r="U140" s="189"/>
      <c r="V140" s="189"/>
      <c r="W140" s="189"/>
      <c r="X140" s="189"/>
    </row>
    <row r="141" spans="1:24">
      <c r="A141" s="189"/>
      <c r="B141" s="189"/>
      <c r="C141" s="189"/>
      <c r="D141" s="189"/>
      <c r="E141" s="189"/>
      <c r="F141" s="189"/>
      <c r="G141" s="189"/>
      <c r="H141" s="189"/>
      <c r="I141" s="189"/>
      <c r="J141" s="423"/>
      <c r="K141" s="189"/>
      <c r="M141" s="189"/>
      <c r="N141" s="189"/>
      <c r="R141" s="189"/>
      <c r="S141" s="189"/>
      <c r="T141" s="189"/>
      <c r="U141" s="189"/>
      <c r="V141" s="189"/>
      <c r="W141" s="189"/>
      <c r="X141" s="189"/>
    </row>
    <row r="142" spans="1:24">
      <c r="A142" s="189"/>
      <c r="B142" s="189"/>
      <c r="C142" s="189"/>
      <c r="D142" s="189"/>
      <c r="E142" s="189"/>
      <c r="F142" s="189"/>
      <c r="G142" s="189"/>
      <c r="H142" s="189"/>
      <c r="I142" s="189"/>
      <c r="J142" s="423"/>
      <c r="K142" s="189"/>
      <c r="M142" s="189"/>
      <c r="N142" s="189"/>
      <c r="R142" s="189"/>
      <c r="S142" s="189"/>
      <c r="T142" s="189"/>
      <c r="U142" s="189"/>
      <c r="V142" s="189"/>
      <c r="W142" s="189"/>
      <c r="X142" s="189"/>
    </row>
    <row r="143" spans="1:24">
      <c r="A143" s="189"/>
      <c r="B143" s="189"/>
      <c r="C143" s="189"/>
      <c r="D143" s="189"/>
      <c r="E143" s="189"/>
      <c r="F143" s="189"/>
      <c r="G143" s="189"/>
      <c r="H143" s="189"/>
      <c r="I143" s="189"/>
      <c r="J143" s="423"/>
      <c r="K143" s="189"/>
      <c r="M143" s="189"/>
      <c r="N143" s="189"/>
      <c r="R143" s="189"/>
      <c r="S143" s="189"/>
      <c r="T143" s="189"/>
      <c r="U143" s="189"/>
      <c r="V143" s="189"/>
      <c r="W143" s="189"/>
      <c r="X143" s="189"/>
    </row>
    <row r="144" spans="1:24">
      <c r="A144" s="189"/>
      <c r="B144" s="189"/>
      <c r="C144" s="189"/>
      <c r="D144" s="189"/>
      <c r="E144" s="189"/>
      <c r="F144" s="189"/>
      <c r="G144" s="189"/>
      <c r="H144" s="189"/>
      <c r="I144" s="189"/>
      <c r="J144" s="423"/>
      <c r="K144" s="189"/>
      <c r="M144" s="189"/>
      <c r="N144" s="189"/>
      <c r="R144" s="189"/>
      <c r="S144" s="189"/>
      <c r="T144" s="189"/>
      <c r="U144" s="189"/>
      <c r="V144" s="189"/>
      <c r="W144" s="189"/>
      <c r="X144" s="189"/>
    </row>
    <row r="145" spans="1:24">
      <c r="A145" s="189"/>
      <c r="B145" s="189"/>
      <c r="C145" s="189"/>
      <c r="D145" s="189"/>
      <c r="E145" s="189"/>
      <c r="F145" s="189"/>
      <c r="G145" s="189"/>
      <c r="H145" s="189"/>
      <c r="I145" s="189"/>
      <c r="J145" s="423"/>
      <c r="K145" s="189"/>
      <c r="M145" s="189"/>
      <c r="N145" s="189"/>
      <c r="R145" s="189"/>
      <c r="S145" s="189"/>
      <c r="T145" s="189"/>
      <c r="U145" s="189"/>
      <c r="V145" s="189"/>
      <c r="W145" s="189"/>
      <c r="X145" s="189"/>
    </row>
    <row r="146" spans="1:24">
      <c r="A146" s="189"/>
      <c r="B146" s="189"/>
      <c r="C146" s="189"/>
      <c r="D146" s="189"/>
      <c r="E146" s="189"/>
      <c r="F146" s="189"/>
      <c r="G146" s="189"/>
      <c r="H146" s="189"/>
      <c r="I146" s="189"/>
      <c r="J146" s="423"/>
      <c r="K146" s="189"/>
      <c r="M146" s="189"/>
      <c r="N146" s="189"/>
      <c r="R146" s="189"/>
      <c r="S146" s="189"/>
      <c r="T146" s="189"/>
      <c r="U146" s="189"/>
      <c r="V146" s="189"/>
      <c r="W146" s="189"/>
      <c r="X146" s="189"/>
    </row>
    <row r="147" spans="1:24">
      <c r="A147" s="189"/>
      <c r="B147" s="189"/>
      <c r="C147" s="189"/>
      <c r="D147" s="189"/>
      <c r="E147" s="189"/>
      <c r="F147" s="189"/>
      <c r="G147" s="189"/>
      <c r="H147" s="189"/>
      <c r="I147" s="189"/>
      <c r="J147" s="423"/>
      <c r="K147" s="189"/>
      <c r="M147" s="189"/>
      <c r="N147" s="189"/>
      <c r="R147" s="189"/>
      <c r="S147" s="189"/>
      <c r="T147" s="189"/>
      <c r="U147" s="189"/>
      <c r="V147" s="189"/>
      <c r="W147" s="189"/>
      <c r="X147" s="189"/>
    </row>
    <row r="148" spans="1:24">
      <c r="A148" s="189"/>
      <c r="B148" s="189"/>
      <c r="C148" s="189"/>
      <c r="D148" s="189"/>
      <c r="E148" s="189"/>
      <c r="F148" s="189"/>
      <c r="G148" s="189"/>
      <c r="H148" s="189"/>
      <c r="I148" s="189"/>
      <c r="J148" s="423"/>
      <c r="K148" s="189"/>
      <c r="M148" s="189"/>
      <c r="N148" s="189"/>
      <c r="R148" s="189"/>
      <c r="S148" s="189"/>
      <c r="T148" s="189"/>
      <c r="U148" s="189"/>
      <c r="V148" s="189"/>
      <c r="W148" s="189"/>
      <c r="X148" s="189"/>
    </row>
    <row r="149" spans="1:24">
      <c r="A149" s="189"/>
      <c r="B149" s="189"/>
      <c r="C149" s="189"/>
      <c r="D149" s="189"/>
      <c r="E149" s="189"/>
      <c r="F149" s="189"/>
      <c r="G149" s="189"/>
      <c r="H149" s="189"/>
      <c r="I149" s="189"/>
      <c r="J149" s="423"/>
      <c r="K149" s="189"/>
      <c r="M149" s="189"/>
      <c r="N149" s="189"/>
      <c r="R149" s="189"/>
      <c r="S149" s="189"/>
      <c r="T149" s="189"/>
      <c r="U149" s="189"/>
      <c r="V149" s="189"/>
      <c r="W149" s="189"/>
      <c r="X149" s="189"/>
    </row>
    <row r="150" spans="1:24">
      <c r="A150" s="189"/>
      <c r="B150" s="189"/>
      <c r="C150" s="189"/>
      <c r="D150" s="189"/>
      <c r="E150" s="189"/>
      <c r="F150" s="189"/>
      <c r="G150" s="189"/>
      <c r="H150" s="189"/>
      <c r="I150" s="189"/>
      <c r="J150" s="423"/>
      <c r="K150" s="189"/>
      <c r="M150" s="189"/>
      <c r="N150" s="189"/>
      <c r="R150" s="189"/>
      <c r="S150" s="189"/>
      <c r="T150" s="189"/>
      <c r="U150" s="189"/>
      <c r="V150" s="189"/>
      <c r="W150" s="189"/>
      <c r="X150" s="189"/>
    </row>
    <row r="151" spans="1:24">
      <c r="A151" s="189"/>
      <c r="B151" s="189"/>
      <c r="C151" s="189"/>
      <c r="D151" s="189"/>
      <c r="E151" s="189"/>
      <c r="F151" s="189"/>
      <c r="G151" s="189"/>
      <c r="H151" s="189"/>
      <c r="I151" s="189"/>
      <c r="J151" s="423"/>
      <c r="K151" s="189"/>
      <c r="M151" s="189"/>
      <c r="N151" s="189"/>
      <c r="R151" s="189"/>
      <c r="S151" s="189"/>
      <c r="T151" s="189"/>
      <c r="U151" s="189"/>
      <c r="V151" s="189"/>
      <c r="W151" s="189"/>
      <c r="X151" s="189"/>
    </row>
    <row r="152" spans="1:24">
      <c r="A152" s="189"/>
      <c r="B152" s="189"/>
      <c r="C152" s="189"/>
      <c r="D152" s="189"/>
      <c r="E152" s="189"/>
      <c r="F152" s="189"/>
      <c r="G152" s="189"/>
      <c r="H152" s="189"/>
      <c r="I152" s="189"/>
      <c r="J152" s="423"/>
      <c r="K152" s="189"/>
      <c r="M152" s="189"/>
      <c r="N152" s="189"/>
      <c r="R152" s="189"/>
      <c r="S152" s="189"/>
      <c r="T152" s="189"/>
      <c r="U152" s="189"/>
      <c r="V152" s="189"/>
      <c r="W152" s="189"/>
      <c r="X152" s="189"/>
    </row>
    <row r="153" spans="1:24">
      <c r="A153" s="189"/>
      <c r="B153" s="189"/>
      <c r="C153" s="189"/>
      <c r="D153" s="189"/>
      <c r="E153" s="189"/>
      <c r="F153" s="189"/>
      <c r="G153" s="189"/>
      <c r="H153" s="189"/>
      <c r="I153" s="189"/>
      <c r="J153" s="423"/>
      <c r="K153" s="189"/>
      <c r="M153" s="189"/>
      <c r="N153" s="189"/>
      <c r="R153" s="189"/>
      <c r="S153" s="189"/>
      <c r="T153" s="189"/>
      <c r="U153" s="189"/>
      <c r="V153" s="189"/>
      <c r="W153" s="189"/>
      <c r="X153" s="189"/>
    </row>
    <row r="154" spans="1:24">
      <c r="A154" s="189"/>
      <c r="B154" s="189"/>
      <c r="C154" s="189"/>
      <c r="D154" s="189"/>
      <c r="E154" s="189"/>
      <c r="F154" s="189"/>
      <c r="G154" s="189"/>
      <c r="H154" s="189"/>
      <c r="I154" s="189"/>
      <c r="J154" s="423"/>
      <c r="K154" s="189"/>
      <c r="M154" s="189"/>
      <c r="N154" s="189"/>
      <c r="R154" s="189"/>
      <c r="S154" s="189"/>
      <c r="T154" s="189"/>
      <c r="U154" s="189"/>
      <c r="V154" s="189"/>
      <c r="W154" s="189"/>
      <c r="X154" s="189"/>
    </row>
    <row r="155" spans="1:24">
      <c r="A155" s="189"/>
      <c r="B155" s="189"/>
      <c r="C155" s="189"/>
      <c r="D155" s="189"/>
      <c r="E155" s="189"/>
      <c r="F155" s="189"/>
      <c r="G155" s="189"/>
      <c r="H155" s="189"/>
      <c r="I155" s="189"/>
      <c r="J155" s="423"/>
      <c r="K155" s="189"/>
      <c r="M155" s="189"/>
      <c r="N155" s="189"/>
      <c r="R155" s="189"/>
      <c r="S155" s="189"/>
      <c r="T155" s="189"/>
      <c r="U155" s="189"/>
      <c r="V155" s="189"/>
      <c r="W155" s="189"/>
      <c r="X155" s="189"/>
    </row>
    <row r="156" spans="1:24">
      <c r="A156" s="189"/>
      <c r="B156" s="189"/>
      <c r="C156" s="189"/>
      <c r="D156" s="189"/>
      <c r="E156" s="189"/>
      <c r="F156" s="189"/>
      <c r="G156" s="189"/>
      <c r="H156" s="189"/>
      <c r="I156" s="189"/>
      <c r="J156" s="423"/>
      <c r="K156" s="189"/>
      <c r="M156" s="189"/>
      <c r="N156" s="189"/>
      <c r="R156" s="189"/>
      <c r="S156" s="189"/>
      <c r="T156" s="189"/>
      <c r="U156" s="189"/>
      <c r="V156" s="189"/>
      <c r="W156" s="189"/>
      <c r="X156" s="189"/>
    </row>
    <row r="157" spans="1:24">
      <c r="A157" s="189"/>
      <c r="B157" s="189"/>
      <c r="C157" s="189"/>
      <c r="D157" s="189"/>
      <c r="E157" s="189"/>
      <c r="F157" s="189"/>
      <c r="G157" s="189"/>
      <c r="H157" s="189"/>
      <c r="I157" s="189"/>
      <c r="J157" s="423"/>
      <c r="K157" s="189"/>
      <c r="M157" s="189"/>
      <c r="N157" s="189"/>
      <c r="R157" s="189"/>
      <c r="S157" s="189"/>
      <c r="T157" s="189"/>
      <c r="U157" s="189"/>
      <c r="V157" s="189"/>
      <c r="W157" s="189"/>
      <c r="X157" s="189"/>
    </row>
    <row r="158" spans="1:24">
      <c r="A158" s="189"/>
      <c r="B158" s="189"/>
      <c r="C158" s="189"/>
      <c r="D158" s="189"/>
      <c r="E158" s="189"/>
      <c r="F158" s="189"/>
      <c r="G158" s="189"/>
      <c r="H158" s="189"/>
      <c r="I158" s="189"/>
      <c r="J158" s="423"/>
      <c r="K158" s="189"/>
      <c r="M158" s="189"/>
      <c r="N158" s="189"/>
      <c r="R158" s="189"/>
      <c r="S158" s="189"/>
      <c r="T158" s="189"/>
      <c r="U158" s="189"/>
      <c r="V158" s="189"/>
      <c r="W158" s="189"/>
      <c r="X158" s="189"/>
    </row>
    <row r="159" spans="1:24">
      <c r="A159" s="189"/>
      <c r="B159" s="189"/>
      <c r="C159" s="189"/>
      <c r="D159" s="189"/>
      <c r="E159" s="189"/>
      <c r="F159" s="189"/>
      <c r="G159" s="189"/>
      <c r="H159" s="189"/>
      <c r="I159" s="189"/>
      <c r="J159" s="423"/>
      <c r="K159" s="189"/>
      <c r="M159" s="189"/>
      <c r="N159" s="189"/>
      <c r="R159" s="189"/>
      <c r="S159" s="189"/>
      <c r="T159" s="189"/>
      <c r="U159" s="189"/>
      <c r="V159" s="189"/>
      <c r="W159" s="189"/>
      <c r="X159" s="189"/>
    </row>
    <row r="160" spans="1:24">
      <c r="A160" s="189"/>
      <c r="B160" s="189"/>
      <c r="C160" s="189"/>
      <c r="D160" s="189"/>
      <c r="E160" s="189"/>
      <c r="F160" s="189"/>
      <c r="G160" s="189"/>
      <c r="H160" s="189"/>
      <c r="I160" s="189"/>
      <c r="J160" s="423"/>
      <c r="K160" s="189"/>
      <c r="M160" s="189"/>
      <c r="N160" s="189"/>
      <c r="R160" s="189"/>
      <c r="S160" s="189"/>
      <c r="T160" s="189"/>
      <c r="U160" s="189"/>
      <c r="V160" s="189"/>
      <c r="W160" s="189"/>
      <c r="X160" s="189"/>
    </row>
    <row r="161" spans="1:24">
      <c r="A161" s="189"/>
      <c r="B161" s="189"/>
      <c r="C161" s="189"/>
      <c r="D161" s="189"/>
      <c r="E161" s="189"/>
      <c r="F161" s="189"/>
      <c r="G161" s="189"/>
      <c r="H161" s="189"/>
      <c r="I161" s="189"/>
      <c r="J161" s="423"/>
      <c r="K161" s="189"/>
      <c r="M161" s="189"/>
      <c r="N161" s="189"/>
      <c r="R161" s="189"/>
      <c r="S161" s="189"/>
      <c r="T161" s="189"/>
      <c r="U161" s="189"/>
      <c r="V161" s="189"/>
      <c r="W161" s="189"/>
      <c r="X161" s="189"/>
    </row>
    <row r="162" spans="1:24">
      <c r="A162" s="189"/>
      <c r="B162" s="189"/>
      <c r="C162" s="189"/>
      <c r="D162" s="189"/>
      <c r="E162" s="189"/>
      <c r="F162" s="189"/>
      <c r="G162" s="189"/>
      <c r="H162" s="189"/>
      <c r="I162" s="189"/>
      <c r="J162" s="423"/>
      <c r="K162" s="189"/>
      <c r="M162" s="189"/>
      <c r="N162" s="189"/>
      <c r="R162" s="189"/>
      <c r="S162" s="189"/>
      <c r="T162" s="189"/>
      <c r="U162" s="189"/>
      <c r="V162" s="189"/>
      <c r="W162" s="189"/>
      <c r="X162" s="189"/>
    </row>
    <row r="163" spans="1:24">
      <c r="A163" s="189"/>
      <c r="B163" s="189"/>
      <c r="C163" s="189"/>
      <c r="D163" s="189"/>
      <c r="E163" s="189"/>
      <c r="F163" s="189"/>
      <c r="G163" s="189"/>
      <c r="H163" s="189"/>
      <c r="I163" s="189"/>
      <c r="J163" s="423"/>
      <c r="K163" s="189"/>
      <c r="M163" s="189"/>
      <c r="N163" s="189"/>
      <c r="R163" s="189"/>
      <c r="S163" s="189"/>
      <c r="T163" s="189"/>
      <c r="U163" s="189"/>
      <c r="V163" s="189"/>
      <c r="W163" s="189"/>
      <c r="X163" s="189"/>
    </row>
    <row r="164" spans="1:24">
      <c r="A164" s="189"/>
      <c r="B164" s="189"/>
      <c r="C164" s="189"/>
      <c r="D164" s="189"/>
      <c r="E164" s="189"/>
      <c r="F164" s="189"/>
      <c r="G164" s="189"/>
      <c r="H164" s="189"/>
      <c r="I164" s="189"/>
      <c r="J164" s="423"/>
      <c r="K164" s="189"/>
      <c r="M164" s="189"/>
      <c r="N164" s="189"/>
      <c r="R164" s="189"/>
      <c r="S164" s="189"/>
      <c r="T164" s="189"/>
      <c r="U164" s="189"/>
      <c r="V164" s="189"/>
      <c r="W164" s="189"/>
      <c r="X164" s="189"/>
    </row>
    <row r="165" spans="1:24">
      <c r="A165" s="189"/>
      <c r="B165" s="189"/>
      <c r="C165" s="189"/>
      <c r="D165" s="189"/>
      <c r="E165" s="189"/>
      <c r="F165" s="189"/>
      <c r="G165" s="189"/>
      <c r="H165" s="189"/>
      <c r="I165" s="189"/>
      <c r="J165" s="423"/>
      <c r="K165" s="189"/>
      <c r="M165" s="189"/>
      <c r="N165" s="189"/>
      <c r="R165" s="189"/>
      <c r="S165" s="189"/>
      <c r="T165" s="189"/>
      <c r="U165" s="189"/>
      <c r="V165" s="189"/>
      <c r="W165" s="189"/>
      <c r="X165" s="189"/>
    </row>
    <row r="166" spans="1:24">
      <c r="A166" s="189"/>
      <c r="B166" s="189"/>
      <c r="C166" s="189"/>
      <c r="D166" s="189"/>
      <c r="E166" s="189"/>
      <c r="F166" s="189"/>
      <c r="G166" s="189"/>
      <c r="H166" s="189"/>
      <c r="I166" s="189"/>
      <c r="J166" s="423"/>
      <c r="K166" s="189"/>
      <c r="M166" s="189"/>
      <c r="N166" s="189"/>
      <c r="R166" s="189"/>
      <c r="S166" s="189"/>
      <c r="T166" s="189"/>
      <c r="U166" s="189"/>
      <c r="V166" s="189"/>
      <c r="W166" s="189"/>
      <c r="X166" s="189"/>
    </row>
    <row r="167" spans="1:24">
      <c r="A167" s="189"/>
      <c r="B167" s="189"/>
      <c r="C167" s="189"/>
      <c r="D167" s="189"/>
      <c r="E167" s="189"/>
      <c r="F167" s="189"/>
      <c r="G167" s="189"/>
      <c r="H167" s="189"/>
      <c r="I167" s="189"/>
      <c r="J167" s="423"/>
      <c r="K167" s="189"/>
      <c r="M167" s="189"/>
      <c r="N167" s="189"/>
      <c r="R167" s="189"/>
      <c r="S167" s="189"/>
      <c r="T167" s="189"/>
      <c r="U167" s="189"/>
      <c r="V167" s="189"/>
      <c r="W167" s="189"/>
      <c r="X167" s="189"/>
    </row>
    <row r="168" spans="1:24">
      <c r="A168" s="189"/>
      <c r="B168" s="189"/>
      <c r="C168" s="189"/>
      <c r="D168" s="189"/>
      <c r="E168" s="189"/>
      <c r="F168" s="189"/>
      <c r="G168" s="189"/>
      <c r="H168" s="189"/>
      <c r="I168" s="189"/>
      <c r="J168" s="423"/>
      <c r="K168" s="189"/>
      <c r="M168" s="189"/>
      <c r="N168" s="189"/>
      <c r="R168" s="189"/>
      <c r="S168" s="189"/>
      <c r="T168" s="189"/>
      <c r="U168" s="189"/>
      <c r="V168" s="189"/>
      <c r="W168" s="189"/>
      <c r="X168" s="189"/>
    </row>
    <row r="169" spans="1:24">
      <c r="A169" s="189"/>
      <c r="B169" s="189"/>
      <c r="C169" s="189"/>
      <c r="D169" s="189"/>
      <c r="E169" s="189"/>
      <c r="F169" s="189"/>
      <c r="G169" s="189"/>
      <c r="H169" s="189"/>
      <c r="I169" s="189"/>
      <c r="J169" s="423"/>
      <c r="K169" s="189"/>
      <c r="M169" s="189"/>
      <c r="N169" s="189"/>
      <c r="R169" s="189"/>
      <c r="S169" s="189"/>
      <c r="T169" s="189"/>
      <c r="U169" s="189"/>
      <c r="V169" s="189"/>
      <c r="W169" s="189"/>
      <c r="X169" s="189"/>
    </row>
    <row r="170" spans="1:24">
      <c r="A170" s="189"/>
      <c r="B170" s="189"/>
      <c r="C170" s="189"/>
      <c r="D170" s="189"/>
      <c r="E170" s="189"/>
      <c r="F170" s="189"/>
      <c r="G170" s="189"/>
      <c r="H170" s="189"/>
      <c r="I170" s="189"/>
      <c r="J170" s="423"/>
      <c r="K170" s="189"/>
      <c r="M170" s="189"/>
      <c r="N170" s="189"/>
      <c r="R170" s="189"/>
      <c r="S170" s="189"/>
      <c r="T170" s="189"/>
      <c r="U170" s="189"/>
      <c r="V170" s="189"/>
      <c r="W170" s="189"/>
      <c r="X170" s="189"/>
    </row>
    <row r="171" spans="1:24">
      <c r="A171" s="189"/>
      <c r="B171" s="189"/>
      <c r="C171" s="189"/>
      <c r="D171" s="189"/>
      <c r="E171" s="189"/>
      <c r="F171" s="189"/>
      <c r="G171" s="189"/>
      <c r="H171" s="189"/>
      <c r="I171" s="189"/>
      <c r="J171" s="423"/>
      <c r="K171" s="189"/>
      <c r="M171" s="189"/>
      <c r="N171" s="189"/>
      <c r="R171" s="189"/>
      <c r="S171" s="189"/>
      <c r="T171" s="189"/>
      <c r="U171" s="189"/>
      <c r="V171" s="189"/>
      <c r="W171" s="189"/>
      <c r="X171" s="189"/>
    </row>
    <row r="172" spans="1:24">
      <c r="A172" s="189"/>
      <c r="B172" s="189"/>
      <c r="C172" s="189"/>
      <c r="D172" s="189"/>
      <c r="E172" s="189"/>
      <c r="F172" s="189"/>
      <c r="G172" s="189"/>
      <c r="H172" s="189"/>
      <c r="I172" s="189"/>
      <c r="J172" s="423"/>
      <c r="K172" s="189"/>
      <c r="M172" s="189"/>
      <c r="N172" s="189"/>
      <c r="R172" s="189"/>
      <c r="S172" s="189"/>
      <c r="T172" s="189"/>
      <c r="U172" s="189"/>
      <c r="V172" s="189"/>
      <c r="W172" s="189"/>
      <c r="X172" s="189"/>
    </row>
    <row r="173" spans="1:24">
      <c r="A173" s="189"/>
      <c r="B173" s="189"/>
      <c r="C173" s="189"/>
      <c r="D173" s="189"/>
      <c r="E173" s="189"/>
      <c r="F173" s="189"/>
      <c r="G173" s="189"/>
      <c r="H173" s="189"/>
      <c r="I173" s="189"/>
      <c r="J173" s="423"/>
      <c r="K173" s="189"/>
      <c r="M173" s="189"/>
      <c r="N173" s="189"/>
      <c r="R173" s="189"/>
      <c r="S173" s="189"/>
      <c r="T173" s="189"/>
      <c r="U173" s="189"/>
      <c r="V173" s="189"/>
      <c r="W173" s="189"/>
      <c r="X173" s="189"/>
    </row>
    <row r="174" spans="1:24">
      <c r="A174" s="189"/>
      <c r="B174" s="189"/>
      <c r="C174" s="189"/>
      <c r="D174" s="189"/>
      <c r="E174" s="189"/>
      <c r="F174" s="189"/>
      <c r="G174" s="189"/>
      <c r="H174" s="189"/>
      <c r="I174" s="189"/>
      <c r="J174" s="423"/>
      <c r="K174" s="189"/>
      <c r="M174" s="189"/>
      <c r="N174" s="189"/>
      <c r="R174" s="189"/>
      <c r="S174" s="189"/>
      <c r="T174" s="189"/>
      <c r="U174" s="189"/>
      <c r="V174" s="189"/>
      <c r="W174" s="189"/>
      <c r="X174" s="189"/>
    </row>
    <row r="175" spans="1:24">
      <c r="A175" s="189"/>
      <c r="B175" s="189"/>
      <c r="C175" s="189"/>
      <c r="D175" s="189"/>
      <c r="E175" s="189"/>
      <c r="F175" s="189"/>
      <c r="G175" s="189"/>
      <c r="H175" s="189"/>
      <c r="I175" s="189"/>
      <c r="J175" s="423"/>
      <c r="K175" s="189"/>
      <c r="M175" s="189"/>
      <c r="N175" s="189"/>
      <c r="R175" s="189"/>
      <c r="S175" s="189"/>
      <c r="T175" s="189"/>
      <c r="U175" s="189"/>
      <c r="V175" s="189"/>
      <c r="W175" s="189"/>
      <c r="X175" s="189"/>
    </row>
    <row r="176" spans="1:24">
      <c r="A176" s="189"/>
      <c r="B176" s="189"/>
      <c r="C176" s="189"/>
      <c r="D176" s="189"/>
      <c r="E176" s="189"/>
      <c r="F176" s="189"/>
      <c r="G176" s="189"/>
      <c r="H176" s="189"/>
      <c r="I176" s="189"/>
      <c r="J176" s="423"/>
      <c r="K176" s="189"/>
      <c r="M176" s="189"/>
      <c r="N176" s="189"/>
      <c r="R176" s="189"/>
      <c r="S176" s="189"/>
      <c r="T176" s="189"/>
      <c r="U176" s="189"/>
      <c r="V176" s="189"/>
      <c r="W176" s="189"/>
      <c r="X176" s="189"/>
    </row>
    <row r="177" spans="1:24">
      <c r="A177" s="189"/>
      <c r="B177" s="189"/>
      <c r="C177" s="189"/>
      <c r="D177" s="189"/>
      <c r="E177" s="189"/>
      <c r="F177" s="189"/>
      <c r="G177" s="189"/>
      <c r="H177" s="189"/>
      <c r="I177" s="189"/>
      <c r="J177" s="423"/>
      <c r="K177" s="189"/>
      <c r="M177" s="189"/>
      <c r="N177" s="189"/>
      <c r="R177" s="189"/>
      <c r="S177" s="189"/>
      <c r="T177" s="189"/>
      <c r="U177" s="189"/>
      <c r="V177" s="189"/>
      <c r="W177" s="189"/>
      <c r="X177" s="189"/>
    </row>
    <row r="178" spans="1:24">
      <c r="A178" s="189"/>
      <c r="B178" s="189"/>
      <c r="C178" s="189"/>
      <c r="D178" s="189"/>
      <c r="E178" s="189"/>
      <c r="F178" s="189"/>
      <c r="G178" s="189"/>
      <c r="H178" s="189"/>
      <c r="I178" s="189"/>
      <c r="J178" s="423"/>
      <c r="K178" s="189"/>
      <c r="M178" s="189"/>
      <c r="N178" s="189"/>
      <c r="R178" s="189"/>
      <c r="S178" s="189"/>
      <c r="T178" s="189"/>
      <c r="U178" s="189"/>
      <c r="V178" s="189"/>
      <c r="W178" s="189"/>
      <c r="X178" s="189"/>
    </row>
    <row r="179" spans="1:24">
      <c r="A179" s="189"/>
      <c r="B179" s="189"/>
      <c r="C179" s="189"/>
      <c r="D179" s="189"/>
      <c r="E179" s="189"/>
      <c r="F179" s="189"/>
      <c r="G179" s="189"/>
      <c r="H179" s="189"/>
      <c r="I179" s="189"/>
      <c r="J179" s="423"/>
      <c r="K179" s="189"/>
      <c r="M179" s="189"/>
      <c r="N179" s="189"/>
      <c r="R179" s="189"/>
      <c r="S179" s="189"/>
      <c r="T179" s="189"/>
      <c r="U179" s="189"/>
      <c r="V179" s="189"/>
      <c r="W179" s="189"/>
      <c r="X179" s="189"/>
    </row>
    <row r="180" spans="1:24">
      <c r="A180" s="189"/>
      <c r="B180" s="189"/>
      <c r="C180" s="189"/>
      <c r="D180" s="189"/>
      <c r="E180" s="189"/>
      <c r="F180" s="189"/>
      <c r="G180" s="189"/>
      <c r="H180" s="189"/>
      <c r="I180" s="189"/>
      <c r="J180" s="423"/>
      <c r="K180" s="189"/>
      <c r="M180" s="189"/>
      <c r="N180" s="189"/>
      <c r="R180" s="189"/>
      <c r="S180" s="189"/>
      <c r="T180" s="189"/>
      <c r="U180" s="189"/>
      <c r="V180" s="189"/>
      <c r="W180" s="189"/>
      <c r="X180" s="189"/>
    </row>
    <row r="181" spans="1:24">
      <c r="A181" s="189"/>
      <c r="B181" s="189"/>
      <c r="C181" s="189"/>
      <c r="D181" s="189"/>
      <c r="E181" s="189"/>
      <c r="F181" s="189"/>
      <c r="G181" s="189"/>
      <c r="H181" s="189"/>
      <c r="I181" s="189"/>
      <c r="J181" s="423"/>
      <c r="K181" s="189"/>
      <c r="M181" s="189"/>
      <c r="N181" s="189"/>
      <c r="R181" s="189"/>
      <c r="S181" s="189"/>
      <c r="T181" s="189"/>
      <c r="U181" s="189"/>
      <c r="V181" s="189"/>
      <c r="W181" s="189"/>
      <c r="X181" s="189"/>
    </row>
    <row r="182" spans="1:24">
      <c r="A182" s="189"/>
      <c r="B182" s="189"/>
      <c r="C182" s="189"/>
      <c r="D182" s="189"/>
      <c r="E182" s="189"/>
      <c r="F182" s="189"/>
      <c r="G182" s="189"/>
      <c r="H182" s="189"/>
      <c r="I182" s="189"/>
      <c r="J182" s="423"/>
      <c r="K182" s="189"/>
      <c r="M182" s="189"/>
      <c r="N182" s="189"/>
      <c r="R182" s="189"/>
      <c r="S182" s="189"/>
      <c r="T182" s="189"/>
      <c r="U182" s="189"/>
      <c r="V182" s="189"/>
      <c r="W182" s="189"/>
      <c r="X182" s="189"/>
    </row>
    <row r="183" spans="1:24">
      <c r="A183" s="189"/>
      <c r="B183" s="189"/>
      <c r="C183" s="189"/>
      <c r="D183" s="189"/>
      <c r="E183" s="189"/>
      <c r="F183" s="189"/>
      <c r="G183" s="189"/>
      <c r="H183" s="189"/>
      <c r="I183" s="189"/>
      <c r="J183" s="423"/>
      <c r="K183" s="189"/>
      <c r="M183" s="189"/>
      <c r="N183" s="189"/>
      <c r="R183" s="189"/>
      <c r="S183" s="189"/>
      <c r="T183" s="189"/>
      <c r="U183" s="189"/>
      <c r="V183" s="189"/>
      <c r="W183" s="189"/>
      <c r="X183" s="189"/>
    </row>
    <row r="184" spans="1:24">
      <c r="A184" s="189"/>
      <c r="B184" s="189"/>
      <c r="C184" s="189"/>
      <c r="D184" s="189"/>
      <c r="E184" s="189"/>
      <c r="F184" s="189"/>
      <c r="G184" s="189"/>
      <c r="H184" s="189"/>
      <c r="I184" s="189"/>
      <c r="J184" s="423"/>
      <c r="K184" s="189"/>
      <c r="M184" s="189"/>
      <c r="N184" s="189"/>
      <c r="R184" s="189"/>
      <c r="S184" s="189"/>
      <c r="T184" s="189"/>
      <c r="U184" s="189"/>
      <c r="V184" s="189"/>
      <c r="W184" s="189"/>
      <c r="X184" s="189"/>
    </row>
    <row r="185" spans="1:24">
      <c r="A185" s="189"/>
      <c r="B185" s="189"/>
      <c r="C185" s="189"/>
      <c r="D185" s="189"/>
      <c r="E185" s="189"/>
      <c r="F185" s="189"/>
      <c r="G185" s="189"/>
      <c r="H185" s="189"/>
      <c r="I185" s="189"/>
      <c r="J185" s="423"/>
      <c r="K185" s="189"/>
      <c r="M185" s="189"/>
      <c r="N185" s="189"/>
      <c r="R185" s="189"/>
      <c r="S185" s="189"/>
      <c r="T185" s="189"/>
      <c r="U185" s="189"/>
      <c r="V185" s="189"/>
      <c r="W185" s="189"/>
      <c r="X185" s="189"/>
    </row>
    <row r="186" spans="1:24">
      <c r="A186" s="189"/>
      <c r="B186" s="189"/>
      <c r="C186" s="189"/>
      <c r="D186" s="189"/>
      <c r="E186" s="189"/>
      <c r="F186" s="189"/>
      <c r="G186" s="189"/>
      <c r="H186" s="189"/>
      <c r="I186" s="189"/>
      <c r="J186" s="423"/>
      <c r="K186" s="189"/>
      <c r="M186" s="189"/>
      <c r="N186" s="189"/>
      <c r="R186" s="189"/>
      <c r="S186" s="189"/>
      <c r="T186" s="189"/>
      <c r="U186" s="189"/>
      <c r="V186" s="189"/>
      <c r="W186" s="189"/>
      <c r="X186" s="189"/>
    </row>
    <row r="187" spans="1:24">
      <c r="A187" s="189"/>
      <c r="B187" s="189"/>
      <c r="C187" s="189"/>
      <c r="D187" s="189"/>
      <c r="E187" s="189"/>
      <c r="F187" s="189"/>
      <c r="G187" s="189"/>
      <c r="H187" s="189"/>
      <c r="I187" s="189"/>
      <c r="J187" s="423"/>
      <c r="K187" s="189"/>
      <c r="M187" s="189"/>
      <c r="N187" s="189"/>
      <c r="R187" s="189"/>
      <c r="S187" s="189"/>
      <c r="T187" s="189"/>
      <c r="U187" s="189"/>
      <c r="V187" s="189"/>
      <c r="W187" s="189"/>
      <c r="X187" s="189"/>
    </row>
    <row r="188" spans="1:24">
      <c r="A188" s="189"/>
      <c r="B188" s="189"/>
      <c r="C188" s="189"/>
      <c r="D188" s="189"/>
      <c r="E188" s="189"/>
      <c r="F188" s="189"/>
      <c r="G188" s="189"/>
      <c r="H188" s="189"/>
      <c r="I188" s="189"/>
      <c r="J188" s="423"/>
      <c r="K188" s="189"/>
      <c r="M188" s="189"/>
      <c r="N188" s="189"/>
      <c r="R188" s="189"/>
      <c r="S188" s="189"/>
      <c r="T188" s="189"/>
      <c r="U188" s="189"/>
      <c r="V188" s="189"/>
      <c r="W188" s="189"/>
      <c r="X188" s="189"/>
    </row>
    <row r="189" spans="1:24">
      <c r="A189" s="189"/>
      <c r="B189" s="189"/>
      <c r="C189" s="189"/>
      <c r="D189" s="189"/>
      <c r="E189" s="189"/>
      <c r="F189" s="189"/>
      <c r="G189" s="189"/>
      <c r="H189" s="189"/>
      <c r="I189" s="189"/>
      <c r="J189" s="423"/>
      <c r="K189" s="189"/>
      <c r="M189" s="189"/>
      <c r="N189" s="189"/>
      <c r="R189" s="189"/>
      <c r="S189" s="189"/>
      <c r="T189" s="189"/>
      <c r="U189" s="189"/>
      <c r="V189" s="189"/>
      <c r="W189" s="189"/>
      <c r="X189" s="189"/>
    </row>
    <row r="190" spans="1:24">
      <c r="A190" s="189"/>
      <c r="B190" s="189"/>
      <c r="C190" s="189"/>
      <c r="D190" s="189"/>
      <c r="E190" s="189"/>
      <c r="F190" s="189"/>
      <c r="G190" s="189"/>
      <c r="H190" s="189"/>
      <c r="I190" s="189"/>
      <c r="J190" s="423"/>
      <c r="K190" s="189"/>
      <c r="M190" s="189"/>
      <c r="N190" s="189"/>
      <c r="R190" s="189"/>
      <c r="S190" s="189"/>
      <c r="T190" s="189"/>
      <c r="U190" s="189"/>
      <c r="V190" s="189"/>
      <c r="W190" s="189"/>
      <c r="X190" s="189"/>
    </row>
    <row r="191" spans="1:24">
      <c r="A191" s="189"/>
      <c r="B191" s="189"/>
      <c r="C191" s="189"/>
      <c r="D191" s="189"/>
      <c r="E191" s="189"/>
      <c r="F191" s="189"/>
      <c r="G191" s="189"/>
      <c r="H191" s="189"/>
      <c r="I191" s="189"/>
      <c r="J191" s="423"/>
      <c r="K191" s="189"/>
      <c r="M191" s="189"/>
      <c r="N191" s="189"/>
      <c r="R191" s="189"/>
      <c r="S191" s="189"/>
      <c r="T191" s="189"/>
      <c r="U191" s="189"/>
      <c r="V191" s="189"/>
      <c r="W191" s="189"/>
      <c r="X191" s="189"/>
    </row>
    <row r="192" spans="1:24">
      <c r="A192" s="189"/>
      <c r="B192" s="189"/>
      <c r="C192" s="189"/>
      <c r="D192" s="189"/>
      <c r="E192" s="189"/>
      <c r="F192" s="189"/>
      <c r="G192" s="189"/>
      <c r="H192" s="189"/>
      <c r="I192" s="189"/>
      <c r="J192" s="423"/>
      <c r="K192" s="189"/>
      <c r="M192" s="189"/>
      <c r="N192" s="189"/>
      <c r="R192" s="189"/>
      <c r="S192" s="189"/>
      <c r="T192" s="189"/>
      <c r="U192" s="189"/>
      <c r="V192" s="189"/>
      <c r="W192" s="189"/>
      <c r="X192" s="189"/>
    </row>
    <row r="193" spans="1:24">
      <c r="A193" s="189"/>
      <c r="B193" s="189"/>
      <c r="C193" s="189"/>
      <c r="D193" s="189"/>
      <c r="E193" s="189"/>
      <c r="F193" s="189"/>
      <c r="G193" s="189"/>
      <c r="H193" s="189"/>
      <c r="I193" s="189"/>
      <c r="J193" s="423"/>
      <c r="K193" s="189"/>
      <c r="M193" s="189"/>
      <c r="N193" s="189"/>
      <c r="R193" s="189"/>
      <c r="S193" s="189"/>
      <c r="T193" s="189"/>
      <c r="U193" s="189"/>
      <c r="V193" s="189"/>
      <c r="W193" s="189"/>
      <c r="X193" s="189"/>
    </row>
    <row r="194" spans="1:24">
      <c r="A194" s="189"/>
      <c r="B194" s="189"/>
      <c r="C194" s="189"/>
      <c r="D194" s="189"/>
      <c r="E194" s="189"/>
      <c r="F194" s="189"/>
      <c r="G194" s="189"/>
      <c r="H194" s="189"/>
      <c r="I194" s="189"/>
      <c r="J194" s="423"/>
      <c r="K194" s="189"/>
      <c r="M194" s="189"/>
      <c r="N194" s="189"/>
      <c r="R194" s="189"/>
      <c r="S194" s="189"/>
      <c r="T194" s="189"/>
      <c r="U194" s="189"/>
      <c r="V194" s="189"/>
      <c r="W194" s="189"/>
      <c r="X194" s="189"/>
    </row>
    <row r="195" spans="1:24">
      <c r="A195" s="189"/>
      <c r="B195" s="189"/>
      <c r="C195" s="189"/>
      <c r="D195" s="189"/>
      <c r="E195" s="189"/>
      <c r="F195" s="189"/>
      <c r="G195" s="189"/>
      <c r="H195" s="189"/>
      <c r="I195" s="189"/>
      <c r="J195" s="423"/>
      <c r="K195" s="189"/>
      <c r="M195" s="189"/>
      <c r="N195" s="189"/>
      <c r="R195" s="189"/>
      <c r="S195" s="189"/>
      <c r="T195" s="189"/>
      <c r="U195" s="189"/>
      <c r="V195" s="189"/>
      <c r="W195" s="189"/>
      <c r="X195" s="189"/>
    </row>
    <row r="196" spans="1:24">
      <c r="A196" s="189"/>
      <c r="B196" s="189"/>
      <c r="C196" s="189"/>
      <c r="D196" s="189"/>
      <c r="E196" s="189"/>
      <c r="F196" s="189"/>
      <c r="G196" s="189"/>
      <c r="H196" s="189"/>
      <c r="I196" s="189"/>
      <c r="J196" s="423"/>
      <c r="K196" s="189"/>
      <c r="M196" s="189"/>
      <c r="N196" s="189"/>
      <c r="R196" s="189"/>
      <c r="S196" s="189"/>
      <c r="T196" s="189"/>
      <c r="U196" s="189"/>
      <c r="V196" s="189"/>
      <c r="W196" s="189"/>
      <c r="X196" s="189"/>
    </row>
    <row r="197" spans="1:24">
      <c r="A197" s="189"/>
      <c r="B197" s="189"/>
      <c r="C197" s="189"/>
      <c r="D197" s="189"/>
      <c r="E197" s="189"/>
      <c r="F197" s="189"/>
      <c r="G197" s="189"/>
      <c r="H197" s="189"/>
      <c r="I197" s="189"/>
      <c r="J197" s="423"/>
      <c r="K197" s="189"/>
      <c r="M197" s="189"/>
      <c r="N197" s="189"/>
      <c r="R197" s="189"/>
      <c r="S197" s="189"/>
      <c r="T197" s="189"/>
      <c r="U197" s="189"/>
      <c r="V197" s="189"/>
      <c r="W197" s="189"/>
      <c r="X197" s="189"/>
    </row>
    <row r="198" spans="1:24">
      <c r="A198" s="189"/>
      <c r="B198" s="189"/>
      <c r="C198" s="189"/>
      <c r="D198" s="189"/>
      <c r="E198" s="189"/>
      <c r="F198" s="189"/>
      <c r="G198" s="189"/>
      <c r="H198" s="189"/>
      <c r="I198" s="189"/>
      <c r="J198" s="423"/>
      <c r="K198" s="189"/>
      <c r="M198" s="189"/>
      <c r="N198" s="189"/>
      <c r="R198" s="189"/>
      <c r="S198" s="189"/>
      <c r="T198" s="189"/>
      <c r="U198" s="189"/>
      <c r="V198" s="189"/>
      <c r="W198" s="189"/>
      <c r="X198" s="189"/>
    </row>
    <row r="199" spans="1:24">
      <c r="A199" s="189"/>
      <c r="B199" s="189"/>
      <c r="C199" s="189"/>
      <c r="D199" s="189"/>
      <c r="E199" s="189"/>
      <c r="F199" s="189"/>
      <c r="G199" s="189"/>
      <c r="H199" s="189"/>
      <c r="I199" s="189"/>
      <c r="J199" s="423"/>
      <c r="K199" s="189"/>
      <c r="M199" s="189"/>
      <c r="N199" s="189"/>
      <c r="R199" s="189"/>
      <c r="S199" s="189"/>
      <c r="T199" s="189"/>
      <c r="U199" s="189"/>
      <c r="V199" s="189"/>
      <c r="W199" s="189"/>
      <c r="X199" s="189"/>
    </row>
    <row r="200" spans="1:24">
      <c r="A200" s="189"/>
      <c r="B200" s="189"/>
      <c r="C200" s="189"/>
      <c r="D200" s="189"/>
      <c r="E200" s="189"/>
      <c r="F200" s="189"/>
      <c r="G200" s="189"/>
      <c r="H200" s="189"/>
      <c r="I200" s="189"/>
      <c r="J200" s="423"/>
      <c r="K200" s="189"/>
      <c r="M200" s="189"/>
      <c r="N200" s="189"/>
      <c r="R200" s="189"/>
      <c r="S200" s="189"/>
      <c r="T200" s="189"/>
      <c r="U200" s="189"/>
      <c r="V200" s="189"/>
      <c r="W200" s="189"/>
      <c r="X200" s="189"/>
    </row>
    <row r="201" spans="1:24">
      <c r="A201" s="189"/>
      <c r="B201" s="189"/>
      <c r="C201" s="189"/>
      <c r="D201" s="189"/>
      <c r="E201" s="189"/>
      <c r="F201" s="189"/>
      <c r="G201" s="189"/>
      <c r="H201" s="189"/>
      <c r="I201" s="189"/>
      <c r="J201" s="423"/>
      <c r="K201" s="189"/>
      <c r="M201" s="189"/>
      <c r="N201" s="189"/>
      <c r="R201" s="189"/>
      <c r="S201" s="189"/>
      <c r="T201" s="189"/>
      <c r="U201" s="189"/>
      <c r="V201" s="189"/>
      <c r="W201" s="189"/>
      <c r="X201" s="189"/>
    </row>
    <row r="202" spans="1:24">
      <c r="A202" s="189"/>
      <c r="B202" s="189"/>
      <c r="C202" s="189"/>
      <c r="D202" s="189"/>
      <c r="E202" s="189"/>
      <c r="F202" s="189"/>
      <c r="G202" s="189"/>
      <c r="H202" s="189"/>
      <c r="I202" s="189"/>
      <c r="J202" s="423"/>
      <c r="K202" s="189"/>
      <c r="M202" s="189"/>
      <c r="N202" s="189"/>
      <c r="R202" s="189"/>
      <c r="S202" s="189"/>
      <c r="T202" s="189"/>
      <c r="U202" s="189"/>
      <c r="V202" s="189"/>
      <c r="W202" s="189"/>
      <c r="X202" s="189"/>
    </row>
    <row r="203" spans="1:24">
      <c r="A203" s="189"/>
      <c r="B203" s="189"/>
      <c r="C203" s="189"/>
      <c r="D203" s="189"/>
      <c r="E203" s="189"/>
      <c r="F203" s="189"/>
      <c r="G203" s="189"/>
      <c r="H203" s="189"/>
      <c r="I203" s="189"/>
      <c r="J203" s="423"/>
      <c r="K203" s="189"/>
      <c r="M203" s="189"/>
      <c r="N203" s="189"/>
      <c r="R203" s="189"/>
      <c r="S203" s="189"/>
      <c r="T203" s="189"/>
      <c r="U203" s="189"/>
      <c r="V203" s="189"/>
      <c r="W203" s="189"/>
      <c r="X203" s="189"/>
    </row>
    <row r="204" spans="1:24">
      <c r="A204" s="189"/>
      <c r="B204" s="189"/>
      <c r="C204" s="189"/>
      <c r="D204" s="189"/>
      <c r="E204" s="189"/>
      <c r="F204" s="189"/>
      <c r="G204" s="189"/>
      <c r="H204" s="189"/>
      <c r="I204" s="189"/>
      <c r="J204" s="423"/>
      <c r="K204" s="189"/>
      <c r="M204" s="189"/>
      <c r="N204" s="189"/>
      <c r="R204" s="189"/>
      <c r="S204" s="189"/>
      <c r="T204" s="189"/>
      <c r="U204" s="189"/>
      <c r="V204" s="189"/>
      <c r="W204" s="189"/>
      <c r="X204" s="189"/>
    </row>
    <row r="205" spans="1:24">
      <c r="A205" s="189"/>
      <c r="B205" s="189"/>
      <c r="C205" s="189"/>
      <c r="D205" s="189"/>
      <c r="E205" s="189"/>
      <c r="F205" s="189"/>
      <c r="G205" s="189"/>
      <c r="H205" s="189"/>
      <c r="I205" s="189"/>
      <c r="J205" s="423"/>
      <c r="K205" s="189"/>
      <c r="M205" s="189"/>
      <c r="N205" s="189"/>
      <c r="R205" s="189"/>
      <c r="S205" s="189"/>
      <c r="T205" s="189"/>
      <c r="U205" s="189"/>
      <c r="V205" s="189"/>
      <c r="W205" s="189"/>
      <c r="X205" s="189"/>
    </row>
    <row r="206" spans="1:24">
      <c r="A206" s="189"/>
      <c r="B206" s="189"/>
      <c r="C206" s="189"/>
      <c r="D206" s="189"/>
      <c r="E206" s="189"/>
      <c r="F206" s="189"/>
      <c r="G206" s="189"/>
      <c r="H206" s="189"/>
      <c r="I206" s="189"/>
      <c r="J206" s="423"/>
      <c r="K206" s="189"/>
      <c r="M206" s="189"/>
      <c r="N206" s="189"/>
      <c r="R206" s="189"/>
      <c r="S206" s="189"/>
      <c r="T206" s="189"/>
      <c r="U206" s="189"/>
      <c r="V206" s="189"/>
      <c r="W206" s="189"/>
      <c r="X206" s="189"/>
    </row>
    <row r="207" spans="1:24">
      <c r="A207" s="189"/>
      <c r="B207" s="189"/>
      <c r="C207" s="189"/>
      <c r="D207" s="189"/>
      <c r="E207" s="189"/>
      <c r="F207" s="189"/>
      <c r="G207" s="189"/>
      <c r="H207" s="189"/>
      <c r="I207" s="189"/>
      <c r="J207" s="423"/>
      <c r="K207" s="189"/>
      <c r="M207" s="189"/>
      <c r="N207" s="189"/>
      <c r="R207" s="189"/>
      <c r="S207" s="189"/>
      <c r="T207" s="189"/>
      <c r="U207" s="189"/>
      <c r="V207" s="189"/>
      <c r="W207" s="189"/>
      <c r="X207" s="189"/>
    </row>
    <row r="208" spans="1:24">
      <c r="A208" s="189"/>
      <c r="B208" s="189"/>
      <c r="C208" s="189"/>
      <c r="D208" s="189"/>
      <c r="E208" s="189"/>
      <c r="F208" s="189"/>
      <c r="G208" s="189"/>
      <c r="H208" s="189"/>
      <c r="I208" s="189"/>
      <c r="J208" s="423"/>
      <c r="K208" s="189"/>
      <c r="M208" s="189"/>
      <c r="N208" s="189"/>
      <c r="R208" s="189"/>
      <c r="S208" s="189"/>
      <c r="T208" s="189"/>
      <c r="U208" s="189"/>
      <c r="V208" s="189"/>
      <c r="W208" s="189"/>
      <c r="X208" s="189"/>
    </row>
    <row r="209" spans="1:24">
      <c r="A209" s="189"/>
      <c r="B209" s="189"/>
      <c r="C209" s="189"/>
      <c r="D209" s="189"/>
      <c r="E209" s="189"/>
      <c r="F209" s="189"/>
      <c r="G209" s="189"/>
      <c r="H209" s="189"/>
      <c r="I209" s="189"/>
      <c r="J209" s="423"/>
      <c r="K209" s="189"/>
      <c r="M209" s="189"/>
      <c r="N209" s="189"/>
      <c r="R209" s="189"/>
      <c r="S209" s="189"/>
      <c r="T209" s="189"/>
      <c r="U209" s="189"/>
      <c r="V209" s="189"/>
      <c r="W209" s="189"/>
      <c r="X209" s="189"/>
    </row>
    <row r="210" spans="1:24">
      <c r="A210" s="189"/>
      <c r="B210" s="189"/>
      <c r="C210" s="189"/>
      <c r="D210" s="189"/>
      <c r="E210" s="189"/>
      <c r="F210" s="189"/>
      <c r="G210" s="189"/>
      <c r="H210" s="189"/>
      <c r="I210" s="189"/>
      <c r="J210" s="423"/>
      <c r="K210" s="189"/>
      <c r="M210" s="189"/>
      <c r="N210" s="189"/>
      <c r="R210" s="189"/>
      <c r="S210" s="189"/>
      <c r="T210" s="189"/>
      <c r="U210" s="189"/>
      <c r="V210" s="189"/>
      <c r="W210" s="189"/>
      <c r="X210" s="189"/>
    </row>
    <row r="211" spans="1:24">
      <c r="A211" s="189"/>
      <c r="B211" s="189"/>
      <c r="C211" s="189"/>
      <c r="D211" s="189"/>
      <c r="E211" s="189"/>
      <c r="F211" s="189"/>
      <c r="G211" s="189"/>
      <c r="H211" s="189"/>
      <c r="I211" s="189"/>
      <c r="J211" s="423"/>
      <c r="K211" s="189"/>
      <c r="M211" s="189"/>
      <c r="N211" s="189"/>
      <c r="R211" s="189"/>
      <c r="S211" s="189"/>
      <c r="T211" s="189"/>
      <c r="U211" s="189"/>
      <c r="V211" s="189"/>
      <c r="W211" s="189"/>
      <c r="X211" s="189"/>
    </row>
    <row r="212" spans="1:24">
      <c r="A212" s="189"/>
      <c r="B212" s="189"/>
      <c r="C212" s="189"/>
      <c r="D212" s="189"/>
      <c r="E212" s="189"/>
      <c r="F212" s="189"/>
      <c r="G212" s="189"/>
      <c r="H212" s="189"/>
      <c r="I212" s="189"/>
      <c r="J212" s="423"/>
      <c r="K212" s="189"/>
      <c r="M212" s="189"/>
      <c r="N212" s="189"/>
      <c r="R212" s="189"/>
      <c r="S212" s="189"/>
      <c r="T212" s="189"/>
      <c r="U212" s="189"/>
      <c r="V212" s="189"/>
      <c r="W212" s="189"/>
      <c r="X212" s="189"/>
    </row>
    <row r="213" spans="1:24">
      <c r="A213" s="189"/>
      <c r="B213" s="189"/>
      <c r="C213" s="189"/>
      <c r="D213" s="189"/>
      <c r="E213" s="189"/>
      <c r="F213" s="189"/>
      <c r="G213" s="189"/>
      <c r="H213" s="189"/>
      <c r="I213" s="189"/>
      <c r="J213" s="423"/>
      <c r="K213" s="189"/>
      <c r="M213" s="189"/>
      <c r="N213" s="189"/>
      <c r="R213" s="189"/>
      <c r="S213" s="189"/>
      <c r="T213" s="189"/>
      <c r="U213" s="189"/>
      <c r="V213" s="189"/>
      <c r="W213" s="189"/>
      <c r="X213" s="189"/>
    </row>
    <row r="214" spans="1:24">
      <c r="A214" s="189"/>
      <c r="B214" s="189"/>
      <c r="C214" s="189"/>
      <c r="D214" s="189"/>
      <c r="E214" s="189"/>
      <c r="F214" s="189"/>
      <c r="G214" s="189"/>
      <c r="H214" s="189"/>
      <c r="I214" s="189"/>
      <c r="J214" s="423"/>
      <c r="K214" s="189"/>
      <c r="M214" s="189"/>
      <c r="N214" s="189"/>
      <c r="R214" s="189"/>
      <c r="S214" s="189"/>
      <c r="T214" s="189"/>
      <c r="U214" s="189"/>
      <c r="V214" s="189"/>
      <c r="W214" s="189"/>
      <c r="X214" s="189"/>
    </row>
    <row r="215" spans="1:24">
      <c r="A215" s="189"/>
      <c r="B215" s="189"/>
      <c r="C215" s="189"/>
      <c r="D215" s="189"/>
      <c r="E215" s="189"/>
      <c r="F215" s="189"/>
      <c r="G215" s="189"/>
      <c r="H215" s="189"/>
      <c r="I215" s="189"/>
      <c r="J215" s="423"/>
      <c r="K215" s="189"/>
      <c r="M215" s="189"/>
      <c r="N215" s="189"/>
      <c r="R215" s="189"/>
      <c r="S215" s="189"/>
      <c r="T215" s="189"/>
      <c r="U215" s="189"/>
      <c r="V215" s="189"/>
      <c r="W215" s="189"/>
      <c r="X215" s="189"/>
    </row>
    <row r="216" spans="1:24">
      <c r="A216" s="189"/>
      <c r="B216" s="189"/>
      <c r="C216" s="189"/>
      <c r="D216" s="189"/>
      <c r="E216" s="189"/>
      <c r="F216" s="189"/>
      <c r="G216" s="189"/>
      <c r="H216" s="189"/>
      <c r="I216" s="189"/>
      <c r="J216" s="423"/>
      <c r="K216" s="189"/>
      <c r="M216" s="189"/>
      <c r="N216" s="189"/>
      <c r="R216" s="189"/>
      <c r="S216" s="189"/>
      <c r="T216" s="189"/>
      <c r="U216" s="189"/>
      <c r="V216" s="189"/>
      <c r="W216" s="189"/>
      <c r="X216" s="189"/>
    </row>
    <row r="217" spans="1:24">
      <c r="A217" s="189"/>
      <c r="B217" s="189"/>
      <c r="C217" s="189"/>
      <c r="D217" s="189"/>
      <c r="E217" s="189"/>
      <c r="F217" s="189"/>
      <c r="G217" s="189"/>
      <c r="H217" s="189"/>
      <c r="I217" s="189"/>
      <c r="J217" s="423"/>
      <c r="K217" s="189"/>
      <c r="M217" s="189"/>
      <c r="N217" s="189"/>
      <c r="R217" s="189"/>
      <c r="S217" s="189"/>
      <c r="T217" s="189"/>
      <c r="U217" s="189"/>
      <c r="V217" s="189"/>
      <c r="W217" s="189"/>
      <c r="X217" s="189"/>
    </row>
    <row r="218" spans="1:24">
      <c r="A218" s="189"/>
      <c r="B218" s="189"/>
      <c r="C218" s="189"/>
      <c r="D218" s="189"/>
      <c r="E218" s="189"/>
      <c r="F218" s="189"/>
      <c r="G218" s="189"/>
      <c r="H218" s="189"/>
      <c r="I218" s="189"/>
      <c r="J218" s="423"/>
      <c r="K218" s="189"/>
      <c r="M218" s="189"/>
      <c r="N218" s="189"/>
      <c r="R218" s="189"/>
      <c r="S218" s="189"/>
      <c r="T218" s="189"/>
      <c r="U218" s="189"/>
      <c r="V218" s="189"/>
      <c r="W218" s="189"/>
      <c r="X218" s="189"/>
    </row>
    <row r="219" spans="1:24">
      <c r="A219" s="189"/>
      <c r="B219" s="189"/>
      <c r="C219" s="189"/>
      <c r="D219" s="189"/>
      <c r="E219" s="189"/>
      <c r="F219" s="189"/>
      <c r="G219" s="189"/>
      <c r="H219" s="189"/>
      <c r="I219" s="189"/>
      <c r="J219" s="423"/>
      <c r="K219" s="189"/>
      <c r="M219" s="189"/>
      <c r="N219" s="189"/>
      <c r="R219" s="189"/>
      <c r="S219" s="189"/>
      <c r="T219" s="189"/>
      <c r="U219" s="189"/>
      <c r="V219" s="189"/>
      <c r="W219" s="189"/>
      <c r="X219" s="189"/>
    </row>
    <row r="220" spans="1:24">
      <c r="A220" s="189"/>
      <c r="B220" s="189"/>
      <c r="C220" s="189"/>
      <c r="D220" s="189"/>
      <c r="E220" s="189"/>
      <c r="F220" s="189"/>
      <c r="G220" s="189"/>
      <c r="H220" s="189"/>
      <c r="I220" s="189"/>
      <c r="J220" s="423"/>
      <c r="K220" s="189"/>
      <c r="M220" s="189"/>
      <c r="N220" s="189"/>
      <c r="R220" s="189"/>
      <c r="S220" s="189"/>
      <c r="T220" s="189"/>
      <c r="U220" s="189"/>
      <c r="V220" s="189"/>
      <c r="W220" s="189"/>
      <c r="X220" s="189"/>
    </row>
    <row r="221" spans="1:24">
      <c r="A221" s="189"/>
      <c r="B221" s="189"/>
      <c r="C221" s="189"/>
      <c r="D221" s="189"/>
      <c r="E221" s="189"/>
      <c r="F221" s="189"/>
      <c r="G221" s="189"/>
      <c r="H221" s="189"/>
      <c r="I221" s="189"/>
      <c r="J221" s="423"/>
      <c r="K221" s="189"/>
      <c r="M221" s="189"/>
      <c r="N221" s="189"/>
      <c r="R221" s="189"/>
      <c r="S221" s="189"/>
      <c r="T221" s="189"/>
      <c r="U221" s="189"/>
      <c r="V221" s="189"/>
      <c r="W221" s="189"/>
      <c r="X221" s="189"/>
    </row>
    <row r="222" spans="1:24">
      <c r="A222" s="189"/>
      <c r="B222" s="189"/>
      <c r="C222" s="189"/>
      <c r="D222" s="189"/>
      <c r="E222" s="189"/>
      <c r="F222" s="189"/>
      <c r="G222" s="189"/>
      <c r="H222" s="189"/>
      <c r="I222" s="189"/>
      <c r="J222" s="423"/>
      <c r="K222" s="189"/>
      <c r="M222" s="189"/>
      <c r="N222" s="189"/>
      <c r="R222" s="189"/>
      <c r="S222" s="189"/>
      <c r="T222" s="189"/>
      <c r="U222" s="189"/>
      <c r="V222" s="189"/>
      <c r="W222" s="189"/>
      <c r="X222" s="189"/>
    </row>
    <row r="223" spans="1:24">
      <c r="A223" s="189"/>
      <c r="B223" s="189"/>
      <c r="C223" s="189"/>
      <c r="D223" s="189"/>
      <c r="E223" s="189"/>
      <c r="F223" s="189"/>
      <c r="G223" s="189"/>
      <c r="H223" s="189"/>
      <c r="I223" s="189"/>
      <c r="J223" s="423"/>
      <c r="K223" s="189"/>
      <c r="M223" s="189"/>
      <c r="N223" s="189"/>
      <c r="R223" s="189"/>
      <c r="S223" s="189"/>
      <c r="T223" s="189"/>
      <c r="U223" s="189"/>
      <c r="V223" s="189"/>
      <c r="W223" s="189"/>
      <c r="X223" s="189"/>
    </row>
    <row r="224" spans="1:24">
      <c r="A224" s="189"/>
      <c r="B224" s="189"/>
      <c r="C224" s="189"/>
      <c r="D224" s="189"/>
      <c r="E224" s="189"/>
      <c r="F224" s="189"/>
      <c r="G224" s="189"/>
      <c r="H224" s="189"/>
      <c r="I224" s="189"/>
      <c r="J224" s="423"/>
      <c r="K224" s="189"/>
      <c r="M224" s="189"/>
      <c r="N224" s="189"/>
      <c r="R224" s="189"/>
      <c r="S224" s="189"/>
      <c r="T224" s="189"/>
      <c r="U224" s="189"/>
      <c r="V224" s="189"/>
      <c r="W224" s="189"/>
      <c r="X224" s="189"/>
    </row>
    <row r="225" spans="1:24">
      <c r="A225" s="189"/>
      <c r="B225" s="189"/>
      <c r="C225" s="189"/>
      <c r="D225" s="189"/>
      <c r="E225" s="189"/>
      <c r="F225" s="189"/>
      <c r="G225" s="189"/>
      <c r="H225" s="189"/>
      <c r="I225" s="189"/>
      <c r="J225" s="423"/>
      <c r="K225" s="189"/>
      <c r="M225" s="189"/>
      <c r="N225" s="189"/>
      <c r="R225" s="189"/>
      <c r="S225" s="189"/>
      <c r="T225" s="189"/>
      <c r="U225" s="189"/>
      <c r="V225" s="189"/>
      <c r="W225" s="189"/>
      <c r="X225" s="189"/>
    </row>
    <row r="226" spans="1:24">
      <c r="A226" s="189"/>
      <c r="B226" s="189"/>
      <c r="C226" s="189"/>
      <c r="D226" s="189"/>
      <c r="E226" s="189"/>
      <c r="F226" s="189"/>
      <c r="G226" s="189"/>
      <c r="H226" s="189"/>
      <c r="I226" s="189"/>
      <c r="J226" s="423"/>
      <c r="K226" s="189"/>
      <c r="M226" s="189"/>
      <c r="N226" s="189"/>
      <c r="R226" s="189"/>
      <c r="S226" s="189"/>
      <c r="T226" s="189"/>
      <c r="U226" s="189"/>
      <c r="V226" s="189"/>
      <c r="W226" s="189"/>
      <c r="X226" s="189"/>
    </row>
    <row r="227" spans="1:24">
      <c r="A227" s="189"/>
      <c r="B227" s="189"/>
      <c r="C227" s="189"/>
      <c r="D227" s="189"/>
      <c r="E227" s="189"/>
      <c r="F227" s="189"/>
      <c r="G227" s="189"/>
      <c r="H227" s="189"/>
      <c r="I227" s="189"/>
      <c r="J227" s="423"/>
      <c r="K227" s="189"/>
      <c r="M227" s="189"/>
      <c r="N227" s="189"/>
      <c r="R227" s="189"/>
      <c r="S227" s="189"/>
      <c r="T227" s="189"/>
      <c r="U227" s="189"/>
      <c r="V227" s="189"/>
      <c r="W227" s="189"/>
      <c r="X227" s="189"/>
    </row>
    <row r="228" spans="1:24">
      <c r="A228" s="189"/>
      <c r="B228" s="189"/>
      <c r="C228" s="189"/>
      <c r="D228" s="189"/>
      <c r="E228" s="189"/>
      <c r="F228" s="189"/>
      <c r="G228" s="189"/>
      <c r="H228" s="189"/>
      <c r="I228" s="189"/>
      <c r="J228" s="423"/>
      <c r="K228" s="189"/>
      <c r="M228" s="189"/>
      <c r="N228" s="189"/>
      <c r="R228" s="189"/>
      <c r="S228" s="189"/>
      <c r="T228" s="189"/>
      <c r="U228" s="189"/>
      <c r="V228" s="189"/>
      <c r="W228" s="189"/>
      <c r="X228" s="189"/>
    </row>
    <row r="229" spans="1:24">
      <c r="A229" s="189"/>
      <c r="B229" s="189"/>
      <c r="C229" s="189"/>
      <c r="D229" s="189"/>
      <c r="E229" s="189"/>
      <c r="F229" s="189"/>
      <c r="G229" s="189"/>
      <c r="H229" s="189"/>
      <c r="I229" s="189"/>
      <c r="J229" s="423"/>
      <c r="K229" s="189"/>
      <c r="M229" s="189"/>
      <c r="N229" s="189"/>
      <c r="R229" s="189"/>
      <c r="S229" s="189"/>
      <c r="T229" s="189"/>
      <c r="U229" s="189"/>
      <c r="V229" s="189"/>
      <c r="W229" s="189"/>
      <c r="X229" s="189"/>
    </row>
    <row r="230" spans="1:24">
      <c r="A230" s="189"/>
      <c r="B230" s="189"/>
      <c r="C230" s="189"/>
      <c r="D230" s="189"/>
      <c r="E230" s="189"/>
      <c r="F230" s="189"/>
      <c r="G230" s="189"/>
      <c r="H230" s="189"/>
      <c r="I230" s="189"/>
      <c r="J230" s="423"/>
      <c r="K230" s="189"/>
      <c r="M230" s="189"/>
      <c r="N230" s="189"/>
      <c r="R230" s="189"/>
      <c r="S230" s="189"/>
      <c r="T230" s="189"/>
      <c r="U230" s="189"/>
      <c r="V230" s="189"/>
      <c r="W230" s="189"/>
      <c r="X230" s="189"/>
    </row>
    <row r="231" spans="1:24">
      <c r="A231" s="189"/>
      <c r="B231" s="189"/>
      <c r="C231" s="189"/>
      <c r="D231" s="189"/>
      <c r="E231" s="189"/>
      <c r="F231" s="189"/>
      <c r="G231" s="189"/>
      <c r="H231" s="189"/>
      <c r="I231" s="189"/>
      <c r="J231" s="423"/>
      <c r="K231" s="189"/>
      <c r="M231" s="189"/>
      <c r="N231" s="189"/>
      <c r="R231" s="189"/>
      <c r="S231" s="189"/>
      <c r="T231" s="189"/>
      <c r="U231" s="189"/>
      <c r="V231" s="189"/>
      <c r="W231" s="189"/>
      <c r="X231" s="189"/>
    </row>
    <row r="232" spans="1:24">
      <c r="A232" s="189"/>
      <c r="B232" s="189"/>
      <c r="C232" s="189"/>
      <c r="D232" s="189"/>
      <c r="E232" s="189"/>
      <c r="F232" s="189"/>
      <c r="G232" s="189"/>
      <c r="H232" s="189"/>
      <c r="I232" s="189"/>
      <c r="J232" s="423"/>
      <c r="K232" s="189"/>
      <c r="M232" s="189"/>
      <c r="N232" s="189"/>
      <c r="R232" s="189"/>
      <c r="S232" s="189"/>
      <c r="T232" s="189"/>
      <c r="U232" s="189"/>
      <c r="V232" s="189"/>
      <c r="W232" s="189"/>
      <c r="X232" s="189"/>
    </row>
    <row r="233" spans="1:24">
      <c r="A233" s="189"/>
      <c r="B233" s="189"/>
      <c r="C233" s="189"/>
      <c r="D233" s="189"/>
      <c r="E233" s="189"/>
      <c r="F233" s="189"/>
      <c r="G233" s="189"/>
      <c r="H233" s="189"/>
      <c r="I233" s="189"/>
      <c r="J233" s="423"/>
      <c r="K233" s="189"/>
      <c r="M233" s="189"/>
      <c r="N233" s="189"/>
      <c r="R233" s="189"/>
      <c r="S233" s="189"/>
      <c r="T233" s="189"/>
      <c r="U233" s="189"/>
      <c r="V233" s="189"/>
      <c r="W233" s="189"/>
      <c r="X233" s="189"/>
    </row>
    <row r="234" spans="1:24">
      <c r="A234" s="189"/>
      <c r="B234" s="189"/>
      <c r="C234" s="189"/>
      <c r="D234" s="189"/>
      <c r="E234" s="189"/>
      <c r="F234" s="189"/>
      <c r="G234" s="189"/>
      <c r="H234" s="189"/>
      <c r="I234" s="189"/>
      <c r="J234" s="423"/>
      <c r="K234" s="189"/>
      <c r="M234" s="189"/>
      <c r="N234" s="189"/>
      <c r="R234" s="189"/>
      <c r="S234" s="189"/>
      <c r="T234" s="189"/>
      <c r="U234" s="189"/>
      <c r="V234" s="189"/>
      <c r="W234" s="189"/>
      <c r="X234" s="189"/>
    </row>
    <row r="235" spans="1:24">
      <c r="A235" s="189"/>
      <c r="B235" s="189"/>
      <c r="C235" s="189"/>
      <c r="D235" s="189"/>
      <c r="E235" s="189"/>
      <c r="F235" s="189"/>
      <c r="G235" s="189"/>
      <c r="H235" s="189"/>
      <c r="I235" s="189"/>
      <c r="J235" s="423"/>
      <c r="K235" s="189"/>
      <c r="M235" s="189"/>
      <c r="N235" s="189"/>
      <c r="R235" s="189"/>
      <c r="S235" s="189"/>
      <c r="T235" s="189"/>
      <c r="U235" s="189"/>
      <c r="V235" s="189"/>
      <c r="W235" s="189"/>
      <c r="X235" s="189"/>
    </row>
    <row r="236" spans="1:24">
      <c r="A236" s="189"/>
      <c r="B236" s="189"/>
      <c r="C236" s="189"/>
      <c r="D236" s="189"/>
      <c r="E236" s="189"/>
      <c r="F236" s="189"/>
      <c r="G236" s="189"/>
      <c r="H236" s="189"/>
      <c r="I236" s="189"/>
      <c r="J236" s="423"/>
      <c r="K236" s="189"/>
      <c r="M236" s="189"/>
      <c r="N236" s="189"/>
      <c r="R236" s="189"/>
      <c r="S236" s="189"/>
      <c r="T236" s="189"/>
      <c r="U236" s="189"/>
      <c r="V236" s="189"/>
      <c r="W236" s="189"/>
      <c r="X236" s="189"/>
    </row>
    <row r="237" spans="1:24">
      <c r="A237" s="189"/>
      <c r="B237" s="189"/>
      <c r="C237" s="189"/>
      <c r="D237" s="189"/>
      <c r="E237" s="189"/>
      <c r="F237" s="189"/>
      <c r="G237" s="189"/>
      <c r="H237" s="189"/>
      <c r="I237" s="189"/>
      <c r="J237" s="423"/>
      <c r="K237" s="189"/>
      <c r="M237" s="189"/>
      <c r="N237" s="189"/>
      <c r="R237" s="189"/>
      <c r="S237" s="189"/>
      <c r="T237" s="189"/>
      <c r="U237" s="189"/>
      <c r="V237" s="189"/>
      <c r="W237" s="189"/>
      <c r="X237" s="189"/>
    </row>
    <row r="238" spans="1:24">
      <c r="A238" s="189"/>
      <c r="B238" s="189"/>
      <c r="C238" s="189"/>
      <c r="D238" s="189"/>
      <c r="E238" s="189"/>
      <c r="F238" s="189"/>
      <c r="G238" s="189"/>
      <c r="H238" s="189"/>
      <c r="I238" s="189"/>
      <c r="J238" s="423"/>
      <c r="K238" s="189"/>
      <c r="M238" s="189"/>
      <c r="N238" s="189"/>
      <c r="R238" s="189"/>
      <c r="S238" s="189"/>
      <c r="T238" s="189"/>
      <c r="U238" s="189"/>
      <c r="V238" s="189"/>
      <c r="W238" s="189"/>
      <c r="X238" s="189"/>
    </row>
    <row r="239" spans="1:24">
      <c r="A239" s="189"/>
      <c r="B239" s="189"/>
      <c r="C239" s="189"/>
      <c r="D239" s="189"/>
      <c r="E239" s="189"/>
      <c r="F239" s="189"/>
      <c r="G239" s="189"/>
      <c r="H239" s="189"/>
      <c r="I239" s="189"/>
      <c r="J239" s="423"/>
      <c r="K239" s="189"/>
      <c r="M239" s="189"/>
      <c r="N239" s="189"/>
      <c r="R239" s="189"/>
      <c r="S239" s="189"/>
      <c r="T239" s="189"/>
      <c r="U239" s="189"/>
      <c r="V239" s="189"/>
      <c r="W239" s="189"/>
      <c r="X239" s="189"/>
    </row>
    <row r="240" spans="1:24">
      <c r="A240" s="189"/>
      <c r="B240" s="189"/>
      <c r="C240" s="189"/>
      <c r="D240" s="189"/>
      <c r="E240" s="189"/>
      <c r="F240" s="189"/>
      <c r="G240" s="189"/>
      <c r="H240" s="189"/>
      <c r="I240" s="189"/>
      <c r="J240" s="423"/>
      <c r="K240" s="189"/>
      <c r="M240" s="189"/>
      <c r="N240" s="189"/>
      <c r="R240" s="189"/>
      <c r="S240" s="189"/>
      <c r="T240" s="189"/>
      <c r="U240" s="189"/>
      <c r="V240" s="189"/>
      <c r="W240" s="189"/>
      <c r="X240" s="189"/>
    </row>
    <row r="241" spans="1:24">
      <c r="A241" s="189"/>
      <c r="B241" s="189"/>
      <c r="C241" s="189"/>
      <c r="D241" s="189"/>
      <c r="E241" s="189"/>
      <c r="F241" s="189"/>
      <c r="G241" s="189"/>
      <c r="H241" s="189"/>
      <c r="I241" s="189"/>
      <c r="J241" s="423"/>
      <c r="K241" s="189"/>
      <c r="M241" s="189"/>
      <c r="N241" s="189"/>
      <c r="R241" s="189"/>
      <c r="S241" s="189"/>
      <c r="T241" s="189"/>
      <c r="U241" s="189"/>
      <c r="V241" s="189"/>
      <c r="W241" s="189"/>
      <c r="X241" s="189"/>
    </row>
    <row r="242" spans="1:24">
      <c r="A242" s="189"/>
      <c r="B242" s="189"/>
      <c r="C242" s="189"/>
      <c r="D242" s="189"/>
      <c r="E242" s="189"/>
      <c r="F242" s="189"/>
      <c r="G242" s="189"/>
      <c r="H242" s="189"/>
      <c r="I242" s="189"/>
      <c r="J242" s="423"/>
      <c r="K242" s="189"/>
      <c r="M242" s="189"/>
      <c r="N242" s="189"/>
      <c r="R242" s="189"/>
      <c r="S242" s="189"/>
      <c r="T242" s="189"/>
      <c r="U242" s="189"/>
      <c r="V242" s="189"/>
      <c r="W242" s="189"/>
      <c r="X242" s="189"/>
    </row>
    <row r="243" spans="1:24">
      <c r="A243" s="189"/>
      <c r="B243" s="189"/>
      <c r="C243" s="189"/>
      <c r="D243" s="189"/>
      <c r="E243" s="189"/>
      <c r="F243" s="189"/>
      <c r="G243" s="189"/>
      <c r="H243" s="189"/>
      <c r="I243" s="189"/>
      <c r="J243" s="423"/>
      <c r="K243" s="189"/>
      <c r="M243" s="189"/>
      <c r="N243" s="189"/>
      <c r="R243" s="189"/>
      <c r="S243" s="189"/>
      <c r="T243" s="189"/>
      <c r="U243" s="189"/>
      <c r="V243" s="189"/>
      <c r="W243" s="189"/>
      <c r="X243" s="189"/>
    </row>
    <row r="244" spans="1:24">
      <c r="A244" s="189"/>
      <c r="B244" s="189"/>
      <c r="C244" s="189"/>
      <c r="D244" s="189"/>
      <c r="E244" s="189"/>
      <c r="F244" s="189"/>
      <c r="G244" s="189"/>
      <c r="H244" s="189"/>
      <c r="I244" s="189"/>
      <c r="J244" s="423"/>
      <c r="K244" s="189"/>
      <c r="M244" s="189"/>
      <c r="N244" s="189"/>
      <c r="R244" s="189"/>
      <c r="S244" s="189"/>
      <c r="T244" s="189"/>
      <c r="U244" s="189"/>
      <c r="V244" s="189"/>
      <c r="W244" s="189"/>
      <c r="X244" s="189"/>
    </row>
    <row r="245" spans="1:24">
      <c r="A245" s="189"/>
      <c r="B245" s="189"/>
      <c r="C245" s="189"/>
      <c r="D245" s="189"/>
      <c r="E245" s="189"/>
      <c r="F245" s="189"/>
      <c r="G245" s="189"/>
      <c r="H245" s="189"/>
      <c r="I245" s="189"/>
      <c r="J245" s="423"/>
      <c r="K245" s="189"/>
      <c r="M245" s="189"/>
      <c r="N245" s="189"/>
      <c r="R245" s="189"/>
      <c r="S245" s="189"/>
      <c r="T245" s="189"/>
      <c r="U245" s="189"/>
      <c r="V245" s="189"/>
      <c r="W245" s="189"/>
      <c r="X245" s="189"/>
    </row>
    <row r="246" spans="1:24">
      <c r="A246" s="189"/>
      <c r="B246" s="189"/>
      <c r="C246" s="189"/>
      <c r="D246" s="189"/>
      <c r="E246" s="189"/>
      <c r="F246" s="189"/>
      <c r="G246" s="189"/>
      <c r="H246" s="189"/>
      <c r="I246" s="189"/>
      <c r="J246" s="423"/>
      <c r="K246" s="189"/>
      <c r="M246" s="189"/>
      <c r="N246" s="189"/>
      <c r="R246" s="189"/>
      <c r="S246" s="189"/>
      <c r="T246" s="189"/>
      <c r="U246" s="189"/>
      <c r="V246" s="189"/>
      <c r="W246" s="189"/>
      <c r="X246" s="189"/>
    </row>
    <row r="247" spans="1:24">
      <c r="A247" s="189"/>
      <c r="B247" s="189"/>
      <c r="C247" s="189"/>
      <c r="D247" s="189"/>
      <c r="E247" s="189"/>
      <c r="F247" s="189"/>
      <c r="G247" s="189"/>
      <c r="H247" s="189"/>
      <c r="I247" s="189"/>
      <c r="J247" s="423"/>
      <c r="K247" s="189"/>
      <c r="M247" s="189"/>
      <c r="N247" s="189"/>
      <c r="R247" s="189"/>
      <c r="S247" s="189"/>
      <c r="T247" s="189"/>
      <c r="U247" s="189"/>
      <c r="V247" s="189"/>
      <c r="W247" s="189"/>
      <c r="X247" s="189"/>
    </row>
    <row r="248" spans="1:24">
      <c r="A248" s="189"/>
      <c r="B248" s="189"/>
      <c r="C248" s="189"/>
      <c r="D248" s="189"/>
      <c r="E248" s="189"/>
      <c r="F248" s="189"/>
      <c r="G248" s="189"/>
      <c r="H248" s="189"/>
      <c r="I248" s="189"/>
      <c r="J248" s="423"/>
      <c r="K248" s="189"/>
      <c r="M248" s="189"/>
      <c r="N248" s="189"/>
      <c r="R248" s="189"/>
      <c r="S248" s="189"/>
      <c r="T248" s="189"/>
      <c r="U248" s="189"/>
      <c r="V248" s="189"/>
      <c r="W248" s="189"/>
      <c r="X248" s="189"/>
    </row>
    <row r="249" spans="1:24">
      <c r="A249" s="189"/>
      <c r="B249" s="189"/>
      <c r="C249" s="189"/>
      <c r="D249" s="189"/>
      <c r="E249" s="189"/>
      <c r="F249" s="189"/>
      <c r="G249" s="189"/>
      <c r="H249" s="189"/>
      <c r="I249" s="189"/>
      <c r="J249" s="423"/>
      <c r="K249" s="189"/>
      <c r="M249" s="189"/>
      <c r="N249" s="189"/>
      <c r="R249" s="189"/>
      <c r="S249" s="189"/>
      <c r="T249" s="189"/>
      <c r="U249" s="189"/>
      <c r="V249" s="189"/>
      <c r="W249" s="189"/>
      <c r="X249" s="189"/>
    </row>
    <row r="250" spans="1:24">
      <c r="A250" s="189"/>
      <c r="B250" s="189"/>
      <c r="C250" s="189"/>
      <c r="D250" s="189"/>
      <c r="E250" s="189"/>
      <c r="F250" s="189"/>
      <c r="G250" s="189"/>
      <c r="H250" s="189"/>
      <c r="I250" s="189"/>
      <c r="J250" s="423"/>
      <c r="K250" s="189"/>
      <c r="M250" s="189"/>
      <c r="N250" s="189"/>
      <c r="R250" s="189"/>
      <c r="S250" s="189"/>
      <c r="T250" s="189"/>
      <c r="U250" s="189"/>
      <c r="V250" s="189"/>
      <c r="W250" s="189"/>
      <c r="X250" s="189"/>
    </row>
    <row r="251" spans="1:24">
      <c r="A251" s="189"/>
      <c r="B251" s="189"/>
      <c r="C251" s="189"/>
      <c r="D251" s="189"/>
      <c r="E251" s="189"/>
      <c r="F251" s="189"/>
      <c r="G251" s="189"/>
      <c r="H251" s="189"/>
      <c r="I251" s="189"/>
      <c r="J251" s="423"/>
      <c r="K251" s="189"/>
      <c r="M251" s="189"/>
      <c r="N251" s="189"/>
      <c r="R251" s="189"/>
      <c r="S251" s="189"/>
      <c r="T251" s="189"/>
      <c r="U251" s="189"/>
      <c r="V251" s="189"/>
      <c r="W251" s="189"/>
      <c r="X251" s="189"/>
    </row>
    <row r="252" spans="1:24">
      <c r="A252" s="189"/>
      <c r="B252" s="189"/>
      <c r="C252" s="189"/>
      <c r="D252" s="189"/>
      <c r="E252" s="189"/>
      <c r="F252" s="189"/>
      <c r="G252" s="189"/>
      <c r="H252" s="189"/>
      <c r="I252" s="189"/>
      <c r="J252" s="423"/>
      <c r="K252" s="189"/>
      <c r="M252" s="189"/>
      <c r="N252" s="189"/>
      <c r="R252" s="189"/>
      <c r="S252" s="189"/>
      <c r="T252" s="189"/>
      <c r="U252" s="189"/>
      <c r="V252" s="189"/>
      <c r="W252" s="189"/>
      <c r="X252" s="189"/>
    </row>
    <row r="253" spans="1:24">
      <c r="A253" s="189"/>
      <c r="B253" s="189"/>
      <c r="C253" s="189"/>
      <c r="D253" s="189"/>
      <c r="E253" s="189"/>
      <c r="F253" s="189"/>
      <c r="G253" s="189"/>
      <c r="H253" s="189"/>
      <c r="I253" s="189"/>
      <c r="J253" s="423"/>
      <c r="K253" s="189"/>
      <c r="M253" s="189"/>
      <c r="N253" s="189"/>
      <c r="R253" s="189"/>
      <c r="S253" s="189"/>
      <c r="T253" s="189"/>
      <c r="U253" s="189"/>
      <c r="V253" s="189"/>
      <c r="W253" s="189"/>
      <c r="X253" s="189"/>
    </row>
    <row r="254" spans="1:24">
      <c r="A254" s="189"/>
      <c r="B254" s="189"/>
      <c r="C254" s="189"/>
      <c r="D254" s="189"/>
      <c r="E254" s="189"/>
      <c r="F254" s="189"/>
      <c r="G254" s="189"/>
      <c r="H254" s="189"/>
      <c r="I254" s="189"/>
      <c r="J254" s="423"/>
      <c r="K254" s="189"/>
      <c r="M254" s="189"/>
      <c r="N254" s="189"/>
      <c r="R254" s="189"/>
      <c r="S254" s="189"/>
      <c r="T254" s="189"/>
      <c r="U254" s="189"/>
      <c r="V254" s="189"/>
      <c r="W254" s="189"/>
      <c r="X254" s="189"/>
    </row>
    <row r="255" spans="1:24">
      <c r="A255" s="189"/>
      <c r="B255" s="189"/>
      <c r="C255" s="189"/>
      <c r="D255" s="189"/>
      <c r="E255" s="189"/>
      <c r="F255" s="189"/>
      <c r="G255" s="189"/>
      <c r="H255" s="189"/>
      <c r="I255" s="189"/>
      <c r="J255" s="423"/>
      <c r="K255" s="189"/>
      <c r="M255" s="189"/>
      <c r="N255" s="189"/>
      <c r="R255" s="189"/>
      <c r="S255" s="189"/>
      <c r="T255" s="189"/>
      <c r="U255" s="189"/>
      <c r="V255" s="189"/>
      <c r="W255" s="189"/>
      <c r="X255" s="189"/>
    </row>
    <row r="256" spans="1:24">
      <c r="A256" s="189"/>
      <c r="B256" s="189"/>
      <c r="C256" s="189"/>
      <c r="D256" s="189"/>
      <c r="E256" s="189"/>
      <c r="F256" s="189"/>
      <c r="G256" s="189"/>
      <c r="H256" s="189"/>
      <c r="I256" s="189"/>
      <c r="J256" s="423"/>
      <c r="K256" s="189"/>
      <c r="M256" s="189"/>
      <c r="N256" s="189"/>
      <c r="R256" s="189"/>
      <c r="S256" s="189"/>
      <c r="T256" s="189"/>
      <c r="U256" s="189"/>
      <c r="V256" s="189"/>
      <c r="W256" s="189"/>
      <c r="X256" s="189"/>
    </row>
    <row r="257" spans="1:24">
      <c r="A257" s="189"/>
      <c r="B257" s="189"/>
      <c r="C257" s="189"/>
      <c r="D257" s="189"/>
      <c r="E257" s="189"/>
      <c r="F257" s="189"/>
      <c r="G257" s="189"/>
      <c r="H257" s="189"/>
      <c r="I257" s="189"/>
      <c r="J257" s="423"/>
      <c r="K257" s="189"/>
      <c r="M257" s="189"/>
      <c r="N257" s="189"/>
      <c r="R257" s="189"/>
      <c r="S257" s="189"/>
      <c r="T257" s="189"/>
      <c r="U257" s="189"/>
      <c r="V257" s="189"/>
      <c r="W257" s="189"/>
      <c r="X257" s="189"/>
    </row>
    <row r="258" spans="1:24">
      <c r="A258" s="189"/>
      <c r="B258" s="189"/>
      <c r="C258" s="189"/>
      <c r="D258" s="189"/>
      <c r="E258" s="189"/>
      <c r="F258" s="189"/>
      <c r="G258" s="189"/>
      <c r="H258" s="189"/>
      <c r="I258" s="189"/>
      <c r="J258" s="423"/>
      <c r="K258" s="189"/>
      <c r="M258" s="189"/>
      <c r="N258" s="189"/>
      <c r="R258" s="189"/>
      <c r="S258" s="189"/>
      <c r="T258" s="189"/>
      <c r="U258" s="189"/>
      <c r="V258" s="189"/>
      <c r="W258" s="189"/>
      <c r="X258" s="189"/>
    </row>
    <row r="259" spans="1:24">
      <c r="A259" s="189"/>
      <c r="B259" s="189"/>
      <c r="C259" s="189"/>
      <c r="D259" s="189"/>
      <c r="E259" s="189"/>
      <c r="F259" s="189"/>
      <c r="G259" s="189"/>
      <c r="H259" s="189"/>
      <c r="I259" s="189"/>
      <c r="J259" s="423"/>
      <c r="K259" s="189"/>
      <c r="M259" s="189"/>
      <c r="N259" s="189"/>
      <c r="R259" s="189"/>
      <c r="S259" s="189"/>
      <c r="T259" s="189"/>
      <c r="U259" s="189"/>
      <c r="V259" s="189"/>
      <c r="W259" s="189"/>
      <c r="X259" s="189"/>
    </row>
    <row r="260" spans="1:24">
      <c r="A260" s="189"/>
      <c r="B260" s="189"/>
      <c r="C260" s="189"/>
      <c r="D260" s="189"/>
      <c r="E260" s="189"/>
      <c r="F260" s="189"/>
      <c r="G260" s="189"/>
      <c r="H260" s="189"/>
      <c r="I260" s="189"/>
      <c r="J260" s="423"/>
      <c r="K260" s="189"/>
      <c r="M260" s="189"/>
      <c r="N260" s="189"/>
      <c r="R260" s="189"/>
      <c r="S260" s="189"/>
      <c r="T260" s="189"/>
      <c r="U260" s="189"/>
      <c r="V260" s="189"/>
      <c r="W260" s="189"/>
      <c r="X260" s="189"/>
    </row>
    <row r="261" spans="1:24">
      <c r="A261" s="189"/>
      <c r="B261" s="189"/>
      <c r="C261" s="189"/>
      <c r="D261" s="189"/>
      <c r="E261" s="189"/>
      <c r="F261" s="189"/>
      <c r="G261" s="189"/>
      <c r="H261" s="189"/>
      <c r="I261" s="189"/>
      <c r="J261" s="423"/>
      <c r="K261" s="189"/>
      <c r="M261" s="189"/>
      <c r="N261" s="189"/>
      <c r="R261" s="189"/>
      <c r="S261" s="189"/>
      <c r="T261" s="189"/>
      <c r="U261" s="189"/>
      <c r="V261" s="189"/>
      <c r="W261" s="189"/>
      <c r="X261" s="189"/>
    </row>
    <row r="262" spans="1:24">
      <c r="A262" s="189"/>
      <c r="B262" s="189"/>
      <c r="C262" s="189"/>
      <c r="D262" s="189"/>
      <c r="E262" s="189"/>
      <c r="F262" s="189"/>
      <c r="G262" s="189"/>
      <c r="H262" s="189"/>
      <c r="I262" s="189"/>
      <c r="J262" s="423"/>
      <c r="K262" s="189"/>
      <c r="M262" s="189"/>
      <c r="N262" s="189"/>
      <c r="R262" s="189"/>
      <c r="S262" s="189"/>
      <c r="T262" s="189"/>
      <c r="U262" s="189"/>
      <c r="V262" s="189"/>
      <c r="W262" s="189"/>
      <c r="X262" s="189"/>
    </row>
    <row r="263" spans="1:24">
      <c r="A263" s="189"/>
      <c r="B263" s="189"/>
      <c r="C263" s="189"/>
      <c r="D263" s="189"/>
      <c r="E263" s="189"/>
      <c r="F263" s="189"/>
      <c r="G263" s="189"/>
      <c r="H263" s="189"/>
      <c r="I263" s="189"/>
      <c r="J263" s="423"/>
      <c r="K263" s="189"/>
      <c r="M263" s="189"/>
      <c r="N263" s="189"/>
      <c r="R263" s="189"/>
      <c r="S263" s="189"/>
      <c r="T263" s="189"/>
      <c r="U263" s="189"/>
      <c r="V263" s="189"/>
      <c r="W263" s="189"/>
      <c r="X263" s="189"/>
    </row>
    <row r="264" spans="1:24">
      <c r="A264" s="189"/>
      <c r="B264" s="189"/>
      <c r="C264" s="189"/>
      <c r="D264" s="189"/>
      <c r="E264" s="189"/>
      <c r="F264" s="189"/>
      <c r="G264" s="189"/>
      <c r="H264" s="189"/>
      <c r="I264" s="189"/>
      <c r="J264" s="423"/>
      <c r="K264" s="189"/>
      <c r="M264" s="189"/>
      <c r="N264" s="189"/>
      <c r="R264" s="189"/>
      <c r="S264" s="189"/>
      <c r="T264" s="189"/>
      <c r="U264" s="189"/>
      <c r="V264" s="189"/>
      <c r="W264" s="189"/>
      <c r="X264" s="189"/>
    </row>
    <row r="265" spans="1:24">
      <c r="A265" s="189"/>
      <c r="B265" s="189"/>
      <c r="C265" s="189"/>
      <c r="D265" s="189"/>
      <c r="E265" s="189"/>
      <c r="F265" s="189"/>
      <c r="G265" s="189"/>
      <c r="H265" s="189"/>
      <c r="I265" s="189"/>
      <c r="J265" s="423"/>
      <c r="K265" s="189"/>
      <c r="M265" s="189"/>
      <c r="N265" s="189"/>
      <c r="R265" s="189"/>
      <c r="S265" s="189"/>
      <c r="T265" s="189"/>
      <c r="U265" s="189"/>
      <c r="V265" s="189"/>
      <c r="W265" s="189"/>
      <c r="X265" s="189"/>
    </row>
    <row r="266" spans="1:24">
      <c r="A266" s="189"/>
      <c r="B266" s="189"/>
      <c r="C266" s="189"/>
      <c r="D266" s="189"/>
      <c r="E266" s="189"/>
      <c r="F266" s="189"/>
      <c r="G266" s="189"/>
      <c r="H266" s="189"/>
      <c r="I266" s="189"/>
      <c r="J266" s="423"/>
      <c r="K266" s="189"/>
      <c r="M266" s="189"/>
      <c r="N266" s="189"/>
      <c r="R266" s="189"/>
      <c r="S266" s="189"/>
      <c r="T266" s="189"/>
      <c r="U266" s="189"/>
      <c r="V266" s="189"/>
      <c r="W266" s="189"/>
      <c r="X266" s="189"/>
    </row>
    <row r="267" spans="1:24">
      <c r="A267" s="189"/>
      <c r="B267" s="189"/>
      <c r="C267" s="189"/>
      <c r="D267" s="189"/>
      <c r="E267" s="189"/>
      <c r="F267" s="189"/>
      <c r="G267" s="189"/>
      <c r="H267" s="189"/>
      <c r="I267" s="189"/>
      <c r="J267" s="423"/>
      <c r="K267" s="189"/>
      <c r="M267" s="189"/>
      <c r="N267" s="189"/>
      <c r="R267" s="189"/>
      <c r="S267" s="189"/>
      <c r="T267" s="189"/>
      <c r="U267" s="189"/>
      <c r="V267" s="189"/>
      <c r="W267" s="189"/>
      <c r="X267" s="189"/>
    </row>
    <row r="268" spans="1:24">
      <c r="A268" s="189"/>
      <c r="B268" s="189"/>
      <c r="C268" s="189"/>
      <c r="D268" s="189"/>
      <c r="E268" s="189"/>
      <c r="F268" s="189"/>
      <c r="G268" s="189"/>
      <c r="H268" s="189"/>
      <c r="I268" s="189"/>
      <c r="J268" s="423"/>
      <c r="K268" s="189"/>
      <c r="M268" s="189"/>
      <c r="N268" s="189"/>
      <c r="R268" s="189"/>
      <c r="S268" s="189"/>
      <c r="T268" s="189"/>
      <c r="U268" s="189"/>
      <c r="V268" s="189"/>
      <c r="W268" s="189"/>
      <c r="X268" s="189"/>
    </row>
    <row r="269" spans="1:24">
      <c r="A269" s="189"/>
      <c r="B269" s="189"/>
      <c r="C269" s="189"/>
      <c r="D269" s="189"/>
      <c r="E269" s="189"/>
      <c r="F269" s="189"/>
      <c r="G269" s="189"/>
      <c r="H269" s="189"/>
      <c r="I269" s="189"/>
      <c r="J269" s="423"/>
      <c r="K269" s="189"/>
      <c r="M269" s="189"/>
      <c r="N269" s="189"/>
      <c r="R269" s="189"/>
      <c r="S269" s="189"/>
      <c r="T269" s="189"/>
      <c r="U269" s="189"/>
      <c r="V269" s="189"/>
      <c r="W269" s="189"/>
      <c r="X269" s="189"/>
    </row>
    <row r="270" spans="1:24">
      <c r="A270" s="189"/>
      <c r="B270" s="189"/>
      <c r="C270" s="189"/>
      <c r="D270" s="189"/>
      <c r="E270" s="189"/>
      <c r="F270" s="189"/>
      <c r="G270" s="189"/>
      <c r="H270" s="189"/>
      <c r="I270" s="189"/>
      <c r="J270" s="423"/>
      <c r="K270" s="189"/>
      <c r="M270" s="189"/>
      <c r="N270" s="189"/>
      <c r="R270" s="189"/>
      <c r="S270" s="189"/>
      <c r="T270" s="189"/>
      <c r="U270" s="189"/>
      <c r="V270" s="189"/>
      <c r="W270" s="189"/>
      <c r="X270" s="189"/>
    </row>
    <row r="271" spans="1:24">
      <c r="A271" s="189"/>
      <c r="B271" s="189"/>
      <c r="C271" s="189"/>
      <c r="D271" s="189"/>
      <c r="E271" s="189"/>
      <c r="F271" s="189"/>
      <c r="G271" s="189"/>
      <c r="H271" s="189"/>
      <c r="I271" s="189"/>
      <c r="J271" s="423"/>
      <c r="K271" s="189"/>
      <c r="M271" s="189"/>
      <c r="N271" s="189"/>
      <c r="R271" s="189"/>
      <c r="S271" s="189"/>
      <c r="T271" s="189"/>
      <c r="U271" s="189"/>
      <c r="V271" s="189"/>
      <c r="W271" s="189"/>
      <c r="X271" s="189"/>
    </row>
    <row r="272" spans="1:24">
      <c r="A272" s="189"/>
      <c r="B272" s="189"/>
      <c r="C272" s="189"/>
      <c r="D272" s="189"/>
      <c r="E272" s="189"/>
      <c r="F272" s="189"/>
      <c r="G272" s="189"/>
      <c r="H272" s="189"/>
      <c r="I272" s="189"/>
      <c r="J272" s="423"/>
      <c r="K272" s="189"/>
      <c r="M272" s="189"/>
      <c r="N272" s="189"/>
      <c r="R272" s="189"/>
      <c r="S272" s="189"/>
      <c r="T272" s="189"/>
      <c r="U272" s="189"/>
      <c r="V272" s="189"/>
      <c r="W272" s="189"/>
      <c r="X272" s="189"/>
    </row>
    <row r="273" spans="1:24">
      <c r="A273" s="189"/>
      <c r="B273" s="189"/>
      <c r="C273" s="189"/>
      <c r="D273" s="189"/>
      <c r="E273" s="189"/>
      <c r="F273" s="189"/>
      <c r="G273" s="189"/>
      <c r="H273" s="189"/>
      <c r="I273" s="189"/>
      <c r="J273" s="423"/>
      <c r="K273" s="189"/>
      <c r="M273" s="189"/>
      <c r="N273" s="189"/>
      <c r="R273" s="189"/>
      <c r="S273" s="189"/>
      <c r="T273" s="189"/>
      <c r="U273" s="189"/>
      <c r="V273" s="189"/>
      <c r="W273" s="189"/>
      <c r="X273" s="189"/>
    </row>
    <row r="274" spans="1:24">
      <c r="A274" s="189"/>
      <c r="B274" s="189"/>
      <c r="C274" s="189"/>
      <c r="D274" s="189"/>
      <c r="E274" s="189"/>
      <c r="F274" s="189"/>
      <c r="G274" s="189"/>
      <c r="H274" s="189"/>
      <c r="I274" s="189"/>
      <c r="J274" s="423"/>
      <c r="K274" s="189"/>
      <c r="M274" s="189"/>
      <c r="N274" s="189"/>
      <c r="R274" s="189"/>
      <c r="S274" s="189"/>
      <c r="T274" s="189"/>
      <c r="U274" s="189"/>
      <c r="V274" s="189"/>
      <c r="W274" s="189"/>
      <c r="X274" s="189"/>
    </row>
    <row r="275" spans="1:24">
      <c r="A275" s="189"/>
      <c r="B275" s="189"/>
      <c r="C275" s="189"/>
      <c r="D275" s="189"/>
      <c r="E275" s="189"/>
      <c r="F275" s="189"/>
      <c r="G275" s="189"/>
      <c r="H275" s="189"/>
      <c r="I275" s="189"/>
      <c r="J275" s="423"/>
      <c r="K275" s="189"/>
      <c r="M275" s="189"/>
      <c r="N275" s="189"/>
      <c r="R275" s="189"/>
      <c r="S275" s="189"/>
      <c r="T275" s="189"/>
      <c r="U275" s="189"/>
      <c r="V275" s="189"/>
      <c r="W275" s="189"/>
      <c r="X275" s="189"/>
    </row>
    <row r="276" spans="1:24">
      <c r="A276" s="189"/>
      <c r="B276" s="189"/>
      <c r="C276" s="189"/>
      <c r="D276" s="189"/>
      <c r="E276" s="189"/>
      <c r="F276" s="189"/>
      <c r="G276" s="189"/>
      <c r="H276" s="189"/>
      <c r="I276" s="189"/>
      <c r="J276" s="423"/>
      <c r="K276" s="189"/>
      <c r="M276" s="189"/>
      <c r="N276" s="189"/>
      <c r="R276" s="189"/>
      <c r="S276" s="189"/>
      <c r="T276" s="189"/>
      <c r="U276" s="189"/>
      <c r="V276" s="189"/>
      <c r="W276" s="189"/>
      <c r="X276" s="189"/>
    </row>
    <row r="277" spans="1:24">
      <c r="A277" s="189"/>
      <c r="B277" s="189"/>
      <c r="C277" s="189"/>
      <c r="D277" s="189"/>
      <c r="E277" s="189"/>
      <c r="F277" s="189"/>
      <c r="G277" s="189"/>
      <c r="H277" s="189"/>
      <c r="I277" s="189"/>
      <c r="J277" s="423"/>
      <c r="K277" s="189"/>
      <c r="M277" s="189"/>
      <c r="N277" s="189"/>
      <c r="R277" s="189"/>
      <c r="S277" s="189"/>
      <c r="T277" s="189"/>
      <c r="U277" s="189"/>
      <c r="V277" s="189"/>
      <c r="W277" s="189"/>
      <c r="X277" s="189"/>
    </row>
    <row r="278" spans="1:24">
      <c r="A278" s="189"/>
      <c r="B278" s="189"/>
      <c r="C278" s="189"/>
      <c r="D278" s="189"/>
      <c r="E278" s="189"/>
      <c r="F278" s="189"/>
      <c r="G278" s="189"/>
      <c r="H278" s="189"/>
      <c r="I278" s="189"/>
      <c r="J278" s="423"/>
      <c r="K278" s="189"/>
      <c r="M278" s="189"/>
      <c r="N278" s="189"/>
      <c r="R278" s="189"/>
      <c r="S278" s="189"/>
      <c r="T278" s="189"/>
      <c r="U278" s="189"/>
      <c r="V278" s="189"/>
      <c r="W278" s="189"/>
      <c r="X278" s="189"/>
    </row>
    <row r="279" spans="1:24">
      <c r="A279" s="189"/>
      <c r="B279" s="189"/>
      <c r="C279" s="189"/>
      <c r="D279" s="189"/>
      <c r="E279" s="189"/>
      <c r="F279" s="189"/>
      <c r="G279" s="189"/>
      <c r="H279" s="189"/>
      <c r="I279" s="189"/>
      <c r="J279" s="423"/>
      <c r="K279" s="189"/>
      <c r="M279" s="189"/>
      <c r="N279" s="189"/>
      <c r="R279" s="189"/>
      <c r="S279" s="189"/>
      <c r="T279" s="189"/>
      <c r="U279" s="189"/>
      <c r="V279" s="189"/>
      <c r="W279" s="189"/>
      <c r="X279" s="189"/>
    </row>
    <row r="280" spans="1:24">
      <c r="A280" s="189"/>
      <c r="B280" s="189"/>
      <c r="C280" s="189"/>
      <c r="D280" s="189"/>
      <c r="E280" s="189"/>
      <c r="F280" s="189"/>
      <c r="G280" s="189"/>
      <c r="H280" s="189"/>
      <c r="I280" s="189"/>
      <c r="J280" s="423"/>
      <c r="K280" s="189"/>
      <c r="M280" s="189"/>
      <c r="N280" s="189"/>
      <c r="R280" s="189"/>
      <c r="S280" s="189"/>
      <c r="T280" s="189"/>
      <c r="U280" s="189"/>
      <c r="V280" s="189"/>
      <c r="W280" s="189"/>
      <c r="X280" s="189"/>
    </row>
    <row r="281" spans="1:24">
      <c r="A281" s="189"/>
      <c r="B281" s="189"/>
      <c r="C281" s="189"/>
      <c r="D281" s="189"/>
      <c r="E281" s="189"/>
      <c r="F281" s="189"/>
      <c r="G281" s="189"/>
      <c r="H281" s="189"/>
      <c r="I281" s="189"/>
      <c r="J281" s="423"/>
      <c r="K281" s="189"/>
      <c r="M281" s="189"/>
      <c r="N281" s="189"/>
      <c r="R281" s="189"/>
      <c r="S281" s="189"/>
      <c r="T281" s="189"/>
      <c r="U281" s="189"/>
      <c r="V281" s="189"/>
      <c r="W281" s="189"/>
      <c r="X281" s="189"/>
    </row>
    <row r="282" spans="1:24">
      <c r="A282" s="189"/>
      <c r="B282" s="189"/>
      <c r="C282" s="189"/>
      <c r="D282" s="189"/>
      <c r="E282" s="189"/>
      <c r="F282" s="189"/>
      <c r="G282" s="189"/>
      <c r="H282" s="189"/>
      <c r="I282" s="189"/>
      <c r="J282" s="423"/>
      <c r="K282" s="189"/>
      <c r="M282" s="189"/>
      <c r="N282" s="189"/>
      <c r="R282" s="189"/>
      <c r="S282" s="189"/>
      <c r="T282" s="189"/>
      <c r="U282" s="189"/>
      <c r="V282" s="189"/>
      <c r="W282" s="189"/>
      <c r="X282" s="189"/>
    </row>
    <row r="283" spans="1:24">
      <c r="A283" s="189"/>
      <c r="B283" s="189"/>
      <c r="C283" s="189"/>
      <c r="D283" s="189"/>
      <c r="E283" s="189"/>
      <c r="F283" s="189"/>
      <c r="G283" s="189"/>
      <c r="H283" s="189"/>
      <c r="I283" s="189"/>
      <c r="J283" s="423"/>
      <c r="K283" s="189"/>
      <c r="M283" s="189"/>
      <c r="N283" s="189"/>
      <c r="R283" s="189"/>
      <c r="S283" s="189"/>
      <c r="T283" s="189"/>
      <c r="U283" s="189"/>
      <c r="V283" s="189"/>
      <c r="W283" s="189"/>
      <c r="X283" s="189"/>
    </row>
    <row r="284" spans="1:24">
      <c r="A284" s="189"/>
      <c r="B284" s="189"/>
      <c r="C284" s="189"/>
      <c r="D284" s="189"/>
      <c r="E284" s="189"/>
      <c r="F284" s="189"/>
      <c r="G284" s="189"/>
      <c r="H284" s="189"/>
      <c r="I284" s="189"/>
      <c r="J284" s="423"/>
      <c r="K284" s="189"/>
      <c r="M284" s="189"/>
      <c r="N284" s="189"/>
      <c r="R284" s="189"/>
      <c r="S284" s="189"/>
      <c r="T284" s="189"/>
      <c r="U284" s="189"/>
      <c r="V284" s="189"/>
      <c r="W284" s="189"/>
      <c r="X284" s="189"/>
    </row>
    <row r="285" spans="1:24">
      <c r="A285" s="189"/>
      <c r="B285" s="189"/>
      <c r="C285" s="189"/>
      <c r="D285" s="189"/>
      <c r="E285" s="189"/>
      <c r="F285" s="189"/>
      <c r="G285" s="189"/>
      <c r="H285" s="189"/>
      <c r="I285" s="189"/>
      <c r="J285" s="423"/>
      <c r="K285" s="189"/>
      <c r="M285" s="189"/>
      <c r="N285" s="189"/>
      <c r="R285" s="189"/>
      <c r="S285" s="189"/>
      <c r="T285" s="189"/>
      <c r="U285" s="189"/>
      <c r="V285" s="189"/>
      <c r="W285" s="189"/>
      <c r="X285" s="189"/>
    </row>
    <row r="286" spans="1:24">
      <c r="A286" s="189"/>
      <c r="B286" s="189"/>
      <c r="C286" s="189"/>
      <c r="D286" s="189"/>
      <c r="E286" s="189"/>
      <c r="F286" s="189"/>
      <c r="G286" s="189"/>
      <c r="H286" s="189"/>
      <c r="I286" s="189"/>
      <c r="J286" s="423"/>
      <c r="K286" s="189"/>
      <c r="M286" s="189"/>
      <c r="N286" s="189"/>
      <c r="R286" s="189"/>
      <c r="S286" s="189"/>
      <c r="T286" s="189"/>
      <c r="U286" s="189"/>
      <c r="V286" s="189"/>
      <c r="W286" s="189"/>
      <c r="X286" s="189"/>
    </row>
    <row r="287" spans="1:24">
      <c r="A287" s="189"/>
      <c r="B287" s="189"/>
      <c r="C287" s="189"/>
      <c r="D287" s="189"/>
      <c r="E287" s="189"/>
      <c r="F287" s="189"/>
      <c r="G287" s="189"/>
      <c r="H287" s="189"/>
      <c r="I287" s="189"/>
      <c r="J287" s="423"/>
      <c r="K287" s="189"/>
      <c r="M287" s="189"/>
      <c r="N287" s="189"/>
      <c r="R287" s="189"/>
      <c r="S287" s="189"/>
      <c r="T287" s="189"/>
      <c r="U287" s="189"/>
      <c r="V287" s="189"/>
      <c r="W287" s="189"/>
      <c r="X287" s="189"/>
    </row>
    <row r="288" spans="1:24">
      <c r="A288" s="189"/>
      <c r="B288" s="189"/>
      <c r="C288" s="189"/>
      <c r="D288" s="189"/>
      <c r="E288" s="189"/>
      <c r="F288" s="189"/>
      <c r="G288" s="189"/>
      <c r="H288" s="189"/>
      <c r="I288" s="189"/>
      <c r="J288" s="423"/>
      <c r="K288" s="189"/>
      <c r="M288" s="189"/>
      <c r="N288" s="189"/>
      <c r="R288" s="189"/>
      <c r="S288" s="189"/>
      <c r="T288" s="189"/>
      <c r="U288" s="189"/>
      <c r="V288" s="189"/>
      <c r="W288" s="189"/>
      <c r="X288" s="189"/>
    </row>
    <row r="289" spans="1:24">
      <c r="A289" s="189"/>
      <c r="B289" s="189"/>
      <c r="C289" s="189"/>
      <c r="D289" s="189"/>
      <c r="E289" s="189"/>
      <c r="F289" s="189"/>
      <c r="G289" s="189"/>
      <c r="H289" s="189"/>
      <c r="I289" s="189"/>
      <c r="J289" s="423"/>
      <c r="K289" s="189"/>
      <c r="M289" s="189"/>
      <c r="N289" s="189"/>
      <c r="R289" s="189"/>
      <c r="S289" s="189"/>
      <c r="T289" s="189"/>
      <c r="U289" s="189"/>
      <c r="V289" s="189"/>
      <c r="W289" s="189"/>
      <c r="X289" s="189"/>
    </row>
    <row r="290" spans="1:24">
      <c r="A290" s="189"/>
      <c r="B290" s="189"/>
      <c r="C290" s="189"/>
      <c r="D290" s="189"/>
      <c r="E290" s="189"/>
      <c r="F290" s="189"/>
      <c r="G290" s="189"/>
      <c r="H290" s="189"/>
      <c r="I290" s="189"/>
      <c r="J290" s="423"/>
      <c r="K290" s="189"/>
      <c r="M290" s="189"/>
      <c r="N290" s="189"/>
      <c r="R290" s="189"/>
      <c r="S290" s="189"/>
      <c r="T290" s="189"/>
      <c r="U290" s="189"/>
      <c r="V290" s="189"/>
      <c r="W290" s="189"/>
      <c r="X290" s="189"/>
    </row>
    <row r="291" spans="1:24">
      <c r="A291" s="189"/>
      <c r="B291" s="189"/>
      <c r="C291" s="189"/>
      <c r="D291" s="189"/>
      <c r="E291" s="189"/>
      <c r="F291" s="189"/>
      <c r="G291" s="189"/>
      <c r="H291" s="189"/>
      <c r="I291" s="189"/>
      <c r="J291" s="423"/>
      <c r="K291" s="189"/>
      <c r="M291" s="189"/>
      <c r="N291" s="189"/>
      <c r="R291" s="189"/>
      <c r="S291" s="189"/>
      <c r="T291" s="189"/>
      <c r="U291" s="189"/>
      <c r="V291" s="189"/>
      <c r="W291" s="189"/>
      <c r="X291" s="189"/>
    </row>
    <row r="292" spans="1:24">
      <c r="A292" s="189"/>
      <c r="B292" s="189"/>
      <c r="C292" s="189"/>
      <c r="D292" s="189"/>
      <c r="E292" s="189"/>
      <c r="F292" s="189"/>
      <c r="G292" s="189"/>
      <c r="H292" s="189"/>
      <c r="I292" s="189"/>
      <c r="J292" s="423"/>
      <c r="K292" s="189"/>
      <c r="M292" s="189"/>
      <c r="N292" s="189"/>
      <c r="R292" s="189"/>
      <c r="S292" s="189"/>
      <c r="T292" s="189"/>
      <c r="U292" s="189"/>
      <c r="V292" s="189"/>
      <c r="W292" s="189"/>
      <c r="X292" s="189"/>
    </row>
    <row r="293" spans="1:24">
      <c r="A293" s="189"/>
      <c r="B293" s="189"/>
      <c r="C293" s="189"/>
      <c r="D293" s="189"/>
      <c r="E293" s="189"/>
      <c r="F293" s="189"/>
      <c r="G293" s="189"/>
      <c r="H293" s="189"/>
      <c r="I293" s="189"/>
      <c r="J293" s="423"/>
      <c r="K293" s="189"/>
      <c r="M293" s="189"/>
      <c r="N293" s="189"/>
      <c r="R293" s="189"/>
      <c r="S293" s="189"/>
      <c r="T293" s="189"/>
      <c r="U293" s="189"/>
      <c r="V293" s="189"/>
      <c r="W293" s="189"/>
      <c r="X293" s="189"/>
    </row>
    <row r="294" spans="1:24">
      <c r="A294" s="189"/>
      <c r="B294" s="189"/>
      <c r="C294" s="189"/>
      <c r="D294" s="189"/>
      <c r="E294" s="189"/>
      <c r="F294" s="189"/>
      <c r="G294" s="189"/>
      <c r="H294" s="189"/>
      <c r="I294" s="189"/>
      <c r="J294" s="423"/>
      <c r="K294" s="189"/>
      <c r="M294" s="189"/>
      <c r="N294" s="189"/>
      <c r="R294" s="189"/>
      <c r="S294" s="189"/>
      <c r="T294" s="189"/>
      <c r="U294" s="189"/>
      <c r="V294" s="189"/>
      <c r="W294" s="189"/>
      <c r="X294" s="189"/>
    </row>
    <row r="295" spans="1:24">
      <c r="A295" s="189"/>
      <c r="B295" s="189"/>
      <c r="C295" s="189"/>
      <c r="D295" s="189"/>
      <c r="E295" s="189"/>
      <c r="F295" s="189"/>
      <c r="G295" s="189"/>
      <c r="H295" s="189"/>
      <c r="I295" s="189"/>
      <c r="J295" s="423"/>
      <c r="K295" s="189"/>
      <c r="M295" s="189"/>
      <c r="N295" s="189"/>
      <c r="R295" s="189"/>
      <c r="S295" s="189"/>
      <c r="T295" s="189"/>
      <c r="U295" s="189"/>
      <c r="V295" s="189"/>
      <c r="W295" s="189"/>
      <c r="X295" s="189"/>
    </row>
    <row r="296" spans="1:24">
      <c r="A296" s="189"/>
      <c r="B296" s="189"/>
      <c r="C296" s="189"/>
      <c r="D296" s="189"/>
      <c r="E296" s="189"/>
      <c r="F296" s="189"/>
      <c r="G296" s="189"/>
      <c r="H296" s="189"/>
      <c r="I296" s="189"/>
      <c r="J296" s="423"/>
      <c r="K296" s="189"/>
      <c r="M296" s="189"/>
      <c r="N296" s="189"/>
      <c r="R296" s="189"/>
      <c r="S296" s="189"/>
      <c r="T296" s="189"/>
      <c r="U296" s="189"/>
      <c r="V296" s="189"/>
      <c r="W296" s="189"/>
      <c r="X296" s="189"/>
    </row>
    <row r="297" spans="1:24">
      <c r="A297" s="189"/>
      <c r="B297" s="189"/>
      <c r="C297" s="189"/>
      <c r="D297" s="189"/>
      <c r="E297" s="189"/>
      <c r="F297" s="189"/>
      <c r="G297" s="189"/>
      <c r="H297" s="189"/>
      <c r="I297" s="189"/>
      <c r="J297" s="423"/>
      <c r="K297" s="189"/>
      <c r="M297" s="189"/>
      <c r="N297" s="189"/>
      <c r="R297" s="189"/>
      <c r="S297" s="189"/>
      <c r="T297" s="189"/>
      <c r="U297" s="189"/>
      <c r="V297" s="189"/>
      <c r="W297" s="189"/>
      <c r="X297" s="189"/>
    </row>
    <row r="298" spans="1:24">
      <c r="A298" s="189"/>
      <c r="B298" s="189"/>
      <c r="C298" s="189"/>
      <c r="D298" s="189"/>
      <c r="E298" s="189"/>
      <c r="F298" s="189"/>
      <c r="G298" s="189"/>
      <c r="H298" s="189"/>
      <c r="I298" s="189"/>
      <c r="J298" s="423"/>
      <c r="K298" s="189"/>
      <c r="M298" s="189"/>
      <c r="N298" s="189"/>
      <c r="R298" s="189"/>
      <c r="S298" s="189"/>
      <c r="T298" s="189"/>
      <c r="U298" s="189"/>
      <c r="V298" s="189"/>
      <c r="W298" s="189"/>
      <c r="X298" s="189"/>
    </row>
    <row r="299" spans="1:24">
      <c r="A299" s="189"/>
      <c r="B299" s="189"/>
      <c r="C299" s="189"/>
      <c r="D299" s="189"/>
      <c r="E299" s="189"/>
      <c r="F299" s="189"/>
      <c r="G299" s="189"/>
      <c r="H299" s="189"/>
      <c r="I299" s="189"/>
      <c r="J299" s="423"/>
      <c r="K299" s="189"/>
      <c r="M299" s="189"/>
      <c r="N299" s="189"/>
      <c r="R299" s="189"/>
      <c r="S299" s="189"/>
      <c r="T299" s="189"/>
      <c r="U299" s="189"/>
      <c r="V299" s="189"/>
      <c r="W299" s="189"/>
      <c r="X299" s="189"/>
    </row>
    <row r="300" spans="1:24">
      <c r="A300" s="189"/>
      <c r="B300" s="189"/>
      <c r="C300" s="189"/>
      <c r="D300" s="189"/>
      <c r="E300" s="189"/>
      <c r="F300" s="189"/>
      <c r="G300" s="189"/>
      <c r="H300" s="189"/>
      <c r="I300" s="189"/>
      <c r="J300" s="423"/>
      <c r="K300" s="189"/>
      <c r="M300" s="189"/>
      <c r="N300" s="189"/>
      <c r="R300" s="189"/>
      <c r="S300" s="189"/>
      <c r="T300" s="189"/>
      <c r="U300" s="189"/>
      <c r="V300" s="189"/>
      <c r="W300" s="189"/>
      <c r="X300" s="189"/>
    </row>
    <row r="301" spans="1:24">
      <c r="A301" s="189"/>
      <c r="B301" s="189"/>
      <c r="C301" s="189"/>
      <c r="D301" s="189"/>
      <c r="E301" s="189"/>
      <c r="F301" s="189"/>
      <c r="G301" s="189"/>
      <c r="H301" s="189"/>
      <c r="I301" s="189"/>
      <c r="J301" s="423"/>
      <c r="K301" s="189"/>
      <c r="M301" s="189"/>
      <c r="N301" s="189"/>
      <c r="R301" s="189"/>
      <c r="S301" s="189"/>
      <c r="T301" s="189"/>
      <c r="U301" s="189"/>
      <c r="V301" s="189"/>
      <c r="W301" s="189"/>
      <c r="X301" s="189"/>
    </row>
    <row r="302" spans="1:24">
      <c r="A302" s="189"/>
      <c r="B302" s="189"/>
      <c r="C302" s="189"/>
      <c r="D302" s="189"/>
      <c r="E302" s="189"/>
      <c r="F302" s="189"/>
      <c r="G302" s="189"/>
      <c r="H302" s="189"/>
      <c r="I302" s="189"/>
      <c r="J302" s="423"/>
      <c r="K302" s="189"/>
      <c r="M302" s="189"/>
      <c r="N302" s="189"/>
      <c r="R302" s="189"/>
      <c r="S302" s="189"/>
      <c r="T302" s="189"/>
      <c r="U302" s="189"/>
      <c r="V302" s="189"/>
      <c r="W302" s="189"/>
      <c r="X302" s="189"/>
    </row>
    <row r="303" spans="1:24">
      <c r="A303" s="189"/>
      <c r="B303" s="189"/>
      <c r="C303" s="189"/>
      <c r="D303" s="189"/>
      <c r="E303" s="189"/>
      <c r="F303" s="189"/>
      <c r="G303" s="189"/>
      <c r="H303" s="189"/>
      <c r="I303" s="189"/>
      <c r="J303" s="423"/>
      <c r="K303" s="189"/>
      <c r="M303" s="189"/>
      <c r="N303" s="189"/>
      <c r="R303" s="189"/>
      <c r="S303" s="189"/>
      <c r="T303" s="189"/>
      <c r="U303" s="189"/>
      <c r="V303" s="189"/>
      <c r="W303" s="189"/>
      <c r="X303" s="189"/>
    </row>
    <row r="304" spans="1:24">
      <c r="A304" s="189"/>
      <c r="B304" s="189"/>
      <c r="C304" s="189"/>
      <c r="D304" s="189"/>
      <c r="E304" s="189"/>
      <c r="F304" s="189"/>
      <c r="G304" s="189"/>
      <c r="H304" s="189"/>
      <c r="I304" s="189"/>
      <c r="J304" s="423"/>
      <c r="K304" s="189"/>
      <c r="M304" s="189"/>
      <c r="N304" s="189"/>
      <c r="R304" s="189"/>
      <c r="S304" s="189"/>
      <c r="T304" s="189"/>
      <c r="U304" s="189"/>
      <c r="V304" s="189"/>
      <c r="W304" s="189"/>
      <c r="X304" s="189"/>
    </row>
    <row r="305" spans="1:24">
      <c r="A305" s="189"/>
      <c r="B305" s="189"/>
      <c r="C305" s="189"/>
      <c r="D305" s="189"/>
      <c r="E305" s="189"/>
      <c r="F305" s="189"/>
      <c r="G305" s="189"/>
      <c r="H305" s="189"/>
      <c r="I305" s="189"/>
      <c r="J305" s="423"/>
      <c r="K305" s="189"/>
      <c r="M305" s="189"/>
      <c r="N305" s="189"/>
      <c r="R305" s="189"/>
      <c r="S305" s="189"/>
      <c r="T305" s="189"/>
      <c r="U305" s="189"/>
      <c r="V305" s="189"/>
      <c r="W305" s="189"/>
      <c r="X305" s="189"/>
    </row>
    <row r="306" spans="1:24">
      <c r="A306" s="189"/>
      <c r="B306" s="189"/>
      <c r="C306" s="189"/>
      <c r="D306" s="189"/>
      <c r="E306" s="189"/>
      <c r="F306" s="189"/>
      <c r="G306" s="189"/>
      <c r="H306" s="189"/>
      <c r="I306" s="189"/>
      <c r="J306" s="423"/>
      <c r="K306" s="189"/>
      <c r="M306" s="189"/>
      <c r="N306" s="189"/>
      <c r="R306" s="189"/>
      <c r="S306" s="189"/>
      <c r="T306" s="189"/>
      <c r="U306" s="189"/>
      <c r="V306" s="189"/>
      <c r="W306" s="189"/>
      <c r="X306" s="189"/>
    </row>
    <row r="307" spans="1:24">
      <c r="A307" s="189"/>
      <c r="B307" s="189"/>
      <c r="C307" s="189"/>
      <c r="D307" s="189"/>
      <c r="E307" s="189"/>
      <c r="F307" s="189"/>
      <c r="G307" s="189"/>
      <c r="H307" s="189"/>
      <c r="I307" s="189"/>
      <c r="J307" s="423"/>
      <c r="K307" s="189"/>
      <c r="M307" s="189"/>
      <c r="N307" s="189"/>
      <c r="R307" s="189"/>
      <c r="S307" s="189"/>
      <c r="T307" s="189"/>
      <c r="U307" s="189"/>
      <c r="V307" s="189"/>
      <c r="W307" s="189"/>
      <c r="X307" s="189"/>
    </row>
    <row r="308" spans="1:24">
      <c r="A308" s="189"/>
      <c r="B308" s="189"/>
      <c r="C308" s="189"/>
      <c r="D308" s="189"/>
      <c r="E308" s="189"/>
      <c r="F308" s="189"/>
      <c r="G308" s="189"/>
      <c r="H308" s="189"/>
      <c r="I308" s="189"/>
      <c r="J308" s="423"/>
      <c r="K308" s="189"/>
      <c r="M308" s="189"/>
      <c r="N308" s="189"/>
      <c r="R308" s="189"/>
      <c r="S308" s="189"/>
      <c r="T308" s="189"/>
      <c r="U308" s="189"/>
      <c r="V308" s="189"/>
      <c r="W308" s="189"/>
      <c r="X308" s="189"/>
    </row>
    <row r="309" spans="1:24">
      <c r="A309" s="189"/>
      <c r="B309" s="189"/>
      <c r="C309" s="189"/>
      <c r="D309" s="189"/>
      <c r="E309" s="189"/>
      <c r="F309" s="189"/>
      <c r="G309" s="189"/>
      <c r="H309" s="189"/>
      <c r="I309" s="189"/>
      <c r="J309" s="423"/>
      <c r="K309" s="189"/>
      <c r="M309" s="189"/>
      <c r="N309" s="189"/>
      <c r="R309" s="189"/>
      <c r="S309" s="189"/>
      <c r="T309" s="189"/>
      <c r="U309" s="189"/>
      <c r="V309" s="189"/>
      <c r="W309" s="189"/>
      <c r="X309" s="189"/>
    </row>
    <row r="310" spans="1:24">
      <c r="A310" s="189"/>
      <c r="B310" s="189"/>
      <c r="C310" s="189"/>
      <c r="D310" s="189"/>
      <c r="E310" s="189"/>
      <c r="F310" s="189"/>
      <c r="G310" s="189"/>
      <c r="H310" s="189"/>
      <c r="I310" s="189"/>
      <c r="J310" s="423"/>
      <c r="K310" s="189"/>
      <c r="M310" s="189"/>
      <c r="N310" s="189"/>
      <c r="R310" s="189"/>
      <c r="S310" s="189"/>
      <c r="T310" s="189"/>
      <c r="U310" s="189"/>
      <c r="V310" s="189"/>
      <c r="W310" s="189"/>
      <c r="X310" s="189"/>
    </row>
    <row r="311" spans="1:24">
      <c r="A311" s="189"/>
      <c r="B311" s="189"/>
      <c r="C311" s="189"/>
      <c r="D311" s="189"/>
      <c r="E311" s="189"/>
      <c r="F311" s="189"/>
      <c r="G311" s="189"/>
      <c r="H311" s="189"/>
      <c r="I311" s="189"/>
      <c r="J311" s="423"/>
      <c r="K311" s="189"/>
      <c r="M311" s="189"/>
      <c r="N311" s="189"/>
      <c r="R311" s="189"/>
      <c r="S311" s="189"/>
      <c r="T311" s="189"/>
      <c r="U311" s="189"/>
      <c r="V311" s="189"/>
      <c r="W311" s="189"/>
      <c r="X311" s="189"/>
    </row>
    <row r="312" spans="1:24">
      <c r="A312" s="189"/>
      <c r="B312" s="189"/>
      <c r="C312" s="189"/>
      <c r="D312" s="189"/>
      <c r="E312" s="189"/>
      <c r="F312" s="189"/>
      <c r="G312" s="189"/>
      <c r="H312" s="189"/>
      <c r="I312" s="189"/>
      <c r="J312" s="423"/>
      <c r="K312" s="189"/>
      <c r="M312" s="189"/>
      <c r="N312" s="189"/>
      <c r="R312" s="189"/>
      <c r="S312" s="189"/>
      <c r="T312" s="189"/>
      <c r="U312" s="189"/>
      <c r="V312" s="189"/>
      <c r="W312" s="189"/>
      <c r="X312" s="189"/>
    </row>
    <row r="313" spans="1:24">
      <c r="A313" s="189"/>
      <c r="B313" s="189"/>
      <c r="C313" s="189"/>
      <c r="D313" s="189"/>
      <c r="E313" s="189"/>
      <c r="F313" s="189"/>
      <c r="G313" s="189"/>
      <c r="H313" s="189"/>
      <c r="I313" s="189"/>
      <c r="J313" s="423"/>
      <c r="K313" s="189"/>
      <c r="M313" s="189"/>
      <c r="N313" s="189"/>
      <c r="R313" s="189"/>
      <c r="S313" s="189"/>
      <c r="T313" s="189"/>
      <c r="U313" s="189"/>
      <c r="V313" s="189"/>
      <c r="W313" s="189"/>
      <c r="X313" s="189"/>
    </row>
    <row r="314" spans="1:24">
      <c r="A314" s="189"/>
      <c r="B314" s="189"/>
      <c r="C314" s="189"/>
      <c r="D314" s="189"/>
      <c r="E314" s="189"/>
      <c r="F314" s="189"/>
      <c r="G314" s="189"/>
      <c r="H314" s="189"/>
      <c r="I314" s="189"/>
      <c r="J314" s="423"/>
      <c r="K314" s="189"/>
      <c r="M314" s="189"/>
      <c r="N314" s="189"/>
      <c r="R314" s="189"/>
      <c r="S314" s="189"/>
      <c r="T314" s="189"/>
      <c r="U314" s="189"/>
      <c r="V314" s="189"/>
      <c r="W314" s="189"/>
      <c r="X314" s="189"/>
    </row>
    <row r="315" spans="1:24">
      <c r="A315" s="189"/>
      <c r="B315" s="189"/>
      <c r="C315" s="189"/>
      <c r="D315" s="189"/>
      <c r="E315" s="189"/>
      <c r="F315" s="189"/>
      <c r="G315" s="189"/>
      <c r="H315" s="189"/>
      <c r="I315" s="189"/>
      <c r="J315" s="423"/>
      <c r="K315" s="189"/>
      <c r="M315" s="189"/>
      <c r="N315" s="189"/>
      <c r="R315" s="189"/>
      <c r="S315" s="189"/>
      <c r="T315" s="189"/>
      <c r="U315" s="189"/>
      <c r="V315" s="189"/>
      <c r="W315" s="189"/>
      <c r="X315" s="189"/>
    </row>
    <row r="316" spans="1:24">
      <c r="A316" s="189"/>
      <c r="B316" s="189"/>
      <c r="C316" s="189"/>
      <c r="D316" s="189"/>
      <c r="E316" s="189"/>
      <c r="F316" s="189"/>
      <c r="G316" s="189"/>
      <c r="H316" s="189"/>
      <c r="I316" s="189"/>
      <c r="J316" s="423"/>
      <c r="K316" s="189"/>
      <c r="M316" s="189"/>
      <c r="N316" s="189"/>
      <c r="R316" s="189"/>
      <c r="S316" s="189"/>
      <c r="T316" s="189"/>
      <c r="U316" s="189"/>
      <c r="V316" s="189"/>
      <c r="W316" s="189"/>
      <c r="X316" s="189"/>
    </row>
    <row r="317" spans="1:24">
      <c r="A317" s="189"/>
      <c r="B317" s="189"/>
      <c r="C317" s="189"/>
      <c r="D317" s="189"/>
      <c r="E317" s="189"/>
      <c r="F317" s="189"/>
      <c r="G317" s="189"/>
      <c r="H317" s="189"/>
      <c r="I317" s="189"/>
      <c r="J317" s="423"/>
      <c r="K317" s="189"/>
      <c r="M317" s="189"/>
      <c r="N317" s="189"/>
      <c r="R317" s="189"/>
      <c r="S317" s="189"/>
      <c r="T317" s="189"/>
      <c r="U317" s="189"/>
      <c r="V317" s="189"/>
      <c r="W317" s="189"/>
      <c r="X317" s="189"/>
    </row>
    <row r="318" spans="1:24">
      <c r="A318" s="189"/>
      <c r="B318" s="189"/>
      <c r="C318" s="189"/>
      <c r="D318" s="189"/>
      <c r="E318" s="189"/>
      <c r="F318" s="189"/>
      <c r="G318" s="189"/>
      <c r="H318" s="189"/>
      <c r="I318" s="189"/>
      <c r="J318" s="423"/>
      <c r="K318" s="189"/>
      <c r="M318" s="189"/>
      <c r="N318" s="189"/>
      <c r="R318" s="189"/>
      <c r="S318" s="189"/>
      <c r="T318" s="189"/>
      <c r="U318" s="189"/>
      <c r="V318" s="189"/>
      <c r="W318" s="189"/>
      <c r="X318" s="189"/>
    </row>
    <row r="319" spans="1:24">
      <c r="A319" s="189"/>
      <c r="B319" s="189"/>
      <c r="C319" s="189"/>
      <c r="D319" s="189"/>
      <c r="E319" s="189"/>
      <c r="F319" s="189"/>
      <c r="G319" s="189"/>
      <c r="H319" s="189"/>
      <c r="I319" s="189"/>
      <c r="J319" s="423"/>
      <c r="K319" s="189"/>
      <c r="M319" s="189"/>
      <c r="N319" s="189"/>
      <c r="R319" s="189"/>
      <c r="S319" s="189"/>
      <c r="T319" s="189"/>
      <c r="U319" s="189"/>
      <c r="V319" s="189"/>
      <c r="W319" s="189"/>
      <c r="X319" s="189"/>
    </row>
    <row r="320" spans="1:24">
      <c r="A320" s="189"/>
      <c r="B320" s="189"/>
      <c r="C320" s="189"/>
      <c r="D320" s="189"/>
      <c r="E320" s="189"/>
      <c r="F320" s="189"/>
      <c r="G320" s="189"/>
      <c r="H320" s="189"/>
      <c r="I320" s="189"/>
      <c r="J320" s="423"/>
      <c r="K320" s="189"/>
      <c r="M320" s="189"/>
      <c r="N320" s="189"/>
      <c r="R320" s="189"/>
      <c r="S320" s="189"/>
      <c r="T320" s="189"/>
      <c r="U320" s="189"/>
      <c r="V320" s="189"/>
      <c r="W320" s="189"/>
      <c r="X320" s="189"/>
    </row>
    <row r="321" spans="1:24">
      <c r="A321" s="189"/>
      <c r="B321" s="189"/>
      <c r="C321" s="189"/>
      <c r="D321" s="189"/>
      <c r="E321" s="189"/>
      <c r="F321" s="189"/>
      <c r="G321" s="189"/>
      <c r="H321" s="189"/>
      <c r="I321" s="189"/>
      <c r="J321" s="423"/>
      <c r="K321" s="189"/>
      <c r="M321" s="189"/>
      <c r="N321" s="189"/>
      <c r="R321" s="189"/>
      <c r="S321" s="189"/>
      <c r="T321" s="189"/>
      <c r="U321" s="189"/>
      <c r="V321" s="189"/>
      <c r="W321" s="189"/>
      <c r="X321" s="189"/>
    </row>
    <row r="322" spans="1:24">
      <c r="A322" s="189"/>
      <c r="B322" s="189"/>
      <c r="C322" s="189"/>
      <c r="D322" s="189"/>
      <c r="E322" s="189"/>
      <c r="F322" s="189"/>
      <c r="G322" s="189"/>
      <c r="H322" s="189"/>
      <c r="I322" s="189"/>
      <c r="J322" s="423"/>
      <c r="K322" s="189"/>
      <c r="M322" s="189"/>
      <c r="N322" s="189"/>
      <c r="R322" s="189"/>
      <c r="S322" s="189"/>
      <c r="T322" s="189"/>
      <c r="U322" s="189"/>
      <c r="V322" s="189"/>
      <c r="W322" s="189"/>
      <c r="X322" s="189"/>
    </row>
    <row r="323" spans="1:24">
      <c r="A323" s="189"/>
      <c r="B323" s="189"/>
      <c r="C323" s="189"/>
      <c r="D323" s="189"/>
      <c r="E323" s="189"/>
      <c r="F323" s="189"/>
      <c r="G323" s="189"/>
      <c r="H323" s="189"/>
      <c r="I323" s="189"/>
      <c r="J323" s="423"/>
      <c r="K323" s="189"/>
      <c r="M323" s="189"/>
      <c r="N323" s="189"/>
      <c r="R323" s="189"/>
      <c r="S323" s="189"/>
      <c r="T323" s="189"/>
      <c r="U323" s="189"/>
      <c r="V323" s="189"/>
      <c r="W323" s="189"/>
      <c r="X323" s="189"/>
    </row>
    <row r="324" spans="1:24">
      <c r="A324" s="189"/>
      <c r="B324" s="189"/>
      <c r="C324" s="189"/>
      <c r="D324" s="189"/>
      <c r="E324" s="189"/>
      <c r="F324" s="189"/>
      <c r="G324" s="189"/>
      <c r="H324" s="189"/>
      <c r="I324" s="189"/>
      <c r="J324" s="423"/>
      <c r="K324" s="189"/>
      <c r="M324" s="189"/>
      <c r="N324" s="189"/>
      <c r="R324" s="189"/>
      <c r="S324" s="189"/>
      <c r="T324" s="189"/>
      <c r="U324" s="189"/>
      <c r="V324" s="189"/>
      <c r="W324" s="189"/>
      <c r="X324" s="189"/>
    </row>
    <row r="325" spans="1:24">
      <c r="A325" s="189"/>
      <c r="B325" s="189"/>
      <c r="C325" s="189"/>
      <c r="D325" s="189"/>
      <c r="E325" s="189"/>
      <c r="F325" s="189"/>
      <c r="G325" s="189"/>
      <c r="H325" s="189"/>
      <c r="I325" s="189"/>
      <c r="J325" s="423"/>
      <c r="K325" s="189"/>
      <c r="M325" s="189"/>
      <c r="N325" s="189"/>
      <c r="R325" s="189"/>
      <c r="S325" s="189"/>
      <c r="T325" s="189"/>
      <c r="U325" s="189"/>
      <c r="V325" s="189"/>
      <c r="W325" s="189"/>
      <c r="X325" s="189"/>
    </row>
    <row r="326" spans="1:24">
      <c r="A326" s="189"/>
      <c r="B326" s="189"/>
      <c r="C326" s="189"/>
      <c r="D326" s="189"/>
      <c r="E326" s="189"/>
      <c r="F326" s="189"/>
      <c r="G326" s="189"/>
      <c r="H326" s="189"/>
      <c r="I326" s="189"/>
      <c r="J326" s="423"/>
      <c r="K326" s="189"/>
      <c r="M326" s="189"/>
      <c r="N326" s="189"/>
      <c r="R326" s="189"/>
      <c r="S326" s="189"/>
      <c r="T326" s="189"/>
      <c r="U326" s="189"/>
      <c r="V326" s="189"/>
      <c r="W326" s="189"/>
      <c r="X326" s="189"/>
    </row>
    <row r="327" spans="1:24">
      <c r="A327" s="189"/>
      <c r="B327" s="189"/>
      <c r="C327" s="189"/>
      <c r="D327" s="189"/>
      <c r="E327" s="189"/>
      <c r="F327" s="189"/>
      <c r="G327" s="189"/>
      <c r="H327" s="189"/>
      <c r="I327" s="189"/>
      <c r="J327" s="423"/>
      <c r="K327" s="189"/>
      <c r="M327" s="189"/>
      <c r="N327" s="189"/>
      <c r="R327" s="189"/>
      <c r="S327" s="189"/>
      <c r="T327" s="189"/>
      <c r="U327" s="189"/>
      <c r="V327" s="189"/>
      <c r="W327" s="189"/>
      <c r="X327" s="189"/>
    </row>
    <row r="328" spans="1:24">
      <c r="A328" s="189"/>
      <c r="B328" s="189"/>
      <c r="C328" s="189"/>
      <c r="D328" s="189"/>
      <c r="E328" s="189"/>
      <c r="F328" s="189"/>
      <c r="G328" s="189"/>
      <c r="H328" s="189"/>
      <c r="I328" s="189"/>
      <c r="J328" s="423"/>
      <c r="K328" s="189"/>
      <c r="M328" s="189"/>
      <c r="N328" s="189"/>
      <c r="R328" s="189"/>
      <c r="S328" s="189"/>
      <c r="T328" s="189"/>
      <c r="U328" s="189"/>
      <c r="V328" s="189"/>
      <c r="W328" s="189"/>
      <c r="X328" s="189"/>
    </row>
    <row r="329" spans="1:24">
      <c r="A329" s="189"/>
      <c r="B329" s="189"/>
      <c r="C329" s="189"/>
      <c r="D329" s="189"/>
      <c r="E329" s="189"/>
      <c r="F329" s="189"/>
      <c r="G329" s="189"/>
      <c r="H329" s="189"/>
      <c r="I329" s="189"/>
      <c r="J329" s="423"/>
      <c r="K329" s="189"/>
      <c r="M329" s="189"/>
      <c r="N329" s="189"/>
      <c r="R329" s="189"/>
      <c r="S329" s="189"/>
      <c r="T329" s="189"/>
      <c r="U329" s="189"/>
      <c r="V329" s="189"/>
      <c r="W329" s="189"/>
      <c r="X329" s="189"/>
    </row>
    <row r="330" spans="1:24">
      <c r="A330" s="189"/>
      <c r="B330" s="189"/>
      <c r="C330" s="189"/>
      <c r="D330" s="189"/>
      <c r="E330" s="189"/>
      <c r="F330" s="189"/>
      <c r="G330" s="189"/>
      <c r="H330" s="189"/>
      <c r="I330" s="189"/>
      <c r="J330" s="423"/>
      <c r="K330" s="189"/>
      <c r="M330" s="189"/>
      <c r="N330" s="189"/>
      <c r="R330" s="189"/>
      <c r="S330" s="189"/>
      <c r="T330" s="189"/>
      <c r="U330" s="189"/>
      <c r="V330" s="189"/>
      <c r="W330" s="189"/>
      <c r="X330" s="189"/>
    </row>
    <row r="331" spans="1:24">
      <c r="A331" s="189"/>
      <c r="B331" s="189"/>
      <c r="C331" s="189"/>
      <c r="D331" s="189"/>
      <c r="E331" s="189"/>
      <c r="F331" s="189"/>
      <c r="G331" s="189"/>
      <c r="H331" s="189"/>
      <c r="I331" s="189"/>
      <c r="J331" s="423"/>
      <c r="K331" s="189"/>
      <c r="M331" s="189"/>
      <c r="N331" s="189"/>
      <c r="R331" s="189"/>
      <c r="S331" s="189"/>
      <c r="T331" s="189"/>
      <c r="U331" s="189"/>
      <c r="V331" s="189"/>
      <c r="W331" s="189"/>
      <c r="X331" s="189"/>
    </row>
    <row r="332" spans="1:24">
      <c r="A332" s="189"/>
      <c r="B332" s="189"/>
      <c r="C332" s="189"/>
      <c r="D332" s="189"/>
      <c r="E332" s="189"/>
      <c r="F332" s="189"/>
      <c r="G332" s="189"/>
      <c r="H332" s="189"/>
      <c r="I332" s="189"/>
      <c r="J332" s="423"/>
      <c r="K332" s="189"/>
      <c r="M332" s="189"/>
      <c r="N332" s="189"/>
      <c r="R332" s="189"/>
      <c r="S332" s="189"/>
      <c r="T332" s="189"/>
      <c r="U332" s="189"/>
      <c r="V332" s="189"/>
      <c r="W332" s="189"/>
      <c r="X332" s="189"/>
    </row>
    <row r="333" spans="1:24">
      <c r="A333" s="189"/>
      <c r="B333" s="189"/>
      <c r="C333" s="189"/>
      <c r="D333" s="189"/>
      <c r="E333" s="189"/>
      <c r="F333" s="189"/>
      <c r="G333" s="189"/>
      <c r="H333" s="189"/>
      <c r="I333" s="189"/>
      <c r="J333" s="423"/>
      <c r="K333" s="189"/>
      <c r="M333" s="189"/>
      <c r="N333" s="189"/>
      <c r="R333" s="189"/>
      <c r="S333" s="189"/>
      <c r="T333" s="189"/>
      <c r="U333" s="189"/>
      <c r="V333" s="189"/>
      <c r="W333" s="189"/>
      <c r="X333" s="189"/>
    </row>
    <row r="334" spans="1:24">
      <c r="A334" s="189"/>
      <c r="B334" s="189"/>
      <c r="C334" s="189"/>
      <c r="D334" s="189"/>
      <c r="E334" s="189"/>
      <c r="F334" s="189"/>
      <c r="G334" s="189"/>
      <c r="H334" s="189"/>
      <c r="I334" s="189"/>
      <c r="J334" s="423"/>
      <c r="K334" s="189"/>
      <c r="M334" s="189"/>
      <c r="N334" s="189"/>
      <c r="R334" s="189"/>
      <c r="S334" s="189"/>
      <c r="T334" s="189"/>
      <c r="U334" s="189"/>
      <c r="V334" s="189"/>
      <c r="W334" s="189"/>
      <c r="X334" s="189"/>
    </row>
    <row r="335" spans="1:24">
      <c r="A335" s="189"/>
      <c r="B335" s="189"/>
      <c r="C335" s="189"/>
      <c r="D335" s="189"/>
      <c r="E335" s="189"/>
      <c r="F335" s="189"/>
      <c r="G335" s="189"/>
      <c r="H335" s="189"/>
      <c r="I335" s="189"/>
      <c r="J335" s="423"/>
      <c r="K335" s="189"/>
      <c r="M335" s="189"/>
      <c r="N335" s="189"/>
      <c r="R335" s="189"/>
      <c r="S335" s="189"/>
      <c r="T335" s="189"/>
      <c r="U335" s="189"/>
      <c r="V335" s="189"/>
      <c r="W335" s="189"/>
      <c r="X335" s="189"/>
    </row>
    <row r="336" spans="1:24">
      <c r="A336" s="189"/>
      <c r="B336" s="189"/>
      <c r="C336" s="189"/>
      <c r="D336" s="189"/>
      <c r="E336" s="189"/>
      <c r="F336" s="189"/>
      <c r="G336" s="189"/>
      <c r="H336" s="189"/>
      <c r="I336" s="189"/>
      <c r="J336" s="423"/>
      <c r="K336" s="189"/>
      <c r="M336" s="189"/>
      <c r="N336" s="189"/>
      <c r="R336" s="189"/>
      <c r="S336" s="189"/>
      <c r="T336" s="189"/>
      <c r="U336" s="189"/>
      <c r="V336" s="189"/>
      <c r="W336" s="189"/>
      <c r="X336" s="189"/>
    </row>
    <row r="337" spans="1:24">
      <c r="A337" s="189"/>
      <c r="B337" s="189"/>
      <c r="C337" s="189"/>
      <c r="D337" s="189"/>
      <c r="E337" s="189"/>
      <c r="F337" s="189"/>
      <c r="G337" s="189"/>
      <c r="H337" s="189"/>
      <c r="I337" s="189"/>
      <c r="J337" s="423"/>
      <c r="K337" s="189"/>
      <c r="M337" s="189"/>
      <c r="N337" s="189"/>
      <c r="R337" s="189"/>
      <c r="S337" s="189"/>
      <c r="T337" s="189"/>
      <c r="U337" s="189"/>
      <c r="V337" s="189"/>
      <c r="W337" s="189"/>
      <c r="X337" s="189"/>
    </row>
    <row r="338" spans="1:24">
      <c r="A338" s="189"/>
      <c r="B338" s="189"/>
      <c r="C338" s="189"/>
      <c r="D338" s="189"/>
      <c r="E338" s="189"/>
      <c r="F338" s="189"/>
      <c r="G338" s="189"/>
      <c r="H338" s="189"/>
      <c r="I338" s="189"/>
      <c r="J338" s="423"/>
      <c r="K338" s="189"/>
      <c r="M338" s="189"/>
      <c r="N338" s="189"/>
      <c r="R338" s="189"/>
      <c r="S338" s="189"/>
      <c r="T338" s="189"/>
      <c r="U338" s="189"/>
      <c r="V338" s="189"/>
      <c r="W338" s="189"/>
      <c r="X338" s="189"/>
    </row>
    <row r="339" spans="1:24">
      <c r="A339" s="189"/>
      <c r="B339" s="189"/>
      <c r="C339" s="189"/>
      <c r="D339" s="189"/>
      <c r="E339" s="189"/>
      <c r="F339" s="189"/>
      <c r="G339" s="189"/>
      <c r="H339" s="189"/>
      <c r="I339" s="189"/>
      <c r="J339" s="423"/>
      <c r="K339" s="189"/>
      <c r="M339" s="189"/>
      <c r="N339" s="189"/>
      <c r="R339" s="189"/>
      <c r="S339" s="189"/>
      <c r="T339" s="189"/>
      <c r="U339" s="189"/>
      <c r="V339" s="189"/>
      <c r="W339" s="189"/>
      <c r="X339" s="189"/>
    </row>
    <row r="340" spans="1:24">
      <c r="A340" s="189"/>
      <c r="B340" s="189"/>
      <c r="C340" s="189"/>
      <c r="D340" s="189"/>
      <c r="E340" s="189"/>
      <c r="F340" s="189"/>
      <c r="G340" s="189"/>
      <c r="H340" s="189"/>
      <c r="I340" s="189"/>
      <c r="J340" s="423"/>
      <c r="K340" s="189"/>
      <c r="M340" s="189"/>
      <c r="N340" s="189"/>
      <c r="R340" s="189"/>
      <c r="S340" s="189"/>
      <c r="T340" s="189"/>
      <c r="U340" s="189"/>
      <c r="V340" s="189"/>
      <c r="W340" s="189"/>
      <c r="X340" s="189"/>
    </row>
    <row r="341" spans="1:24">
      <c r="A341" s="189"/>
      <c r="B341" s="189"/>
      <c r="C341" s="189"/>
      <c r="D341" s="189"/>
      <c r="E341" s="189"/>
      <c r="F341" s="189"/>
      <c r="G341" s="189"/>
      <c r="H341" s="189"/>
      <c r="I341" s="189"/>
      <c r="J341" s="423"/>
      <c r="K341" s="189"/>
      <c r="M341" s="189"/>
      <c r="N341" s="189"/>
      <c r="R341" s="189"/>
      <c r="S341" s="189"/>
      <c r="T341" s="189"/>
      <c r="U341" s="189"/>
      <c r="V341" s="189"/>
      <c r="W341" s="189"/>
      <c r="X341" s="189"/>
    </row>
    <row r="342" spans="1:24">
      <c r="A342" s="189"/>
      <c r="B342" s="189"/>
      <c r="C342" s="189"/>
      <c r="D342" s="189"/>
      <c r="E342" s="189"/>
      <c r="F342" s="189"/>
      <c r="G342" s="189"/>
      <c r="H342" s="189"/>
      <c r="I342" s="189"/>
      <c r="J342" s="423"/>
      <c r="K342" s="189"/>
      <c r="M342" s="189"/>
      <c r="N342" s="189"/>
      <c r="R342" s="189"/>
      <c r="S342" s="189"/>
      <c r="T342" s="189"/>
      <c r="U342" s="189"/>
      <c r="V342" s="189"/>
      <c r="W342" s="189"/>
      <c r="X342" s="189"/>
    </row>
    <row r="343" spans="1:24">
      <c r="A343" s="189"/>
      <c r="B343" s="189"/>
      <c r="C343" s="189"/>
      <c r="D343" s="189"/>
      <c r="E343" s="189"/>
      <c r="F343" s="189"/>
      <c r="G343" s="189"/>
      <c r="H343" s="189"/>
      <c r="I343" s="189"/>
      <c r="J343" s="423"/>
      <c r="K343" s="189"/>
      <c r="M343" s="189"/>
      <c r="N343" s="189"/>
      <c r="R343" s="189"/>
      <c r="S343" s="189"/>
      <c r="T343" s="189"/>
      <c r="U343" s="189"/>
      <c r="V343" s="189"/>
      <c r="W343" s="189"/>
      <c r="X343" s="189"/>
    </row>
    <row r="344" spans="1:24">
      <c r="A344" s="189"/>
      <c r="B344" s="189"/>
      <c r="C344" s="189"/>
      <c r="D344" s="189"/>
      <c r="E344" s="189"/>
      <c r="F344" s="189"/>
      <c r="G344" s="189"/>
      <c r="H344" s="189"/>
      <c r="I344" s="189"/>
      <c r="J344" s="423"/>
      <c r="K344" s="189"/>
      <c r="M344" s="189"/>
      <c r="N344" s="189"/>
      <c r="R344" s="189"/>
      <c r="S344" s="189"/>
      <c r="T344" s="189"/>
      <c r="U344" s="189"/>
      <c r="V344" s="189"/>
      <c r="W344" s="189"/>
      <c r="X344" s="189"/>
    </row>
    <row r="345" spans="1:24">
      <c r="A345" s="189"/>
      <c r="B345" s="189"/>
      <c r="C345" s="189"/>
      <c r="D345" s="189"/>
      <c r="E345" s="189"/>
      <c r="F345" s="189"/>
      <c r="G345" s="189"/>
      <c r="H345" s="189"/>
      <c r="I345" s="189"/>
      <c r="J345" s="423"/>
      <c r="K345" s="189"/>
      <c r="M345" s="189"/>
      <c r="N345" s="189"/>
      <c r="R345" s="189"/>
      <c r="S345" s="189"/>
      <c r="T345" s="189"/>
      <c r="U345" s="189"/>
      <c r="V345" s="189"/>
      <c r="W345" s="189"/>
      <c r="X345" s="189"/>
    </row>
    <row r="346" spans="1:24">
      <c r="A346" s="189"/>
      <c r="B346" s="189"/>
      <c r="C346" s="189"/>
      <c r="D346" s="189"/>
      <c r="E346" s="189"/>
      <c r="F346" s="189"/>
      <c r="G346" s="189"/>
      <c r="H346" s="189"/>
      <c r="I346" s="189"/>
      <c r="J346" s="423"/>
      <c r="K346" s="189"/>
      <c r="M346" s="189"/>
      <c r="N346" s="189"/>
      <c r="R346" s="189"/>
      <c r="S346" s="189"/>
      <c r="T346" s="189"/>
      <c r="U346" s="189"/>
      <c r="V346" s="189"/>
      <c r="W346" s="189"/>
      <c r="X346" s="189"/>
    </row>
    <row r="347" spans="1:24">
      <c r="A347" s="189"/>
      <c r="B347" s="189"/>
      <c r="C347" s="189"/>
      <c r="D347" s="189"/>
      <c r="E347" s="189"/>
      <c r="F347" s="189"/>
      <c r="G347" s="189"/>
      <c r="H347" s="189"/>
      <c r="I347" s="189"/>
      <c r="J347" s="423"/>
      <c r="K347" s="189"/>
      <c r="M347" s="189"/>
      <c r="N347" s="189"/>
      <c r="R347" s="189"/>
      <c r="S347" s="189"/>
      <c r="T347" s="189"/>
      <c r="U347" s="189"/>
      <c r="V347" s="189"/>
      <c r="W347" s="189"/>
      <c r="X347" s="189"/>
    </row>
    <row r="348" spans="1:24">
      <c r="A348" s="189"/>
      <c r="B348" s="189"/>
      <c r="C348" s="189"/>
      <c r="D348" s="189"/>
      <c r="E348" s="189"/>
      <c r="F348" s="189"/>
      <c r="G348" s="189"/>
      <c r="H348" s="189"/>
      <c r="I348" s="189"/>
      <c r="J348" s="423"/>
      <c r="K348" s="189"/>
      <c r="M348" s="189"/>
      <c r="N348" s="189"/>
      <c r="R348" s="189"/>
      <c r="S348" s="189"/>
      <c r="T348" s="189"/>
      <c r="U348" s="189"/>
      <c r="V348" s="189"/>
      <c r="W348" s="189"/>
      <c r="X348" s="189"/>
    </row>
    <row r="349" spans="1:24">
      <c r="A349" s="189"/>
      <c r="B349" s="189"/>
      <c r="C349" s="189"/>
      <c r="D349" s="189"/>
      <c r="E349" s="189"/>
      <c r="F349" s="189"/>
      <c r="G349" s="189"/>
      <c r="H349" s="189"/>
      <c r="I349" s="189"/>
      <c r="J349" s="423"/>
      <c r="K349" s="189"/>
      <c r="M349" s="189"/>
      <c r="N349" s="189"/>
      <c r="R349" s="189"/>
      <c r="S349" s="189"/>
      <c r="T349" s="189"/>
      <c r="U349" s="189"/>
      <c r="V349" s="189"/>
      <c r="W349" s="189"/>
      <c r="X349" s="189"/>
    </row>
    <row r="350" spans="1:24">
      <c r="A350" s="189"/>
      <c r="B350" s="189"/>
      <c r="C350" s="189"/>
      <c r="D350" s="189"/>
      <c r="E350" s="189"/>
      <c r="F350" s="189"/>
      <c r="G350" s="189"/>
      <c r="H350" s="189"/>
      <c r="I350" s="189"/>
      <c r="J350" s="423"/>
      <c r="K350" s="189"/>
      <c r="M350" s="189"/>
      <c r="N350" s="189"/>
      <c r="R350" s="189"/>
      <c r="S350" s="189"/>
      <c r="T350" s="189"/>
      <c r="U350" s="189"/>
      <c r="V350" s="189"/>
      <c r="W350" s="189"/>
      <c r="X350" s="189"/>
    </row>
    <row r="351" spans="1:24">
      <c r="A351" s="189"/>
      <c r="B351" s="189"/>
      <c r="C351" s="189"/>
      <c r="D351" s="189"/>
      <c r="E351" s="189"/>
      <c r="F351" s="189"/>
      <c r="G351" s="189"/>
      <c r="H351" s="189"/>
      <c r="I351" s="189"/>
      <c r="J351" s="423"/>
      <c r="K351" s="189"/>
      <c r="M351" s="189"/>
      <c r="N351" s="189"/>
      <c r="R351" s="189"/>
      <c r="S351" s="189"/>
      <c r="T351" s="189"/>
      <c r="U351" s="189"/>
      <c r="V351" s="189"/>
      <c r="W351" s="189"/>
      <c r="X351" s="189"/>
    </row>
    <row r="352" spans="1:24">
      <c r="A352" s="189"/>
      <c r="B352" s="189"/>
      <c r="C352" s="189"/>
      <c r="D352" s="189"/>
      <c r="E352" s="189"/>
      <c r="F352" s="189"/>
      <c r="G352" s="189"/>
      <c r="H352" s="189"/>
      <c r="I352" s="189"/>
      <c r="J352" s="423"/>
      <c r="K352" s="189"/>
      <c r="M352" s="189"/>
      <c r="N352" s="189"/>
      <c r="R352" s="189"/>
      <c r="S352" s="189"/>
      <c r="T352" s="189"/>
      <c r="U352" s="189"/>
      <c r="V352" s="189"/>
      <c r="W352" s="189"/>
      <c r="X352" s="189"/>
    </row>
    <row r="353" spans="1:24">
      <c r="A353" s="189"/>
      <c r="B353" s="189"/>
      <c r="C353" s="189"/>
      <c r="D353" s="189"/>
      <c r="E353" s="189"/>
      <c r="F353" s="189"/>
      <c r="G353" s="189"/>
      <c r="H353" s="189"/>
      <c r="I353" s="189"/>
      <c r="J353" s="423"/>
      <c r="K353" s="189"/>
      <c r="M353" s="189"/>
      <c r="N353" s="189"/>
      <c r="R353" s="189"/>
      <c r="S353" s="189"/>
      <c r="T353" s="189"/>
      <c r="U353" s="189"/>
      <c r="V353" s="189"/>
      <c r="W353" s="189"/>
      <c r="X353" s="189"/>
    </row>
    <row r="354" spans="1:24">
      <c r="A354" s="189"/>
      <c r="B354" s="189"/>
      <c r="C354" s="189"/>
      <c r="D354" s="189"/>
      <c r="E354" s="189"/>
      <c r="F354" s="189"/>
      <c r="G354" s="189"/>
      <c r="H354" s="189"/>
      <c r="I354" s="189"/>
      <c r="J354" s="423"/>
      <c r="K354" s="189"/>
      <c r="M354" s="189"/>
      <c r="N354" s="189"/>
      <c r="R354" s="189"/>
      <c r="S354" s="189"/>
      <c r="T354" s="189"/>
      <c r="U354" s="189"/>
      <c r="V354" s="189"/>
      <c r="W354" s="189"/>
      <c r="X354" s="189"/>
    </row>
    <row r="355" spans="1:24">
      <c r="A355" s="189"/>
      <c r="B355" s="189"/>
      <c r="C355" s="189"/>
      <c r="D355" s="189"/>
      <c r="E355" s="189"/>
      <c r="F355" s="189"/>
      <c r="G355" s="189"/>
      <c r="H355" s="189"/>
      <c r="I355" s="189"/>
      <c r="J355" s="423"/>
      <c r="K355" s="189"/>
      <c r="M355" s="189"/>
      <c r="N355" s="189"/>
      <c r="R355" s="189"/>
      <c r="S355" s="189"/>
      <c r="T355" s="189"/>
      <c r="U355" s="189"/>
      <c r="V355" s="189"/>
      <c r="W355" s="189"/>
      <c r="X355" s="189"/>
    </row>
    <row r="356" spans="1:24">
      <c r="A356" s="189"/>
      <c r="B356" s="189"/>
      <c r="C356" s="189"/>
      <c r="D356" s="189"/>
      <c r="E356" s="189"/>
      <c r="F356" s="189"/>
      <c r="G356" s="189"/>
      <c r="H356" s="189"/>
      <c r="I356" s="189"/>
      <c r="J356" s="423"/>
      <c r="K356" s="189"/>
      <c r="M356" s="189"/>
      <c r="N356" s="189"/>
      <c r="R356" s="189"/>
      <c r="S356" s="189"/>
      <c r="T356" s="189"/>
      <c r="U356" s="189"/>
      <c r="V356" s="189"/>
      <c r="W356" s="189"/>
      <c r="X356" s="189"/>
    </row>
    <row r="357" spans="1:24">
      <c r="A357" s="189"/>
      <c r="B357" s="189"/>
      <c r="C357" s="189"/>
      <c r="D357" s="189"/>
      <c r="E357" s="189"/>
      <c r="F357" s="189"/>
      <c r="G357" s="189"/>
      <c r="H357" s="189"/>
      <c r="I357" s="189"/>
      <c r="J357" s="423"/>
      <c r="K357" s="189"/>
      <c r="M357" s="189"/>
      <c r="N357" s="189"/>
      <c r="R357" s="189"/>
      <c r="S357" s="189"/>
      <c r="T357" s="189"/>
      <c r="U357" s="189"/>
      <c r="V357" s="189"/>
      <c r="W357" s="189"/>
      <c r="X357" s="189"/>
    </row>
    <row r="358" spans="1:24">
      <c r="A358" s="189"/>
      <c r="B358" s="189"/>
      <c r="C358" s="189"/>
      <c r="D358" s="189"/>
      <c r="E358" s="189"/>
      <c r="F358" s="189"/>
      <c r="G358" s="189"/>
      <c r="H358" s="189"/>
      <c r="I358" s="189"/>
      <c r="J358" s="423"/>
      <c r="K358" s="189"/>
      <c r="M358" s="189"/>
      <c r="N358" s="189"/>
      <c r="R358" s="189"/>
      <c r="S358" s="189"/>
      <c r="T358" s="189"/>
      <c r="U358" s="189"/>
      <c r="V358" s="189"/>
      <c r="W358" s="189"/>
      <c r="X358" s="189"/>
    </row>
    <row r="359" spans="1:24">
      <c r="A359" s="189"/>
      <c r="B359" s="189"/>
      <c r="C359" s="189"/>
      <c r="D359" s="189"/>
      <c r="E359" s="189"/>
      <c r="F359" s="189"/>
      <c r="G359" s="189"/>
      <c r="H359" s="189"/>
      <c r="I359" s="189"/>
      <c r="J359" s="423"/>
      <c r="K359" s="189"/>
      <c r="M359" s="189"/>
      <c r="N359" s="189"/>
      <c r="R359" s="189"/>
      <c r="S359" s="189"/>
      <c r="T359" s="189"/>
      <c r="U359" s="189"/>
      <c r="V359" s="189"/>
      <c r="W359" s="189"/>
      <c r="X359" s="189"/>
    </row>
    <row r="360" spans="1:24">
      <c r="A360" s="189"/>
      <c r="B360" s="189"/>
      <c r="C360" s="189"/>
      <c r="D360" s="189"/>
      <c r="E360" s="189"/>
      <c r="F360" s="189"/>
      <c r="G360" s="189"/>
      <c r="H360" s="189"/>
      <c r="I360" s="189"/>
      <c r="J360" s="423"/>
      <c r="K360" s="189"/>
      <c r="M360" s="189"/>
      <c r="N360" s="189"/>
      <c r="R360" s="189"/>
      <c r="S360" s="189"/>
      <c r="T360" s="189"/>
      <c r="U360" s="189"/>
      <c r="V360" s="189"/>
      <c r="W360" s="189"/>
      <c r="X360" s="189"/>
    </row>
    <row r="361" spans="1:24">
      <c r="A361" s="189"/>
      <c r="B361" s="189"/>
      <c r="C361" s="189"/>
      <c r="D361" s="189"/>
      <c r="E361" s="189"/>
      <c r="F361" s="189"/>
      <c r="G361" s="189"/>
      <c r="H361" s="189"/>
      <c r="I361" s="189"/>
      <c r="J361" s="423"/>
      <c r="K361" s="189"/>
      <c r="M361" s="189"/>
      <c r="N361" s="189"/>
      <c r="R361" s="189"/>
      <c r="S361" s="189"/>
      <c r="T361" s="189"/>
      <c r="U361" s="189"/>
      <c r="V361" s="189"/>
      <c r="W361" s="189"/>
      <c r="X361" s="189"/>
    </row>
    <row r="362" spans="1:24">
      <c r="A362" s="189"/>
      <c r="B362" s="189"/>
      <c r="C362" s="189"/>
      <c r="D362" s="189"/>
      <c r="E362" s="189"/>
      <c r="F362" s="189"/>
      <c r="G362" s="189"/>
      <c r="H362" s="189"/>
      <c r="I362" s="189"/>
      <c r="J362" s="423"/>
      <c r="K362" s="189"/>
      <c r="M362" s="189"/>
      <c r="N362" s="189"/>
      <c r="R362" s="189"/>
      <c r="S362" s="189"/>
      <c r="T362" s="189"/>
      <c r="U362" s="189"/>
      <c r="V362" s="189"/>
      <c r="W362" s="189"/>
      <c r="X362" s="189"/>
    </row>
    <row r="363" spans="1:24">
      <c r="A363" s="189"/>
      <c r="B363" s="189"/>
      <c r="C363" s="189"/>
      <c r="D363" s="189"/>
      <c r="E363" s="189"/>
      <c r="F363" s="189"/>
      <c r="G363" s="189"/>
      <c r="H363" s="189"/>
      <c r="I363" s="189"/>
      <c r="J363" s="423"/>
      <c r="K363" s="189"/>
      <c r="M363" s="189"/>
      <c r="N363" s="189"/>
      <c r="R363" s="189"/>
      <c r="S363" s="189"/>
      <c r="T363" s="189"/>
      <c r="U363" s="189"/>
      <c r="V363" s="189"/>
      <c r="W363" s="189"/>
      <c r="X363" s="189"/>
    </row>
    <row r="364" spans="1:24">
      <c r="A364" s="189"/>
      <c r="B364" s="189"/>
      <c r="C364" s="189"/>
      <c r="D364" s="189"/>
      <c r="E364" s="189"/>
      <c r="F364" s="189"/>
      <c r="G364" s="189"/>
      <c r="H364" s="189"/>
      <c r="I364" s="189"/>
      <c r="J364" s="423"/>
      <c r="K364" s="189"/>
      <c r="M364" s="189"/>
      <c r="N364" s="189"/>
      <c r="R364" s="189"/>
      <c r="S364" s="189"/>
      <c r="T364" s="189"/>
      <c r="U364" s="189"/>
      <c r="V364" s="189"/>
      <c r="W364" s="189"/>
      <c r="X364" s="189"/>
    </row>
    <row r="365" spans="1:24">
      <c r="A365" s="189"/>
      <c r="B365" s="189"/>
      <c r="C365" s="189"/>
      <c r="D365" s="189"/>
      <c r="E365" s="189"/>
      <c r="F365" s="189"/>
      <c r="G365" s="189"/>
      <c r="H365" s="189"/>
      <c r="I365" s="189"/>
      <c r="J365" s="423"/>
      <c r="K365" s="189"/>
      <c r="M365" s="189"/>
      <c r="N365" s="189"/>
      <c r="R365" s="189"/>
      <c r="S365" s="189"/>
      <c r="T365" s="189"/>
      <c r="U365" s="189"/>
      <c r="V365" s="189"/>
      <c r="W365" s="189"/>
      <c r="X365" s="189"/>
    </row>
    <row r="366" spans="1:24">
      <c r="A366" s="189"/>
      <c r="B366" s="189"/>
      <c r="C366" s="189"/>
      <c r="D366" s="189"/>
      <c r="E366" s="189"/>
      <c r="F366" s="189"/>
      <c r="G366" s="189"/>
      <c r="H366" s="189"/>
      <c r="I366" s="189"/>
      <c r="J366" s="423"/>
      <c r="K366" s="189"/>
      <c r="M366" s="189"/>
      <c r="N366" s="189"/>
      <c r="R366" s="189"/>
      <c r="S366" s="189"/>
      <c r="T366" s="189"/>
      <c r="U366" s="189"/>
      <c r="V366" s="189"/>
      <c r="W366" s="189"/>
      <c r="X366" s="189"/>
    </row>
    <row r="367" spans="1:24">
      <c r="A367" s="189"/>
      <c r="B367" s="189"/>
      <c r="C367" s="189"/>
      <c r="D367" s="189"/>
      <c r="E367" s="189"/>
      <c r="F367" s="189"/>
      <c r="G367" s="189"/>
      <c r="H367" s="189"/>
      <c r="I367" s="189"/>
      <c r="J367" s="423"/>
      <c r="K367" s="189"/>
      <c r="M367" s="189"/>
      <c r="N367" s="189"/>
      <c r="R367" s="189"/>
      <c r="S367" s="189"/>
      <c r="T367" s="189"/>
      <c r="U367" s="189"/>
      <c r="V367" s="189"/>
      <c r="W367" s="189"/>
      <c r="X367" s="189"/>
    </row>
    <row r="368" spans="1:24">
      <c r="A368" s="189"/>
      <c r="B368" s="189"/>
      <c r="C368" s="189"/>
      <c r="D368" s="189"/>
      <c r="E368" s="189"/>
      <c r="F368" s="189"/>
      <c r="G368" s="189"/>
      <c r="H368" s="189"/>
      <c r="I368" s="189"/>
      <c r="J368" s="423"/>
      <c r="K368" s="189"/>
      <c r="M368" s="189"/>
      <c r="N368" s="189"/>
      <c r="R368" s="189"/>
      <c r="S368" s="189"/>
      <c r="T368" s="189"/>
      <c r="U368" s="189"/>
      <c r="V368" s="189"/>
      <c r="W368" s="189"/>
      <c r="X368" s="189"/>
    </row>
    <row r="369" spans="1:24">
      <c r="A369" s="189"/>
      <c r="B369" s="189"/>
      <c r="C369" s="189"/>
      <c r="D369" s="189"/>
      <c r="E369" s="189"/>
      <c r="F369" s="189"/>
      <c r="G369" s="189"/>
      <c r="H369" s="189"/>
      <c r="I369" s="189"/>
      <c r="J369" s="423"/>
      <c r="K369" s="189"/>
      <c r="M369" s="189"/>
      <c r="N369" s="189"/>
      <c r="R369" s="189"/>
      <c r="S369" s="189"/>
      <c r="T369" s="189"/>
      <c r="U369" s="189"/>
      <c r="V369" s="189"/>
      <c r="W369" s="189"/>
      <c r="X369" s="189"/>
    </row>
    <row r="370" spans="1:24">
      <c r="A370" s="189"/>
      <c r="B370" s="189"/>
      <c r="C370" s="189"/>
      <c r="D370" s="189"/>
      <c r="E370" s="189"/>
      <c r="F370" s="189"/>
      <c r="G370" s="189"/>
      <c r="H370" s="189"/>
      <c r="I370" s="189"/>
      <c r="J370" s="423"/>
      <c r="K370" s="189"/>
      <c r="M370" s="189"/>
      <c r="N370" s="189"/>
      <c r="R370" s="189"/>
      <c r="S370" s="189"/>
      <c r="T370" s="189"/>
      <c r="U370" s="189"/>
      <c r="V370" s="189"/>
      <c r="W370" s="189"/>
      <c r="X370" s="189"/>
    </row>
    <row r="371" spans="1:24">
      <c r="A371" s="189"/>
      <c r="B371" s="189"/>
      <c r="C371" s="189"/>
      <c r="D371" s="189"/>
      <c r="E371" s="189"/>
      <c r="F371" s="189"/>
      <c r="G371" s="189"/>
      <c r="H371" s="189"/>
      <c r="I371" s="189"/>
      <c r="J371" s="423"/>
      <c r="K371" s="189"/>
      <c r="M371" s="189"/>
      <c r="N371" s="189"/>
      <c r="R371" s="189"/>
      <c r="S371" s="189"/>
      <c r="T371" s="189"/>
      <c r="U371" s="189"/>
      <c r="V371" s="189"/>
      <c r="W371" s="189"/>
      <c r="X371" s="189"/>
    </row>
    <row r="372" spans="1:24">
      <c r="A372" s="189"/>
      <c r="B372" s="189"/>
      <c r="C372" s="189"/>
      <c r="D372" s="189"/>
      <c r="E372" s="189"/>
      <c r="F372" s="189"/>
      <c r="G372" s="189"/>
      <c r="H372" s="189"/>
      <c r="I372" s="189"/>
      <c r="J372" s="423"/>
      <c r="K372" s="189"/>
      <c r="M372" s="189"/>
      <c r="N372" s="189"/>
      <c r="R372" s="189"/>
      <c r="S372" s="189"/>
      <c r="T372" s="189"/>
      <c r="U372" s="189"/>
      <c r="V372" s="189"/>
      <c r="W372" s="189"/>
      <c r="X372" s="189"/>
    </row>
    <row r="373" spans="1:24">
      <c r="A373" s="189"/>
      <c r="B373" s="189"/>
      <c r="C373" s="189"/>
      <c r="D373" s="189"/>
      <c r="E373" s="189"/>
      <c r="F373" s="189"/>
      <c r="G373" s="189"/>
      <c r="H373" s="189"/>
      <c r="I373" s="189"/>
      <c r="J373" s="423"/>
      <c r="K373" s="189"/>
      <c r="M373" s="189"/>
      <c r="N373" s="189"/>
      <c r="R373" s="189"/>
      <c r="S373" s="189"/>
      <c r="T373" s="189"/>
      <c r="U373" s="189"/>
      <c r="V373" s="189"/>
      <c r="W373" s="189"/>
      <c r="X373" s="189"/>
    </row>
    <row r="374" spans="1:24">
      <c r="A374" s="189"/>
      <c r="B374" s="189"/>
      <c r="C374" s="189"/>
      <c r="D374" s="189"/>
      <c r="E374" s="189"/>
      <c r="F374" s="189"/>
      <c r="G374" s="189"/>
      <c r="H374" s="189"/>
      <c r="I374" s="189"/>
      <c r="J374" s="423"/>
      <c r="K374" s="189"/>
      <c r="M374" s="189"/>
      <c r="N374" s="189"/>
      <c r="R374" s="189"/>
      <c r="S374" s="189"/>
      <c r="T374" s="189"/>
      <c r="U374" s="189"/>
      <c r="V374" s="189"/>
      <c r="W374" s="189"/>
      <c r="X374" s="189"/>
    </row>
    <row r="375" spans="1:24">
      <c r="A375" s="189"/>
      <c r="B375" s="189"/>
      <c r="C375" s="189"/>
      <c r="D375" s="189"/>
      <c r="E375" s="189"/>
      <c r="F375" s="189"/>
      <c r="G375" s="189"/>
      <c r="H375" s="189"/>
      <c r="I375" s="189"/>
      <c r="J375" s="423"/>
      <c r="K375" s="189"/>
      <c r="M375" s="189"/>
      <c r="N375" s="189"/>
      <c r="R375" s="189"/>
      <c r="S375" s="189"/>
      <c r="T375" s="189"/>
      <c r="U375" s="189"/>
      <c r="V375" s="189"/>
      <c r="W375" s="189"/>
      <c r="X375" s="189"/>
    </row>
    <row r="376" spans="1:24">
      <c r="A376" s="189"/>
      <c r="B376" s="189"/>
      <c r="C376" s="189"/>
      <c r="D376" s="189"/>
      <c r="E376" s="189"/>
      <c r="F376" s="189"/>
      <c r="G376" s="189"/>
      <c r="H376" s="189"/>
      <c r="I376" s="189"/>
      <c r="J376" s="423"/>
      <c r="K376" s="189"/>
      <c r="M376" s="189"/>
      <c r="N376" s="189"/>
      <c r="R376" s="189"/>
      <c r="S376" s="189"/>
      <c r="T376" s="189"/>
      <c r="U376" s="189"/>
      <c r="V376" s="189"/>
      <c r="W376" s="189"/>
      <c r="X376" s="189"/>
    </row>
    <row r="377" spans="1:24">
      <c r="A377" s="189"/>
      <c r="B377" s="189"/>
      <c r="C377" s="189"/>
      <c r="D377" s="189"/>
      <c r="E377" s="189"/>
      <c r="F377" s="189"/>
      <c r="G377" s="189"/>
      <c r="H377" s="189"/>
      <c r="I377" s="189"/>
      <c r="J377" s="423"/>
      <c r="K377" s="189"/>
      <c r="M377" s="189"/>
      <c r="N377" s="189"/>
      <c r="R377" s="189"/>
      <c r="S377" s="189"/>
      <c r="T377" s="189"/>
      <c r="U377" s="189"/>
      <c r="V377" s="189"/>
      <c r="W377" s="189"/>
      <c r="X377" s="189"/>
    </row>
    <row r="378" spans="1:24">
      <c r="A378" s="189"/>
      <c r="B378" s="189"/>
      <c r="C378" s="189"/>
      <c r="D378" s="189"/>
      <c r="E378" s="189"/>
      <c r="F378" s="189"/>
      <c r="G378" s="189"/>
      <c r="H378" s="189"/>
      <c r="I378" s="189"/>
      <c r="J378" s="423"/>
      <c r="K378" s="189"/>
      <c r="M378" s="189"/>
      <c r="N378" s="189"/>
      <c r="R378" s="189"/>
      <c r="S378" s="189"/>
      <c r="T378" s="189"/>
      <c r="U378" s="189"/>
      <c r="V378" s="189"/>
      <c r="W378" s="189"/>
      <c r="X378" s="189"/>
    </row>
    <row r="379" spans="1:24">
      <c r="A379" s="189"/>
      <c r="B379" s="189"/>
      <c r="C379" s="189"/>
      <c r="D379" s="189"/>
      <c r="E379" s="189"/>
      <c r="F379" s="189"/>
      <c r="G379" s="189"/>
      <c r="H379" s="189"/>
      <c r="I379" s="189"/>
      <c r="J379" s="423"/>
      <c r="K379" s="189"/>
      <c r="M379" s="189"/>
      <c r="N379" s="189"/>
      <c r="R379" s="189"/>
      <c r="S379" s="189"/>
      <c r="T379" s="189"/>
      <c r="U379" s="189"/>
      <c r="V379" s="189"/>
      <c r="W379" s="189"/>
      <c r="X379" s="189"/>
    </row>
    <row r="380" spans="1:24">
      <c r="A380" s="189"/>
      <c r="B380" s="189"/>
      <c r="C380" s="189"/>
      <c r="D380" s="189"/>
      <c r="E380" s="189"/>
      <c r="F380" s="189"/>
      <c r="G380" s="189"/>
      <c r="H380" s="189"/>
      <c r="I380" s="189"/>
      <c r="J380" s="423"/>
      <c r="K380" s="189"/>
      <c r="M380" s="189"/>
      <c r="N380" s="189"/>
      <c r="R380" s="189"/>
      <c r="S380" s="189"/>
      <c r="T380" s="189"/>
      <c r="U380" s="189"/>
      <c r="V380" s="189"/>
      <c r="W380" s="189"/>
      <c r="X380" s="189"/>
    </row>
    <row r="381" spans="1:24">
      <c r="A381" s="189"/>
      <c r="B381" s="189"/>
      <c r="C381" s="189"/>
      <c r="D381" s="189"/>
      <c r="E381" s="189"/>
      <c r="F381" s="189"/>
      <c r="G381" s="189"/>
      <c r="H381" s="189"/>
      <c r="I381" s="189"/>
      <c r="J381" s="423"/>
      <c r="K381" s="189"/>
      <c r="M381" s="189"/>
      <c r="N381" s="189"/>
      <c r="R381" s="189"/>
      <c r="S381" s="189"/>
      <c r="T381" s="189"/>
      <c r="U381" s="189"/>
      <c r="V381" s="189"/>
      <c r="W381" s="189"/>
      <c r="X381" s="189"/>
    </row>
    <row r="382" spans="1:24">
      <c r="A382" s="189"/>
      <c r="B382" s="189"/>
      <c r="C382" s="189"/>
      <c r="D382" s="189"/>
      <c r="E382" s="189"/>
      <c r="F382" s="189"/>
      <c r="G382" s="189"/>
      <c r="H382" s="189"/>
      <c r="I382" s="189"/>
      <c r="J382" s="423"/>
      <c r="K382" s="189"/>
      <c r="M382" s="189"/>
      <c r="N382" s="189"/>
      <c r="R382" s="189"/>
      <c r="S382" s="189"/>
      <c r="T382" s="189"/>
      <c r="U382" s="189"/>
      <c r="V382" s="189"/>
      <c r="W382" s="189"/>
      <c r="X382" s="189"/>
    </row>
    <row r="383" spans="1:24">
      <c r="A383" s="189"/>
      <c r="B383" s="189"/>
      <c r="C383" s="189"/>
      <c r="D383" s="189"/>
      <c r="E383" s="189"/>
      <c r="F383" s="189"/>
      <c r="G383" s="189"/>
      <c r="H383" s="189"/>
      <c r="I383" s="189"/>
      <c r="J383" s="423"/>
      <c r="K383" s="189"/>
      <c r="M383" s="189"/>
      <c r="N383" s="189"/>
      <c r="R383" s="189"/>
      <c r="S383" s="189"/>
      <c r="T383" s="189"/>
      <c r="U383" s="189"/>
      <c r="V383" s="189"/>
      <c r="W383" s="189"/>
      <c r="X383" s="189"/>
    </row>
    <row r="384" spans="1:24">
      <c r="A384" s="189"/>
      <c r="B384" s="189"/>
      <c r="C384" s="189"/>
      <c r="D384" s="189"/>
      <c r="E384" s="189"/>
      <c r="F384" s="189"/>
      <c r="G384" s="189"/>
      <c r="H384" s="189"/>
      <c r="I384" s="189"/>
      <c r="J384" s="423"/>
      <c r="K384" s="189"/>
      <c r="M384" s="189"/>
      <c r="N384" s="189"/>
      <c r="R384" s="189"/>
      <c r="S384" s="189"/>
      <c r="T384" s="189"/>
      <c r="U384" s="189"/>
      <c r="V384" s="189"/>
      <c r="W384" s="189"/>
      <c r="X384" s="189"/>
    </row>
    <row r="385" spans="1:24">
      <c r="A385" s="189"/>
      <c r="B385" s="189"/>
      <c r="C385" s="189"/>
      <c r="D385" s="189"/>
      <c r="E385" s="189"/>
      <c r="F385" s="189"/>
      <c r="G385" s="189"/>
      <c r="H385" s="189"/>
      <c r="I385" s="189"/>
      <c r="J385" s="423"/>
      <c r="K385" s="189"/>
      <c r="M385" s="189"/>
      <c r="N385" s="189"/>
      <c r="R385" s="189"/>
      <c r="S385" s="189"/>
      <c r="T385" s="189"/>
      <c r="U385" s="189"/>
      <c r="V385" s="189"/>
      <c r="W385" s="189"/>
      <c r="X385" s="189"/>
    </row>
    <row r="386" spans="1:24">
      <c r="A386" s="189"/>
      <c r="B386" s="189"/>
      <c r="C386" s="189"/>
      <c r="D386" s="189"/>
      <c r="E386" s="189"/>
      <c r="F386" s="189"/>
      <c r="G386" s="189"/>
      <c r="H386" s="189"/>
      <c r="I386" s="189"/>
      <c r="J386" s="423"/>
      <c r="K386" s="189"/>
      <c r="M386" s="189"/>
      <c r="N386" s="189"/>
      <c r="R386" s="189"/>
      <c r="S386" s="189"/>
      <c r="T386" s="189"/>
      <c r="U386" s="189"/>
      <c r="V386" s="189"/>
      <c r="W386" s="189"/>
      <c r="X386" s="189"/>
    </row>
    <row r="387" spans="1:24">
      <c r="A387" s="189"/>
      <c r="B387" s="189"/>
      <c r="C387" s="189"/>
      <c r="D387" s="189"/>
      <c r="E387" s="189"/>
      <c r="F387" s="189"/>
      <c r="G387" s="189"/>
      <c r="H387" s="189"/>
      <c r="I387" s="189"/>
      <c r="J387" s="423"/>
      <c r="K387" s="189"/>
      <c r="M387" s="189"/>
      <c r="N387" s="189"/>
      <c r="R387" s="189"/>
      <c r="S387" s="189"/>
      <c r="T387" s="189"/>
      <c r="U387" s="189"/>
      <c r="V387" s="189"/>
      <c r="W387" s="189"/>
      <c r="X387" s="189"/>
    </row>
    <row r="388" spans="1:24">
      <c r="A388" s="189"/>
      <c r="B388" s="189"/>
      <c r="C388" s="189"/>
      <c r="D388" s="189"/>
      <c r="E388" s="189"/>
      <c r="F388" s="189"/>
      <c r="G388" s="189"/>
      <c r="H388" s="189"/>
      <c r="I388" s="189"/>
      <c r="J388" s="423"/>
      <c r="K388" s="189"/>
      <c r="M388" s="189"/>
      <c r="N388" s="189"/>
      <c r="R388" s="189"/>
      <c r="S388" s="189"/>
      <c r="T388" s="189"/>
      <c r="U388" s="189"/>
      <c r="V388" s="189"/>
      <c r="W388" s="189"/>
      <c r="X388" s="189"/>
    </row>
    <row r="389" spans="1:24">
      <c r="A389" s="189"/>
      <c r="B389" s="189"/>
      <c r="C389" s="189"/>
      <c r="D389" s="189"/>
      <c r="E389" s="189"/>
      <c r="F389" s="189"/>
      <c r="G389" s="189"/>
      <c r="H389" s="189"/>
      <c r="I389" s="189"/>
      <c r="J389" s="423"/>
      <c r="K389" s="189"/>
      <c r="M389" s="189"/>
      <c r="N389" s="189"/>
      <c r="R389" s="189"/>
      <c r="S389" s="189"/>
      <c r="T389" s="189"/>
      <c r="U389" s="189"/>
      <c r="V389" s="189"/>
      <c r="W389" s="189"/>
      <c r="X389" s="189"/>
    </row>
    <row r="390" spans="1:24">
      <c r="A390" s="189"/>
      <c r="B390" s="189"/>
      <c r="C390" s="189"/>
      <c r="D390" s="189"/>
      <c r="E390" s="189"/>
      <c r="F390" s="189"/>
      <c r="G390" s="189"/>
      <c r="H390" s="189"/>
      <c r="I390" s="189"/>
      <c r="J390" s="423"/>
      <c r="K390" s="189"/>
      <c r="M390" s="189"/>
      <c r="N390" s="189"/>
      <c r="R390" s="189"/>
      <c r="S390" s="189"/>
      <c r="T390" s="189"/>
      <c r="U390" s="189"/>
      <c r="V390" s="189"/>
      <c r="W390" s="189"/>
      <c r="X390" s="189"/>
    </row>
    <row r="391" spans="1:24">
      <c r="A391" s="189"/>
      <c r="B391" s="189"/>
      <c r="C391" s="189"/>
      <c r="D391" s="189"/>
      <c r="E391" s="189"/>
      <c r="F391" s="189"/>
      <c r="G391" s="189"/>
      <c r="H391" s="189"/>
      <c r="I391" s="189"/>
      <c r="J391" s="423"/>
      <c r="K391" s="189"/>
      <c r="M391" s="189"/>
      <c r="N391" s="189"/>
      <c r="R391" s="189"/>
      <c r="S391" s="189"/>
      <c r="T391" s="189"/>
      <c r="U391" s="189"/>
      <c r="V391" s="189"/>
      <c r="W391" s="189"/>
      <c r="X391" s="189"/>
    </row>
    <row r="392" spans="1:24">
      <c r="A392" s="189"/>
      <c r="B392" s="189"/>
      <c r="C392" s="189"/>
      <c r="D392" s="189"/>
      <c r="E392" s="189"/>
      <c r="F392" s="189"/>
      <c r="G392" s="189"/>
      <c r="H392" s="189"/>
      <c r="I392" s="189"/>
      <c r="J392" s="423"/>
      <c r="K392" s="189"/>
      <c r="M392" s="189"/>
      <c r="N392" s="189"/>
      <c r="R392" s="189"/>
      <c r="S392" s="189"/>
      <c r="T392" s="189"/>
      <c r="U392" s="189"/>
      <c r="V392" s="189"/>
      <c r="W392" s="189"/>
      <c r="X392" s="189"/>
    </row>
    <row r="393" spans="1:24">
      <c r="A393" s="189"/>
      <c r="B393" s="189"/>
      <c r="C393" s="189"/>
      <c r="D393" s="189"/>
      <c r="E393" s="189"/>
      <c r="F393" s="189"/>
      <c r="G393" s="189"/>
      <c r="H393" s="189"/>
      <c r="I393" s="189"/>
      <c r="J393" s="423"/>
      <c r="K393" s="189"/>
      <c r="M393" s="189"/>
      <c r="N393" s="189"/>
      <c r="R393" s="189"/>
      <c r="S393" s="189"/>
      <c r="T393" s="189"/>
      <c r="U393" s="189"/>
      <c r="V393" s="189"/>
      <c r="W393" s="189"/>
      <c r="X393" s="189"/>
    </row>
    <row r="394" spans="1:24">
      <c r="A394" s="189"/>
      <c r="B394" s="189"/>
      <c r="C394" s="189"/>
      <c r="D394" s="189"/>
      <c r="E394" s="189"/>
      <c r="F394" s="189"/>
      <c r="G394" s="189"/>
      <c r="H394" s="189"/>
      <c r="I394" s="189"/>
      <c r="J394" s="423"/>
      <c r="K394" s="189"/>
      <c r="M394" s="189"/>
      <c r="N394" s="189"/>
      <c r="R394" s="189"/>
      <c r="S394" s="189"/>
      <c r="T394" s="189"/>
      <c r="U394" s="189"/>
      <c r="V394" s="189"/>
      <c r="W394" s="189"/>
      <c r="X394" s="189"/>
    </row>
    <row r="395" spans="1:24">
      <c r="A395" s="189"/>
      <c r="B395" s="189"/>
      <c r="C395" s="189"/>
      <c r="D395" s="189"/>
      <c r="E395" s="189"/>
      <c r="F395" s="189"/>
      <c r="G395" s="189"/>
      <c r="H395" s="189"/>
      <c r="I395" s="189"/>
      <c r="J395" s="423"/>
      <c r="K395" s="189"/>
      <c r="M395" s="189"/>
      <c r="N395" s="189"/>
      <c r="R395" s="189"/>
      <c r="S395" s="189"/>
      <c r="T395" s="189"/>
      <c r="U395" s="189"/>
      <c r="V395" s="189"/>
      <c r="W395" s="189"/>
      <c r="X395" s="189"/>
    </row>
    <row r="396" spans="1:24">
      <c r="A396" s="189"/>
      <c r="B396" s="189"/>
      <c r="C396" s="189"/>
      <c r="D396" s="189"/>
      <c r="E396" s="189"/>
      <c r="F396" s="189"/>
      <c r="G396" s="189"/>
      <c r="H396" s="189"/>
      <c r="I396" s="189"/>
      <c r="J396" s="423"/>
      <c r="K396" s="189"/>
      <c r="M396" s="189"/>
      <c r="N396" s="189"/>
      <c r="R396" s="189"/>
      <c r="S396" s="189"/>
      <c r="T396" s="189"/>
      <c r="U396" s="189"/>
      <c r="V396" s="189"/>
      <c r="W396" s="189"/>
      <c r="X396" s="189"/>
    </row>
    <row r="397" spans="1:24">
      <c r="A397" s="189"/>
      <c r="B397" s="189"/>
      <c r="C397" s="189"/>
      <c r="D397" s="189"/>
      <c r="E397" s="189"/>
      <c r="F397" s="189"/>
      <c r="G397" s="189"/>
      <c r="H397" s="189"/>
      <c r="I397" s="189"/>
      <c r="J397" s="423"/>
      <c r="K397" s="189"/>
      <c r="M397" s="189"/>
      <c r="N397" s="189"/>
      <c r="R397" s="189"/>
      <c r="S397" s="189"/>
      <c r="T397" s="189"/>
      <c r="U397" s="189"/>
      <c r="V397" s="189"/>
      <c r="W397" s="189"/>
      <c r="X397" s="189"/>
    </row>
    <row r="398" spans="1:24">
      <c r="A398" s="189"/>
      <c r="B398" s="189"/>
      <c r="C398" s="189"/>
      <c r="D398" s="189"/>
      <c r="E398" s="189"/>
      <c r="F398" s="189"/>
      <c r="G398" s="189"/>
      <c r="H398" s="189"/>
      <c r="I398" s="189"/>
      <c r="J398" s="423"/>
      <c r="K398" s="189"/>
      <c r="M398" s="189"/>
      <c r="N398" s="189"/>
      <c r="R398" s="189"/>
      <c r="S398" s="189"/>
      <c r="T398" s="189"/>
      <c r="U398" s="189"/>
      <c r="V398" s="189"/>
      <c r="W398" s="189"/>
      <c r="X398" s="189"/>
    </row>
    <row r="399" spans="1:24">
      <c r="A399" s="189"/>
      <c r="B399" s="189"/>
      <c r="C399" s="189"/>
      <c r="D399" s="189"/>
      <c r="E399" s="189"/>
      <c r="F399" s="189"/>
      <c r="G399" s="189"/>
      <c r="H399" s="189"/>
      <c r="I399" s="189"/>
      <c r="J399" s="423"/>
      <c r="K399" s="189"/>
      <c r="M399" s="189"/>
      <c r="N399" s="189"/>
      <c r="R399" s="189"/>
      <c r="S399" s="189"/>
      <c r="T399" s="189"/>
      <c r="U399" s="189"/>
      <c r="V399" s="189"/>
      <c r="W399" s="189"/>
      <c r="X399" s="189"/>
    </row>
    <row r="400" spans="1:24">
      <c r="A400" s="189"/>
      <c r="B400" s="189"/>
      <c r="C400" s="189"/>
      <c r="D400" s="189"/>
      <c r="E400" s="189"/>
      <c r="F400" s="189"/>
      <c r="G400" s="189"/>
      <c r="H400" s="189"/>
      <c r="I400" s="189"/>
      <c r="J400" s="423"/>
      <c r="K400" s="189"/>
      <c r="M400" s="189"/>
      <c r="N400" s="189"/>
      <c r="R400" s="189"/>
      <c r="S400" s="189"/>
      <c r="T400" s="189"/>
      <c r="U400" s="189"/>
      <c r="V400" s="189"/>
      <c r="W400" s="189"/>
      <c r="X400" s="189"/>
    </row>
    <row r="401" spans="1:24">
      <c r="A401" s="189"/>
      <c r="B401" s="189"/>
      <c r="C401" s="189"/>
      <c r="D401" s="189"/>
      <c r="E401" s="189"/>
      <c r="F401" s="189"/>
      <c r="G401" s="189"/>
      <c r="H401" s="189"/>
      <c r="I401" s="189"/>
      <c r="J401" s="423"/>
      <c r="K401" s="189"/>
      <c r="M401" s="189"/>
      <c r="N401" s="189"/>
      <c r="R401" s="189"/>
      <c r="S401" s="189"/>
      <c r="T401" s="189"/>
      <c r="U401" s="189"/>
      <c r="V401" s="189"/>
      <c r="W401" s="189"/>
      <c r="X401" s="189"/>
    </row>
    <row r="402" spans="1:24">
      <c r="A402" s="189"/>
      <c r="B402" s="189"/>
      <c r="C402" s="189"/>
      <c r="D402" s="189"/>
      <c r="E402" s="189"/>
      <c r="F402" s="189"/>
      <c r="G402" s="189"/>
      <c r="H402" s="189"/>
      <c r="I402" s="189"/>
      <c r="J402" s="423"/>
      <c r="K402" s="189"/>
      <c r="M402" s="189"/>
      <c r="N402" s="189"/>
      <c r="R402" s="189"/>
      <c r="S402" s="189"/>
      <c r="T402" s="189"/>
      <c r="U402" s="189"/>
      <c r="V402" s="189"/>
      <c r="W402" s="189"/>
      <c r="X402" s="189"/>
    </row>
    <row r="403" spans="1:24">
      <c r="A403" s="189"/>
      <c r="B403" s="189"/>
      <c r="C403" s="189"/>
      <c r="D403" s="189"/>
      <c r="E403" s="189"/>
      <c r="F403" s="189"/>
      <c r="G403" s="189"/>
      <c r="H403" s="189"/>
      <c r="I403" s="189"/>
      <c r="J403" s="423"/>
      <c r="K403" s="189"/>
      <c r="M403" s="189"/>
      <c r="N403" s="189"/>
      <c r="R403" s="189"/>
      <c r="S403" s="189"/>
      <c r="T403" s="189"/>
      <c r="U403" s="189"/>
      <c r="V403" s="189"/>
      <c r="W403" s="189"/>
      <c r="X403" s="189"/>
    </row>
    <row r="404" spans="1:24">
      <c r="A404" s="189"/>
      <c r="B404" s="189"/>
      <c r="C404" s="189"/>
      <c r="D404" s="189"/>
      <c r="E404" s="189"/>
      <c r="F404" s="189"/>
      <c r="G404" s="189"/>
      <c r="H404" s="189"/>
      <c r="I404" s="189"/>
      <c r="J404" s="423"/>
      <c r="K404" s="189"/>
      <c r="M404" s="189"/>
      <c r="N404" s="189"/>
      <c r="R404" s="189"/>
      <c r="S404" s="189"/>
      <c r="T404" s="189"/>
      <c r="U404" s="189"/>
      <c r="V404" s="189"/>
      <c r="W404" s="189"/>
      <c r="X404" s="189"/>
    </row>
    <row r="405" spans="1:24">
      <c r="A405" s="189"/>
      <c r="B405" s="189"/>
      <c r="C405" s="189"/>
      <c r="D405" s="189"/>
      <c r="E405" s="189"/>
      <c r="F405" s="189"/>
      <c r="G405" s="189"/>
      <c r="H405" s="189"/>
      <c r="I405" s="189"/>
      <c r="J405" s="423"/>
      <c r="K405" s="189"/>
      <c r="M405" s="189"/>
      <c r="N405" s="189"/>
      <c r="R405" s="189"/>
      <c r="S405" s="189"/>
      <c r="T405" s="189"/>
      <c r="U405" s="189"/>
      <c r="V405" s="189"/>
      <c r="W405" s="189"/>
      <c r="X405" s="189"/>
    </row>
    <row r="406" spans="1:24">
      <c r="A406" s="189"/>
      <c r="B406" s="189"/>
      <c r="C406" s="189"/>
      <c r="D406" s="189"/>
      <c r="E406" s="189"/>
      <c r="F406" s="189"/>
      <c r="G406" s="189"/>
      <c r="H406" s="189"/>
      <c r="I406" s="189"/>
      <c r="J406" s="423"/>
      <c r="K406" s="189"/>
      <c r="M406" s="189"/>
      <c r="N406" s="189"/>
      <c r="R406" s="189"/>
      <c r="S406" s="189"/>
      <c r="T406" s="189"/>
      <c r="U406" s="189"/>
      <c r="V406" s="189"/>
      <c r="W406" s="189"/>
      <c r="X406" s="189"/>
    </row>
    <row r="407" spans="1:24">
      <c r="A407" s="189"/>
      <c r="B407" s="189"/>
      <c r="C407" s="189"/>
      <c r="D407" s="189"/>
      <c r="E407" s="189"/>
      <c r="F407" s="189"/>
      <c r="G407" s="189"/>
      <c r="H407" s="189"/>
      <c r="I407" s="189"/>
      <c r="J407" s="423"/>
      <c r="K407" s="189"/>
      <c r="M407" s="189"/>
      <c r="N407" s="189"/>
      <c r="R407" s="189"/>
      <c r="S407" s="189"/>
      <c r="T407" s="189"/>
      <c r="U407" s="189"/>
      <c r="V407" s="189"/>
      <c r="W407" s="189"/>
      <c r="X407" s="189"/>
    </row>
    <row r="408" spans="1:24">
      <c r="A408" s="189"/>
      <c r="B408" s="189"/>
      <c r="C408" s="189"/>
      <c r="D408" s="189"/>
      <c r="E408" s="189"/>
      <c r="F408" s="189"/>
      <c r="G408" s="189"/>
      <c r="H408" s="189"/>
      <c r="I408" s="189"/>
      <c r="J408" s="423"/>
      <c r="K408" s="189"/>
      <c r="M408" s="189"/>
      <c r="N408" s="189"/>
      <c r="R408" s="189"/>
      <c r="S408" s="189"/>
      <c r="T408" s="189"/>
      <c r="U408" s="189"/>
      <c r="V408" s="189"/>
      <c r="W408" s="189"/>
      <c r="X408" s="189"/>
    </row>
    <row r="409" spans="1:24">
      <c r="A409" s="189"/>
      <c r="B409" s="189"/>
      <c r="C409" s="189"/>
      <c r="D409" s="189"/>
      <c r="E409" s="189"/>
      <c r="F409" s="189"/>
      <c r="G409" s="189"/>
      <c r="H409" s="189"/>
      <c r="I409" s="189"/>
      <c r="J409" s="423"/>
      <c r="K409" s="189"/>
      <c r="M409" s="189"/>
      <c r="N409" s="189"/>
      <c r="R409" s="189"/>
      <c r="S409" s="189"/>
      <c r="T409" s="189"/>
      <c r="U409" s="189"/>
      <c r="V409" s="189"/>
      <c r="W409" s="189"/>
      <c r="X409" s="189"/>
    </row>
    <row r="410" spans="1:24">
      <c r="A410" s="189"/>
      <c r="B410" s="189"/>
      <c r="C410" s="189"/>
      <c r="D410" s="189"/>
      <c r="E410" s="189"/>
      <c r="F410" s="189"/>
      <c r="G410" s="189"/>
      <c r="H410" s="189"/>
      <c r="I410" s="189"/>
      <c r="J410" s="423"/>
      <c r="K410" s="189"/>
      <c r="M410" s="189"/>
      <c r="N410" s="189"/>
      <c r="R410" s="189"/>
      <c r="S410" s="189"/>
      <c r="T410" s="189"/>
      <c r="U410" s="189"/>
      <c r="V410" s="189"/>
      <c r="W410" s="189"/>
      <c r="X410" s="189"/>
    </row>
    <row r="411" spans="1:24">
      <c r="A411" s="189"/>
      <c r="B411" s="189"/>
      <c r="C411" s="189"/>
      <c r="D411" s="189"/>
      <c r="E411" s="189"/>
      <c r="F411" s="189"/>
      <c r="G411" s="189"/>
      <c r="H411" s="189"/>
      <c r="I411" s="189"/>
      <c r="J411" s="423"/>
      <c r="K411" s="189"/>
      <c r="M411" s="189"/>
      <c r="N411" s="189"/>
      <c r="R411" s="189"/>
      <c r="S411" s="189"/>
      <c r="T411" s="189"/>
      <c r="U411" s="189"/>
      <c r="V411" s="189"/>
      <c r="W411" s="189"/>
      <c r="X411" s="189"/>
    </row>
    <row r="412" spans="1:24">
      <c r="A412" s="189"/>
      <c r="B412" s="189"/>
      <c r="C412" s="189"/>
      <c r="D412" s="189"/>
      <c r="E412" s="189"/>
      <c r="F412" s="189"/>
      <c r="G412" s="189"/>
      <c r="H412" s="189"/>
      <c r="I412" s="189"/>
      <c r="J412" s="423"/>
      <c r="K412" s="189"/>
      <c r="M412" s="189"/>
      <c r="N412" s="189"/>
      <c r="R412" s="189"/>
      <c r="S412" s="189"/>
      <c r="T412" s="189"/>
      <c r="U412" s="189"/>
      <c r="V412" s="189"/>
      <c r="W412" s="189"/>
      <c r="X412" s="189"/>
    </row>
    <row r="413" spans="1:24">
      <c r="A413" s="189"/>
      <c r="B413" s="189"/>
      <c r="C413" s="189"/>
      <c r="D413" s="189"/>
      <c r="E413" s="189"/>
      <c r="F413" s="189"/>
      <c r="G413" s="189"/>
      <c r="H413" s="189"/>
      <c r="I413" s="189"/>
      <c r="J413" s="423"/>
      <c r="K413" s="189"/>
      <c r="M413" s="189"/>
      <c r="N413" s="189"/>
      <c r="R413" s="189"/>
      <c r="S413" s="189"/>
      <c r="T413" s="189"/>
      <c r="U413" s="189"/>
      <c r="V413" s="189"/>
      <c r="W413" s="189"/>
      <c r="X413" s="189"/>
    </row>
    <row r="414" spans="1:24">
      <c r="A414" s="189"/>
      <c r="B414" s="189"/>
      <c r="C414" s="189"/>
      <c r="D414" s="189"/>
      <c r="E414" s="189"/>
      <c r="F414" s="189"/>
      <c r="G414" s="189"/>
      <c r="H414" s="189"/>
      <c r="I414" s="189"/>
      <c r="J414" s="423"/>
      <c r="K414" s="189"/>
      <c r="M414" s="189"/>
      <c r="N414" s="189"/>
      <c r="R414" s="189"/>
      <c r="S414" s="189"/>
      <c r="T414" s="189"/>
      <c r="U414" s="189"/>
      <c r="V414" s="189"/>
      <c r="W414" s="189"/>
      <c r="X414" s="189"/>
    </row>
    <row r="415" spans="1:24">
      <c r="A415" s="189"/>
      <c r="B415" s="189"/>
      <c r="C415" s="189"/>
      <c r="D415" s="189"/>
      <c r="E415" s="189"/>
      <c r="F415" s="189"/>
      <c r="G415" s="189"/>
      <c r="H415" s="189"/>
      <c r="I415" s="189"/>
      <c r="J415" s="423"/>
      <c r="K415" s="189"/>
      <c r="M415" s="189"/>
      <c r="N415" s="189"/>
      <c r="R415" s="189"/>
      <c r="S415" s="189"/>
      <c r="T415" s="189"/>
      <c r="U415" s="189"/>
      <c r="V415" s="189"/>
      <c r="W415" s="189"/>
      <c r="X415" s="189"/>
    </row>
    <row r="416" spans="1:24">
      <c r="A416" s="189"/>
      <c r="B416" s="189"/>
      <c r="C416" s="189"/>
      <c r="D416" s="189"/>
      <c r="E416" s="189"/>
      <c r="F416" s="189"/>
      <c r="G416" s="189"/>
      <c r="H416" s="189"/>
      <c r="I416" s="189"/>
      <c r="J416" s="423"/>
      <c r="K416" s="189"/>
      <c r="M416" s="189"/>
      <c r="N416" s="189"/>
      <c r="R416" s="189"/>
      <c r="S416" s="189"/>
      <c r="T416" s="189"/>
      <c r="U416" s="189"/>
      <c r="V416" s="189"/>
      <c r="W416" s="189"/>
      <c r="X416" s="189"/>
    </row>
    <row r="417" spans="1:24">
      <c r="A417" s="189"/>
      <c r="B417" s="189"/>
      <c r="C417" s="189"/>
      <c r="D417" s="189"/>
      <c r="E417" s="189"/>
      <c r="F417" s="189"/>
      <c r="G417" s="189"/>
      <c r="H417" s="189"/>
      <c r="I417" s="189"/>
      <c r="J417" s="423"/>
      <c r="K417" s="189"/>
      <c r="M417" s="189"/>
      <c r="N417" s="189"/>
      <c r="R417" s="189"/>
      <c r="S417" s="189"/>
      <c r="T417" s="189"/>
      <c r="U417" s="189"/>
      <c r="V417" s="189"/>
      <c r="W417" s="189"/>
      <c r="X417" s="189"/>
    </row>
    <row r="418" spans="1:24">
      <c r="A418" s="189"/>
      <c r="B418" s="189"/>
      <c r="C418" s="189"/>
      <c r="D418" s="189"/>
      <c r="E418" s="189"/>
      <c r="F418" s="189"/>
      <c r="G418" s="189"/>
      <c r="H418" s="189"/>
      <c r="I418" s="189"/>
      <c r="J418" s="423"/>
      <c r="K418" s="189"/>
      <c r="M418" s="189"/>
      <c r="N418" s="189"/>
      <c r="R418" s="189"/>
      <c r="S418" s="189"/>
      <c r="T418" s="189"/>
      <c r="U418" s="189"/>
      <c r="V418" s="189"/>
      <c r="W418" s="189"/>
      <c r="X418" s="189"/>
    </row>
    <row r="419" spans="1:24">
      <c r="A419" s="189"/>
      <c r="B419" s="189"/>
      <c r="C419" s="189"/>
      <c r="D419" s="189"/>
      <c r="E419" s="189"/>
      <c r="F419" s="189"/>
      <c r="G419" s="189"/>
      <c r="H419" s="189"/>
      <c r="I419" s="189"/>
      <c r="J419" s="423"/>
      <c r="K419" s="189"/>
      <c r="M419" s="189"/>
      <c r="N419" s="189"/>
      <c r="R419" s="189"/>
      <c r="S419" s="189"/>
      <c r="T419" s="189"/>
      <c r="U419" s="189"/>
      <c r="V419" s="189"/>
      <c r="W419" s="189"/>
      <c r="X419" s="189"/>
    </row>
    <row r="420" spans="1:24">
      <c r="A420" s="189"/>
      <c r="B420" s="189"/>
      <c r="C420" s="189"/>
      <c r="D420" s="189"/>
      <c r="E420" s="189"/>
      <c r="F420" s="189"/>
      <c r="G420" s="189"/>
      <c r="H420" s="189"/>
      <c r="I420" s="189"/>
      <c r="J420" s="423"/>
      <c r="K420" s="189"/>
      <c r="M420" s="189"/>
      <c r="N420" s="189"/>
      <c r="R420" s="189"/>
      <c r="S420" s="189"/>
      <c r="T420" s="189"/>
      <c r="U420" s="189"/>
      <c r="V420" s="189"/>
      <c r="W420" s="189"/>
      <c r="X420" s="189"/>
    </row>
    <row r="421" spans="1:24">
      <c r="A421" s="189"/>
      <c r="B421" s="189"/>
      <c r="C421" s="189"/>
      <c r="D421" s="189"/>
      <c r="E421" s="189"/>
      <c r="F421" s="189"/>
      <c r="G421" s="189"/>
      <c r="H421" s="189"/>
      <c r="I421" s="189"/>
      <c r="J421" s="423"/>
      <c r="K421" s="189"/>
      <c r="M421" s="189"/>
      <c r="N421" s="189"/>
      <c r="R421" s="189"/>
      <c r="S421" s="189"/>
      <c r="T421" s="189"/>
      <c r="U421" s="189"/>
      <c r="V421" s="189"/>
      <c r="W421" s="189"/>
      <c r="X421" s="189"/>
    </row>
    <row r="422" spans="1:24">
      <c r="A422" s="189"/>
      <c r="B422" s="189"/>
      <c r="C422" s="189"/>
      <c r="D422" s="189"/>
      <c r="E422" s="189"/>
      <c r="F422" s="189"/>
      <c r="G422" s="189"/>
      <c r="H422" s="189"/>
      <c r="I422" s="189"/>
      <c r="J422" s="423"/>
      <c r="K422" s="189"/>
      <c r="M422" s="189"/>
      <c r="N422" s="189"/>
      <c r="R422" s="189"/>
      <c r="S422" s="189"/>
      <c r="T422" s="189"/>
      <c r="U422" s="189"/>
      <c r="V422" s="189"/>
      <c r="W422" s="189"/>
      <c r="X422" s="189"/>
    </row>
    <row r="423" spans="1:24">
      <c r="A423" s="189"/>
      <c r="B423" s="189"/>
      <c r="C423" s="189"/>
      <c r="D423" s="189"/>
      <c r="E423" s="189"/>
      <c r="F423" s="189"/>
      <c r="G423" s="189"/>
      <c r="H423" s="189"/>
      <c r="I423" s="189"/>
      <c r="J423" s="423"/>
      <c r="K423" s="189"/>
      <c r="M423" s="189"/>
      <c r="N423" s="189"/>
      <c r="R423" s="189"/>
      <c r="S423" s="189"/>
      <c r="T423" s="189"/>
      <c r="U423" s="189"/>
      <c r="V423" s="189"/>
      <c r="W423" s="189"/>
      <c r="X423" s="189"/>
    </row>
    <row r="424" spans="1:24">
      <c r="A424" s="189"/>
      <c r="B424" s="189"/>
      <c r="C424" s="189"/>
      <c r="D424" s="189"/>
      <c r="E424" s="189"/>
      <c r="F424" s="189"/>
      <c r="G424" s="189"/>
      <c r="H424" s="189"/>
      <c r="I424" s="189"/>
      <c r="J424" s="423"/>
      <c r="K424" s="189"/>
      <c r="M424" s="189"/>
      <c r="N424" s="189"/>
      <c r="R424" s="189"/>
      <c r="S424" s="189"/>
      <c r="T424" s="189"/>
      <c r="U424" s="189"/>
      <c r="V424" s="189"/>
      <c r="W424" s="189"/>
      <c r="X424" s="189"/>
    </row>
    <row r="425" spans="1:24">
      <c r="A425" s="189"/>
      <c r="B425" s="189"/>
      <c r="C425" s="189"/>
      <c r="D425" s="189"/>
      <c r="E425" s="189"/>
      <c r="F425" s="189"/>
      <c r="G425" s="189"/>
      <c r="H425" s="189"/>
      <c r="I425" s="189"/>
      <c r="J425" s="423"/>
      <c r="K425" s="189"/>
      <c r="M425" s="189"/>
      <c r="N425" s="189"/>
      <c r="R425" s="189"/>
      <c r="S425" s="189"/>
      <c r="T425" s="189"/>
      <c r="U425" s="189"/>
      <c r="V425" s="189"/>
      <c r="W425" s="189"/>
      <c r="X425" s="189"/>
    </row>
    <row r="426" spans="1:24">
      <c r="A426" s="189"/>
      <c r="B426" s="189"/>
      <c r="C426" s="189"/>
      <c r="D426" s="189"/>
      <c r="E426" s="189"/>
      <c r="F426" s="189"/>
      <c r="G426" s="189"/>
      <c r="H426" s="189"/>
      <c r="I426" s="189"/>
      <c r="J426" s="423"/>
      <c r="K426" s="189"/>
      <c r="M426" s="189"/>
      <c r="N426" s="189"/>
      <c r="R426" s="189"/>
      <c r="S426" s="189"/>
      <c r="T426" s="189"/>
      <c r="U426" s="189"/>
      <c r="V426" s="189"/>
      <c r="W426" s="189"/>
      <c r="X426" s="189"/>
    </row>
    <row r="427" spans="1:24">
      <c r="A427" s="189"/>
      <c r="B427" s="189"/>
      <c r="C427" s="189"/>
      <c r="D427" s="189"/>
      <c r="E427" s="189"/>
      <c r="F427" s="189"/>
      <c r="G427" s="189"/>
      <c r="H427" s="189"/>
      <c r="I427" s="189"/>
      <c r="J427" s="423"/>
      <c r="K427" s="189"/>
      <c r="M427" s="189"/>
      <c r="N427" s="189"/>
      <c r="R427" s="189"/>
      <c r="S427" s="189"/>
      <c r="T427" s="189"/>
      <c r="U427" s="189"/>
      <c r="V427" s="189"/>
      <c r="W427" s="189"/>
      <c r="X427" s="189"/>
    </row>
    <row r="428" spans="1:24">
      <c r="A428" s="189"/>
      <c r="B428" s="189"/>
      <c r="C428" s="189"/>
      <c r="D428" s="189"/>
      <c r="E428" s="189"/>
      <c r="F428" s="189"/>
      <c r="G428" s="189"/>
      <c r="H428" s="189"/>
      <c r="I428" s="189"/>
      <c r="J428" s="423"/>
      <c r="K428" s="189"/>
      <c r="M428" s="189"/>
      <c r="N428" s="189"/>
      <c r="R428" s="189"/>
      <c r="S428" s="189"/>
      <c r="T428" s="189"/>
      <c r="U428" s="189"/>
      <c r="V428" s="189"/>
      <c r="W428" s="189"/>
      <c r="X428" s="189"/>
    </row>
    <row r="429" spans="1:24">
      <c r="A429" s="189"/>
      <c r="B429" s="189"/>
      <c r="C429" s="189"/>
      <c r="D429" s="189"/>
      <c r="E429" s="189"/>
      <c r="F429" s="189"/>
      <c r="G429" s="189"/>
      <c r="H429" s="189"/>
      <c r="I429" s="189"/>
      <c r="J429" s="423"/>
      <c r="K429" s="189"/>
      <c r="M429" s="189"/>
      <c r="N429" s="189"/>
      <c r="R429" s="189"/>
      <c r="S429" s="189"/>
      <c r="T429" s="189"/>
      <c r="U429" s="189"/>
      <c r="V429" s="189"/>
      <c r="W429" s="189"/>
      <c r="X429" s="189"/>
    </row>
    <row r="430" spans="1:24">
      <c r="A430" s="189"/>
      <c r="B430" s="189"/>
      <c r="C430" s="189"/>
      <c r="D430" s="189"/>
      <c r="E430" s="189"/>
      <c r="F430" s="189"/>
      <c r="G430" s="189"/>
      <c r="H430" s="189"/>
      <c r="I430" s="189"/>
      <c r="J430" s="423"/>
      <c r="K430" s="189"/>
      <c r="M430" s="189"/>
      <c r="N430" s="189"/>
      <c r="R430" s="189"/>
      <c r="S430" s="189"/>
      <c r="T430" s="189"/>
      <c r="U430" s="189"/>
      <c r="V430" s="189"/>
      <c r="W430" s="189"/>
      <c r="X430" s="189"/>
    </row>
    <row r="431" spans="1:24">
      <c r="A431" s="189"/>
      <c r="B431" s="189"/>
      <c r="C431" s="189"/>
      <c r="D431" s="189"/>
      <c r="E431" s="189"/>
      <c r="F431" s="189"/>
      <c r="G431" s="189"/>
      <c r="H431" s="189"/>
      <c r="I431" s="189"/>
      <c r="J431" s="423"/>
      <c r="K431" s="189"/>
      <c r="M431" s="189"/>
      <c r="N431" s="189"/>
      <c r="R431" s="189"/>
      <c r="S431" s="189"/>
      <c r="T431" s="189"/>
      <c r="U431" s="189"/>
      <c r="V431" s="189"/>
      <c r="W431" s="189"/>
      <c r="X431" s="189"/>
    </row>
    <row r="432" spans="1:24">
      <c r="A432" s="189"/>
      <c r="B432" s="189"/>
      <c r="C432" s="189"/>
      <c r="D432" s="189"/>
      <c r="E432" s="189"/>
      <c r="F432" s="189"/>
      <c r="G432" s="189"/>
      <c r="H432" s="189"/>
      <c r="I432" s="189"/>
      <c r="J432" s="423"/>
      <c r="K432" s="189"/>
      <c r="M432" s="189"/>
      <c r="N432" s="189"/>
      <c r="R432" s="189"/>
      <c r="S432" s="189"/>
      <c r="T432" s="189"/>
      <c r="U432" s="189"/>
      <c r="V432" s="189"/>
      <c r="W432" s="189"/>
      <c r="X432" s="189"/>
    </row>
    <row r="433" spans="1:24">
      <c r="A433" s="189"/>
      <c r="B433" s="189"/>
      <c r="C433" s="189"/>
      <c r="D433" s="189"/>
      <c r="E433" s="189"/>
      <c r="F433" s="189"/>
      <c r="G433" s="189"/>
      <c r="H433" s="189"/>
      <c r="I433" s="189"/>
      <c r="J433" s="423"/>
      <c r="K433" s="189"/>
      <c r="M433" s="189"/>
      <c r="N433" s="189"/>
      <c r="R433" s="189"/>
      <c r="S433" s="189"/>
      <c r="T433" s="189"/>
      <c r="U433" s="189"/>
      <c r="V433" s="189"/>
      <c r="W433" s="189"/>
      <c r="X433" s="189"/>
    </row>
    <row r="434" spans="1:24">
      <c r="A434" s="189"/>
      <c r="B434" s="189"/>
      <c r="C434" s="189"/>
      <c r="D434" s="189"/>
      <c r="E434" s="189"/>
      <c r="F434" s="189"/>
      <c r="G434" s="189"/>
      <c r="H434" s="189"/>
      <c r="I434" s="189"/>
      <c r="J434" s="423"/>
      <c r="K434" s="189"/>
      <c r="M434" s="189"/>
      <c r="N434" s="189"/>
      <c r="R434" s="189"/>
      <c r="S434" s="189"/>
      <c r="T434" s="189"/>
      <c r="U434" s="189"/>
      <c r="V434" s="189"/>
      <c r="W434" s="189"/>
      <c r="X434" s="189"/>
    </row>
    <row r="435" spans="1:24">
      <c r="A435" s="189"/>
      <c r="B435" s="189"/>
      <c r="C435" s="189"/>
      <c r="D435" s="189"/>
      <c r="E435" s="189"/>
      <c r="F435" s="189"/>
      <c r="G435" s="189"/>
      <c r="H435" s="189"/>
      <c r="I435" s="189"/>
      <c r="J435" s="423"/>
      <c r="K435" s="189"/>
      <c r="M435" s="189"/>
      <c r="N435" s="189"/>
      <c r="R435" s="189"/>
      <c r="S435" s="189"/>
      <c r="T435" s="189"/>
      <c r="U435" s="189"/>
      <c r="V435" s="189"/>
      <c r="W435" s="189"/>
      <c r="X435" s="189"/>
    </row>
    <row r="436" spans="1:24">
      <c r="A436" s="189"/>
      <c r="B436" s="189"/>
      <c r="C436" s="189"/>
      <c r="D436" s="189"/>
      <c r="E436" s="189"/>
      <c r="F436" s="189"/>
      <c r="G436" s="189"/>
      <c r="H436" s="189"/>
      <c r="I436" s="189"/>
      <c r="J436" s="423"/>
      <c r="K436" s="189"/>
      <c r="M436" s="189"/>
      <c r="N436" s="189"/>
      <c r="R436" s="189"/>
      <c r="S436" s="189"/>
      <c r="T436" s="189"/>
      <c r="U436" s="189"/>
      <c r="V436" s="189"/>
      <c r="W436" s="189"/>
      <c r="X436" s="189"/>
    </row>
    <row r="437" spans="1:24">
      <c r="A437" s="189"/>
      <c r="B437" s="189"/>
      <c r="C437" s="189"/>
      <c r="D437" s="189"/>
      <c r="E437" s="189"/>
      <c r="F437" s="189"/>
      <c r="G437" s="189"/>
      <c r="H437" s="189"/>
      <c r="I437" s="189"/>
      <c r="J437" s="423"/>
      <c r="K437" s="189"/>
      <c r="M437" s="189"/>
      <c r="N437" s="189"/>
      <c r="R437" s="189"/>
      <c r="S437" s="189"/>
      <c r="T437" s="189"/>
      <c r="U437" s="189"/>
      <c r="V437" s="189"/>
      <c r="W437" s="189"/>
      <c r="X437" s="189"/>
    </row>
    <row r="438" spans="1:24">
      <c r="A438" s="189"/>
      <c r="B438" s="189"/>
      <c r="C438" s="189"/>
      <c r="D438" s="189"/>
      <c r="E438" s="189"/>
      <c r="F438" s="189"/>
      <c r="G438" s="189"/>
      <c r="H438" s="189"/>
      <c r="I438" s="189"/>
      <c r="J438" s="423"/>
      <c r="K438" s="189"/>
      <c r="M438" s="189"/>
      <c r="N438" s="189"/>
      <c r="R438" s="189"/>
      <c r="S438" s="189"/>
      <c r="T438" s="189"/>
      <c r="U438" s="189"/>
      <c r="V438" s="189"/>
      <c r="W438" s="189"/>
      <c r="X438" s="189"/>
    </row>
    <row r="439" spans="1:24">
      <c r="A439" s="189"/>
      <c r="B439" s="189"/>
      <c r="C439" s="189"/>
      <c r="D439" s="189"/>
      <c r="E439" s="189"/>
      <c r="F439" s="189"/>
      <c r="G439" s="189"/>
      <c r="H439" s="189"/>
      <c r="I439" s="189"/>
      <c r="J439" s="423"/>
      <c r="K439" s="189"/>
      <c r="M439" s="189"/>
      <c r="N439" s="189"/>
      <c r="R439" s="189"/>
      <c r="S439" s="189"/>
      <c r="T439" s="189"/>
      <c r="U439" s="189"/>
      <c r="V439" s="189"/>
      <c r="W439" s="189"/>
      <c r="X439" s="189"/>
    </row>
    <row r="440" spans="1:24">
      <c r="A440" s="189"/>
      <c r="B440" s="189"/>
      <c r="C440" s="189"/>
      <c r="D440" s="189"/>
      <c r="E440" s="189"/>
      <c r="F440" s="189"/>
      <c r="G440" s="189"/>
      <c r="H440" s="189"/>
      <c r="I440" s="189"/>
      <c r="J440" s="423"/>
      <c r="K440" s="189"/>
      <c r="M440" s="189"/>
      <c r="N440" s="189"/>
      <c r="R440" s="189"/>
      <c r="S440" s="189"/>
      <c r="T440" s="189"/>
      <c r="U440" s="189"/>
      <c r="V440" s="189"/>
      <c r="W440" s="189"/>
      <c r="X440" s="189"/>
    </row>
    <row r="441" spans="1:24">
      <c r="A441" s="189"/>
      <c r="B441" s="189"/>
      <c r="C441" s="189"/>
      <c r="D441" s="189"/>
      <c r="E441" s="189"/>
      <c r="F441" s="189"/>
      <c r="G441" s="189"/>
      <c r="H441" s="189"/>
      <c r="I441" s="189"/>
      <c r="J441" s="423"/>
      <c r="K441" s="189"/>
      <c r="M441" s="189"/>
      <c r="N441" s="189"/>
      <c r="R441" s="189"/>
      <c r="S441" s="189"/>
      <c r="T441" s="189"/>
      <c r="U441" s="189"/>
      <c r="V441" s="189"/>
      <c r="W441" s="189"/>
      <c r="X441" s="189"/>
    </row>
    <row r="442" spans="1:24">
      <c r="A442" s="189"/>
      <c r="B442" s="189"/>
      <c r="C442" s="189"/>
      <c r="D442" s="189"/>
      <c r="E442" s="189"/>
      <c r="F442" s="189"/>
      <c r="G442" s="189"/>
      <c r="H442" s="189"/>
      <c r="I442" s="189"/>
      <c r="J442" s="423"/>
      <c r="K442" s="189"/>
      <c r="M442" s="189"/>
      <c r="N442" s="189"/>
      <c r="R442" s="189"/>
      <c r="S442" s="189"/>
      <c r="T442" s="189"/>
      <c r="U442" s="189"/>
      <c r="V442" s="189"/>
      <c r="W442" s="189"/>
      <c r="X442" s="189"/>
    </row>
    <row r="443" spans="1:24">
      <c r="A443" s="189"/>
      <c r="B443" s="189"/>
      <c r="C443" s="189"/>
      <c r="D443" s="189"/>
      <c r="E443" s="189"/>
      <c r="F443" s="189"/>
      <c r="G443" s="189"/>
      <c r="H443" s="189"/>
      <c r="I443" s="189"/>
      <c r="J443" s="423"/>
      <c r="K443" s="189"/>
      <c r="M443" s="189"/>
      <c r="N443" s="189"/>
      <c r="R443" s="189"/>
      <c r="S443" s="189"/>
      <c r="T443" s="189"/>
      <c r="U443" s="189"/>
      <c r="V443" s="189"/>
      <c r="W443" s="189"/>
      <c r="X443" s="189"/>
    </row>
    <row r="444" spans="1:24">
      <c r="A444" s="189"/>
      <c r="B444" s="189"/>
      <c r="C444" s="189"/>
      <c r="D444" s="189"/>
      <c r="E444" s="189"/>
      <c r="F444" s="189"/>
      <c r="G444" s="189"/>
      <c r="H444" s="189"/>
      <c r="I444" s="189"/>
      <c r="J444" s="423"/>
      <c r="K444" s="189"/>
      <c r="M444" s="189"/>
      <c r="N444" s="189"/>
      <c r="R444" s="189"/>
      <c r="S444" s="189"/>
      <c r="T444" s="189"/>
      <c r="U444" s="189"/>
      <c r="V444" s="189"/>
      <c r="W444" s="189"/>
      <c r="X444" s="189"/>
    </row>
    <row r="445" spans="1:24">
      <c r="A445" s="189"/>
      <c r="B445" s="189"/>
      <c r="C445" s="189"/>
      <c r="D445" s="189"/>
      <c r="E445" s="189"/>
      <c r="F445" s="189"/>
      <c r="G445" s="189"/>
      <c r="H445" s="189"/>
      <c r="I445" s="189"/>
      <c r="J445" s="423"/>
      <c r="K445" s="189"/>
      <c r="M445" s="189"/>
      <c r="N445" s="189"/>
      <c r="R445" s="189"/>
      <c r="S445" s="189"/>
      <c r="T445" s="189"/>
      <c r="U445" s="189"/>
      <c r="V445" s="189"/>
      <c r="W445" s="189"/>
      <c r="X445" s="189"/>
    </row>
    <row r="446" spans="1:24">
      <c r="A446" s="189"/>
      <c r="B446" s="189"/>
      <c r="C446" s="189"/>
      <c r="D446" s="189"/>
      <c r="E446" s="189"/>
      <c r="F446" s="189"/>
      <c r="G446" s="189"/>
      <c r="H446" s="189"/>
      <c r="I446" s="189"/>
      <c r="J446" s="423"/>
      <c r="K446" s="189"/>
      <c r="M446" s="189"/>
      <c r="N446" s="189"/>
      <c r="R446" s="189"/>
      <c r="S446" s="189"/>
      <c r="T446" s="189"/>
      <c r="U446" s="189"/>
      <c r="V446" s="189"/>
      <c r="W446" s="189"/>
      <c r="X446" s="189"/>
    </row>
    <row r="447" spans="1:24">
      <c r="A447" s="189"/>
      <c r="B447" s="189"/>
      <c r="C447" s="189"/>
      <c r="D447" s="189"/>
      <c r="E447" s="189"/>
      <c r="F447" s="189"/>
      <c r="G447" s="189"/>
      <c r="H447" s="189"/>
      <c r="I447" s="189"/>
      <c r="J447" s="423"/>
      <c r="K447" s="189"/>
      <c r="M447" s="189"/>
      <c r="N447" s="189"/>
      <c r="R447" s="189"/>
      <c r="S447" s="189"/>
      <c r="T447" s="189"/>
      <c r="U447" s="189"/>
      <c r="V447" s="189"/>
      <c r="W447" s="189"/>
      <c r="X447" s="189"/>
    </row>
    <row r="448" spans="1:24">
      <c r="A448" s="189"/>
      <c r="B448" s="189"/>
      <c r="C448" s="189"/>
      <c r="D448" s="189"/>
      <c r="E448" s="189"/>
      <c r="F448" s="189"/>
      <c r="G448" s="189"/>
      <c r="H448" s="189"/>
      <c r="I448" s="189"/>
      <c r="J448" s="423"/>
      <c r="K448" s="189"/>
      <c r="M448" s="189"/>
      <c r="N448" s="189"/>
      <c r="R448" s="189"/>
      <c r="S448" s="189"/>
      <c r="T448" s="189"/>
      <c r="U448" s="189"/>
      <c r="V448" s="189"/>
      <c r="W448" s="189"/>
      <c r="X448" s="189"/>
    </row>
    <row r="449" spans="1:24">
      <c r="A449" s="189"/>
      <c r="B449" s="189"/>
      <c r="C449" s="189"/>
      <c r="D449" s="189"/>
      <c r="E449" s="189"/>
      <c r="F449" s="189"/>
      <c r="G449" s="189"/>
      <c r="H449" s="189"/>
      <c r="I449" s="189"/>
      <c r="J449" s="423"/>
      <c r="K449" s="189"/>
      <c r="M449" s="189"/>
      <c r="N449" s="189"/>
      <c r="R449" s="189"/>
      <c r="S449" s="189"/>
      <c r="T449" s="189"/>
      <c r="U449" s="189"/>
      <c r="V449" s="189"/>
      <c r="W449" s="189"/>
      <c r="X449" s="189"/>
    </row>
    <row r="450" spans="1:24">
      <c r="A450" s="189"/>
      <c r="B450" s="189"/>
      <c r="C450" s="189"/>
      <c r="D450" s="189"/>
      <c r="E450" s="189"/>
      <c r="F450" s="189"/>
      <c r="G450" s="189"/>
      <c r="H450" s="189"/>
      <c r="I450" s="189"/>
      <c r="J450" s="423"/>
      <c r="K450" s="189"/>
      <c r="M450" s="189"/>
      <c r="N450" s="189"/>
      <c r="R450" s="189"/>
      <c r="S450" s="189"/>
      <c r="T450" s="189"/>
      <c r="U450" s="189"/>
      <c r="V450" s="189"/>
      <c r="W450" s="189"/>
      <c r="X450" s="189"/>
    </row>
    <row r="451" spans="1:24">
      <c r="A451" s="189"/>
      <c r="B451" s="189"/>
      <c r="C451" s="189"/>
      <c r="D451" s="189"/>
      <c r="E451" s="189"/>
      <c r="F451" s="189"/>
      <c r="G451" s="189"/>
      <c r="H451" s="189"/>
      <c r="I451" s="189"/>
      <c r="J451" s="423"/>
      <c r="K451" s="189"/>
      <c r="M451" s="189"/>
      <c r="N451" s="189"/>
      <c r="R451" s="189"/>
      <c r="S451" s="189"/>
      <c r="T451" s="189"/>
      <c r="U451" s="189"/>
      <c r="V451" s="189"/>
      <c r="W451" s="189"/>
      <c r="X451" s="189"/>
    </row>
    <row r="452" spans="1:24">
      <c r="A452" s="189"/>
      <c r="B452" s="189"/>
      <c r="C452" s="189"/>
      <c r="D452" s="189"/>
      <c r="E452" s="189"/>
      <c r="F452" s="189"/>
      <c r="G452" s="189"/>
      <c r="H452" s="189"/>
      <c r="I452" s="189"/>
      <c r="J452" s="423"/>
      <c r="K452" s="189"/>
      <c r="M452" s="189"/>
      <c r="N452" s="189"/>
      <c r="R452" s="189"/>
      <c r="S452" s="189"/>
      <c r="T452" s="189"/>
      <c r="U452" s="189"/>
      <c r="V452" s="189"/>
      <c r="W452" s="189"/>
      <c r="X452" s="189"/>
    </row>
    <row r="453" spans="1:24">
      <c r="A453" s="189"/>
      <c r="B453" s="189"/>
      <c r="C453" s="189"/>
      <c r="D453" s="189"/>
      <c r="E453" s="189"/>
      <c r="F453" s="189"/>
      <c r="G453" s="189"/>
      <c r="H453" s="189"/>
      <c r="I453" s="189"/>
      <c r="J453" s="423"/>
      <c r="K453" s="189"/>
      <c r="M453" s="189"/>
      <c r="N453" s="189"/>
      <c r="R453" s="189"/>
      <c r="S453" s="189"/>
      <c r="T453" s="189"/>
      <c r="U453" s="189"/>
      <c r="V453" s="189"/>
      <c r="W453" s="189"/>
      <c r="X453" s="189"/>
    </row>
    <row r="454" spans="1:24">
      <c r="A454" s="189"/>
      <c r="B454" s="189"/>
      <c r="C454" s="189"/>
      <c r="D454" s="189"/>
      <c r="E454" s="189"/>
      <c r="F454" s="189"/>
      <c r="G454" s="189"/>
      <c r="H454" s="189"/>
      <c r="I454" s="189"/>
      <c r="J454" s="423"/>
      <c r="K454" s="189"/>
      <c r="M454" s="189"/>
      <c r="N454" s="189"/>
      <c r="R454" s="189"/>
      <c r="S454" s="189"/>
      <c r="T454" s="189"/>
      <c r="U454" s="189"/>
      <c r="V454" s="189"/>
      <c r="W454" s="189"/>
      <c r="X454" s="189"/>
    </row>
    <row r="455" spans="1:24">
      <c r="A455" s="189"/>
      <c r="B455" s="189"/>
      <c r="C455" s="189"/>
      <c r="D455" s="189"/>
      <c r="E455" s="189"/>
      <c r="F455" s="189"/>
      <c r="G455" s="189"/>
      <c r="H455" s="189"/>
      <c r="I455" s="189"/>
      <c r="J455" s="423"/>
      <c r="K455" s="189"/>
      <c r="M455" s="189"/>
      <c r="N455" s="189"/>
      <c r="R455" s="189"/>
      <c r="S455" s="189"/>
      <c r="T455" s="189"/>
      <c r="U455" s="189"/>
      <c r="V455" s="189"/>
      <c r="W455" s="189"/>
      <c r="X455" s="189"/>
    </row>
    <row r="456" spans="1:24">
      <c r="A456" s="189"/>
      <c r="B456" s="189"/>
      <c r="C456" s="189"/>
      <c r="D456" s="189"/>
      <c r="E456" s="189"/>
      <c r="F456" s="189"/>
      <c r="G456" s="189"/>
      <c r="H456" s="189"/>
      <c r="I456" s="189"/>
      <c r="J456" s="423"/>
      <c r="K456" s="189"/>
      <c r="M456" s="189"/>
      <c r="N456" s="189"/>
      <c r="R456" s="189"/>
      <c r="S456" s="189"/>
      <c r="T456" s="189"/>
      <c r="U456" s="189"/>
      <c r="V456" s="189"/>
      <c r="W456" s="189"/>
      <c r="X456" s="189"/>
    </row>
    <row r="457" spans="1:24">
      <c r="A457" s="189"/>
      <c r="B457" s="189"/>
      <c r="C457" s="189"/>
      <c r="D457" s="189"/>
      <c r="E457" s="189"/>
      <c r="F457" s="189"/>
      <c r="G457" s="189"/>
      <c r="H457" s="189"/>
      <c r="I457" s="189"/>
      <c r="J457" s="423"/>
      <c r="K457" s="189"/>
      <c r="M457" s="189"/>
      <c r="N457" s="189"/>
      <c r="R457" s="189"/>
      <c r="S457" s="189"/>
      <c r="T457" s="189"/>
      <c r="U457" s="189"/>
      <c r="V457" s="189"/>
      <c r="W457" s="189"/>
      <c r="X457" s="189"/>
    </row>
    <row r="458" spans="1:24">
      <c r="A458" s="189"/>
      <c r="B458" s="189"/>
      <c r="C458" s="189"/>
      <c r="D458" s="189"/>
      <c r="E458" s="189"/>
      <c r="F458" s="189"/>
      <c r="G458" s="189"/>
      <c r="H458" s="189"/>
      <c r="I458" s="189"/>
      <c r="J458" s="423"/>
      <c r="K458" s="189"/>
      <c r="M458" s="189"/>
      <c r="N458" s="189"/>
      <c r="R458" s="189"/>
      <c r="S458" s="189"/>
      <c r="T458" s="189"/>
      <c r="U458" s="189"/>
      <c r="V458" s="189"/>
      <c r="W458" s="189"/>
      <c r="X458" s="189"/>
    </row>
    <row r="459" spans="1:24">
      <c r="A459" s="189"/>
      <c r="B459" s="189"/>
      <c r="C459" s="189"/>
      <c r="D459" s="189"/>
      <c r="E459" s="189"/>
      <c r="F459" s="189"/>
      <c r="G459" s="189"/>
      <c r="H459" s="189"/>
      <c r="I459" s="189"/>
      <c r="J459" s="423"/>
      <c r="K459" s="189"/>
      <c r="M459" s="189"/>
      <c r="N459" s="189"/>
      <c r="R459" s="189"/>
      <c r="S459" s="189"/>
      <c r="T459" s="189"/>
      <c r="U459" s="189"/>
      <c r="V459" s="189"/>
      <c r="W459" s="189"/>
      <c r="X459" s="189"/>
    </row>
    <row r="460" spans="1:24">
      <c r="A460" s="189"/>
      <c r="B460" s="189"/>
      <c r="C460" s="189"/>
      <c r="D460" s="189"/>
      <c r="E460" s="189"/>
      <c r="F460" s="189"/>
      <c r="G460" s="189"/>
      <c r="H460" s="189"/>
      <c r="I460" s="189"/>
      <c r="J460" s="423"/>
      <c r="K460" s="189"/>
      <c r="M460" s="189"/>
      <c r="N460" s="189"/>
      <c r="R460" s="189"/>
      <c r="S460" s="189"/>
      <c r="T460" s="189"/>
      <c r="U460" s="189"/>
      <c r="V460" s="189"/>
      <c r="W460" s="189"/>
      <c r="X460" s="189"/>
    </row>
    <row r="461" spans="1:24">
      <c r="A461" s="189"/>
      <c r="B461" s="189"/>
      <c r="C461" s="189"/>
      <c r="D461" s="189"/>
      <c r="E461" s="189"/>
      <c r="F461" s="189"/>
      <c r="G461" s="189"/>
      <c r="H461" s="189"/>
      <c r="I461" s="189"/>
      <c r="J461" s="423"/>
      <c r="K461" s="189"/>
      <c r="M461" s="189"/>
      <c r="N461" s="189"/>
      <c r="R461" s="189"/>
      <c r="S461" s="189"/>
      <c r="T461" s="189"/>
      <c r="U461" s="189"/>
      <c r="V461" s="189"/>
      <c r="W461" s="189"/>
      <c r="X461" s="189"/>
    </row>
    <row r="462" spans="1:24">
      <c r="A462" s="189"/>
      <c r="B462" s="189"/>
      <c r="C462" s="189"/>
      <c r="D462" s="189"/>
      <c r="E462" s="189"/>
      <c r="F462" s="189"/>
      <c r="G462" s="189"/>
      <c r="H462" s="189"/>
      <c r="I462" s="189"/>
      <c r="J462" s="423"/>
      <c r="K462" s="189"/>
      <c r="M462" s="189"/>
      <c r="N462" s="189"/>
      <c r="R462" s="189"/>
      <c r="S462" s="189"/>
      <c r="T462" s="189"/>
      <c r="U462" s="189"/>
      <c r="V462" s="189"/>
      <c r="W462" s="189"/>
      <c r="X462" s="189"/>
    </row>
    <row r="463" spans="1:24">
      <c r="A463" s="189"/>
      <c r="B463" s="189"/>
      <c r="C463" s="189"/>
      <c r="D463" s="189"/>
      <c r="E463" s="189"/>
      <c r="F463" s="189"/>
      <c r="G463" s="189"/>
      <c r="H463" s="189"/>
      <c r="I463" s="189"/>
      <c r="J463" s="423"/>
      <c r="K463" s="189"/>
      <c r="M463" s="189"/>
      <c r="N463" s="189"/>
      <c r="R463" s="189"/>
      <c r="S463" s="189"/>
      <c r="T463" s="189"/>
      <c r="U463" s="189"/>
      <c r="V463" s="189"/>
      <c r="W463" s="189"/>
      <c r="X463" s="189"/>
    </row>
    <row r="464" spans="1:24">
      <c r="A464" s="189"/>
      <c r="B464" s="189"/>
      <c r="C464" s="189"/>
      <c r="D464" s="189"/>
      <c r="E464" s="189"/>
      <c r="F464" s="189"/>
      <c r="G464" s="189"/>
      <c r="H464" s="189"/>
      <c r="I464" s="189"/>
      <c r="J464" s="423"/>
      <c r="K464" s="189"/>
      <c r="M464" s="189"/>
      <c r="N464" s="189"/>
      <c r="R464" s="189"/>
      <c r="S464" s="189"/>
      <c r="T464" s="189"/>
      <c r="U464" s="189"/>
      <c r="V464" s="189"/>
      <c r="W464" s="189"/>
      <c r="X464" s="189"/>
    </row>
    <row r="465" spans="1:24">
      <c r="A465" s="189"/>
      <c r="B465" s="189"/>
      <c r="C465" s="189"/>
      <c r="D465" s="189"/>
      <c r="E465" s="189"/>
      <c r="F465" s="189"/>
      <c r="G465" s="189"/>
      <c r="H465" s="189"/>
      <c r="I465" s="189"/>
      <c r="J465" s="423"/>
      <c r="K465" s="189"/>
      <c r="M465" s="189"/>
      <c r="N465" s="189"/>
      <c r="R465" s="189"/>
      <c r="S465" s="189"/>
      <c r="T465" s="189"/>
      <c r="U465" s="189"/>
      <c r="V465" s="189"/>
      <c r="W465" s="189"/>
      <c r="X465" s="189"/>
    </row>
    <row r="466" spans="1:24">
      <c r="A466" s="189"/>
      <c r="B466" s="189"/>
      <c r="C466" s="189"/>
      <c r="D466" s="189"/>
      <c r="E466" s="189"/>
      <c r="F466" s="189"/>
      <c r="G466" s="189"/>
      <c r="H466" s="189"/>
      <c r="I466" s="189"/>
      <c r="J466" s="423"/>
      <c r="K466" s="189"/>
      <c r="M466" s="189"/>
      <c r="N466" s="189"/>
      <c r="R466" s="189"/>
      <c r="S466" s="189"/>
      <c r="T466" s="189"/>
      <c r="U466" s="189"/>
      <c r="V466" s="189"/>
      <c r="W466" s="189"/>
      <c r="X466" s="189"/>
    </row>
    <row r="467" spans="1:24">
      <c r="A467" s="189"/>
      <c r="B467" s="189"/>
      <c r="C467" s="189"/>
      <c r="D467" s="189"/>
      <c r="E467" s="189"/>
      <c r="F467" s="189"/>
      <c r="G467" s="189"/>
      <c r="H467" s="189"/>
      <c r="I467" s="189"/>
      <c r="J467" s="423"/>
      <c r="K467" s="189"/>
      <c r="M467" s="189"/>
      <c r="N467" s="189"/>
      <c r="R467" s="189"/>
      <c r="S467" s="189"/>
      <c r="T467" s="189"/>
      <c r="U467" s="189"/>
      <c r="V467" s="189"/>
      <c r="W467" s="189"/>
      <c r="X467" s="189"/>
    </row>
    <row r="468" spans="1:24">
      <c r="A468" s="189"/>
      <c r="B468" s="189"/>
      <c r="C468" s="189"/>
      <c r="D468" s="189"/>
      <c r="E468" s="189"/>
      <c r="F468" s="189"/>
      <c r="G468" s="189"/>
      <c r="H468" s="189"/>
      <c r="I468" s="189"/>
      <c r="J468" s="423"/>
      <c r="K468" s="189"/>
      <c r="M468" s="189"/>
      <c r="N468" s="189"/>
      <c r="R468" s="189"/>
      <c r="S468" s="189"/>
      <c r="T468" s="189"/>
      <c r="U468" s="189"/>
      <c r="V468" s="189"/>
      <c r="W468" s="189"/>
      <c r="X468" s="189"/>
    </row>
    <row r="469" spans="1:24">
      <c r="A469" s="189"/>
      <c r="B469" s="189"/>
      <c r="C469" s="189"/>
      <c r="D469" s="189"/>
      <c r="E469" s="189"/>
      <c r="F469" s="189"/>
      <c r="G469" s="189"/>
      <c r="H469" s="189"/>
      <c r="I469" s="189"/>
      <c r="J469" s="423"/>
      <c r="K469" s="189"/>
      <c r="M469" s="189"/>
      <c r="N469" s="189"/>
      <c r="R469" s="189"/>
      <c r="S469" s="189"/>
      <c r="T469" s="189"/>
      <c r="U469" s="189"/>
      <c r="V469" s="189"/>
      <c r="W469" s="189"/>
      <c r="X469" s="189"/>
    </row>
    <row r="470" spans="1:24">
      <c r="A470" s="189"/>
      <c r="B470" s="189"/>
      <c r="C470" s="189"/>
      <c r="D470" s="189"/>
      <c r="E470" s="189"/>
      <c r="F470" s="189"/>
      <c r="G470" s="189"/>
      <c r="H470" s="189"/>
      <c r="I470" s="189"/>
      <c r="J470" s="423"/>
      <c r="K470" s="189"/>
      <c r="M470" s="189"/>
      <c r="N470" s="189"/>
      <c r="R470" s="189"/>
      <c r="S470" s="189"/>
      <c r="T470" s="189"/>
      <c r="U470" s="189"/>
      <c r="V470" s="189"/>
      <c r="W470" s="189"/>
      <c r="X470" s="189"/>
    </row>
    <row r="471" spans="1:24">
      <c r="A471" s="189"/>
      <c r="B471" s="189"/>
      <c r="C471" s="189"/>
      <c r="D471" s="189"/>
      <c r="E471" s="189"/>
      <c r="F471" s="189"/>
      <c r="G471" s="189"/>
      <c r="H471" s="189"/>
      <c r="I471" s="189"/>
      <c r="J471" s="423"/>
      <c r="K471" s="189"/>
      <c r="M471" s="189"/>
      <c r="N471" s="189"/>
      <c r="R471" s="189"/>
      <c r="S471" s="189"/>
      <c r="T471" s="189"/>
      <c r="U471" s="189"/>
      <c r="V471" s="189"/>
      <c r="W471" s="189"/>
      <c r="X471" s="189"/>
    </row>
    <row r="472" spans="1:24">
      <c r="A472" s="189"/>
      <c r="B472" s="189"/>
      <c r="C472" s="189"/>
      <c r="D472" s="189"/>
      <c r="E472" s="189"/>
      <c r="F472" s="189"/>
      <c r="G472" s="189"/>
      <c r="H472" s="189"/>
      <c r="I472" s="189"/>
      <c r="J472" s="423"/>
      <c r="K472" s="189"/>
      <c r="M472" s="189"/>
      <c r="N472" s="189"/>
      <c r="R472" s="189"/>
      <c r="S472" s="189"/>
      <c r="T472" s="189"/>
      <c r="U472" s="189"/>
      <c r="V472" s="189"/>
      <c r="W472" s="189"/>
      <c r="X472" s="189"/>
    </row>
    <row r="473" spans="1:24">
      <c r="A473" s="189"/>
      <c r="B473" s="189"/>
      <c r="C473" s="189"/>
      <c r="D473" s="189"/>
      <c r="E473" s="189"/>
      <c r="F473" s="189"/>
      <c r="G473" s="189"/>
      <c r="H473" s="189"/>
      <c r="I473" s="189"/>
      <c r="J473" s="423"/>
      <c r="K473" s="189"/>
      <c r="M473" s="189"/>
      <c r="N473" s="189"/>
      <c r="R473" s="189"/>
      <c r="S473" s="189"/>
      <c r="T473" s="189"/>
      <c r="U473" s="189"/>
      <c r="V473" s="189"/>
      <c r="W473" s="189"/>
      <c r="X473" s="189"/>
    </row>
    <row r="474" spans="1:24">
      <c r="A474" s="189"/>
      <c r="B474" s="189"/>
      <c r="C474" s="189"/>
      <c r="D474" s="189"/>
      <c r="E474" s="189"/>
      <c r="F474" s="189"/>
      <c r="G474" s="189"/>
      <c r="H474" s="189"/>
      <c r="I474" s="189"/>
      <c r="J474" s="423"/>
      <c r="K474" s="189"/>
      <c r="M474" s="189"/>
      <c r="N474" s="189"/>
      <c r="R474" s="189"/>
      <c r="S474" s="189"/>
      <c r="T474" s="189"/>
      <c r="U474" s="189"/>
      <c r="V474" s="189"/>
      <c r="W474" s="189"/>
      <c r="X474" s="189"/>
    </row>
    <row r="475" spans="1:24">
      <c r="A475" s="189"/>
      <c r="B475" s="189"/>
      <c r="C475" s="189"/>
      <c r="D475" s="189"/>
      <c r="E475" s="189"/>
      <c r="F475" s="189"/>
      <c r="G475" s="189"/>
      <c r="H475" s="189"/>
      <c r="I475" s="189"/>
      <c r="J475" s="423"/>
      <c r="K475" s="189"/>
      <c r="M475" s="189"/>
      <c r="N475" s="189"/>
      <c r="R475" s="189"/>
      <c r="S475" s="189"/>
      <c r="T475" s="189"/>
      <c r="U475" s="189"/>
      <c r="V475" s="189"/>
      <c r="W475" s="189"/>
      <c r="X475" s="189"/>
    </row>
    <row r="476" spans="1:24">
      <c r="A476" s="189"/>
      <c r="B476" s="189"/>
      <c r="C476" s="189"/>
      <c r="D476" s="189"/>
      <c r="E476" s="189"/>
      <c r="F476" s="189"/>
      <c r="G476" s="189"/>
      <c r="H476" s="189"/>
      <c r="I476" s="189"/>
      <c r="J476" s="423"/>
      <c r="K476" s="189"/>
      <c r="M476" s="189"/>
      <c r="N476" s="189"/>
      <c r="R476" s="189"/>
      <c r="S476" s="189"/>
      <c r="T476" s="189"/>
      <c r="U476" s="189"/>
      <c r="V476" s="189"/>
      <c r="W476" s="189"/>
      <c r="X476" s="189"/>
    </row>
    <row r="477" spans="1:24">
      <c r="A477" s="189"/>
      <c r="B477" s="189"/>
      <c r="C477" s="189"/>
      <c r="D477" s="189"/>
      <c r="E477" s="189"/>
      <c r="F477" s="189"/>
      <c r="G477" s="189"/>
      <c r="H477" s="189"/>
      <c r="I477" s="189"/>
      <c r="J477" s="423"/>
      <c r="K477" s="189"/>
      <c r="M477" s="189"/>
      <c r="N477" s="189"/>
      <c r="R477" s="189"/>
      <c r="S477" s="189"/>
      <c r="T477" s="189"/>
      <c r="U477" s="189"/>
      <c r="V477" s="189"/>
      <c r="W477" s="189"/>
      <c r="X477" s="189"/>
    </row>
    <row r="478" spans="1:24">
      <c r="A478" s="189"/>
      <c r="B478" s="189"/>
      <c r="C478" s="189"/>
      <c r="D478" s="189"/>
      <c r="E478" s="189"/>
      <c r="F478" s="189"/>
      <c r="G478" s="189"/>
      <c r="H478" s="189"/>
      <c r="I478" s="189"/>
      <c r="J478" s="423"/>
      <c r="K478" s="189"/>
      <c r="M478" s="189"/>
      <c r="N478" s="189"/>
      <c r="R478" s="189"/>
      <c r="S478" s="189"/>
      <c r="T478" s="189"/>
      <c r="U478" s="189"/>
      <c r="V478" s="189"/>
      <c r="W478" s="189"/>
      <c r="X478" s="189"/>
    </row>
    <row r="479" spans="1:24">
      <c r="A479" s="189"/>
      <c r="B479" s="189"/>
      <c r="C479" s="189"/>
      <c r="D479" s="189"/>
      <c r="E479" s="189"/>
      <c r="F479" s="189"/>
      <c r="G479" s="189"/>
      <c r="H479" s="189"/>
      <c r="I479" s="189"/>
      <c r="J479" s="423"/>
      <c r="K479" s="189"/>
      <c r="M479" s="189"/>
      <c r="N479" s="189"/>
      <c r="R479" s="189"/>
      <c r="S479" s="189"/>
      <c r="T479" s="189"/>
      <c r="U479" s="189"/>
      <c r="V479" s="189"/>
      <c r="W479" s="189"/>
      <c r="X479" s="189"/>
    </row>
    <row r="480" spans="1:24">
      <c r="A480" s="189"/>
      <c r="B480" s="189"/>
      <c r="C480" s="189"/>
      <c r="D480" s="189"/>
      <c r="E480" s="189"/>
      <c r="F480" s="189"/>
      <c r="G480" s="189"/>
      <c r="H480" s="189"/>
      <c r="I480" s="189"/>
      <c r="J480" s="423"/>
      <c r="K480" s="189"/>
      <c r="M480" s="189"/>
      <c r="N480" s="189"/>
      <c r="R480" s="189"/>
      <c r="S480" s="189"/>
      <c r="T480" s="189"/>
      <c r="U480" s="189"/>
      <c r="V480" s="189"/>
      <c r="W480" s="189"/>
      <c r="X480" s="189"/>
    </row>
    <row r="481" spans="1:24">
      <c r="A481" s="189"/>
      <c r="B481" s="189"/>
      <c r="C481" s="189"/>
      <c r="D481" s="189"/>
      <c r="E481" s="189"/>
      <c r="F481" s="189"/>
      <c r="G481" s="189"/>
      <c r="H481" s="189"/>
      <c r="I481" s="189"/>
      <c r="J481" s="423"/>
      <c r="K481" s="189"/>
      <c r="M481" s="189"/>
      <c r="N481" s="189"/>
      <c r="R481" s="189"/>
      <c r="S481" s="189"/>
      <c r="T481" s="189"/>
      <c r="U481" s="189"/>
      <c r="V481" s="189"/>
      <c r="W481" s="189"/>
      <c r="X481" s="189"/>
    </row>
    <row r="482" spans="1:24">
      <c r="A482" s="189"/>
      <c r="B482" s="189"/>
      <c r="C482" s="189"/>
      <c r="D482" s="189"/>
      <c r="E482" s="189"/>
      <c r="F482" s="189"/>
      <c r="G482" s="189"/>
      <c r="H482" s="189"/>
      <c r="I482" s="189"/>
      <c r="J482" s="423"/>
      <c r="K482" s="189"/>
      <c r="M482" s="189"/>
      <c r="N482" s="189"/>
      <c r="R482" s="189"/>
      <c r="S482" s="189"/>
      <c r="T482" s="189"/>
      <c r="U482" s="189"/>
      <c r="V482" s="189"/>
      <c r="W482" s="189"/>
      <c r="X482" s="189"/>
    </row>
    <row r="483" spans="1:24">
      <c r="A483" s="189"/>
      <c r="B483" s="189"/>
      <c r="C483" s="189"/>
      <c r="D483" s="189"/>
      <c r="E483" s="189"/>
      <c r="F483" s="189"/>
      <c r="G483" s="189"/>
      <c r="H483" s="189"/>
      <c r="I483" s="189"/>
      <c r="J483" s="423"/>
      <c r="K483" s="189"/>
      <c r="M483" s="189"/>
      <c r="N483" s="189"/>
      <c r="R483" s="189"/>
      <c r="S483" s="189"/>
      <c r="T483" s="189"/>
      <c r="U483" s="189"/>
      <c r="V483" s="189"/>
      <c r="W483" s="189"/>
      <c r="X483" s="189"/>
    </row>
    <row r="484" spans="1:24">
      <c r="A484" s="189"/>
      <c r="B484" s="189"/>
      <c r="C484" s="189"/>
      <c r="D484" s="189"/>
      <c r="E484" s="189"/>
      <c r="F484" s="189"/>
      <c r="G484" s="189"/>
      <c r="H484" s="189"/>
      <c r="I484" s="189"/>
      <c r="J484" s="423"/>
      <c r="K484" s="189"/>
      <c r="M484" s="189"/>
      <c r="N484" s="189"/>
      <c r="R484" s="189"/>
      <c r="S484" s="189"/>
      <c r="T484" s="189"/>
      <c r="U484" s="189"/>
      <c r="V484" s="189"/>
      <c r="W484" s="189"/>
      <c r="X484" s="189"/>
    </row>
    <row r="485" spans="1:24">
      <c r="A485" s="189"/>
      <c r="B485" s="189"/>
      <c r="C485" s="189"/>
      <c r="D485" s="189"/>
      <c r="E485" s="189"/>
      <c r="F485" s="189"/>
      <c r="G485" s="189"/>
      <c r="H485" s="189"/>
      <c r="I485" s="189"/>
      <c r="J485" s="423"/>
      <c r="K485" s="189"/>
      <c r="M485" s="189"/>
      <c r="N485" s="189"/>
      <c r="R485" s="189"/>
      <c r="S485" s="189"/>
      <c r="T485" s="189"/>
      <c r="U485" s="189"/>
      <c r="V485" s="189"/>
      <c r="W485" s="189"/>
      <c r="X485" s="189"/>
    </row>
    <row r="486" spans="1:24">
      <c r="A486" s="189"/>
      <c r="B486" s="189"/>
      <c r="C486" s="189"/>
      <c r="D486" s="189"/>
      <c r="E486" s="189"/>
      <c r="F486" s="189"/>
      <c r="G486" s="189"/>
      <c r="H486" s="189"/>
      <c r="I486" s="189"/>
      <c r="J486" s="423"/>
      <c r="K486" s="189"/>
      <c r="M486" s="189"/>
      <c r="N486" s="189"/>
      <c r="R486" s="189"/>
      <c r="S486" s="189"/>
      <c r="T486" s="189"/>
      <c r="U486" s="189"/>
      <c r="V486" s="189"/>
      <c r="W486" s="189"/>
      <c r="X486" s="189"/>
    </row>
    <row r="487" spans="1:24">
      <c r="A487" s="189"/>
      <c r="B487" s="189"/>
      <c r="C487" s="189"/>
      <c r="D487" s="189"/>
      <c r="E487" s="189"/>
      <c r="F487" s="189"/>
      <c r="G487" s="189"/>
      <c r="H487" s="189"/>
      <c r="I487" s="189"/>
      <c r="J487" s="423"/>
      <c r="K487" s="189"/>
      <c r="M487" s="189"/>
      <c r="N487" s="189"/>
      <c r="R487" s="189"/>
      <c r="S487" s="189"/>
      <c r="T487" s="189"/>
      <c r="U487" s="189"/>
      <c r="V487" s="189"/>
      <c r="W487" s="189"/>
      <c r="X487" s="189"/>
    </row>
    <row r="488" spans="1:24">
      <c r="A488" s="189"/>
      <c r="B488" s="189"/>
      <c r="C488" s="189"/>
      <c r="D488" s="189"/>
      <c r="E488" s="189"/>
      <c r="F488" s="189"/>
      <c r="G488" s="189"/>
      <c r="H488" s="189"/>
      <c r="I488" s="189"/>
      <c r="J488" s="423"/>
      <c r="K488" s="189"/>
      <c r="M488" s="189"/>
      <c r="N488" s="189"/>
      <c r="R488" s="189"/>
      <c r="S488" s="189"/>
      <c r="T488" s="189"/>
      <c r="U488" s="189"/>
      <c r="V488" s="189"/>
      <c r="W488" s="189"/>
      <c r="X488" s="189"/>
    </row>
    <row r="489" spans="1:24">
      <c r="A489" s="189"/>
      <c r="B489" s="189"/>
      <c r="C489" s="189"/>
      <c r="D489" s="189"/>
      <c r="E489" s="189"/>
      <c r="F489" s="189"/>
      <c r="G489" s="189"/>
      <c r="H489" s="189"/>
      <c r="I489" s="189"/>
      <c r="J489" s="423"/>
      <c r="K489" s="189"/>
      <c r="M489" s="189"/>
      <c r="N489" s="189"/>
      <c r="R489" s="189"/>
      <c r="S489" s="189"/>
      <c r="T489" s="189"/>
      <c r="U489" s="189"/>
      <c r="V489" s="189"/>
      <c r="W489" s="189"/>
      <c r="X489" s="189"/>
    </row>
    <row r="490" spans="1:24">
      <c r="A490" s="189"/>
      <c r="B490" s="189"/>
      <c r="C490" s="189"/>
      <c r="D490" s="189"/>
      <c r="E490" s="189"/>
      <c r="F490" s="189"/>
      <c r="G490" s="189"/>
      <c r="H490" s="189"/>
      <c r="I490" s="189"/>
      <c r="J490" s="423"/>
      <c r="K490" s="189"/>
      <c r="M490" s="189"/>
      <c r="N490" s="189"/>
      <c r="R490" s="189"/>
      <c r="S490" s="189"/>
      <c r="T490" s="189"/>
      <c r="U490" s="189"/>
      <c r="V490" s="189"/>
      <c r="W490" s="189"/>
      <c r="X490" s="189"/>
    </row>
    <row r="491" spans="1:24">
      <c r="A491" s="189"/>
      <c r="B491" s="189"/>
      <c r="C491" s="189"/>
      <c r="D491" s="189"/>
      <c r="E491" s="189"/>
      <c r="F491" s="189"/>
      <c r="G491" s="189"/>
      <c r="H491" s="189"/>
      <c r="I491" s="189"/>
      <c r="J491" s="423"/>
      <c r="K491" s="189"/>
      <c r="M491" s="189"/>
      <c r="N491" s="189"/>
      <c r="R491" s="189"/>
      <c r="S491" s="189"/>
      <c r="T491" s="189"/>
      <c r="U491" s="189"/>
      <c r="V491" s="189"/>
      <c r="W491" s="189"/>
      <c r="X491" s="189"/>
    </row>
    <row r="492" spans="1:24">
      <c r="A492" s="189"/>
      <c r="B492" s="189"/>
      <c r="C492" s="189"/>
      <c r="D492" s="189"/>
      <c r="E492" s="189"/>
      <c r="F492" s="189"/>
      <c r="G492" s="189"/>
      <c r="H492" s="189"/>
      <c r="I492" s="189"/>
      <c r="J492" s="423"/>
      <c r="K492" s="189"/>
      <c r="M492" s="189"/>
      <c r="N492" s="189"/>
      <c r="R492" s="189"/>
      <c r="S492" s="189"/>
      <c r="T492" s="189"/>
      <c r="U492" s="189"/>
      <c r="V492" s="189"/>
      <c r="W492" s="189"/>
      <c r="X492" s="189"/>
    </row>
    <row r="493" spans="1:24">
      <c r="A493" s="189"/>
      <c r="B493" s="189"/>
      <c r="C493" s="189"/>
      <c r="D493" s="189"/>
      <c r="E493" s="189"/>
      <c r="F493" s="189"/>
      <c r="G493" s="189"/>
      <c r="H493" s="189"/>
      <c r="I493" s="189"/>
      <c r="J493" s="423"/>
      <c r="K493" s="189"/>
      <c r="M493" s="189"/>
      <c r="N493" s="189"/>
      <c r="R493" s="189"/>
      <c r="S493" s="189"/>
      <c r="T493" s="189"/>
      <c r="U493" s="189"/>
      <c r="V493" s="189"/>
      <c r="W493" s="189"/>
      <c r="X493" s="189"/>
    </row>
    <row r="494" spans="1:24">
      <c r="A494" s="189"/>
      <c r="B494" s="189"/>
      <c r="C494" s="189"/>
      <c r="D494" s="189"/>
      <c r="E494" s="189"/>
      <c r="F494" s="189"/>
      <c r="G494" s="189"/>
      <c r="H494" s="189"/>
      <c r="I494" s="189"/>
      <c r="J494" s="423"/>
      <c r="K494" s="189"/>
      <c r="M494" s="189"/>
      <c r="N494" s="189"/>
      <c r="R494" s="189"/>
      <c r="S494" s="189"/>
      <c r="T494" s="189"/>
      <c r="U494" s="189"/>
      <c r="V494" s="189"/>
      <c r="W494" s="189"/>
      <c r="X494" s="189"/>
    </row>
    <row r="495" spans="1:24">
      <c r="A495" s="189"/>
      <c r="B495" s="189"/>
      <c r="C495" s="189"/>
      <c r="D495" s="189"/>
      <c r="E495" s="189"/>
      <c r="F495" s="189"/>
      <c r="G495" s="189"/>
      <c r="H495" s="189"/>
      <c r="I495" s="189"/>
      <c r="J495" s="423"/>
      <c r="K495" s="189"/>
      <c r="M495" s="189"/>
      <c r="N495" s="189"/>
      <c r="R495" s="189"/>
      <c r="S495" s="189"/>
      <c r="T495" s="189"/>
      <c r="U495" s="189"/>
      <c r="V495" s="189"/>
      <c r="W495" s="189"/>
      <c r="X495" s="189"/>
    </row>
    <row r="496" spans="1:24">
      <c r="A496" s="189"/>
      <c r="B496" s="189"/>
      <c r="C496" s="189"/>
      <c r="D496" s="189"/>
      <c r="E496" s="189"/>
      <c r="F496" s="189"/>
      <c r="G496" s="189"/>
      <c r="H496" s="189"/>
      <c r="I496" s="189"/>
      <c r="J496" s="423"/>
      <c r="K496" s="189"/>
      <c r="M496" s="189"/>
      <c r="N496" s="189"/>
      <c r="R496" s="189"/>
      <c r="S496" s="189"/>
      <c r="T496" s="189"/>
      <c r="U496" s="189"/>
      <c r="V496" s="189"/>
      <c r="W496" s="189"/>
      <c r="X496" s="189"/>
    </row>
    <row r="497" spans="1:24">
      <c r="A497" s="189"/>
      <c r="B497" s="189"/>
      <c r="C497" s="189"/>
      <c r="D497" s="189"/>
      <c r="E497" s="189"/>
      <c r="F497" s="189"/>
      <c r="G497" s="189"/>
      <c r="H497" s="189"/>
      <c r="I497" s="189"/>
      <c r="J497" s="423"/>
      <c r="K497" s="189"/>
      <c r="M497" s="189"/>
      <c r="N497" s="189"/>
      <c r="R497" s="189"/>
      <c r="S497" s="189"/>
      <c r="T497" s="189"/>
      <c r="U497" s="189"/>
      <c r="V497" s="189"/>
      <c r="W497" s="189"/>
      <c r="X497" s="189"/>
    </row>
    <row r="498" spans="1:24">
      <c r="A498" s="189"/>
      <c r="B498" s="189"/>
      <c r="C498" s="189"/>
      <c r="D498" s="189"/>
      <c r="E498" s="189"/>
      <c r="F498" s="189"/>
      <c r="G498" s="189"/>
      <c r="H498" s="189"/>
      <c r="I498" s="189"/>
      <c r="J498" s="423"/>
      <c r="K498" s="189"/>
      <c r="M498" s="189"/>
      <c r="N498" s="189"/>
      <c r="R498" s="189"/>
      <c r="S498" s="189"/>
      <c r="T498" s="189"/>
      <c r="U498" s="189"/>
      <c r="V498" s="189"/>
      <c r="W498" s="189"/>
      <c r="X498" s="189"/>
    </row>
    <row r="499" spans="1:24">
      <c r="A499" s="189"/>
      <c r="B499" s="189"/>
      <c r="C499" s="189"/>
      <c r="D499" s="189"/>
      <c r="E499" s="189"/>
      <c r="F499" s="189"/>
      <c r="G499" s="189"/>
      <c r="H499" s="189"/>
      <c r="I499" s="189"/>
      <c r="J499" s="423"/>
      <c r="K499" s="189"/>
      <c r="M499" s="189"/>
      <c r="N499" s="189"/>
      <c r="R499" s="189"/>
      <c r="S499" s="189"/>
      <c r="T499" s="189"/>
      <c r="U499" s="189"/>
      <c r="V499" s="189"/>
      <c r="W499" s="189"/>
      <c r="X499" s="189"/>
    </row>
    <row r="500" spans="1:24">
      <c r="A500" s="189"/>
      <c r="B500" s="189"/>
      <c r="C500" s="189"/>
      <c r="D500" s="189"/>
      <c r="E500" s="189"/>
      <c r="F500" s="189"/>
      <c r="G500" s="189"/>
      <c r="H500" s="189"/>
      <c r="I500" s="189"/>
      <c r="J500" s="423"/>
      <c r="K500" s="189"/>
      <c r="M500" s="189"/>
      <c r="N500" s="189"/>
      <c r="R500" s="189"/>
      <c r="S500" s="189"/>
      <c r="T500" s="189"/>
      <c r="U500" s="189"/>
      <c r="V500" s="189"/>
      <c r="W500" s="189"/>
      <c r="X500" s="189"/>
    </row>
    <row r="501" spans="1:24">
      <c r="A501" s="189"/>
      <c r="B501" s="189"/>
      <c r="C501" s="189"/>
      <c r="D501" s="189"/>
      <c r="E501" s="189"/>
      <c r="F501" s="189"/>
      <c r="G501" s="189"/>
      <c r="H501" s="189"/>
      <c r="I501" s="189"/>
      <c r="J501" s="423"/>
      <c r="K501" s="189"/>
      <c r="M501" s="189"/>
      <c r="N501" s="189"/>
      <c r="R501" s="189"/>
      <c r="S501" s="189"/>
      <c r="T501" s="189"/>
      <c r="U501" s="189"/>
      <c r="V501" s="189"/>
      <c r="W501" s="189"/>
      <c r="X501" s="189"/>
    </row>
    <row r="502" spans="1:24">
      <c r="A502" s="189"/>
      <c r="B502" s="189"/>
      <c r="C502" s="189"/>
      <c r="D502" s="189"/>
      <c r="E502" s="189"/>
      <c r="F502" s="189"/>
      <c r="G502" s="189"/>
      <c r="H502" s="189"/>
      <c r="I502" s="189"/>
      <c r="J502" s="423"/>
      <c r="K502" s="189"/>
      <c r="M502" s="189"/>
      <c r="N502" s="189"/>
      <c r="R502" s="189"/>
      <c r="S502" s="189"/>
      <c r="T502" s="189"/>
      <c r="U502" s="189"/>
      <c r="V502" s="189"/>
      <c r="W502" s="189"/>
      <c r="X502" s="189"/>
    </row>
    <row r="503" spans="1:24">
      <c r="A503" s="189"/>
      <c r="B503" s="189"/>
      <c r="C503" s="189"/>
      <c r="D503" s="189"/>
      <c r="E503" s="189"/>
      <c r="F503" s="189"/>
      <c r="G503" s="189"/>
      <c r="H503" s="189"/>
      <c r="I503" s="189"/>
      <c r="J503" s="423"/>
      <c r="K503" s="189"/>
      <c r="M503" s="189"/>
      <c r="N503" s="189"/>
      <c r="R503" s="189"/>
      <c r="S503" s="189"/>
      <c r="T503" s="189"/>
      <c r="U503" s="189"/>
      <c r="V503" s="189"/>
      <c r="W503" s="189"/>
      <c r="X503" s="189"/>
    </row>
    <row r="504" spans="1:24">
      <c r="A504" s="189"/>
      <c r="B504" s="189"/>
      <c r="C504" s="189"/>
      <c r="D504" s="189"/>
      <c r="E504" s="189"/>
      <c r="F504" s="189"/>
      <c r="G504" s="189"/>
      <c r="H504" s="189"/>
      <c r="I504" s="189"/>
      <c r="J504" s="423"/>
      <c r="K504" s="189"/>
      <c r="M504" s="189"/>
      <c r="N504" s="189"/>
      <c r="R504" s="189"/>
      <c r="S504" s="189"/>
      <c r="T504" s="189"/>
      <c r="U504" s="189"/>
      <c r="V504" s="189"/>
      <c r="W504" s="189"/>
      <c r="X504" s="189"/>
    </row>
    <row r="505" spans="1:24">
      <c r="A505" s="189"/>
      <c r="B505" s="189"/>
      <c r="C505" s="189"/>
      <c r="D505" s="189"/>
      <c r="E505" s="189"/>
      <c r="F505" s="189"/>
      <c r="G505" s="189"/>
      <c r="H505" s="189"/>
      <c r="I505" s="189"/>
      <c r="J505" s="423"/>
      <c r="K505" s="189"/>
      <c r="M505" s="189"/>
      <c r="N505" s="189"/>
      <c r="R505" s="189"/>
      <c r="S505" s="189"/>
      <c r="T505" s="189"/>
      <c r="U505" s="189"/>
      <c r="V505" s="189"/>
      <c r="W505" s="189"/>
      <c r="X505" s="189"/>
    </row>
    <row r="506" spans="1:24">
      <c r="A506" s="189"/>
      <c r="B506" s="189"/>
      <c r="C506" s="189"/>
      <c r="D506" s="189"/>
      <c r="E506" s="189"/>
      <c r="F506" s="189"/>
      <c r="G506" s="189"/>
      <c r="H506" s="189"/>
      <c r="I506" s="189"/>
      <c r="J506" s="423"/>
      <c r="K506" s="189"/>
      <c r="M506" s="189"/>
      <c r="N506" s="189"/>
      <c r="R506" s="189"/>
      <c r="S506" s="189"/>
      <c r="T506" s="189"/>
      <c r="U506" s="189"/>
      <c r="V506" s="189"/>
      <c r="W506" s="189"/>
      <c r="X506" s="189"/>
    </row>
    <row r="507" spans="1:24">
      <c r="A507" s="189"/>
      <c r="B507" s="189"/>
      <c r="C507" s="189"/>
      <c r="D507" s="189"/>
      <c r="E507" s="189"/>
      <c r="F507" s="189"/>
      <c r="G507" s="189"/>
      <c r="H507" s="189"/>
      <c r="I507" s="189"/>
      <c r="J507" s="423"/>
      <c r="K507" s="189"/>
      <c r="M507" s="189"/>
      <c r="N507" s="189"/>
      <c r="R507" s="189"/>
      <c r="S507" s="189"/>
      <c r="T507" s="189"/>
      <c r="U507" s="189"/>
      <c r="V507" s="189"/>
      <c r="W507" s="189"/>
      <c r="X507" s="189"/>
    </row>
    <row r="508" spans="1:24">
      <c r="A508" s="189"/>
      <c r="B508" s="189"/>
      <c r="C508" s="189"/>
      <c r="D508" s="189"/>
      <c r="E508" s="189"/>
      <c r="F508" s="189"/>
      <c r="G508" s="189"/>
      <c r="H508" s="189"/>
      <c r="I508" s="189"/>
      <c r="J508" s="423"/>
      <c r="K508" s="189"/>
      <c r="M508" s="189"/>
      <c r="N508" s="189"/>
      <c r="R508" s="189"/>
      <c r="S508" s="189"/>
      <c r="T508" s="189"/>
      <c r="U508" s="189"/>
      <c r="V508" s="189"/>
      <c r="W508" s="189"/>
      <c r="X508" s="189"/>
    </row>
    <row r="509" spans="1:24">
      <c r="A509" s="189"/>
      <c r="B509" s="189"/>
      <c r="C509" s="189"/>
      <c r="D509" s="189"/>
      <c r="E509" s="189"/>
      <c r="F509" s="189"/>
      <c r="G509" s="189"/>
      <c r="H509" s="189"/>
      <c r="I509" s="189"/>
      <c r="J509" s="423"/>
      <c r="K509" s="189"/>
      <c r="M509" s="189"/>
      <c r="N509" s="189"/>
      <c r="R509" s="189"/>
      <c r="S509" s="189"/>
      <c r="T509" s="189"/>
      <c r="U509" s="189"/>
      <c r="V509" s="189"/>
      <c r="W509" s="189"/>
      <c r="X509" s="189"/>
    </row>
    <row r="510" spans="1:24">
      <c r="A510" s="189"/>
      <c r="B510" s="189"/>
      <c r="C510" s="189"/>
      <c r="D510" s="189"/>
      <c r="E510" s="189"/>
      <c r="F510" s="189"/>
      <c r="G510" s="189"/>
      <c r="H510" s="189"/>
      <c r="I510" s="189"/>
      <c r="J510" s="423"/>
      <c r="K510" s="189"/>
      <c r="M510" s="189"/>
      <c r="N510" s="189"/>
      <c r="R510" s="189"/>
      <c r="S510" s="189"/>
      <c r="T510" s="189"/>
      <c r="U510" s="189"/>
      <c r="V510" s="189"/>
      <c r="W510" s="189"/>
      <c r="X510" s="189"/>
    </row>
    <row r="511" spans="1:24">
      <c r="A511" s="189"/>
      <c r="B511" s="189"/>
      <c r="C511" s="189"/>
      <c r="D511" s="189"/>
      <c r="E511" s="189"/>
      <c r="F511" s="189"/>
      <c r="G511" s="189"/>
      <c r="H511" s="189"/>
      <c r="I511" s="189"/>
      <c r="J511" s="423"/>
      <c r="K511" s="189"/>
      <c r="M511" s="189"/>
      <c r="N511" s="189"/>
      <c r="R511" s="189"/>
      <c r="S511" s="189"/>
      <c r="T511" s="189"/>
      <c r="U511" s="189"/>
      <c r="V511" s="189"/>
      <c r="W511" s="189"/>
      <c r="X511" s="189"/>
    </row>
    <row r="512" spans="1:24">
      <c r="A512" s="189"/>
      <c r="B512" s="189"/>
      <c r="C512" s="189"/>
      <c r="D512" s="189"/>
      <c r="E512" s="189"/>
      <c r="F512" s="189"/>
      <c r="G512" s="189"/>
      <c r="H512" s="189"/>
      <c r="I512" s="189"/>
      <c r="J512" s="423"/>
      <c r="K512" s="189"/>
      <c r="M512" s="189"/>
      <c r="N512" s="189"/>
      <c r="R512" s="189"/>
      <c r="S512" s="189"/>
      <c r="T512" s="189"/>
      <c r="U512" s="189"/>
      <c r="V512" s="189"/>
      <c r="W512" s="189"/>
      <c r="X512" s="189"/>
    </row>
    <row r="513" spans="1:24">
      <c r="A513" s="189"/>
      <c r="B513" s="189"/>
      <c r="C513" s="189"/>
      <c r="D513" s="189"/>
      <c r="E513" s="189"/>
      <c r="F513" s="189"/>
      <c r="G513" s="189"/>
      <c r="H513" s="189"/>
      <c r="I513" s="189"/>
      <c r="J513" s="423"/>
      <c r="K513" s="189"/>
      <c r="M513" s="189"/>
      <c r="N513" s="189"/>
      <c r="R513" s="189"/>
      <c r="S513" s="189"/>
      <c r="T513" s="189"/>
      <c r="U513" s="189"/>
      <c r="V513" s="189"/>
      <c r="W513" s="189"/>
      <c r="X513" s="189"/>
    </row>
    <row r="514" spans="1:24">
      <c r="A514" s="189"/>
      <c r="B514" s="189"/>
      <c r="C514" s="189"/>
      <c r="D514" s="189"/>
      <c r="E514" s="189"/>
      <c r="F514" s="189"/>
      <c r="G514" s="189"/>
      <c r="H514" s="189"/>
      <c r="I514" s="189"/>
      <c r="J514" s="423"/>
      <c r="K514" s="189"/>
      <c r="M514" s="189"/>
      <c r="N514" s="189"/>
      <c r="R514" s="189"/>
      <c r="S514" s="189"/>
      <c r="T514" s="189"/>
      <c r="U514" s="189"/>
      <c r="V514" s="189"/>
      <c r="W514" s="189"/>
      <c r="X514" s="189"/>
    </row>
    <row r="515" spans="1:24">
      <c r="A515" s="189"/>
      <c r="B515" s="189"/>
      <c r="C515" s="189"/>
      <c r="D515" s="189"/>
      <c r="E515" s="189"/>
      <c r="F515" s="189"/>
      <c r="G515" s="189"/>
      <c r="H515" s="189"/>
      <c r="I515" s="189"/>
      <c r="J515" s="423"/>
      <c r="K515" s="189"/>
      <c r="M515" s="189"/>
      <c r="N515" s="189"/>
      <c r="R515" s="189"/>
      <c r="S515" s="189"/>
      <c r="T515" s="189"/>
      <c r="U515" s="189"/>
      <c r="V515" s="189"/>
      <c r="W515" s="189"/>
      <c r="X515" s="189"/>
    </row>
    <row r="516" spans="1:24">
      <c r="A516" s="189"/>
      <c r="B516" s="189"/>
      <c r="C516" s="189"/>
      <c r="D516" s="189"/>
      <c r="E516" s="189"/>
      <c r="F516" s="189"/>
      <c r="G516" s="189"/>
      <c r="H516" s="189"/>
      <c r="I516" s="189"/>
      <c r="J516" s="423"/>
      <c r="K516" s="189"/>
      <c r="M516" s="189"/>
      <c r="N516" s="189"/>
      <c r="R516" s="189"/>
      <c r="S516" s="189"/>
      <c r="T516" s="189"/>
      <c r="U516" s="189"/>
      <c r="V516" s="189"/>
      <c r="W516" s="189"/>
      <c r="X516" s="189"/>
    </row>
    <row r="517" spans="1:24">
      <c r="A517" s="189"/>
      <c r="B517" s="189"/>
      <c r="C517" s="189"/>
      <c r="D517" s="189"/>
      <c r="E517" s="189"/>
      <c r="F517" s="189"/>
      <c r="G517" s="189"/>
      <c r="H517" s="189"/>
      <c r="I517" s="189"/>
      <c r="J517" s="423"/>
      <c r="K517" s="189"/>
      <c r="M517" s="189"/>
      <c r="N517" s="189"/>
      <c r="R517" s="189"/>
      <c r="S517" s="189"/>
      <c r="T517" s="189"/>
      <c r="U517" s="189"/>
      <c r="V517" s="189"/>
      <c r="W517" s="189"/>
      <c r="X517" s="189"/>
    </row>
    <row r="518" spans="1:24">
      <c r="A518" s="189"/>
      <c r="B518" s="189"/>
      <c r="C518" s="189"/>
      <c r="D518" s="189"/>
      <c r="E518" s="189"/>
      <c r="F518" s="189"/>
      <c r="G518" s="189"/>
      <c r="H518" s="189"/>
      <c r="I518" s="189"/>
      <c r="J518" s="423"/>
      <c r="K518" s="189"/>
      <c r="M518" s="189"/>
      <c r="N518" s="189"/>
      <c r="R518" s="189"/>
      <c r="S518" s="189"/>
      <c r="T518" s="189"/>
      <c r="U518" s="189"/>
      <c r="V518" s="189"/>
      <c r="W518" s="189"/>
      <c r="X518" s="189"/>
    </row>
    <row r="519" spans="1:24">
      <c r="A519" s="189"/>
      <c r="B519" s="189"/>
      <c r="C519" s="189"/>
      <c r="D519" s="189"/>
      <c r="E519" s="189"/>
      <c r="F519" s="189"/>
      <c r="G519" s="189"/>
      <c r="H519" s="189"/>
      <c r="I519" s="189"/>
      <c r="J519" s="423"/>
      <c r="K519" s="189"/>
      <c r="M519" s="189"/>
      <c r="N519" s="189"/>
      <c r="R519" s="189"/>
      <c r="S519" s="189"/>
      <c r="T519" s="189"/>
      <c r="U519" s="189"/>
      <c r="V519" s="189"/>
      <c r="W519" s="189"/>
      <c r="X519" s="189"/>
    </row>
    <row r="520" spans="1:24">
      <c r="A520" s="189"/>
      <c r="B520" s="189"/>
      <c r="C520" s="189"/>
      <c r="D520" s="189"/>
      <c r="E520" s="189"/>
      <c r="F520" s="189"/>
      <c r="G520" s="189"/>
      <c r="H520" s="189"/>
      <c r="I520" s="189"/>
      <c r="J520" s="423"/>
      <c r="K520" s="189"/>
      <c r="M520" s="189"/>
      <c r="N520" s="189"/>
      <c r="R520" s="189"/>
      <c r="S520" s="189"/>
      <c r="T520" s="189"/>
      <c r="U520" s="189"/>
      <c r="V520" s="189"/>
      <c r="W520" s="189"/>
      <c r="X520" s="189"/>
    </row>
    <row r="521" spans="1:24">
      <c r="A521" s="189"/>
      <c r="B521" s="189"/>
      <c r="C521" s="189"/>
      <c r="D521" s="189"/>
      <c r="E521" s="189"/>
      <c r="F521" s="189"/>
      <c r="G521" s="189"/>
      <c r="H521" s="189"/>
      <c r="I521" s="189"/>
      <c r="J521" s="423"/>
      <c r="K521" s="189"/>
      <c r="M521" s="189"/>
      <c r="N521" s="189"/>
      <c r="R521" s="189"/>
      <c r="S521" s="189"/>
      <c r="T521" s="189"/>
      <c r="U521" s="189"/>
      <c r="V521" s="189"/>
      <c r="W521" s="189"/>
      <c r="X521" s="189"/>
    </row>
    <row r="522" spans="1:24">
      <c r="A522" s="189"/>
      <c r="B522" s="189"/>
      <c r="C522" s="189"/>
      <c r="D522" s="189"/>
      <c r="E522" s="189"/>
      <c r="F522" s="189"/>
      <c r="G522" s="189"/>
      <c r="H522" s="189"/>
      <c r="I522" s="189"/>
      <c r="J522" s="423"/>
      <c r="K522" s="189"/>
      <c r="M522" s="189"/>
      <c r="N522" s="189"/>
      <c r="R522" s="189"/>
      <c r="S522" s="189"/>
      <c r="T522" s="189"/>
      <c r="U522" s="189"/>
      <c r="V522" s="189"/>
      <c r="W522" s="189"/>
      <c r="X522" s="189"/>
    </row>
    <row r="523" spans="1:24">
      <c r="A523" s="189"/>
      <c r="B523" s="189"/>
      <c r="C523" s="189"/>
      <c r="D523" s="189"/>
      <c r="E523" s="189"/>
      <c r="F523" s="189"/>
      <c r="G523" s="189"/>
      <c r="H523" s="189"/>
      <c r="I523" s="189"/>
      <c r="J523" s="423"/>
      <c r="K523" s="189"/>
      <c r="M523" s="189"/>
      <c r="N523" s="189"/>
      <c r="R523" s="189"/>
      <c r="S523" s="189"/>
      <c r="T523" s="189"/>
      <c r="U523" s="189"/>
      <c r="V523" s="189"/>
      <c r="W523" s="189"/>
      <c r="X523" s="189"/>
    </row>
    <row r="524" spans="1:24">
      <c r="A524" s="189"/>
      <c r="B524" s="189"/>
      <c r="C524" s="189"/>
      <c r="D524" s="189"/>
      <c r="E524" s="189"/>
      <c r="F524" s="189"/>
      <c r="G524" s="189"/>
      <c r="H524" s="189"/>
      <c r="I524" s="189"/>
      <c r="J524" s="423"/>
      <c r="K524" s="189"/>
      <c r="M524" s="189"/>
      <c r="N524" s="189"/>
      <c r="R524" s="189"/>
      <c r="S524" s="189"/>
      <c r="T524" s="189"/>
      <c r="U524" s="189"/>
      <c r="V524" s="189"/>
      <c r="W524" s="189"/>
      <c r="X524" s="189"/>
    </row>
    <row r="525" spans="1:24">
      <c r="A525" s="189"/>
      <c r="B525" s="189"/>
      <c r="C525" s="189"/>
      <c r="D525" s="189"/>
      <c r="E525" s="189"/>
      <c r="F525" s="189"/>
      <c r="G525" s="189"/>
      <c r="H525" s="189"/>
      <c r="I525" s="189"/>
      <c r="J525" s="423"/>
      <c r="K525" s="189"/>
      <c r="M525" s="189"/>
      <c r="N525" s="189"/>
      <c r="R525" s="189"/>
      <c r="S525" s="189"/>
      <c r="T525" s="189"/>
      <c r="U525" s="189"/>
      <c r="V525" s="189"/>
      <c r="W525" s="189"/>
      <c r="X525" s="189"/>
    </row>
    <row r="526" spans="1:24">
      <c r="A526" s="189"/>
      <c r="B526" s="189"/>
      <c r="C526" s="189"/>
      <c r="D526" s="189"/>
      <c r="E526" s="189"/>
      <c r="F526" s="189"/>
      <c r="G526" s="189"/>
      <c r="H526" s="189"/>
      <c r="I526" s="189"/>
      <c r="J526" s="423"/>
      <c r="K526" s="189"/>
      <c r="M526" s="189"/>
      <c r="N526" s="189"/>
      <c r="R526" s="189"/>
      <c r="S526" s="189"/>
      <c r="T526" s="189"/>
      <c r="U526" s="189"/>
      <c r="V526" s="189"/>
      <c r="W526" s="189"/>
      <c r="X526" s="189"/>
    </row>
    <row r="527" spans="1:24">
      <c r="A527" s="189"/>
      <c r="B527" s="189"/>
      <c r="C527" s="189"/>
      <c r="D527" s="189"/>
      <c r="E527" s="189"/>
      <c r="F527" s="189"/>
      <c r="G527" s="189"/>
      <c r="H527" s="189"/>
      <c r="I527" s="189"/>
      <c r="J527" s="423"/>
      <c r="K527" s="189"/>
      <c r="M527" s="189"/>
      <c r="N527" s="189"/>
      <c r="R527" s="189"/>
      <c r="S527" s="189"/>
      <c r="T527" s="189"/>
      <c r="U527" s="189"/>
      <c r="V527" s="189"/>
      <c r="W527" s="189"/>
      <c r="X527" s="189"/>
    </row>
    <row r="528" spans="1:24">
      <c r="A528" s="189"/>
      <c r="B528" s="189"/>
      <c r="C528" s="189"/>
      <c r="D528" s="189"/>
      <c r="E528" s="189"/>
      <c r="F528" s="189"/>
      <c r="G528" s="189"/>
      <c r="H528" s="189"/>
      <c r="I528" s="189"/>
      <c r="J528" s="423"/>
      <c r="K528" s="189"/>
      <c r="M528" s="189"/>
      <c r="N528" s="189"/>
      <c r="R528" s="189"/>
      <c r="S528" s="189"/>
      <c r="T528" s="189"/>
      <c r="U528" s="189"/>
      <c r="V528" s="189"/>
      <c r="W528" s="189"/>
      <c r="X528" s="189"/>
    </row>
    <row r="529" spans="1:24">
      <c r="A529" s="189"/>
      <c r="B529" s="189"/>
      <c r="C529" s="189"/>
      <c r="D529" s="189"/>
      <c r="E529" s="189"/>
      <c r="F529" s="189"/>
      <c r="G529" s="189"/>
      <c r="H529" s="189"/>
      <c r="I529" s="189"/>
      <c r="J529" s="423"/>
      <c r="K529" s="189"/>
      <c r="M529" s="189"/>
      <c r="N529" s="189"/>
      <c r="R529" s="189"/>
      <c r="S529" s="189"/>
      <c r="T529" s="189"/>
      <c r="U529" s="189"/>
      <c r="V529" s="189"/>
      <c r="W529" s="189"/>
      <c r="X529" s="189"/>
    </row>
    <row r="530" spans="1:24">
      <c r="A530" s="189"/>
      <c r="B530" s="189"/>
      <c r="C530" s="189"/>
      <c r="D530" s="189"/>
      <c r="E530" s="189"/>
      <c r="F530" s="189"/>
      <c r="G530" s="189"/>
      <c r="H530" s="189"/>
      <c r="I530" s="189"/>
      <c r="J530" s="423"/>
      <c r="K530" s="189"/>
      <c r="M530" s="189"/>
      <c r="N530" s="189"/>
      <c r="R530" s="189"/>
      <c r="S530" s="189"/>
      <c r="T530" s="189"/>
      <c r="U530" s="189"/>
      <c r="V530" s="189"/>
      <c r="W530" s="189"/>
      <c r="X530" s="189"/>
    </row>
    <row r="531" spans="1:24">
      <c r="A531" s="189"/>
      <c r="B531" s="189"/>
      <c r="C531" s="189"/>
      <c r="D531" s="189"/>
      <c r="E531" s="189"/>
      <c r="F531" s="189"/>
      <c r="G531" s="189"/>
      <c r="H531" s="189"/>
      <c r="I531" s="189"/>
      <c r="J531" s="423"/>
      <c r="K531" s="189"/>
      <c r="M531" s="189"/>
      <c r="N531" s="189"/>
      <c r="R531" s="189"/>
      <c r="S531" s="189"/>
      <c r="T531" s="189"/>
      <c r="U531" s="189"/>
      <c r="V531" s="189"/>
      <c r="W531" s="189"/>
      <c r="X531" s="189"/>
    </row>
    <row r="532" spans="1:24">
      <c r="A532" s="189"/>
      <c r="B532" s="189"/>
      <c r="C532" s="189"/>
      <c r="D532" s="189"/>
      <c r="E532" s="189"/>
      <c r="F532" s="189"/>
      <c r="G532" s="189"/>
      <c r="H532" s="189"/>
      <c r="I532" s="189"/>
      <c r="J532" s="423"/>
      <c r="K532" s="189"/>
      <c r="M532" s="189"/>
      <c r="N532" s="189"/>
      <c r="R532" s="189"/>
      <c r="S532" s="189"/>
      <c r="T532" s="189"/>
      <c r="U532" s="189"/>
      <c r="V532" s="189"/>
      <c r="W532" s="189"/>
      <c r="X532" s="189"/>
    </row>
    <row r="533" spans="1:24">
      <c r="A533" s="189"/>
      <c r="B533" s="189"/>
      <c r="C533" s="189"/>
      <c r="D533" s="189"/>
      <c r="E533" s="189"/>
      <c r="F533" s="189"/>
      <c r="G533" s="189"/>
      <c r="H533" s="189"/>
      <c r="I533" s="189"/>
      <c r="J533" s="423"/>
      <c r="K533" s="189"/>
      <c r="M533" s="189"/>
      <c r="N533" s="189"/>
      <c r="R533" s="189"/>
      <c r="S533" s="189"/>
      <c r="T533" s="189"/>
      <c r="U533" s="189"/>
      <c r="V533" s="189"/>
      <c r="W533" s="189"/>
      <c r="X533" s="189"/>
    </row>
    <row r="534" spans="1:24">
      <c r="A534" s="189"/>
      <c r="B534" s="189"/>
      <c r="C534" s="189"/>
      <c r="D534" s="189"/>
      <c r="E534" s="189"/>
      <c r="F534" s="189"/>
      <c r="G534" s="189"/>
      <c r="H534" s="189"/>
      <c r="I534" s="189"/>
      <c r="J534" s="423"/>
      <c r="K534" s="189"/>
      <c r="M534" s="189"/>
      <c r="N534" s="189"/>
      <c r="R534" s="189"/>
      <c r="S534" s="189"/>
      <c r="T534" s="189"/>
      <c r="U534" s="189"/>
      <c r="V534" s="189"/>
      <c r="W534" s="189"/>
      <c r="X534" s="189"/>
    </row>
    <row r="535" spans="1:24">
      <c r="A535" s="189"/>
      <c r="B535" s="189"/>
      <c r="C535" s="189"/>
      <c r="D535" s="189"/>
      <c r="E535" s="189"/>
      <c r="F535" s="189"/>
      <c r="G535" s="189"/>
      <c r="H535" s="189"/>
      <c r="I535" s="189"/>
      <c r="J535" s="423"/>
      <c r="K535" s="189"/>
      <c r="M535" s="189"/>
      <c r="N535" s="189"/>
      <c r="R535" s="189"/>
      <c r="S535" s="189"/>
      <c r="T535" s="189"/>
      <c r="U535" s="189"/>
      <c r="V535" s="189"/>
      <c r="W535" s="189"/>
      <c r="X535" s="189"/>
    </row>
    <row r="536" spans="1:24">
      <c r="A536" s="189"/>
      <c r="B536" s="189"/>
      <c r="C536" s="189"/>
      <c r="D536" s="189"/>
      <c r="E536" s="189"/>
      <c r="F536" s="189"/>
      <c r="G536" s="189"/>
      <c r="H536" s="189"/>
      <c r="I536" s="189"/>
      <c r="J536" s="423"/>
      <c r="K536" s="189"/>
      <c r="M536" s="189"/>
      <c r="N536" s="189"/>
      <c r="R536" s="189"/>
      <c r="S536" s="189"/>
      <c r="T536" s="189"/>
      <c r="U536" s="189"/>
      <c r="V536" s="189"/>
      <c r="W536" s="189"/>
      <c r="X536" s="189"/>
    </row>
    <row r="537" spans="1:24">
      <c r="A537" s="189"/>
      <c r="B537" s="189"/>
      <c r="C537" s="189"/>
      <c r="D537" s="189"/>
      <c r="E537" s="189"/>
      <c r="F537" s="189"/>
      <c r="G537" s="189"/>
      <c r="H537" s="189"/>
      <c r="I537" s="189"/>
      <c r="J537" s="423"/>
      <c r="K537" s="189"/>
      <c r="M537" s="189"/>
      <c r="N537" s="189"/>
      <c r="R537" s="189"/>
      <c r="S537" s="189"/>
      <c r="T537" s="189"/>
      <c r="U537" s="189"/>
      <c r="V537" s="189"/>
      <c r="W537" s="189"/>
      <c r="X537" s="189"/>
    </row>
    <row r="538" spans="1:24">
      <c r="A538" s="189"/>
      <c r="B538" s="189"/>
      <c r="C538" s="189"/>
      <c r="D538" s="189"/>
      <c r="E538" s="189"/>
      <c r="F538" s="189"/>
      <c r="G538" s="189"/>
      <c r="H538" s="189"/>
      <c r="I538" s="189"/>
      <c r="J538" s="423"/>
      <c r="K538" s="189"/>
      <c r="M538" s="189"/>
      <c r="N538" s="189"/>
      <c r="R538" s="189"/>
      <c r="S538" s="189"/>
      <c r="T538" s="189"/>
      <c r="U538" s="189"/>
      <c r="V538" s="189"/>
      <c r="W538" s="189"/>
      <c r="X538" s="189"/>
    </row>
    <row r="539" spans="1:24">
      <c r="A539" s="189"/>
      <c r="B539" s="189"/>
      <c r="C539" s="189"/>
      <c r="D539" s="189"/>
      <c r="E539" s="189"/>
      <c r="F539" s="189"/>
      <c r="G539" s="189"/>
      <c r="H539" s="189"/>
      <c r="I539" s="189"/>
      <c r="J539" s="423"/>
      <c r="K539" s="189"/>
      <c r="M539" s="189"/>
      <c r="N539" s="189"/>
      <c r="R539" s="189"/>
      <c r="S539" s="189"/>
      <c r="T539" s="189"/>
      <c r="U539" s="189"/>
      <c r="V539" s="189"/>
      <c r="W539" s="189"/>
      <c r="X539" s="189"/>
    </row>
    <row r="540" spans="1:24">
      <c r="A540" s="189"/>
      <c r="B540" s="189"/>
      <c r="C540" s="189"/>
      <c r="D540" s="189"/>
      <c r="E540" s="189"/>
      <c r="F540" s="189"/>
      <c r="G540" s="189"/>
      <c r="H540" s="189"/>
      <c r="I540" s="189"/>
      <c r="J540" s="423"/>
      <c r="K540" s="189"/>
      <c r="M540" s="189"/>
      <c r="N540" s="189"/>
      <c r="R540" s="189"/>
      <c r="S540" s="189"/>
      <c r="T540" s="189"/>
      <c r="U540" s="189"/>
      <c r="V540" s="189"/>
      <c r="W540" s="189"/>
      <c r="X540" s="189"/>
    </row>
    <row r="541" spans="1:24">
      <c r="A541" s="189"/>
      <c r="B541" s="189"/>
      <c r="C541" s="189"/>
      <c r="D541" s="189"/>
      <c r="E541" s="189"/>
      <c r="F541" s="189"/>
      <c r="G541" s="189"/>
      <c r="H541" s="189"/>
      <c r="I541" s="189"/>
      <c r="J541" s="423"/>
      <c r="K541" s="189"/>
      <c r="M541" s="189"/>
      <c r="N541" s="189"/>
      <c r="R541" s="189"/>
      <c r="S541" s="189"/>
      <c r="T541" s="189"/>
      <c r="U541" s="189"/>
      <c r="V541" s="189"/>
      <c r="W541" s="189"/>
      <c r="X541" s="189"/>
    </row>
    <row r="542" spans="1:24">
      <c r="A542" s="189"/>
      <c r="B542" s="189"/>
      <c r="C542" s="189"/>
      <c r="D542" s="189"/>
      <c r="E542" s="189"/>
      <c r="F542" s="189"/>
      <c r="G542" s="189"/>
      <c r="H542" s="189"/>
      <c r="I542" s="189"/>
      <c r="J542" s="423"/>
      <c r="K542" s="189"/>
      <c r="M542" s="189"/>
      <c r="N542" s="189"/>
      <c r="R542" s="189"/>
      <c r="S542" s="189"/>
      <c r="T542" s="189"/>
      <c r="U542" s="189"/>
      <c r="V542" s="189"/>
      <c r="W542" s="189"/>
      <c r="X542" s="189"/>
    </row>
    <row r="543" spans="1:24">
      <c r="A543" s="189"/>
      <c r="B543" s="189"/>
      <c r="C543" s="189"/>
      <c r="D543" s="189"/>
      <c r="E543" s="189"/>
      <c r="F543" s="189"/>
      <c r="G543" s="189"/>
      <c r="H543" s="189"/>
      <c r="I543" s="189"/>
      <c r="J543" s="423"/>
      <c r="K543" s="189"/>
      <c r="M543" s="189"/>
      <c r="N543" s="189"/>
      <c r="R543" s="189"/>
      <c r="S543" s="189"/>
      <c r="T543" s="189"/>
      <c r="U543" s="189"/>
      <c r="V543" s="189"/>
      <c r="W543" s="189"/>
      <c r="X543" s="189"/>
    </row>
    <row r="544" spans="1:24">
      <c r="A544" s="189"/>
      <c r="B544" s="189"/>
      <c r="C544" s="189"/>
      <c r="D544" s="189"/>
      <c r="E544" s="189"/>
      <c r="F544" s="189"/>
      <c r="G544" s="189"/>
      <c r="H544" s="189"/>
      <c r="I544" s="189"/>
      <c r="J544" s="423"/>
      <c r="K544" s="189"/>
      <c r="M544" s="189"/>
      <c r="N544" s="189"/>
      <c r="R544" s="189"/>
      <c r="S544" s="189"/>
      <c r="T544" s="189"/>
      <c r="U544" s="189"/>
      <c r="V544" s="189"/>
      <c r="W544" s="189"/>
      <c r="X544" s="189"/>
    </row>
    <row r="545" spans="1:24">
      <c r="A545" s="189"/>
      <c r="B545" s="189"/>
      <c r="C545" s="189"/>
      <c r="D545" s="189"/>
      <c r="E545" s="189"/>
      <c r="F545" s="189"/>
      <c r="G545" s="189"/>
      <c r="H545" s="189"/>
      <c r="I545" s="189"/>
      <c r="J545" s="423"/>
      <c r="K545" s="189"/>
      <c r="M545" s="189"/>
      <c r="N545" s="189"/>
      <c r="R545" s="189"/>
      <c r="S545" s="189"/>
      <c r="T545" s="189"/>
      <c r="U545" s="189"/>
      <c r="V545" s="189"/>
      <c r="W545" s="189"/>
      <c r="X545" s="189"/>
    </row>
    <row r="546" spans="1:24">
      <c r="A546" s="189"/>
      <c r="B546" s="189"/>
      <c r="C546" s="189"/>
      <c r="D546" s="189"/>
      <c r="E546" s="189"/>
      <c r="F546" s="189"/>
      <c r="G546" s="189"/>
      <c r="H546" s="189"/>
      <c r="I546" s="189"/>
      <c r="J546" s="423"/>
      <c r="K546" s="189"/>
      <c r="M546" s="189"/>
      <c r="N546" s="189"/>
      <c r="R546" s="189"/>
      <c r="S546" s="189"/>
      <c r="T546" s="189"/>
      <c r="U546" s="189"/>
      <c r="V546" s="189"/>
      <c r="W546" s="189"/>
      <c r="X546" s="189"/>
    </row>
    <row r="547" spans="1:24">
      <c r="A547" s="189"/>
      <c r="B547" s="189"/>
      <c r="C547" s="189"/>
      <c r="D547" s="189"/>
      <c r="E547" s="189"/>
      <c r="F547" s="189"/>
      <c r="G547" s="189"/>
      <c r="H547" s="189"/>
      <c r="I547" s="189"/>
      <c r="J547" s="423"/>
      <c r="K547" s="189"/>
      <c r="M547" s="189"/>
      <c r="N547" s="189"/>
      <c r="R547" s="189"/>
      <c r="S547" s="189"/>
      <c r="T547" s="189"/>
      <c r="U547" s="189"/>
      <c r="V547" s="189"/>
      <c r="W547" s="189"/>
      <c r="X547" s="189"/>
    </row>
    <row r="548" spans="1:24">
      <c r="A548" s="189"/>
      <c r="B548" s="189"/>
      <c r="C548" s="189"/>
      <c r="D548" s="189"/>
      <c r="E548" s="189"/>
      <c r="F548" s="189"/>
      <c r="G548" s="189"/>
      <c r="H548" s="189"/>
      <c r="I548" s="189"/>
      <c r="J548" s="423"/>
      <c r="K548" s="189"/>
      <c r="M548" s="189"/>
      <c r="N548" s="189"/>
      <c r="R548" s="189"/>
      <c r="S548" s="189"/>
      <c r="T548" s="189"/>
      <c r="U548" s="189"/>
      <c r="V548" s="189"/>
      <c r="W548" s="189"/>
      <c r="X548" s="189"/>
    </row>
    <row r="549" spans="1:24">
      <c r="A549" s="189"/>
      <c r="B549" s="189"/>
      <c r="C549" s="189"/>
      <c r="D549" s="189"/>
      <c r="E549" s="189"/>
      <c r="F549" s="189"/>
      <c r="G549" s="189"/>
      <c r="H549" s="189"/>
      <c r="I549" s="189"/>
      <c r="J549" s="423"/>
      <c r="K549" s="189"/>
      <c r="M549" s="189"/>
      <c r="N549" s="189"/>
      <c r="R549" s="189"/>
      <c r="S549" s="189"/>
      <c r="T549" s="189"/>
      <c r="U549" s="189"/>
      <c r="V549" s="189"/>
      <c r="W549" s="189"/>
      <c r="X549" s="189"/>
    </row>
    <row r="550" spans="1:24">
      <c r="A550" s="189"/>
      <c r="B550" s="189"/>
      <c r="C550" s="189"/>
      <c r="D550" s="189"/>
      <c r="E550" s="189"/>
      <c r="F550" s="189"/>
      <c r="G550" s="189"/>
      <c r="H550" s="189"/>
      <c r="I550" s="189"/>
      <c r="J550" s="423"/>
      <c r="K550" s="189"/>
      <c r="M550" s="189"/>
      <c r="N550" s="189"/>
      <c r="R550" s="189"/>
      <c r="S550" s="189"/>
      <c r="T550" s="189"/>
      <c r="U550" s="189"/>
      <c r="V550" s="189"/>
      <c r="W550" s="189"/>
      <c r="X550" s="189"/>
    </row>
    <row r="551" spans="1:24">
      <c r="A551" s="189"/>
      <c r="B551" s="189"/>
      <c r="C551" s="189"/>
      <c r="D551" s="189"/>
      <c r="E551" s="189"/>
      <c r="F551" s="189"/>
      <c r="G551" s="189"/>
      <c r="H551" s="189"/>
      <c r="I551" s="189"/>
      <c r="J551" s="423"/>
      <c r="K551" s="189"/>
      <c r="M551" s="189"/>
      <c r="N551" s="189"/>
      <c r="R551" s="189"/>
      <c r="S551" s="189"/>
      <c r="T551" s="189"/>
      <c r="U551" s="189"/>
      <c r="V551" s="189"/>
      <c r="W551" s="189"/>
      <c r="X551" s="189"/>
    </row>
    <row r="552" spans="1:24">
      <c r="A552" s="189"/>
      <c r="B552" s="189"/>
      <c r="C552" s="189"/>
      <c r="D552" s="189"/>
      <c r="E552" s="189"/>
      <c r="F552" s="189"/>
      <c r="G552" s="189"/>
      <c r="H552" s="189"/>
      <c r="I552" s="189"/>
      <c r="J552" s="423"/>
      <c r="K552" s="189"/>
      <c r="M552" s="189"/>
      <c r="N552" s="189"/>
      <c r="R552" s="189"/>
      <c r="S552" s="189"/>
      <c r="T552" s="189"/>
      <c r="U552" s="189"/>
      <c r="V552" s="189"/>
      <c r="W552" s="189"/>
      <c r="X552" s="189"/>
    </row>
    <row r="553" spans="1:24">
      <c r="A553" s="189"/>
      <c r="B553" s="189"/>
      <c r="C553" s="189"/>
      <c r="D553" s="189"/>
      <c r="E553" s="189"/>
      <c r="F553" s="189"/>
      <c r="G553" s="189"/>
      <c r="H553" s="189"/>
      <c r="I553" s="189"/>
      <c r="J553" s="423"/>
      <c r="K553" s="189"/>
      <c r="M553" s="189"/>
      <c r="N553" s="189"/>
      <c r="R553" s="189"/>
      <c r="S553" s="189"/>
      <c r="T553" s="189"/>
      <c r="U553" s="189"/>
      <c r="V553" s="189"/>
      <c r="W553" s="189"/>
      <c r="X553" s="189"/>
    </row>
    <row r="554" spans="1:24">
      <c r="A554" s="189"/>
      <c r="B554" s="189"/>
      <c r="C554" s="189"/>
      <c r="D554" s="189"/>
      <c r="E554" s="189"/>
      <c r="F554" s="189"/>
      <c r="G554" s="189"/>
      <c r="H554" s="189"/>
      <c r="I554" s="189"/>
      <c r="J554" s="423"/>
      <c r="K554" s="189"/>
      <c r="M554" s="189"/>
      <c r="N554" s="189"/>
      <c r="R554" s="189"/>
      <c r="S554" s="189"/>
      <c r="T554" s="189"/>
      <c r="U554" s="189"/>
      <c r="V554" s="189"/>
      <c r="W554" s="189"/>
      <c r="X554" s="189"/>
    </row>
    <row r="555" spans="1:24">
      <c r="A555" s="189"/>
      <c r="B555" s="189"/>
      <c r="C555" s="189"/>
      <c r="D555" s="189"/>
      <c r="E555" s="189"/>
      <c r="F555" s="189"/>
      <c r="G555" s="189"/>
      <c r="H555" s="189"/>
      <c r="I555" s="189"/>
      <c r="J555" s="423"/>
      <c r="K555" s="189"/>
      <c r="M555" s="189"/>
      <c r="N555" s="189"/>
      <c r="R555" s="189"/>
      <c r="S555" s="189"/>
      <c r="T555" s="189"/>
      <c r="U555" s="189"/>
      <c r="V555" s="189"/>
      <c r="W555" s="189"/>
      <c r="X555" s="189"/>
    </row>
    <row r="556" spans="1:24">
      <c r="A556" s="189"/>
      <c r="B556" s="189"/>
      <c r="C556" s="189"/>
      <c r="D556" s="189"/>
      <c r="E556" s="189"/>
      <c r="F556" s="189"/>
      <c r="G556" s="189"/>
      <c r="H556" s="189"/>
      <c r="I556" s="189"/>
      <c r="J556" s="423"/>
      <c r="K556" s="189"/>
      <c r="M556" s="189"/>
      <c r="N556" s="189"/>
      <c r="R556" s="189"/>
      <c r="S556" s="189"/>
      <c r="T556" s="189"/>
      <c r="U556" s="189"/>
      <c r="V556" s="189"/>
      <c r="W556" s="189"/>
      <c r="X556" s="189"/>
    </row>
    <row r="557" spans="1:24">
      <c r="A557" s="189"/>
      <c r="B557" s="189"/>
      <c r="C557" s="189"/>
      <c r="D557" s="189"/>
      <c r="E557" s="189"/>
      <c r="F557" s="189"/>
      <c r="G557" s="189"/>
      <c r="H557" s="189"/>
      <c r="I557" s="189"/>
      <c r="J557" s="423"/>
      <c r="K557" s="189"/>
      <c r="M557" s="189"/>
      <c r="N557" s="189"/>
      <c r="R557" s="189"/>
      <c r="S557" s="189"/>
      <c r="T557" s="189"/>
      <c r="U557" s="189"/>
      <c r="V557" s="189"/>
      <c r="W557" s="189"/>
      <c r="X557" s="189"/>
    </row>
    <row r="558" spans="1:24">
      <c r="A558" s="189"/>
      <c r="B558" s="189"/>
      <c r="C558" s="189"/>
      <c r="D558" s="189"/>
      <c r="E558" s="189"/>
      <c r="F558" s="189"/>
      <c r="G558" s="189"/>
      <c r="H558" s="189"/>
      <c r="I558" s="189"/>
      <c r="J558" s="423"/>
      <c r="K558" s="189"/>
      <c r="M558" s="189"/>
      <c r="N558" s="189"/>
      <c r="R558" s="189"/>
      <c r="S558" s="189"/>
      <c r="T558" s="189"/>
      <c r="U558" s="189"/>
      <c r="V558" s="189"/>
      <c r="W558" s="189"/>
      <c r="X558" s="189"/>
    </row>
    <row r="559" spans="1:24">
      <c r="A559" s="189"/>
      <c r="B559" s="189"/>
      <c r="C559" s="189"/>
      <c r="D559" s="189"/>
      <c r="E559" s="189"/>
      <c r="F559" s="189"/>
      <c r="G559" s="189"/>
      <c r="H559" s="189"/>
      <c r="I559" s="189"/>
      <c r="J559" s="423"/>
      <c r="K559" s="189"/>
      <c r="M559" s="189"/>
      <c r="N559" s="189"/>
      <c r="R559" s="189"/>
      <c r="S559" s="189"/>
      <c r="T559" s="189"/>
      <c r="U559" s="189"/>
      <c r="V559" s="189"/>
      <c r="W559" s="189"/>
      <c r="X559" s="189"/>
    </row>
    <row r="560" spans="1:24">
      <c r="A560" s="189"/>
      <c r="B560" s="189"/>
      <c r="C560" s="189"/>
      <c r="D560" s="189"/>
      <c r="E560" s="189"/>
      <c r="F560" s="189"/>
      <c r="G560" s="189"/>
      <c r="H560" s="189"/>
      <c r="I560" s="189"/>
      <c r="J560" s="423"/>
      <c r="K560" s="189"/>
      <c r="M560" s="189"/>
      <c r="N560" s="189"/>
      <c r="R560" s="189"/>
      <c r="S560" s="189"/>
      <c r="T560" s="189"/>
      <c r="U560" s="189"/>
      <c r="V560" s="189"/>
      <c r="W560" s="189"/>
      <c r="X560" s="189"/>
    </row>
    <row r="561" spans="1:24">
      <c r="A561" s="189"/>
      <c r="B561" s="189"/>
      <c r="C561" s="189"/>
      <c r="D561" s="189"/>
      <c r="E561" s="189"/>
      <c r="F561" s="189"/>
      <c r="G561" s="189"/>
      <c r="H561" s="189"/>
      <c r="I561" s="189"/>
      <c r="J561" s="423"/>
      <c r="K561" s="189"/>
      <c r="M561" s="189"/>
      <c r="N561" s="189"/>
      <c r="R561" s="189"/>
      <c r="S561" s="189"/>
      <c r="T561" s="189"/>
      <c r="U561" s="189"/>
      <c r="V561" s="189"/>
      <c r="W561" s="189"/>
      <c r="X561" s="189"/>
    </row>
    <row r="562" spans="1:24">
      <c r="A562" s="189"/>
      <c r="B562" s="189"/>
      <c r="C562" s="189"/>
      <c r="D562" s="189"/>
      <c r="E562" s="189"/>
      <c r="F562" s="189"/>
      <c r="G562" s="189"/>
      <c r="H562" s="189"/>
      <c r="I562" s="189"/>
      <c r="J562" s="423"/>
      <c r="K562" s="189"/>
      <c r="M562" s="189"/>
      <c r="N562" s="189"/>
      <c r="R562" s="189"/>
      <c r="S562" s="189"/>
      <c r="T562" s="189"/>
      <c r="U562" s="189"/>
      <c r="V562" s="189"/>
      <c r="W562" s="189"/>
      <c r="X562" s="189"/>
    </row>
    <row r="563" spans="1:24">
      <c r="A563" s="189"/>
      <c r="B563" s="189"/>
      <c r="C563" s="189"/>
      <c r="D563" s="189"/>
      <c r="E563" s="189"/>
      <c r="F563" s="189"/>
      <c r="G563" s="189"/>
      <c r="H563" s="189"/>
      <c r="I563" s="189"/>
      <c r="J563" s="423"/>
      <c r="K563" s="189"/>
      <c r="M563" s="189"/>
      <c r="N563" s="189"/>
      <c r="R563" s="189"/>
      <c r="S563" s="189"/>
      <c r="T563" s="189"/>
      <c r="U563" s="189"/>
      <c r="V563" s="189"/>
      <c r="W563" s="189"/>
      <c r="X563" s="189"/>
    </row>
    <row r="564" spans="1:24">
      <c r="A564" s="189"/>
      <c r="B564" s="189"/>
      <c r="C564" s="189"/>
      <c r="D564" s="189"/>
      <c r="E564" s="189"/>
      <c r="F564" s="189"/>
      <c r="G564" s="189"/>
      <c r="H564" s="189"/>
      <c r="I564" s="189"/>
      <c r="J564" s="423"/>
      <c r="K564" s="189"/>
      <c r="M564" s="189"/>
      <c r="N564" s="189"/>
      <c r="R564" s="189"/>
      <c r="S564" s="189"/>
      <c r="T564" s="189"/>
      <c r="U564" s="189"/>
      <c r="V564" s="189"/>
      <c r="W564" s="189"/>
      <c r="X564" s="189"/>
    </row>
    <row r="565" spans="1:24">
      <c r="A565" s="189"/>
      <c r="B565" s="189"/>
      <c r="C565" s="189"/>
      <c r="D565" s="189"/>
      <c r="E565" s="189"/>
      <c r="F565" s="189"/>
      <c r="G565" s="189"/>
      <c r="H565" s="189"/>
      <c r="I565" s="189"/>
      <c r="J565" s="423"/>
      <c r="K565" s="189"/>
      <c r="M565" s="189"/>
      <c r="N565" s="189"/>
      <c r="R565" s="189"/>
      <c r="S565" s="189"/>
      <c r="T565" s="189"/>
      <c r="U565" s="189"/>
      <c r="V565" s="189"/>
      <c r="W565" s="189"/>
      <c r="X565" s="189"/>
    </row>
    <row r="566" spans="1:24">
      <c r="A566" s="189"/>
      <c r="B566" s="189"/>
      <c r="C566" s="189"/>
      <c r="D566" s="189"/>
      <c r="E566" s="189"/>
      <c r="F566" s="189"/>
      <c r="G566" s="189"/>
      <c r="H566" s="189"/>
      <c r="I566" s="189"/>
      <c r="J566" s="423"/>
      <c r="K566" s="189"/>
      <c r="M566" s="189"/>
      <c r="N566" s="189"/>
      <c r="R566" s="189"/>
      <c r="S566" s="189"/>
      <c r="T566" s="189"/>
      <c r="U566" s="189"/>
      <c r="V566" s="189"/>
      <c r="W566" s="189"/>
      <c r="X566" s="189"/>
    </row>
    <row r="567" spans="1:24">
      <c r="A567" s="189"/>
      <c r="B567" s="189"/>
      <c r="C567" s="189"/>
      <c r="D567" s="189"/>
      <c r="E567" s="189"/>
      <c r="F567" s="189"/>
      <c r="G567" s="189"/>
      <c r="H567" s="189"/>
      <c r="I567" s="189"/>
      <c r="J567" s="423"/>
      <c r="K567" s="189"/>
      <c r="M567" s="189"/>
      <c r="N567" s="189"/>
      <c r="R567" s="189"/>
      <c r="S567" s="189"/>
      <c r="T567" s="189"/>
      <c r="U567" s="189"/>
      <c r="V567" s="189"/>
      <c r="W567" s="189"/>
      <c r="X567" s="189"/>
    </row>
    <row r="568" spans="1:24">
      <c r="A568" s="189"/>
      <c r="B568" s="189"/>
      <c r="C568" s="189"/>
      <c r="D568" s="189"/>
      <c r="E568" s="189"/>
      <c r="F568" s="189"/>
      <c r="G568" s="189"/>
      <c r="H568" s="189"/>
      <c r="I568" s="189"/>
      <c r="J568" s="423"/>
      <c r="K568" s="189"/>
      <c r="M568" s="189"/>
      <c r="N568" s="189"/>
      <c r="R568" s="189"/>
      <c r="S568" s="189"/>
      <c r="T568" s="189"/>
      <c r="U568" s="189"/>
      <c r="V568" s="189"/>
      <c r="W568" s="189"/>
      <c r="X568" s="189"/>
    </row>
    <row r="569" spans="1:24">
      <c r="A569" s="189"/>
      <c r="B569" s="189"/>
      <c r="C569" s="189"/>
      <c r="D569" s="189"/>
      <c r="E569" s="189"/>
      <c r="F569" s="189"/>
      <c r="G569" s="189"/>
      <c r="H569" s="189"/>
      <c r="I569" s="189"/>
      <c r="J569" s="423"/>
      <c r="K569" s="189"/>
      <c r="M569" s="189"/>
      <c r="N569" s="189"/>
      <c r="R569" s="189"/>
      <c r="S569" s="189"/>
      <c r="T569" s="189"/>
      <c r="U569" s="189"/>
      <c r="V569" s="189"/>
      <c r="W569" s="189"/>
      <c r="X569" s="189"/>
    </row>
    <row r="570" spans="1:24">
      <c r="A570" s="189"/>
      <c r="B570" s="189"/>
      <c r="C570" s="189"/>
      <c r="D570" s="189"/>
      <c r="E570" s="189"/>
      <c r="F570" s="189"/>
      <c r="G570" s="189"/>
      <c r="H570" s="189"/>
      <c r="I570" s="189"/>
      <c r="J570" s="423"/>
      <c r="K570" s="189"/>
      <c r="M570" s="189"/>
      <c r="N570" s="189"/>
      <c r="R570" s="189"/>
      <c r="S570" s="189"/>
      <c r="T570" s="189"/>
      <c r="U570" s="189"/>
      <c r="V570" s="189"/>
      <c r="W570" s="189"/>
      <c r="X570" s="189"/>
    </row>
    <row r="571" spans="1:24">
      <c r="A571" s="189"/>
      <c r="B571" s="189"/>
      <c r="C571" s="189"/>
      <c r="D571" s="189"/>
      <c r="E571" s="189"/>
      <c r="F571" s="189"/>
      <c r="G571" s="189"/>
      <c r="H571" s="189"/>
      <c r="I571" s="189"/>
      <c r="J571" s="423"/>
      <c r="K571" s="189"/>
      <c r="M571" s="189"/>
      <c r="N571" s="189"/>
      <c r="R571" s="189"/>
      <c r="S571" s="189"/>
      <c r="T571" s="189"/>
      <c r="U571" s="189"/>
      <c r="V571" s="189"/>
      <c r="W571" s="189"/>
      <c r="X571" s="189"/>
    </row>
    <row r="572" spans="1:24">
      <c r="A572" s="189"/>
      <c r="B572" s="189"/>
      <c r="C572" s="189"/>
      <c r="D572" s="189"/>
      <c r="E572" s="189"/>
      <c r="F572" s="189"/>
      <c r="G572" s="189"/>
      <c r="H572" s="189"/>
      <c r="I572" s="189"/>
      <c r="J572" s="423"/>
      <c r="K572" s="189"/>
      <c r="M572" s="189"/>
      <c r="N572" s="189"/>
      <c r="R572" s="189"/>
      <c r="S572" s="189"/>
      <c r="T572" s="189"/>
      <c r="U572" s="189"/>
      <c r="V572" s="189"/>
      <c r="W572" s="189"/>
      <c r="X572" s="189"/>
    </row>
    <row r="573" spans="1:24">
      <c r="A573" s="189"/>
      <c r="B573" s="189"/>
      <c r="C573" s="189"/>
      <c r="D573" s="189"/>
      <c r="E573" s="189"/>
      <c r="F573" s="189"/>
      <c r="G573" s="189"/>
      <c r="H573" s="189"/>
      <c r="I573" s="189"/>
      <c r="J573" s="423"/>
      <c r="K573" s="189"/>
      <c r="M573" s="189"/>
      <c r="N573" s="189"/>
      <c r="R573" s="189"/>
      <c r="S573" s="189"/>
      <c r="T573" s="189"/>
      <c r="U573" s="189"/>
      <c r="V573" s="189"/>
      <c r="W573" s="189"/>
      <c r="X573" s="189"/>
    </row>
    <row r="574" spans="1:24">
      <c r="A574" s="189"/>
      <c r="B574" s="189"/>
      <c r="C574" s="189"/>
      <c r="D574" s="189"/>
      <c r="E574" s="189"/>
      <c r="F574" s="189"/>
      <c r="G574" s="189"/>
      <c r="H574" s="189"/>
      <c r="I574" s="189"/>
      <c r="J574" s="423"/>
      <c r="K574" s="189"/>
      <c r="M574" s="189"/>
      <c r="N574" s="189"/>
      <c r="R574" s="189"/>
      <c r="S574" s="189"/>
      <c r="T574" s="189"/>
      <c r="U574" s="189"/>
      <c r="V574" s="189"/>
      <c r="W574" s="189"/>
      <c r="X574" s="189"/>
    </row>
    <row r="575" spans="1:24">
      <c r="A575" s="189"/>
      <c r="B575" s="189"/>
      <c r="C575" s="189"/>
      <c r="D575" s="189"/>
      <c r="E575" s="189"/>
      <c r="F575" s="189"/>
      <c r="G575" s="189"/>
      <c r="H575" s="189"/>
      <c r="I575" s="189"/>
      <c r="J575" s="423"/>
      <c r="K575" s="189"/>
      <c r="M575" s="189"/>
      <c r="N575" s="189"/>
      <c r="R575" s="189"/>
      <c r="S575" s="189"/>
      <c r="T575" s="189"/>
      <c r="U575" s="189"/>
      <c r="V575" s="189"/>
      <c r="W575" s="189"/>
      <c r="X575" s="189"/>
    </row>
    <row r="576" spans="1:24">
      <c r="A576" s="189"/>
      <c r="B576" s="189"/>
      <c r="C576" s="189"/>
      <c r="D576" s="189"/>
      <c r="E576" s="189"/>
      <c r="F576" s="189"/>
      <c r="G576" s="189"/>
      <c r="H576" s="189"/>
      <c r="I576" s="189"/>
      <c r="J576" s="423"/>
      <c r="K576" s="189"/>
      <c r="M576" s="189"/>
      <c r="N576" s="189"/>
      <c r="R576" s="189"/>
      <c r="S576" s="189"/>
      <c r="T576" s="189"/>
      <c r="U576" s="189"/>
      <c r="V576" s="189"/>
      <c r="W576" s="189"/>
      <c r="X576" s="189"/>
    </row>
    <row r="577" spans="1:24">
      <c r="A577" s="189"/>
      <c r="B577" s="189"/>
      <c r="C577" s="189"/>
      <c r="D577" s="189"/>
      <c r="E577" s="189"/>
      <c r="F577" s="189"/>
      <c r="G577" s="189"/>
      <c r="H577" s="189"/>
      <c r="I577" s="189"/>
      <c r="J577" s="423"/>
      <c r="K577" s="189"/>
      <c r="M577" s="189"/>
      <c r="N577" s="189"/>
      <c r="R577" s="189"/>
      <c r="S577" s="189"/>
      <c r="T577" s="189"/>
      <c r="U577" s="189"/>
      <c r="V577" s="189"/>
      <c r="W577" s="189"/>
      <c r="X577" s="189"/>
    </row>
    <row r="578" spans="1:24">
      <c r="A578" s="189"/>
      <c r="B578" s="189"/>
      <c r="C578" s="189"/>
      <c r="D578" s="189"/>
      <c r="E578" s="189"/>
      <c r="F578" s="189"/>
      <c r="G578" s="189"/>
      <c r="H578" s="189"/>
      <c r="I578" s="189"/>
      <c r="J578" s="423"/>
      <c r="K578" s="189"/>
      <c r="M578" s="189"/>
      <c r="N578" s="189"/>
      <c r="R578" s="189"/>
      <c r="S578" s="189"/>
      <c r="T578" s="189"/>
      <c r="U578" s="189"/>
      <c r="V578" s="189"/>
      <c r="W578" s="189"/>
      <c r="X578" s="189"/>
    </row>
    <row r="579" spans="1:24">
      <c r="A579" s="189"/>
      <c r="B579" s="189"/>
      <c r="C579" s="189"/>
      <c r="D579" s="189"/>
      <c r="E579" s="189"/>
      <c r="F579" s="189"/>
      <c r="G579" s="189"/>
      <c r="H579" s="189"/>
      <c r="I579" s="189"/>
      <c r="J579" s="423"/>
      <c r="K579" s="189"/>
      <c r="M579" s="189"/>
      <c r="N579" s="189"/>
      <c r="R579" s="189"/>
      <c r="S579" s="189"/>
      <c r="T579" s="189"/>
      <c r="U579" s="189"/>
      <c r="V579" s="189"/>
      <c r="W579" s="189"/>
      <c r="X579" s="189"/>
    </row>
    <row r="580" spans="1:24">
      <c r="A580" s="189"/>
      <c r="B580" s="189"/>
      <c r="C580" s="189"/>
      <c r="D580" s="189"/>
      <c r="E580" s="189"/>
      <c r="F580" s="189"/>
      <c r="G580" s="189"/>
      <c r="H580" s="189"/>
      <c r="I580" s="189"/>
      <c r="J580" s="423"/>
      <c r="K580" s="189"/>
      <c r="M580" s="189"/>
      <c r="N580" s="189"/>
      <c r="R580" s="189"/>
      <c r="S580" s="189"/>
      <c r="T580" s="189"/>
      <c r="U580" s="189"/>
      <c r="V580" s="189"/>
      <c r="W580" s="189"/>
      <c r="X580" s="189"/>
    </row>
    <row r="581" spans="1:24">
      <c r="A581" s="189"/>
      <c r="B581" s="189"/>
      <c r="C581" s="189"/>
      <c r="D581" s="189"/>
      <c r="E581" s="189"/>
      <c r="F581" s="189"/>
      <c r="G581" s="189"/>
      <c r="H581" s="189"/>
      <c r="I581" s="189"/>
      <c r="J581" s="423"/>
      <c r="K581" s="189"/>
      <c r="M581" s="189"/>
      <c r="N581" s="189"/>
      <c r="R581" s="189"/>
      <c r="S581" s="189"/>
      <c r="T581" s="189"/>
      <c r="U581" s="189"/>
      <c r="V581" s="189"/>
      <c r="W581" s="189"/>
      <c r="X581" s="189"/>
    </row>
    <row r="582" spans="1:24">
      <c r="A582" s="189"/>
      <c r="B582" s="189"/>
      <c r="C582" s="189"/>
      <c r="D582" s="189"/>
      <c r="E582" s="189"/>
      <c r="F582" s="189"/>
      <c r="G582" s="189"/>
      <c r="H582" s="189"/>
      <c r="I582" s="189"/>
      <c r="J582" s="423"/>
      <c r="K582" s="189"/>
      <c r="M582" s="189"/>
      <c r="N582" s="189"/>
      <c r="R582" s="189"/>
      <c r="S582" s="189"/>
      <c r="T582" s="189"/>
      <c r="U582" s="189"/>
      <c r="V582" s="189"/>
      <c r="W582" s="189"/>
      <c r="X582" s="189"/>
    </row>
    <row r="583" spans="1:24">
      <c r="A583" s="189"/>
      <c r="B583" s="189"/>
      <c r="C583" s="189"/>
      <c r="D583" s="189"/>
      <c r="E583" s="189"/>
      <c r="F583" s="189"/>
      <c r="G583" s="189"/>
      <c r="H583" s="189"/>
      <c r="I583" s="189"/>
      <c r="J583" s="423"/>
      <c r="K583" s="189"/>
      <c r="M583" s="189"/>
      <c r="N583" s="189"/>
      <c r="R583" s="189"/>
      <c r="S583" s="189"/>
      <c r="T583" s="189"/>
      <c r="U583" s="189"/>
      <c r="V583" s="189"/>
      <c r="W583" s="189"/>
      <c r="X583" s="189"/>
    </row>
    <row r="584" spans="1:24">
      <c r="A584" s="189"/>
      <c r="B584" s="189"/>
      <c r="C584" s="189"/>
      <c r="D584" s="189"/>
      <c r="E584" s="189"/>
      <c r="F584" s="189"/>
      <c r="G584" s="189"/>
      <c r="H584" s="189"/>
      <c r="I584" s="189"/>
      <c r="J584" s="423"/>
      <c r="K584" s="189"/>
      <c r="M584" s="189"/>
      <c r="N584" s="189"/>
      <c r="R584" s="189"/>
      <c r="S584" s="189"/>
      <c r="T584" s="189"/>
      <c r="U584" s="189"/>
      <c r="V584" s="189"/>
      <c r="W584" s="189"/>
      <c r="X584" s="189"/>
    </row>
    <row r="585" spans="1:24">
      <c r="A585" s="189"/>
      <c r="B585" s="189"/>
      <c r="C585" s="189"/>
      <c r="D585" s="189"/>
      <c r="E585" s="189"/>
      <c r="F585" s="189"/>
      <c r="G585" s="189"/>
      <c r="H585" s="189"/>
      <c r="I585" s="189"/>
      <c r="J585" s="423"/>
      <c r="K585" s="189"/>
      <c r="M585" s="189"/>
      <c r="N585" s="189"/>
      <c r="R585" s="189"/>
      <c r="S585" s="189"/>
      <c r="T585" s="189"/>
      <c r="U585" s="189"/>
      <c r="V585" s="189"/>
      <c r="W585" s="189"/>
      <c r="X585" s="189"/>
    </row>
    <row r="586" spans="1:24">
      <c r="A586" s="189"/>
      <c r="B586" s="189"/>
      <c r="C586" s="189"/>
      <c r="D586" s="189"/>
      <c r="E586" s="189"/>
      <c r="F586" s="189"/>
      <c r="G586" s="189"/>
      <c r="H586" s="189"/>
      <c r="I586" s="189"/>
      <c r="J586" s="423"/>
      <c r="K586" s="189"/>
      <c r="M586" s="189"/>
      <c r="N586" s="189"/>
      <c r="R586" s="189"/>
      <c r="S586" s="189"/>
      <c r="T586" s="189"/>
      <c r="U586" s="189"/>
      <c r="V586" s="189"/>
      <c r="W586" s="189"/>
      <c r="X586" s="189"/>
    </row>
    <row r="587" spans="1:24">
      <c r="A587" s="189"/>
      <c r="B587" s="189"/>
      <c r="C587" s="189"/>
      <c r="D587" s="189"/>
      <c r="E587" s="189"/>
      <c r="F587" s="189"/>
      <c r="G587" s="189"/>
      <c r="H587" s="189"/>
      <c r="I587" s="189"/>
      <c r="J587" s="423"/>
      <c r="K587" s="189"/>
      <c r="M587" s="189"/>
      <c r="N587" s="189"/>
      <c r="R587" s="189"/>
      <c r="S587" s="189"/>
      <c r="T587" s="189"/>
      <c r="U587" s="189"/>
      <c r="V587" s="189"/>
      <c r="W587" s="189"/>
      <c r="X587" s="189"/>
    </row>
    <row r="588" spans="1:24">
      <c r="A588" s="189"/>
      <c r="B588" s="189"/>
      <c r="C588" s="189"/>
      <c r="D588" s="189"/>
      <c r="E588" s="189"/>
      <c r="F588" s="189"/>
      <c r="G588" s="189"/>
      <c r="H588" s="189"/>
      <c r="I588" s="189"/>
      <c r="J588" s="423"/>
      <c r="K588" s="189"/>
      <c r="M588" s="189"/>
      <c r="N588" s="189"/>
      <c r="R588" s="189"/>
      <c r="S588" s="189"/>
      <c r="T588" s="189"/>
      <c r="U588" s="189"/>
      <c r="V588" s="189"/>
      <c r="W588" s="189"/>
      <c r="X588" s="189"/>
    </row>
    <row r="589" spans="1:24">
      <c r="A589" s="189"/>
      <c r="B589" s="189"/>
      <c r="C589" s="189"/>
      <c r="D589" s="189"/>
      <c r="E589" s="189"/>
      <c r="F589" s="189"/>
      <c r="G589" s="189"/>
      <c r="H589" s="189"/>
      <c r="I589" s="189"/>
      <c r="J589" s="423"/>
      <c r="K589" s="189"/>
      <c r="M589" s="189"/>
      <c r="N589" s="189"/>
      <c r="R589" s="189"/>
      <c r="S589" s="189"/>
      <c r="T589" s="189"/>
      <c r="U589" s="189"/>
      <c r="V589" s="189"/>
      <c r="W589" s="189"/>
      <c r="X589" s="189"/>
    </row>
    <row r="590" spans="1:24">
      <c r="A590" s="189"/>
      <c r="B590" s="189"/>
      <c r="C590" s="189"/>
      <c r="D590" s="189"/>
      <c r="E590" s="189"/>
      <c r="F590" s="189"/>
      <c r="G590" s="189"/>
      <c r="H590" s="189"/>
      <c r="I590" s="189"/>
      <c r="J590" s="423"/>
      <c r="K590" s="189"/>
      <c r="M590" s="189"/>
      <c r="N590" s="189"/>
      <c r="R590" s="189"/>
      <c r="S590" s="189"/>
      <c r="T590" s="189"/>
      <c r="U590" s="189"/>
      <c r="V590" s="189"/>
      <c r="W590" s="189"/>
      <c r="X590" s="189"/>
    </row>
    <row r="591" spans="1:24">
      <c r="A591" s="189"/>
      <c r="B591" s="189"/>
      <c r="C591" s="189"/>
      <c r="D591" s="189"/>
      <c r="E591" s="189"/>
      <c r="F591" s="189"/>
      <c r="G591" s="189"/>
      <c r="H591" s="189"/>
      <c r="I591" s="189"/>
      <c r="J591" s="423"/>
      <c r="K591" s="189"/>
      <c r="M591" s="189"/>
      <c r="N591" s="189"/>
      <c r="R591" s="189"/>
      <c r="S591" s="189"/>
      <c r="T591" s="189"/>
      <c r="U591" s="189"/>
      <c r="V591" s="189"/>
      <c r="W591" s="189"/>
      <c r="X591" s="189"/>
    </row>
    <row r="592" spans="1:24">
      <c r="A592" s="189"/>
      <c r="B592" s="189"/>
      <c r="C592" s="189"/>
      <c r="D592" s="189"/>
      <c r="E592" s="189"/>
      <c r="F592" s="189"/>
      <c r="G592" s="189"/>
      <c r="H592" s="189"/>
      <c r="I592" s="189"/>
      <c r="J592" s="423"/>
      <c r="K592" s="189"/>
      <c r="M592" s="189"/>
      <c r="N592" s="189"/>
      <c r="R592" s="189"/>
      <c r="S592" s="189"/>
      <c r="T592" s="189"/>
      <c r="U592" s="189"/>
      <c r="V592" s="189"/>
      <c r="W592" s="189"/>
      <c r="X592" s="189"/>
    </row>
    <row r="593" spans="1:24">
      <c r="A593" s="189"/>
      <c r="B593" s="189"/>
      <c r="C593" s="189"/>
      <c r="D593" s="189"/>
      <c r="E593" s="189"/>
      <c r="F593" s="189"/>
      <c r="G593" s="189"/>
      <c r="H593" s="189"/>
      <c r="I593" s="189"/>
      <c r="J593" s="423"/>
      <c r="K593" s="189"/>
      <c r="M593" s="189"/>
      <c r="N593" s="189"/>
      <c r="R593" s="189"/>
      <c r="S593" s="189"/>
      <c r="T593" s="189"/>
      <c r="U593" s="189"/>
      <c r="V593" s="189"/>
      <c r="W593" s="189"/>
      <c r="X593" s="189"/>
    </row>
    <row r="594" spans="1:24">
      <c r="A594" s="189"/>
      <c r="B594" s="189"/>
      <c r="C594" s="189"/>
      <c r="D594" s="189"/>
      <c r="E594" s="189"/>
      <c r="F594" s="189"/>
      <c r="G594" s="189"/>
      <c r="H594" s="189"/>
      <c r="I594" s="189"/>
      <c r="J594" s="423"/>
      <c r="K594" s="189"/>
      <c r="M594" s="189"/>
      <c r="N594" s="189"/>
      <c r="R594" s="189"/>
      <c r="S594" s="189"/>
      <c r="T594" s="189"/>
      <c r="U594" s="189"/>
      <c r="V594" s="189"/>
      <c r="W594" s="189"/>
      <c r="X594" s="189"/>
    </row>
    <row r="595" spans="1:24">
      <c r="A595" s="189"/>
      <c r="B595" s="189"/>
      <c r="C595" s="189"/>
      <c r="D595" s="189"/>
      <c r="E595" s="189"/>
      <c r="F595" s="189"/>
      <c r="G595" s="189"/>
      <c r="H595" s="189"/>
      <c r="I595" s="189"/>
      <c r="J595" s="423"/>
      <c r="K595" s="189"/>
      <c r="M595" s="189"/>
      <c r="N595" s="189"/>
      <c r="R595" s="189"/>
      <c r="S595" s="189"/>
      <c r="T595" s="189"/>
      <c r="U595" s="189"/>
      <c r="V595" s="189"/>
      <c r="W595" s="189"/>
      <c r="X595" s="189"/>
    </row>
    <row r="596" spans="1:24">
      <c r="A596" s="189"/>
      <c r="B596" s="189"/>
      <c r="C596" s="189"/>
      <c r="D596" s="189"/>
      <c r="E596" s="189"/>
      <c r="F596" s="189"/>
      <c r="G596" s="189"/>
      <c r="H596" s="189"/>
      <c r="I596" s="189"/>
      <c r="J596" s="423"/>
      <c r="K596" s="189"/>
      <c r="M596" s="189"/>
      <c r="N596" s="189"/>
      <c r="R596" s="189"/>
      <c r="S596" s="189"/>
      <c r="T596" s="189"/>
      <c r="U596" s="189"/>
      <c r="V596" s="189"/>
      <c r="W596" s="189"/>
      <c r="X596" s="189"/>
    </row>
    <row r="597" spans="1:24">
      <c r="A597" s="189"/>
      <c r="B597" s="189"/>
      <c r="C597" s="189"/>
      <c r="D597" s="189"/>
      <c r="E597" s="189"/>
      <c r="F597" s="189"/>
      <c r="G597" s="189"/>
      <c r="H597" s="189"/>
      <c r="I597" s="189"/>
      <c r="J597" s="423"/>
      <c r="K597" s="189"/>
      <c r="M597" s="189"/>
      <c r="N597" s="189"/>
      <c r="R597" s="189"/>
      <c r="S597" s="189"/>
      <c r="T597" s="189"/>
      <c r="U597" s="189"/>
      <c r="V597" s="189"/>
      <c r="W597" s="189"/>
      <c r="X597" s="189"/>
    </row>
    <row r="598" spans="1:24">
      <c r="A598" s="189"/>
      <c r="B598" s="189"/>
      <c r="C598" s="189"/>
      <c r="D598" s="189"/>
      <c r="E598" s="189"/>
      <c r="F598" s="189"/>
      <c r="G598" s="189"/>
      <c r="H598" s="189"/>
      <c r="I598" s="189"/>
      <c r="J598" s="423"/>
      <c r="K598" s="189"/>
      <c r="M598" s="189"/>
      <c r="N598" s="189"/>
      <c r="R598" s="189"/>
      <c r="S598" s="189"/>
      <c r="T598" s="189"/>
      <c r="U598" s="189"/>
      <c r="V598" s="189"/>
      <c r="W598" s="189"/>
      <c r="X598" s="189"/>
    </row>
    <row r="599" spans="1:24">
      <c r="A599" s="189"/>
      <c r="B599" s="189"/>
      <c r="C599" s="189"/>
      <c r="D599" s="189"/>
      <c r="E599" s="189"/>
      <c r="F599" s="189"/>
      <c r="G599" s="189"/>
      <c r="H599" s="189"/>
      <c r="I599" s="189"/>
      <c r="J599" s="423"/>
      <c r="K599" s="189"/>
      <c r="M599" s="189"/>
      <c r="N599" s="189"/>
      <c r="R599" s="189"/>
      <c r="S599" s="189"/>
      <c r="T599" s="189"/>
      <c r="U599" s="189"/>
      <c r="V599" s="189"/>
      <c r="W599" s="189"/>
      <c r="X599" s="189"/>
    </row>
    <row r="600" spans="1:24">
      <c r="A600" s="189"/>
      <c r="B600" s="189"/>
      <c r="C600" s="189"/>
      <c r="D600" s="189"/>
      <c r="E600" s="189"/>
      <c r="F600" s="189"/>
      <c r="G600" s="189"/>
      <c r="H600" s="189"/>
      <c r="I600" s="189"/>
      <c r="J600" s="423"/>
      <c r="K600" s="189"/>
      <c r="M600" s="189"/>
      <c r="N600" s="189"/>
      <c r="R600" s="189"/>
      <c r="S600" s="189"/>
      <c r="T600" s="189"/>
      <c r="U600" s="189"/>
      <c r="V600" s="189"/>
      <c r="W600" s="189"/>
      <c r="X600" s="189"/>
    </row>
    <row r="601" spans="1:24">
      <c r="A601" s="189"/>
      <c r="B601" s="189"/>
      <c r="C601" s="189"/>
      <c r="D601" s="189"/>
      <c r="E601" s="189"/>
      <c r="F601" s="189"/>
      <c r="G601" s="189"/>
      <c r="H601" s="189"/>
      <c r="I601" s="189"/>
      <c r="J601" s="423"/>
      <c r="K601" s="189"/>
      <c r="M601" s="189"/>
      <c r="N601" s="189"/>
      <c r="R601" s="189"/>
      <c r="S601" s="189"/>
      <c r="T601" s="189"/>
      <c r="U601" s="189"/>
      <c r="V601" s="189"/>
      <c r="W601" s="189"/>
      <c r="X601" s="189"/>
    </row>
    <row r="602" spans="1:24">
      <c r="A602" s="189"/>
      <c r="B602" s="189"/>
      <c r="C602" s="189"/>
      <c r="D602" s="189"/>
      <c r="E602" s="189"/>
      <c r="F602" s="189"/>
      <c r="G602" s="189"/>
      <c r="H602" s="189"/>
      <c r="I602" s="189"/>
      <c r="J602" s="423"/>
      <c r="K602" s="189"/>
      <c r="M602" s="189"/>
      <c r="N602" s="189"/>
      <c r="R602" s="189"/>
      <c r="S602" s="189"/>
      <c r="T602" s="189"/>
      <c r="U602" s="189"/>
      <c r="V602" s="189"/>
      <c r="W602" s="189"/>
      <c r="X602" s="189"/>
    </row>
    <row r="603" spans="1:24">
      <c r="A603" s="189"/>
      <c r="B603" s="189"/>
      <c r="C603" s="189"/>
      <c r="D603" s="189"/>
      <c r="E603" s="189"/>
      <c r="F603" s="189"/>
      <c r="G603" s="189"/>
      <c r="H603" s="189"/>
      <c r="I603" s="189"/>
      <c r="J603" s="423"/>
      <c r="K603" s="189"/>
      <c r="M603" s="189"/>
      <c r="N603" s="189"/>
      <c r="R603" s="189"/>
      <c r="S603" s="189"/>
      <c r="T603" s="189"/>
      <c r="U603" s="189"/>
      <c r="V603" s="189"/>
      <c r="W603" s="189"/>
      <c r="X603" s="189"/>
    </row>
    <row r="604" spans="1:24">
      <c r="A604" s="189"/>
      <c r="B604" s="189"/>
      <c r="C604" s="189"/>
      <c r="D604" s="189"/>
      <c r="E604" s="189"/>
      <c r="F604" s="189"/>
      <c r="G604" s="189"/>
      <c r="H604" s="189"/>
      <c r="I604" s="189"/>
      <c r="J604" s="423"/>
      <c r="K604" s="189"/>
      <c r="M604" s="189"/>
      <c r="N604" s="189"/>
      <c r="R604" s="189"/>
      <c r="S604" s="189"/>
      <c r="T604" s="189"/>
      <c r="U604" s="189"/>
      <c r="V604" s="189"/>
      <c r="W604" s="189"/>
      <c r="X604" s="189"/>
    </row>
    <row r="605" spans="1:24">
      <c r="A605" s="189"/>
      <c r="B605" s="189"/>
      <c r="C605" s="189"/>
      <c r="D605" s="189"/>
      <c r="E605" s="189"/>
      <c r="F605" s="189"/>
      <c r="G605" s="189"/>
      <c r="H605" s="189"/>
      <c r="I605" s="189"/>
      <c r="J605" s="423"/>
      <c r="K605" s="189"/>
      <c r="M605" s="189"/>
      <c r="N605" s="189"/>
      <c r="R605" s="189"/>
      <c r="S605" s="189"/>
      <c r="T605" s="189"/>
      <c r="U605" s="189"/>
      <c r="V605" s="189"/>
      <c r="W605" s="189"/>
      <c r="X605" s="189"/>
    </row>
    <row r="606" spans="1:24">
      <c r="A606" s="189"/>
      <c r="B606" s="189"/>
      <c r="C606" s="189"/>
      <c r="D606" s="189"/>
      <c r="E606" s="189"/>
      <c r="F606" s="189"/>
      <c r="G606" s="189"/>
      <c r="H606" s="189"/>
      <c r="I606" s="189"/>
      <c r="J606" s="423"/>
      <c r="K606" s="189"/>
      <c r="M606" s="189"/>
      <c r="N606" s="189"/>
      <c r="R606" s="189"/>
      <c r="S606" s="189"/>
      <c r="T606" s="189"/>
      <c r="U606" s="189"/>
      <c r="V606" s="189"/>
      <c r="W606" s="189"/>
      <c r="X606" s="189"/>
    </row>
    <row r="607" spans="1:24">
      <c r="A607" s="189"/>
      <c r="B607" s="189"/>
      <c r="C607" s="189"/>
      <c r="D607" s="189"/>
      <c r="E607" s="189"/>
      <c r="F607" s="189"/>
      <c r="G607" s="189"/>
      <c r="H607" s="189"/>
      <c r="I607" s="189"/>
      <c r="J607" s="423"/>
      <c r="K607" s="189"/>
      <c r="M607" s="189"/>
      <c r="N607" s="189"/>
      <c r="R607" s="189"/>
      <c r="S607" s="189"/>
      <c r="T607" s="189"/>
      <c r="U607" s="189"/>
      <c r="V607" s="189"/>
      <c r="W607" s="189"/>
      <c r="X607" s="189"/>
    </row>
    <row r="608" spans="1:24">
      <c r="A608" s="189"/>
      <c r="B608" s="189"/>
      <c r="C608" s="189"/>
      <c r="D608" s="189"/>
      <c r="E608" s="189"/>
      <c r="F608" s="189"/>
      <c r="G608" s="189"/>
      <c r="H608" s="189"/>
      <c r="I608" s="189"/>
      <c r="J608" s="423"/>
      <c r="K608" s="189"/>
      <c r="M608" s="189"/>
      <c r="N608" s="189"/>
      <c r="R608" s="189"/>
      <c r="S608" s="189"/>
      <c r="T608" s="189"/>
      <c r="U608" s="189"/>
      <c r="V608" s="189"/>
      <c r="W608" s="189"/>
      <c r="X608" s="189"/>
    </row>
    <row r="609" spans="1:24">
      <c r="A609" s="189"/>
      <c r="B609" s="189"/>
      <c r="C609" s="189"/>
      <c r="D609" s="189"/>
      <c r="E609" s="189"/>
      <c r="F609" s="189"/>
      <c r="G609" s="189"/>
      <c r="H609" s="189"/>
      <c r="I609" s="189"/>
      <c r="J609" s="423"/>
      <c r="K609" s="189"/>
      <c r="M609" s="189"/>
      <c r="N609" s="189"/>
      <c r="R609" s="189"/>
      <c r="S609" s="189"/>
      <c r="T609" s="189"/>
      <c r="U609" s="189"/>
      <c r="V609" s="189"/>
      <c r="W609" s="189"/>
      <c r="X609" s="189"/>
    </row>
    <row r="610" spans="1:24">
      <c r="A610" s="189"/>
      <c r="B610" s="189"/>
      <c r="C610" s="189"/>
      <c r="D610" s="189"/>
      <c r="E610" s="189"/>
      <c r="F610" s="189"/>
      <c r="G610" s="189"/>
      <c r="H610" s="189"/>
      <c r="I610" s="189"/>
      <c r="J610" s="423"/>
      <c r="K610" s="189"/>
      <c r="M610" s="189"/>
      <c r="N610" s="189"/>
      <c r="R610" s="189"/>
      <c r="S610" s="189"/>
      <c r="T610" s="189"/>
      <c r="U610" s="189"/>
      <c r="V610" s="189"/>
      <c r="W610" s="189"/>
      <c r="X610" s="189"/>
    </row>
    <row r="611" spans="1:24">
      <c r="A611" s="189"/>
      <c r="B611" s="189"/>
      <c r="C611" s="189"/>
      <c r="D611" s="189"/>
      <c r="E611" s="189"/>
      <c r="F611" s="189"/>
      <c r="G611" s="189"/>
      <c r="H611" s="189"/>
      <c r="I611" s="189"/>
      <c r="J611" s="423"/>
      <c r="K611" s="189"/>
      <c r="M611" s="189"/>
      <c r="N611" s="189"/>
      <c r="R611" s="189"/>
      <c r="S611" s="189"/>
      <c r="T611" s="189"/>
      <c r="U611" s="189"/>
      <c r="V611" s="189"/>
      <c r="W611" s="189"/>
      <c r="X611" s="189"/>
    </row>
    <row r="612" spans="1:24">
      <c r="A612" s="189"/>
      <c r="B612" s="189"/>
      <c r="C612" s="189"/>
      <c r="D612" s="189"/>
      <c r="E612" s="189"/>
      <c r="F612" s="189"/>
      <c r="G612" s="189"/>
      <c r="H612" s="189"/>
      <c r="I612" s="189"/>
      <c r="J612" s="423"/>
      <c r="K612" s="189"/>
      <c r="M612" s="189"/>
      <c r="N612" s="189"/>
      <c r="R612" s="189"/>
      <c r="S612" s="189"/>
      <c r="T612" s="189"/>
      <c r="U612" s="189"/>
      <c r="V612" s="189"/>
      <c r="W612" s="189"/>
      <c r="X612" s="189"/>
    </row>
    <row r="613" spans="1:24">
      <c r="A613" s="189"/>
      <c r="B613" s="189"/>
      <c r="C613" s="189"/>
      <c r="D613" s="189"/>
      <c r="E613" s="189"/>
      <c r="F613" s="189"/>
      <c r="G613" s="189"/>
      <c r="H613" s="189"/>
      <c r="I613" s="189"/>
      <c r="J613" s="423"/>
      <c r="K613" s="189"/>
      <c r="M613" s="189"/>
      <c r="N613" s="189"/>
      <c r="R613" s="189"/>
      <c r="S613" s="189"/>
      <c r="T613" s="189"/>
      <c r="U613" s="189"/>
      <c r="V613" s="189"/>
      <c r="W613" s="189"/>
      <c r="X613" s="189"/>
    </row>
    <row r="614" spans="1:24">
      <c r="A614" s="189"/>
      <c r="B614" s="189"/>
      <c r="C614" s="189"/>
      <c r="D614" s="189"/>
      <c r="E614" s="189"/>
      <c r="F614" s="189"/>
      <c r="G614" s="189"/>
      <c r="H614" s="189"/>
      <c r="I614" s="189"/>
      <c r="J614" s="423"/>
      <c r="K614" s="189"/>
      <c r="M614" s="189"/>
      <c r="N614" s="189"/>
      <c r="R614" s="189"/>
      <c r="S614" s="189"/>
      <c r="T614" s="189"/>
      <c r="U614" s="189"/>
      <c r="V614" s="189"/>
      <c r="W614" s="189"/>
      <c r="X614" s="189"/>
    </row>
    <row r="615" spans="1:24">
      <c r="A615" s="189"/>
      <c r="B615" s="189"/>
      <c r="C615" s="189"/>
      <c r="D615" s="189"/>
      <c r="E615" s="189"/>
      <c r="F615" s="189"/>
      <c r="G615" s="189"/>
      <c r="H615" s="189"/>
      <c r="I615" s="189"/>
      <c r="J615" s="423"/>
      <c r="K615" s="189"/>
      <c r="M615" s="189"/>
      <c r="N615" s="189"/>
      <c r="R615" s="189"/>
      <c r="S615" s="189"/>
      <c r="T615" s="189"/>
      <c r="U615" s="189"/>
      <c r="V615" s="189"/>
      <c r="W615" s="189"/>
      <c r="X615" s="189"/>
    </row>
    <row r="616" spans="1:24">
      <c r="A616" s="189"/>
      <c r="B616" s="189"/>
      <c r="C616" s="189"/>
      <c r="D616" s="189"/>
      <c r="E616" s="189"/>
      <c r="F616" s="189"/>
      <c r="G616" s="189"/>
      <c r="H616" s="189"/>
      <c r="I616" s="189"/>
      <c r="J616" s="423"/>
      <c r="K616" s="189"/>
      <c r="M616" s="189"/>
      <c r="N616" s="189"/>
      <c r="R616" s="189"/>
      <c r="S616" s="189"/>
      <c r="T616" s="189"/>
      <c r="U616" s="189"/>
      <c r="V616" s="189"/>
      <c r="W616" s="189"/>
      <c r="X616" s="189"/>
    </row>
    <row r="617" spans="1:24">
      <c r="A617" s="189"/>
      <c r="B617" s="189"/>
      <c r="C617" s="189"/>
      <c r="D617" s="189"/>
      <c r="E617" s="189"/>
      <c r="F617" s="189"/>
      <c r="G617" s="189"/>
      <c r="H617" s="189"/>
      <c r="I617" s="189"/>
      <c r="J617" s="423"/>
      <c r="K617" s="189"/>
      <c r="M617" s="189"/>
      <c r="N617" s="189"/>
      <c r="R617" s="189"/>
      <c r="S617" s="189"/>
      <c r="T617" s="189"/>
      <c r="U617" s="189"/>
      <c r="V617" s="189"/>
      <c r="W617" s="189"/>
      <c r="X617" s="189"/>
    </row>
    <row r="618" spans="1:24">
      <c r="A618" s="189"/>
      <c r="B618" s="189"/>
      <c r="C618" s="189"/>
      <c r="D618" s="189"/>
      <c r="E618" s="189"/>
      <c r="F618" s="189"/>
      <c r="G618" s="189"/>
      <c r="H618" s="189"/>
      <c r="I618" s="189"/>
      <c r="J618" s="423"/>
      <c r="K618" s="189"/>
      <c r="M618" s="189"/>
      <c r="N618" s="189"/>
      <c r="R618" s="189"/>
      <c r="S618" s="189"/>
      <c r="T618" s="189"/>
      <c r="U618" s="189"/>
      <c r="V618" s="189"/>
      <c r="W618" s="189"/>
      <c r="X618" s="189"/>
    </row>
    <row r="619" spans="1:24">
      <c r="A619" s="189"/>
      <c r="B619" s="189"/>
      <c r="C619" s="189"/>
      <c r="D619" s="189"/>
      <c r="E619" s="189"/>
      <c r="F619" s="189"/>
      <c r="G619" s="189"/>
      <c r="H619" s="189"/>
      <c r="I619" s="189"/>
      <c r="J619" s="423"/>
      <c r="K619" s="189"/>
      <c r="M619" s="189"/>
      <c r="N619" s="189"/>
      <c r="R619" s="189"/>
      <c r="S619" s="189"/>
      <c r="T619" s="189"/>
      <c r="U619" s="189"/>
      <c r="V619" s="189"/>
      <c r="W619" s="189"/>
      <c r="X619" s="189"/>
    </row>
    <row r="620" spans="1:24">
      <c r="A620" s="189"/>
      <c r="B620" s="189"/>
      <c r="C620" s="189"/>
      <c r="D620" s="189"/>
      <c r="E620" s="189"/>
      <c r="F620" s="189"/>
      <c r="G620" s="189"/>
      <c r="H620" s="189"/>
      <c r="I620" s="189"/>
      <c r="J620" s="423"/>
      <c r="K620" s="189"/>
      <c r="M620" s="189"/>
      <c r="N620" s="189"/>
      <c r="R620" s="189"/>
      <c r="S620" s="189"/>
      <c r="T620" s="189"/>
      <c r="U620" s="189"/>
      <c r="V620" s="189"/>
      <c r="W620" s="189"/>
      <c r="X620" s="189"/>
    </row>
    <row r="621" spans="1:24">
      <c r="A621" s="189"/>
      <c r="B621" s="189"/>
      <c r="C621" s="189"/>
      <c r="D621" s="189"/>
      <c r="E621" s="189"/>
      <c r="F621" s="189"/>
      <c r="G621" s="189"/>
      <c r="H621" s="189"/>
      <c r="I621" s="189"/>
      <c r="J621" s="423"/>
      <c r="K621" s="189"/>
      <c r="M621" s="189"/>
      <c r="N621" s="189"/>
      <c r="R621" s="189"/>
      <c r="S621" s="189"/>
      <c r="T621" s="189"/>
      <c r="U621" s="189"/>
      <c r="V621" s="189"/>
      <c r="W621" s="189"/>
      <c r="X621" s="189"/>
    </row>
    <row r="622" spans="1:24">
      <c r="A622" s="189"/>
      <c r="B622" s="189"/>
      <c r="C622" s="189"/>
      <c r="D622" s="189"/>
      <c r="E622" s="189"/>
      <c r="F622" s="189"/>
      <c r="G622" s="189"/>
      <c r="H622" s="189"/>
      <c r="I622" s="189"/>
      <c r="J622" s="423"/>
      <c r="K622" s="189"/>
      <c r="M622" s="189"/>
      <c r="N622" s="189"/>
      <c r="R622" s="189"/>
      <c r="S622" s="189"/>
      <c r="T622" s="189"/>
      <c r="U622" s="189"/>
      <c r="V622" s="189"/>
      <c r="W622" s="189"/>
      <c r="X622" s="189"/>
    </row>
    <row r="623" spans="1:24">
      <c r="A623" s="189"/>
      <c r="B623" s="189"/>
      <c r="C623" s="189"/>
      <c r="D623" s="189"/>
      <c r="E623" s="189"/>
      <c r="F623" s="189"/>
      <c r="G623" s="189"/>
      <c r="H623" s="189"/>
      <c r="I623" s="189"/>
      <c r="J623" s="423"/>
      <c r="K623" s="189"/>
      <c r="M623" s="189"/>
      <c r="N623" s="189"/>
      <c r="R623" s="189"/>
      <c r="S623" s="189"/>
      <c r="T623" s="189"/>
      <c r="U623" s="189"/>
      <c r="V623" s="189"/>
      <c r="W623" s="189"/>
      <c r="X623" s="189"/>
    </row>
    <row r="624" spans="1:24">
      <c r="A624" s="189"/>
      <c r="B624" s="189"/>
      <c r="C624" s="189"/>
      <c r="D624" s="189"/>
      <c r="E624" s="189"/>
      <c r="F624" s="189"/>
      <c r="G624" s="189"/>
      <c r="H624" s="189"/>
      <c r="I624" s="189"/>
      <c r="J624" s="423"/>
      <c r="K624" s="189"/>
      <c r="M624" s="189"/>
      <c r="N624" s="189"/>
      <c r="R624" s="189"/>
      <c r="S624" s="189"/>
      <c r="T624" s="189"/>
      <c r="U624" s="189"/>
      <c r="V624" s="189"/>
      <c r="W624" s="189"/>
      <c r="X624" s="189"/>
    </row>
    <row r="625" spans="1:24">
      <c r="A625" s="189"/>
      <c r="B625" s="189"/>
      <c r="C625" s="189"/>
      <c r="D625" s="189"/>
      <c r="E625" s="189"/>
      <c r="F625" s="189"/>
      <c r="G625" s="189"/>
      <c r="H625" s="189"/>
      <c r="I625" s="189"/>
      <c r="J625" s="423"/>
      <c r="K625" s="189"/>
      <c r="M625" s="189"/>
      <c r="N625" s="189"/>
      <c r="R625" s="189"/>
      <c r="S625" s="189"/>
      <c r="T625" s="189"/>
      <c r="U625" s="189"/>
      <c r="V625" s="189"/>
      <c r="W625" s="189"/>
      <c r="X625" s="189"/>
    </row>
    <row r="626" spans="1:24">
      <c r="A626" s="189"/>
      <c r="B626" s="189"/>
      <c r="C626" s="189"/>
      <c r="D626" s="189"/>
      <c r="E626" s="189"/>
      <c r="F626" s="189"/>
      <c r="G626" s="189"/>
      <c r="H626" s="189"/>
      <c r="I626" s="189"/>
      <c r="J626" s="423"/>
      <c r="K626" s="189"/>
      <c r="M626" s="189"/>
      <c r="N626" s="189"/>
      <c r="R626" s="189"/>
      <c r="S626" s="189"/>
      <c r="T626" s="189"/>
      <c r="U626" s="189"/>
      <c r="V626" s="189"/>
      <c r="W626" s="189"/>
      <c r="X626" s="189"/>
    </row>
    <row r="627" spans="1:24">
      <c r="A627" s="189"/>
      <c r="B627" s="189"/>
      <c r="C627" s="189"/>
      <c r="D627" s="189"/>
      <c r="E627" s="189"/>
      <c r="F627" s="189"/>
      <c r="G627" s="189"/>
      <c r="H627" s="189"/>
      <c r="I627" s="189"/>
      <c r="J627" s="423"/>
      <c r="K627" s="189"/>
      <c r="M627" s="189"/>
      <c r="N627" s="189"/>
      <c r="R627" s="189"/>
      <c r="S627" s="189"/>
      <c r="T627" s="189"/>
      <c r="U627" s="189"/>
      <c r="V627" s="189"/>
      <c r="W627" s="189"/>
      <c r="X627" s="189"/>
    </row>
    <row r="628" spans="1:24">
      <c r="A628" s="189"/>
      <c r="B628" s="189"/>
      <c r="C628" s="189"/>
      <c r="D628" s="189"/>
      <c r="E628" s="189"/>
      <c r="F628" s="189"/>
      <c r="G628" s="189"/>
      <c r="H628" s="189"/>
      <c r="I628" s="189"/>
      <c r="J628" s="423"/>
      <c r="K628" s="189"/>
      <c r="M628" s="189"/>
      <c r="N628" s="189"/>
      <c r="R628" s="189"/>
      <c r="S628" s="189"/>
      <c r="T628" s="189"/>
      <c r="U628" s="189"/>
      <c r="V628" s="189"/>
      <c r="W628" s="189"/>
      <c r="X628" s="189"/>
    </row>
    <row r="629" spans="1:24">
      <c r="A629" s="189"/>
      <c r="B629" s="189"/>
      <c r="C629" s="189"/>
      <c r="D629" s="189"/>
      <c r="E629" s="189"/>
      <c r="F629" s="189"/>
      <c r="G629" s="189"/>
      <c r="H629" s="189"/>
      <c r="I629" s="189"/>
      <c r="J629" s="423"/>
      <c r="K629" s="189"/>
      <c r="M629" s="189"/>
      <c r="N629" s="189"/>
      <c r="R629" s="189"/>
      <c r="S629" s="189"/>
      <c r="T629" s="189"/>
      <c r="U629" s="189"/>
      <c r="V629" s="189"/>
      <c r="W629" s="189"/>
      <c r="X629" s="189"/>
    </row>
    <row r="630" spans="1:24">
      <c r="A630" s="189"/>
      <c r="B630" s="189"/>
      <c r="C630" s="189"/>
      <c r="D630" s="189"/>
      <c r="E630" s="189"/>
      <c r="F630" s="189"/>
      <c r="G630" s="189"/>
      <c r="H630" s="189"/>
      <c r="I630" s="189"/>
      <c r="J630" s="423"/>
      <c r="K630" s="189"/>
      <c r="M630" s="189"/>
      <c r="N630" s="189"/>
      <c r="R630" s="189"/>
      <c r="S630" s="189"/>
      <c r="T630" s="189"/>
      <c r="U630" s="189"/>
      <c r="V630" s="189"/>
      <c r="W630" s="189"/>
      <c r="X630" s="189"/>
    </row>
    <row r="631" spans="1:24">
      <c r="A631" s="189"/>
      <c r="B631" s="189"/>
      <c r="C631" s="189"/>
      <c r="D631" s="189"/>
      <c r="E631" s="189"/>
      <c r="F631" s="189"/>
      <c r="G631" s="189"/>
      <c r="H631" s="189"/>
      <c r="I631" s="189"/>
      <c r="J631" s="423"/>
      <c r="K631" s="189"/>
      <c r="M631" s="189"/>
      <c r="N631" s="189"/>
      <c r="R631" s="189"/>
      <c r="S631" s="189"/>
      <c r="T631" s="189"/>
      <c r="U631" s="189"/>
      <c r="V631" s="189"/>
      <c r="W631" s="189"/>
      <c r="X631" s="189"/>
    </row>
    <row r="632" spans="1:24">
      <c r="A632" s="189"/>
      <c r="B632" s="189"/>
      <c r="C632" s="189"/>
      <c r="D632" s="189"/>
      <c r="E632" s="189"/>
      <c r="F632" s="189"/>
      <c r="G632" s="189"/>
      <c r="H632" s="189"/>
      <c r="I632" s="189"/>
      <c r="J632" s="423"/>
      <c r="K632" s="189"/>
      <c r="M632" s="189"/>
      <c r="N632" s="189"/>
      <c r="R632" s="189"/>
      <c r="S632" s="189"/>
      <c r="T632" s="189"/>
      <c r="U632" s="189"/>
      <c r="V632" s="189"/>
      <c r="W632" s="189"/>
      <c r="X632" s="189"/>
    </row>
    <row r="633" spans="1:24">
      <c r="A633" s="189"/>
      <c r="B633" s="189"/>
      <c r="C633" s="189"/>
      <c r="D633" s="189"/>
      <c r="E633" s="189"/>
      <c r="F633" s="189"/>
      <c r="G633" s="189"/>
      <c r="H633" s="189"/>
      <c r="I633" s="189"/>
      <c r="J633" s="423"/>
      <c r="K633" s="189"/>
      <c r="M633" s="189"/>
      <c r="N633" s="189"/>
      <c r="R633" s="189"/>
      <c r="S633" s="189"/>
      <c r="T633" s="189"/>
      <c r="U633" s="189"/>
      <c r="V633" s="189"/>
      <c r="W633" s="189"/>
      <c r="X633" s="189"/>
    </row>
    <row r="634" spans="1:24">
      <c r="A634" s="189"/>
      <c r="B634" s="189"/>
      <c r="C634" s="189"/>
      <c r="D634" s="189"/>
      <c r="E634" s="189"/>
      <c r="F634" s="189"/>
      <c r="G634" s="189"/>
      <c r="H634" s="189"/>
      <c r="I634" s="189"/>
      <c r="J634" s="423"/>
      <c r="K634" s="189"/>
      <c r="M634" s="189"/>
      <c r="N634" s="189"/>
      <c r="R634" s="189"/>
      <c r="S634" s="189"/>
      <c r="T634" s="189"/>
      <c r="U634" s="189"/>
      <c r="V634" s="189"/>
      <c r="W634" s="189"/>
      <c r="X634" s="189"/>
    </row>
    <row r="635" spans="1:24">
      <c r="A635" s="189"/>
      <c r="B635" s="189"/>
      <c r="C635" s="189"/>
      <c r="D635" s="189"/>
      <c r="E635" s="189"/>
      <c r="F635" s="189"/>
      <c r="G635" s="189"/>
      <c r="H635" s="189"/>
      <c r="I635" s="189"/>
      <c r="J635" s="423"/>
      <c r="K635" s="189"/>
      <c r="M635" s="189"/>
      <c r="N635" s="189"/>
      <c r="R635" s="189"/>
      <c r="S635" s="189"/>
      <c r="T635" s="189"/>
      <c r="U635" s="189"/>
      <c r="V635" s="189"/>
      <c r="W635" s="189"/>
      <c r="X635" s="189"/>
    </row>
    <row r="636" spans="1:24">
      <c r="A636" s="189"/>
      <c r="B636" s="189"/>
      <c r="C636" s="189"/>
      <c r="D636" s="189"/>
      <c r="E636" s="189"/>
      <c r="F636" s="189"/>
      <c r="G636" s="189"/>
      <c r="H636" s="189"/>
      <c r="I636" s="189"/>
      <c r="J636" s="423"/>
      <c r="K636" s="189"/>
      <c r="M636" s="189"/>
      <c r="N636" s="189"/>
      <c r="R636" s="189"/>
      <c r="S636" s="189"/>
      <c r="T636" s="189"/>
      <c r="U636" s="189"/>
      <c r="V636" s="189"/>
      <c r="W636" s="189"/>
      <c r="X636" s="189"/>
    </row>
    <row r="637" spans="1:24">
      <c r="A637" s="189"/>
      <c r="B637" s="189"/>
      <c r="C637" s="189"/>
      <c r="D637" s="189"/>
      <c r="E637" s="189"/>
      <c r="F637" s="189"/>
      <c r="G637" s="189"/>
      <c r="H637" s="189"/>
      <c r="I637" s="189"/>
      <c r="J637" s="423"/>
      <c r="K637" s="189"/>
      <c r="M637" s="189"/>
      <c r="N637" s="189"/>
      <c r="R637" s="189"/>
      <c r="S637" s="189"/>
      <c r="T637" s="189"/>
      <c r="U637" s="189"/>
      <c r="V637" s="189"/>
      <c r="W637" s="189"/>
      <c r="X637" s="189"/>
    </row>
    <row r="638" spans="1:24">
      <c r="A638" s="189"/>
      <c r="B638" s="189"/>
      <c r="C638" s="189"/>
      <c r="D638" s="189"/>
      <c r="E638" s="189"/>
      <c r="F638" s="189"/>
      <c r="G638" s="189"/>
      <c r="H638" s="189"/>
      <c r="I638" s="189"/>
      <c r="J638" s="423"/>
      <c r="K638" s="189"/>
      <c r="M638" s="189"/>
      <c r="N638" s="189"/>
      <c r="R638" s="189"/>
      <c r="S638" s="189"/>
      <c r="T638" s="189"/>
      <c r="U638" s="189"/>
      <c r="V638" s="189"/>
      <c r="W638" s="189"/>
      <c r="X638" s="189"/>
    </row>
    <row r="639" spans="1:24">
      <c r="A639" s="189"/>
      <c r="B639" s="189"/>
      <c r="C639" s="189"/>
      <c r="D639" s="189"/>
      <c r="E639" s="189"/>
      <c r="F639" s="189"/>
      <c r="G639" s="189"/>
      <c r="H639" s="189"/>
      <c r="I639" s="189"/>
      <c r="J639" s="423"/>
      <c r="K639" s="189"/>
      <c r="M639" s="189"/>
      <c r="N639" s="189"/>
      <c r="R639" s="189"/>
      <c r="S639" s="189"/>
      <c r="T639" s="189"/>
      <c r="U639" s="189"/>
      <c r="V639" s="189"/>
      <c r="W639" s="189"/>
      <c r="X639" s="189"/>
    </row>
    <row r="640" spans="1:24">
      <c r="A640" s="189"/>
      <c r="B640" s="189"/>
      <c r="C640" s="189"/>
      <c r="D640" s="189"/>
      <c r="E640" s="189"/>
      <c r="F640" s="189"/>
      <c r="G640" s="189"/>
      <c r="H640" s="189"/>
      <c r="I640" s="189"/>
      <c r="J640" s="423"/>
      <c r="K640" s="189"/>
      <c r="M640" s="189"/>
      <c r="N640" s="189"/>
      <c r="R640" s="189"/>
      <c r="S640" s="189"/>
      <c r="T640" s="189"/>
      <c r="U640" s="189"/>
      <c r="V640" s="189"/>
      <c r="W640" s="189"/>
      <c r="X640" s="189"/>
    </row>
    <row r="641" spans="1:24">
      <c r="A641" s="189"/>
      <c r="B641" s="189"/>
      <c r="C641" s="189"/>
      <c r="D641" s="189"/>
      <c r="E641" s="189"/>
      <c r="F641" s="189"/>
      <c r="G641" s="189"/>
      <c r="H641" s="189"/>
      <c r="I641" s="189"/>
      <c r="J641" s="423"/>
      <c r="K641" s="189"/>
      <c r="M641" s="189"/>
      <c r="N641" s="189"/>
      <c r="R641" s="189"/>
      <c r="S641" s="189"/>
      <c r="T641" s="189"/>
      <c r="U641" s="189"/>
      <c r="V641" s="189"/>
      <c r="W641" s="189"/>
      <c r="X641" s="189"/>
    </row>
    <row r="642" spans="1:24">
      <c r="A642" s="189"/>
      <c r="B642" s="189"/>
      <c r="C642" s="189"/>
      <c r="D642" s="189"/>
      <c r="E642" s="189"/>
      <c r="F642" s="189"/>
      <c r="G642" s="189"/>
      <c r="H642" s="189"/>
      <c r="I642" s="189"/>
      <c r="J642" s="423"/>
      <c r="K642" s="189"/>
      <c r="M642" s="189"/>
      <c r="N642" s="189"/>
      <c r="R642" s="189"/>
      <c r="S642" s="189"/>
      <c r="T642" s="189"/>
      <c r="U642" s="189"/>
      <c r="V642" s="189"/>
      <c r="W642" s="189"/>
      <c r="X642" s="189"/>
    </row>
    <row r="643" spans="1:24">
      <c r="A643" s="189"/>
      <c r="B643" s="189"/>
      <c r="C643" s="189"/>
      <c r="D643" s="189"/>
      <c r="E643" s="189"/>
      <c r="F643" s="189"/>
      <c r="G643" s="189"/>
      <c r="H643" s="189"/>
      <c r="I643" s="189"/>
      <c r="J643" s="423"/>
      <c r="K643" s="189"/>
      <c r="M643" s="189"/>
      <c r="N643" s="189"/>
      <c r="R643" s="189"/>
      <c r="S643" s="189"/>
      <c r="T643" s="189"/>
      <c r="U643" s="189"/>
      <c r="V643" s="189"/>
      <c r="W643" s="189"/>
      <c r="X643" s="189"/>
    </row>
    <row r="644" spans="1:24">
      <c r="A644" s="189"/>
      <c r="B644" s="189"/>
      <c r="C644" s="189"/>
      <c r="D644" s="189"/>
      <c r="E644" s="189"/>
      <c r="F644" s="189"/>
      <c r="G644" s="189"/>
      <c r="H644" s="189"/>
      <c r="I644" s="189"/>
      <c r="J644" s="423"/>
      <c r="K644" s="189"/>
      <c r="M644" s="189"/>
      <c r="N644" s="189"/>
      <c r="R644" s="189"/>
      <c r="S644" s="189"/>
      <c r="T644" s="189"/>
      <c r="U644" s="189"/>
      <c r="V644" s="189"/>
      <c r="W644" s="189"/>
      <c r="X644" s="189"/>
    </row>
    <row r="645" spans="1:24">
      <c r="A645" s="189"/>
      <c r="B645" s="189"/>
      <c r="C645" s="189"/>
      <c r="D645" s="189"/>
      <c r="E645" s="189"/>
      <c r="F645" s="189"/>
      <c r="G645" s="189"/>
      <c r="H645" s="189"/>
      <c r="I645" s="189"/>
      <c r="J645" s="423"/>
      <c r="K645" s="189"/>
      <c r="M645" s="189"/>
      <c r="N645" s="189"/>
      <c r="R645" s="189"/>
      <c r="S645" s="189"/>
      <c r="T645" s="189"/>
      <c r="U645" s="189"/>
      <c r="V645" s="189"/>
      <c r="W645" s="189"/>
      <c r="X645" s="189"/>
    </row>
    <row r="646" spans="1:24">
      <c r="A646" s="189"/>
      <c r="B646" s="189"/>
      <c r="C646" s="189"/>
      <c r="D646" s="189"/>
      <c r="E646" s="189"/>
      <c r="F646" s="189"/>
      <c r="G646" s="189"/>
      <c r="H646" s="189"/>
      <c r="I646" s="189"/>
      <c r="J646" s="423"/>
      <c r="K646" s="189"/>
      <c r="M646" s="189"/>
      <c r="N646" s="189"/>
      <c r="R646" s="189"/>
      <c r="S646" s="189"/>
      <c r="T646" s="189"/>
      <c r="U646" s="189"/>
      <c r="V646" s="189"/>
      <c r="W646" s="189"/>
      <c r="X646" s="189"/>
    </row>
    <row r="647" spans="1:24">
      <c r="A647" s="189"/>
      <c r="B647" s="189"/>
      <c r="C647" s="189"/>
      <c r="D647" s="189"/>
      <c r="E647" s="189"/>
      <c r="F647" s="189"/>
      <c r="G647" s="189"/>
      <c r="H647" s="189"/>
      <c r="I647" s="189"/>
      <c r="J647" s="423"/>
      <c r="K647" s="189"/>
      <c r="M647" s="189"/>
      <c r="N647" s="189"/>
      <c r="R647" s="189"/>
      <c r="S647" s="189"/>
      <c r="T647" s="189"/>
      <c r="U647" s="189"/>
      <c r="V647" s="189"/>
      <c r="W647" s="189"/>
      <c r="X647" s="189"/>
    </row>
    <row r="648" spans="1:24">
      <c r="A648" s="189"/>
      <c r="B648" s="189"/>
      <c r="C648" s="189"/>
      <c r="D648" s="189"/>
      <c r="E648" s="189"/>
      <c r="F648" s="189"/>
      <c r="G648" s="189"/>
      <c r="H648" s="189"/>
      <c r="I648" s="189"/>
      <c r="J648" s="423"/>
      <c r="K648" s="189"/>
      <c r="M648" s="189"/>
      <c r="N648" s="189"/>
      <c r="R648" s="189"/>
      <c r="S648" s="189"/>
      <c r="T648" s="189"/>
      <c r="U648" s="189"/>
      <c r="V648" s="189"/>
      <c r="W648" s="189"/>
      <c r="X648" s="189"/>
    </row>
    <row r="649" spans="1:24">
      <c r="A649" s="189"/>
      <c r="B649" s="189"/>
      <c r="C649" s="189"/>
      <c r="D649" s="189"/>
      <c r="E649" s="189"/>
      <c r="F649" s="189"/>
      <c r="G649" s="189"/>
      <c r="H649" s="189"/>
      <c r="I649" s="189"/>
      <c r="J649" s="423"/>
      <c r="K649" s="189"/>
      <c r="M649" s="189"/>
      <c r="N649" s="189"/>
      <c r="R649" s="189"/>
      <c r="S649" s="189"/>
      <c r="T649" s="189"/>
      <c r="U649" s="189"/>
      <c r="V649" s="189"/>
      <c r="W649" s="189"/>
      <c r="X649" s="189"/>
    </row>
    <row r="650" spans="1:24">
      <c r="A650" s="189"/>
      <c r="B650" s="189"/>
      <c r="C650" s="189"/>
      <c r="D650" s="189"/>
      <c r="E650" s="189"/>
      <c r="F650" s="189"/>
      <c r="G650" s="189"/>
      <c r="H650" s="189"/>
      <c r="I650" s="189"/>
      <c r="J650" s="423"/>
      <c r="K650" s="189"/>
      <c r="M650" s="189"/>
      <c r="N650" s="189"/>
      <c r="R650" s="189"/>
      <c r="S650" s="189"/>
      <c r="T650" s="189"/>
      <c r="U650" s="189"/>
      <c r="V650" s="189"/>
      <c r="W650" s="189"/>
      <c r="X650" s="189"/>
    </row>
    <row r="651" spans="1:24">
      <c r="A651" s="189"/>
      <c r="B651" s="189"/>
      <c r="C651" s="189"/>
      <c r="D651" s="189"/>
      <c r="E651" s="189"/>
      <c r="F651" s="189"/>
      <c r="G651" s="189"/>
      <c r="H651" s="189"/>
      <c r="I651" s="189"/>
      <c r="J651" s="423"/>
      <c r="K651" s="189"/>
      <c r="M651" s="189"/>
      <c r="N651" s="189"/>
      <c r="R651" s="189"/>
      <c r="S651" s="189"/>
      <c r="T651" s="189"/>
      <c r="U651" s="189"/>
      <c r="V651" s="189"/>
      <c r="W651" s="189"/>
      <c r="X651" s="189"/>
    </row>
    <row r="652" spans="1:24">
      <c r="A652" s="189"/>
      <c r="B652" s="189"/>
      <c r="C652" s="189"/>
      <c r="D652" s="189"/>
      <c r="E652" s="189"/>
      <c r="F652" s="189"/>
      <c r="G652" s="189"/>
      <c r="H652" s="189"/>
      <c r="I652" s="189"/>
      <c r="J652" s="423"/>
      <c r="K652" s="189"/>
      <c r="M652" s="189"/>
      <c r="N652" s="189"/>
      <c r="R652" s="189"/>
      <c r="S652" s="189"/>
      <c r="T652" s="189"/>
      <c r="U652" s="189"/>
      <c r="V652" s="189"/>
      <c r="W652" s="189"/>
      <c r="X652" s="189"/>
    </row>
    <row r="653" spans="1:24">
      <c r="A653" s="189"/>
      <c r="B653" s="189"/>
      <c r="C653" s="189"/>
      <c r="D653" s="189"/>
      <c r="E653" s="189"/>
      <c r="F653" s="189"/>
      <c r="G653" s="189"/>
      <c r="H653" s="189"/>
      <c r="I653" s="189"/>
      <c r="J653" s="423"/>
      <c r="K653" s="189"/>
      <c r="M653" s="189"/>
      <c r="N653" s="189"/>
      <c r="R653" s="189"/>
      <c r="S653" s="189"/>
      <c r="T653" s="189"/>
      <c r="U653" s="189"/>
      <c r="V653" s="189"/>
      <c r="W653" s="189"/>
      <c r="X653" s="189"/>
    </row>
    <row r="654" spans="1:24">
      <c r="A654" s="189"/>
      <c r="B654" s="189"/>
      <c r="C654" s="189"/>
      <c r="D654" s="189"/>
      <c r="E654" s="189"/>
      <c r="F654" s="189"/>
      <c r="G654" s="189"/>
      <c r="H654" s="189"/>
      <c r="I654" s="189"/>
      <c r="J654" s="423"/>
      <c r="K654" s="189"/>
      <c r="M654" s="189"/>
      <c r="N654" s="189"/>
      <c r="R654" s="189"/>
      <c r="S654" s="189"/>
      <c r="T654" s="189"/>
      <c r="U654" s="189"/>
      <c r="V654" s="189"/>
      <c r="W654" s="189"/>
      <c r="X654" s="189"/>
    </row>
    <row r="655" spans="1:24">
      <c r="A655" s="189"/>
      <c r="B655" s="189"/>
      <c r="C655" s="189"/>
      <c r="D655" s="189"/>
      <c r="E655" s="189"/>
      <c r="F655" s="189"/>
      <c r="G655" s="189"/>
      <c r="H655" s="189"/>
      <c r="I655" s="189"/>
      <c r="J655" s="423"/>
      <c r="K655" s="189"/>
      <c r="M655" s="189"/>
      <c r="N655" s="189"/>
      <c r="R655" s="189"/>
      <c r="S655" s="189"/>
      <c r="T655" s="189"/>
      <c r="U655" s="189"/>
      <c r="V655" s="189"/>
      <c r="W655" s="189"/>
      <c r="X655" s="189"/>
    </row>
    <row r="656" spans="1:24">
      <c r="A656" s="189"/>
      <c r="B656" s="189"/>
      <c r="C656" s="189"/>
      <c r="D656" s="189"/>
      <c r="E656" s="189"/>
      <c r="F656" s="189"/>
      <c r="G656" s="189"/>
      <c r="H656" s="189"/>
      <c r="I656" s="189"/>
      <c r="J656" s="423"/>
      <c r="K656" s="189"/>
      <c r="M656" s="189"/>
      <c r="N656" s="189"/>
      <c r="R656" s="189"/>
      <c r="S656" s="189"/>
      <c r="T656" s="189"/>
      <c r="U656" s="189"/>
      <c r="V656" s="189"/>
      <c r="W656" s="189"/>
      <c r="X656" s="189"/>
    </row>
    <row r="657" spans="1:24">
      <c r="A657" s="189"/>
      <c r="B657" s="189"/>
      <c r="C657" s="189"/>
      <c r="D657" s="189"/>
      <c r="E657" s="189"/>
      <c r="F657" s="189"/>
      <c r="G657" s="189"/>
      <c r="H657" s="189"/>
      <c r="I657" s="189"/>
      <c r="J657" s="423"/>
      <c r="K657" s="189"/>
      <c r="M657" s="189"/>
      <c r="N657" s="189"/>
      <c r="R657" s="189"/>
      <c r="S657" s="189"/>
      <c r="T657" s="189"/>
      <c r="U657" s="189"/>
      <c r="V657" s="189"/>
      <c r="W657" s="189"/>
      <c r="X657" s="189"/>
    </row>
    <row r="658" spans="1:24">
      <c r="A658" s="189"/>
      <c r="B658" s="189"/>
      <c r="C658" s="189"/>
      <c r="D658" s="189"/>
      <c r="E658" s="189"/>
      <c r="F658" s="189"/>
      <c r="G658" s="189"/>
      <c r="H658" s="189"/>
      <c r="I658" s="189"/>
      <c r="J658" s="423"/>
      <c r="K658" s="189"/>
      <c r="M658" s="189"/>
      <c r="N658" s="189"/>
      <c r="R658" s="189"/>
      <c r="S658" s="189"/>
      <c r="T658" s="189"/>
      <c r="U658" s="189"/>
      <c r="V658" s="189"/>
      <c r="W658" s="189"/>
      <c r="X658" s="189"/>
    </row>
    <row r="659" spans="1:24">
      <c r="A659" s="189"/>
      <c r="B659" s="189"/>
      <c r="C659" s="189"/>
      <c r="D659" s="189"/>
      <c r="E659" s="189"/>
      <c r="F659" s="189"/>
      <c r="G659" s="189"/>
      <c r="H659" s="189"/>
      <c r="I659" s="189"/>
      <c r="J659" s="423"/>
      <c r="K659" s="189"/>
      <c r="M659" s="189"/>
      <c r="N659" s="189"/>
      <c r="R659" s="189"/>
      <c r="S659" s="189"/>
      <c r="T659" s="189"/>
      <c r="U659" s="189"/>
      <c r="V659" s="189"/>
      <c r="W659" s="189"/>
      <c r="X659" s="189"/>
    </row>
    <row r="660" spans="1:24">
      <c r="A660" s="189"/>
      <c r="B660" s="189"/>
      <c r="C660" s="189"/>
      <c r="D660" s="189"/>
      <c r="E660" s="189"/>
      <c r="F660" s="189"/>
      <c r="G660" s="189"/>
      <c r="H660" s="189"/>
      <c r="I660" s="189"/>
      <c r="J660" s="423"/>
      <c r="K660" s="189"/>
      <c r="M660" s="189"/>
      <c r="N660" s="189"/>
      <c r="R660" s="189"/>
      <c r="S660" s="189"/>
      <c r="T660" s="189"/>
      <c r="U660" s="189"/>
      <c r="V660" s="189"/>
      <c r="W660" s="189"/>
      <c r="X660" s="189"/>
    </row>
    <row r="661" spans="1:24">
      <c r="A661" s="189"/>
      <c r="B661" s="189"/>
      <c r="C661" s="189"/>
      <c r="D661" s="189"/>
      <c r="E661" s="189"/>
      <c r="F661" s="189"/>
      <c r="G661" s="189"/>
      <c r="H661" s="189"/>
      <c r="I661" s="189"/>
      <c r="J661" s="423"/>
      <c r="K661" s="189"/>
      <c r="M661" s="189"/>
      <c r="N661" s="189"/>
      <c r="R661" s="189"/>
      <c r="S661" s="189"/>
      <c r="T661" s="189"/>
      <c r="U661" s="189"/>
      <c r="V661" s="189"/>
      <c r="W661" s="189"/>
      <c r="X661" s="189"/>
    </row>
    <row r="662" spans="1:24">
      <c r="A662" s="189"/>
      <c r="B662" s="189"/>
      <c r="C662" s="189"/>
      <c r="D662" s="189"/>
      <c r="E662" s="189"/>
      <c r="F662" s="189"/>
      <c r="G662" s="189"/>
      <c r="H662" s="189"/>
      <c r="I662" s="189"/>
      <c r="J662" s="423"/>
      <c r="K662" s="189"/>
      <c r="M662" s="189"/>
      <c r="N662" s="189"/>
      <c r="R662" s="189"/>
      <c r="S662" s="189"/>
      <c r="T662" s="189"/>
      <c r="U662" s="189"/>
      <c r="V662" s="189"/>
      <c r="W662" s="189"/>
      <c r="X662" s="189"/>
    </row>
    <row r="663" spans="1:24">
      <c r="A663" s="189"/>
      <c r="B663" s="189"/>
      <c r="C663" s="189"/>
      <c r="D663" s="189"/>
      <c r="E663" s="189"/>
      <c r="F663" s="189"/>
      <c r="G663" s="189"/>
      <c r="H663" s="189"/>
      <c r="I663" s="189"/>
      <c r="J663" s="423"/>
      <c r="K663" s="189"/>
      <c r="M663" s="189"/>
      <c r="N663" s="189"/>
      <c r="R663" s="189"/>
      <c r="S663" s="189"/>
      <c r="T663" s="189"/>
      <c r="U663" s="189"/>
      <c r="V663" s="189"/>
      <c r="W663" s="189"/>
      <c r="X663" s="189"/>
    </row>
    <row r="664" spans="1:24">
      <c r="A664" s="189"/>
      <c r="B664" s="189"/>
      <c r="C664" s="189"/>
      <c r="D664" s="189"/>
      <c r="E664" s="189"/>
      <c r="F664" s="189"/>
      <c r="G664" s="189"/>
      <c r="H664" s="189"/>
      <c r="I664" s="189"/>
      <c r="J664" s="423"/>
      <c r="K664" s="189"/>
      <c r="M664" s="189"/>
      <c r="N664" s="189"/>
      <c r="R664" s="189"/>
      <c r="S664" s="189"/>
      <c r="T664" s="189"/>
      <c r="U664" s="189"/>
      <c r="V664" s="189"/>
      <c r="W664" s="189"/>
      <c r="X664" s="189"/>
    </row>
    <row r="665" spans="1:24">
      <c r="A665" s="189"/>
      <c r="B665" s="189"/>
      <c r="C665" s="189"/>
      <c r="D665" s="189"/>
      <c r="E665" s="189"/>
      <c r="F665" s="189"/>
      <c r="G665" s="189"/>
      <c r="H665" s="189"/>
      <c r="I665" s="189"/>
      <c r="J665" s="423"/>
      <c r="K665" s="189"/>
      <c r="M665" s="189"/>
      <c r="N665" s="189"/>
      <c r="R665" s="189"/>
      <c r="S665" s="189"/>
      <c r="T665" s="189"/>
      <c r="U665" s="189"/>
      <c r="V665" s="189"/>
      <c r="W665" s="189"/>
      <c r="X665" s="189"/>
    </row>
    <row r="666" spans="1:24">
      <c r="A666" s="189"/>
      <c r="B666" s="189"/>
      <c r="C666" s="189"/>
      <c r="D666" s="189"/>
      <c r="E666" s="189"/>
      <c r="F666" s="189"/>
      <c r="G666" s="189"/>
      <c r="H666" s="189"/>
      <c r="I666" s="189"/>
      <c r="J666" s="423"/>
      <c r="K666" s="189"/>
      <c r="M666" s="189"/>
      <c r="N666" s="189"/>
      <c r="R666" s="189"/>
      <c r="S666" s="189"/>
      <c r="T666" s="189"/>
      <c r="U666" s="189"/>
      <c r="V666" s="189"/>
      <c r="W666" s="189"/>
      <c r="X666" s="189"/>
    </row>
    <row r="667" spans="1:24">
      <c r="A667" s="189"/>
      <c r="B667" s="189"/>
      <c r="C667" s="189"/>
      <c r="D667" s="189"/>
      <c r="E667" s="189"/>
      <c r="F667" s="189"/>
      <c r="G667" s="189"/>
      <c r="H667" s="189"/>
      <c r="I667" s="189"/>
      <c r="J667" s="423"/>
      <c r="K667" s="189"/>
      <c r="M667" s="189"/>
      <c r="N667" s="189"/>
      <c r="R667" s="189"/>
      <c r="S667" s="189"/>
      <c r="T667" s="189"/>
      <c r="U667" s="189"/>
      <c r="V667" s="189"/>
      <c r="W667" s="189"/>
      <c r="X667" s="189"/>
    </row>
    <row r="668" spans="1:24">
      <c r="A668" s="189"/>
      <c r="B668" s="189"/>
      <c r="C668" s="189"/>
      <c r="D668" s="189"/>
      <c r="E668" s="189"/>
      <c r="F668" s="189"/>
      <c r="G668" s="189"/>
      <c r="H668" s="189"/>
      <c r="I668" s="189"/>
      <c r="J668" s="423"/>
      <c r="K668" s="189"/>
      <c r="M668" s="189"/>
      <c r="N668" s="189"/>
      <c r="R668" s="189"/>
      <c r="S668" s="189"/>
      <c r="T668" s="189"/>
      <c r="U668" s="189"/>
      <c r="V668" s="189"/>
      <c r="W668" s="189"/>
      <c r="X668" s="189"/>
    </row>
    <row r="669" spans="1:24">
      <c r="A669" s="189"/>
      <c r="B669" s="189"/>
      <c r="C669" s="189"/>
      <c r="D669" s="189"/>
      <c r="E669" s="189"/>
      <c r="F669" s="189"/>
      <c r="G669" s="189"/>
      <c r="H669" s="189"/>
      <c r="I669" s="189"/>
      <c r="J669" s="423"/>
      <c r="K669" s="189"/>
      <c r="M669" s="189"/>
      <c r="N669" s="189"/>
      <c r="R669" s="189"/>
      <c r="S669" s="189"/>
      <c r="T669" s="189"/>
      <c r="U669" s="189"/>
      <c r="V669" s="189"/>
      <c r="W669" s="189"/>
      <c r="X669" s="189"/>
    </row>
    <row r="670" spans="1:24">
      <c r="A670" s="189"/>
      <c r="B670" s="189"/>
      <c r="C670" s="189"/>
      <c r="D670" s="189"/>
      <c r="E670" s="189"/>
      <c r="F670" s="189"/>
      <c r="G670" s="189"/>
      <c r="H670" s="189"/>
      <c r="I670" s="189"/>
      <c r="J670" s="423"/>
      <c r="K670" s="189"/>
      <c r="M670" s="189"/>
      <c r="N670" s="189"/>
      <c r="R670" s="189"/>
      <c r="S670" s="189"/>
      <c r="T670" s="189"/>
      <c r="U670" s="189"/>
      <c r="V670" s="189"/>
      <c r="W670" s="189"/>
      <c r="X670" s="189"/>
    </row>
    <row r="671" spans="1:24">
      <c r="A671" s="189"/>
      <c r="B671" s="189"/>
      <c r="C671" s="189"/>
      <c r="D671" s="189"/>
      <c r="E671" s="189"/>
      <c r="F671" s="189"/>
      <c r="G671" s="189"/>
      <c r="H671" s="189"/>
      <c r="I671" s="189"/>
      <c r="J671" s="423"/>
      <c r="K671" s="189"/>
      <c r="M671" s="189"/>
      <c r="N671" s="189"/>
      <c r="R671" s="189"/>
      <c r="S671" s="189"/>
      <c r="T671" s="189"/>
      <c r="U671" s="189"/>
      <c r="V671" s="189"/>
      <c r="W671" s="189"/>
      <c r="X671" s="189"/>
    </row>
    <row r="672" spans="1:24">
      <c r="A672" s="189"/>
      <c r="B672" s="189"/>
      <c r="C672" s="189"/>
      <c r="D672" s="189"/>
      <c r="E672" s="189"/>
      <c r="F672" s="189"/>
      <c r="G672" s="189"/>
      <c r="H672" s="189"/>
      <c r="I672" s="189"/>
      <c r="J672" s="423"/>
      <c r="K672" s="189"/>
      <c r="M672" s="189"/>
      <c r="N672" s="189"/>
      <c r="R672" s="189"/>
      <c r="S672" s="189"/>
      <c r="T672" s="189"/>
      <c r="U672" s="189"/>
      <c r="V672" s="189"/>
      <c r="W672" s="189"/>
      <c r="X672" s="189"/>
    </row>
    <row r="673" spans="1:24">
      <c r="A673" s="189"/>
      <c r="B673" s="189"/>
      <c r="C673" s="189"/>
      <c r="D673" s="189"/>
      <c r="E673" s="189"/>
      <c r="F673" s="189"/>
      <c r="G673" s="189"/>
      <c r="H673" s="189"/>
      <c r="I673" s="189"/>
      <c r="J673" s="423"/>
      <c r="K673" s="189"/>
      <c r="M673" s="189"/>
      <c r="N673" s="189"/>
      <c r="R673" s="189"/>
      <c r="S673" s="189"/>
      <c r="T673" s="189"/>
      <c r="U673" s="189"/>
      <c r="V673" s="189"/>
      <c r="W673" s="189"/>
      <c r="X673" s="189"/>
    </row>
    <row r="674" spans="1:24">
      <c r="A674" s="189"/>
      <c r="B674" s="189"/>
      <c r="C674" s="189"/>
      <c r="D674" s="189"/>
      <c r="E674" s="189"/>
      <c r="F674" s="189"/>
      <c r="G674" s="189"/>
      <c r="H674" s="189"/>
      <c r="I674" s="189"/>
      <c r="J674" s="423"/>
      <c r="K674" s="189"/>
      <c r="M674" s="189"/>
      <c r="N674" s="189"/>
      <c r="R674" s="189"/>
      <c r="S674" s="189"/>
      <c r="T674" s="189"/>
      <c r="U674" s="189"/>
      <c r="V674" s="189"/>
      <c r="W674" s="189"/>
      <c r="X674" s="189"/>
    </row>
    <row r="675" spans="1:24">
      <c r="A675" s="189"/>
      <c r="B675" s="189"/>
      <c r="C675" s="189"/>
      <c r="D675" s="189"/>
      <c r="E675" s="189"/>
      <c r="F675" s="189"/>
      <c r="G675" s="189"/>
      <c r="H675" s="189"/>
      <c r="I675" s="189"/>
      <c r="J675" s="423"/>
      <c r="K675" s="189"/>
      <c r="M675" s="189"/>
      <c r="N675" s="189"/>
      <c r="R675" s="189"/>
      <c r="S675" s="189"/>
      <c r="T675" s="189"/>
      <c r="U675" s="189"/>
      <c r="V675" s="189"/>
      <c r="W675" s="189"/>
      <c r="X675" s="189"/>
    </row>
    <row r="676" spans="1:24">
      <c r="A676" s="189"/>
      <c r="B676" s="189"/>
      <c r="C676" s="189"/>
      <c r="D676" s="189"/>
      <c r="E676" s="189"/>
      <c r="F676" s="189"/>
      <c r="G676" s="189"/>
      <c r="H676" s="189"/>
      <c r="I676" s="189"/>
      <c r="J676" s="423"/>
      <c r="K676" s="189"/>
      <c r="M676" s="189"/>
      <c r="N676" s="189"/>
      <c r="R676" s="189"/>
      <c r="S676" s="189"/>
      <c r="T676" s="189"/>
      <c r="U676" s="189"/>
      <c r="V676" s="189"/>
      <c r="W676" s="189"/>
      <c r="X676" s="189"/>
    </row>
    <row r="677" spans="1:24">
      <c r="A677" s="189"/>
      <c r="B677" s="189"/>
      <c r="C677" s="189"/>
      <c r="D677" s="189"/>
      <c r="E677" s="189"/>
      <c r="F677" s="189"/>
      <c r="G677" s="189"/>
      <c r="H677" s="189"/>
      <c r="I677" s="189"/>
      <c r="J677" s="423"/>
      <c r="K677" s="189"/>
      <c r="M677" s="189"/>
      <c r="N677" s="189"/>
      <c r="R677" s="189"/>
      <c r="S677" s="189"/>
      <c r="T677" s="189"/>
      <c r="U677" s="189"/>
      <c r="V677" s="189"/>
      <c r="W677" s="189"/>
      <c r="X677" s="189"/>
    </row>
    <row r="678" spans="1:24">
      <c r="A678" s="189"/>
      <c r="B678" s="189"/>
      <c r="C678" s="189"/>
      <c r="D678" s="189"/>
      <c r="E678" s="189"/>
      <c r="F678" s="189"/>
      <c r="G678" s="189"/>
      <c r="H678" s="189"/>
      <c r="I678" s="189"/>
      <c r="J678" s="423"/>
      <c r="K678" s="189"/>
      <c r="M678" s="189"/>
      <c r="N678" s="189"/>
      <c r="R678" s="189"/>
      <c r="S678" s="189"/>
      <c r="T678" s="189"/>
      <c r="U678" s="189"/>
      <c r="V678" s="189"/>
      <c r="W678" s="189"/>
      <c r="X678" s="189"/>
    </row>
    <row r="679" spans="1:24">
      <c r="A679" s="189"/>
      <c r="B679" s="189"/>
      <c r="C679" s="189"/>
      <c r="D679" s="189"/>
      <c r="E679" s="189"/>
      <c r="F679" s="189"/>
      <c r="G679" s="189"/>
      <c r="H679" s="189"/>
      <c r="I679" s="189"/>
      <c r="J679" s="423"/>
      <c r="K679" s="189"/>
      <c r="M679" s="189"/>
      <c r="N679" s="189"/>
      <c r="R679" s="189"/>
      <c r="S679" s="189"/>
      <c r="T679" s="189"/>
      <c r="U679" s="189"/>
      <c r="V679" s="189"/>
      <c r="W679" s="189"/>
      <c r="X679" s="189"/>
    </row>
    <row r="680" spans="1:24">
      <c r="A680" s="189"/>
      <c r="B680" s="189"/>
      <c r="C680" s="189"/>
      <c r="D680" s="189"/>
      <c r="E680" s="189"/>
      <c r="F680" s="189"/>
      <c r="G680" s="189"/>
      <c r="H680" s="189"/>
      <c r="I680" s="189"/>
      <c r="J680" s="423"/>
      <c r="K680" s="189"/>
      <c r="M680" s="189"/>
      <c r="N680" s="189"/>
      <c r="R680" s="189"/>
      <c r="S680" s="189"/>
      <c r="T680" s="189"/>
      <c r="U680" s="189"/>
      <c r="V680" s="189"/>
      <c r="W680" s="189"/>
      <c r="X680" s="189"/>
    </row>
    <row r="681" spans="1:24">
      <c r="A681" s="189"/>
      <c r="B681" s="189"/>
      <c r="C681" s="189"/>
      <c r="D681" s="189"/>
      <c r="E681" s="189"/>
      <c r="F681" s="189"/>
      <c r="G681" s="189"/>
      <c r="H681" s="189"/>
      <c r="I681" s="189"/>
      <c r="J681" s="423"/>
      <c r="K681" s="189"/>
      <c r="M681" s="189"/>
      <c r="N681" s="189"/>
      <c r="R681" s="189"/>
      <c r="S681" s="189"/>
      <c r="T681" s="189"/>
      <c r="U681" s="189"/>
      <c r="V681" s="189"/>
      <c r="W681" s="189"/>
      <c r="X681" s="189"/>
    </row>
    <row r="682" spans="1:24">
      <c r="A682" s="189"/>
      <c r="B682" s="189"/>
      <c r="C682" s="189"/>
      <c r="D682" s="189"/>
      <c r="E682" s="189"/>
      <c r="F682" s="189"/>
      <c r="G682" s="189"/>
      <c r="H682" s="189"/>
      <c r="I682" s="189"/>
      <c r="J682" s="423"/>
      <c r="K682" s="189"/>
      <c r="M682" s="189"/>
      <c r="N682" s="189"/>
      <c r="R682" s="189"/>
      <c r="S682" s="189"/>
      <c r="T682" s="189"/>
      <c r="U682" s="189"/>
      <c r="V682" s="189"/>
      <c r="W682" s="189"/>
      <c r="X682" s="189"/>
    </row>
    <row r="683" spans="1:24">
      <c r="A683" s="189"/>
      <c r="B683" s="189"/>
      <c r="C683" s="189"/>
      <c r="D683" s="189"/>
      <c r="E683" s="189"/>
      <c r="F683" s="189"/>
      <c r="G683" s="189"/>
      <c r="H683" s="189"/>
      <c r="I683" s="189"/>
      <c r="J683" s="423"/>
      <c r="K683" s="189"/>
      <c r="M683" s="189"/>
      <c r="N683" s="189"/>
      <c r="R683" s="189"/>
      <c r="S683" s="189"/>
      <c r="T683" s="189"/>
      <c r="U683" s="189"/>
      <c r="V683" s="189"/>
      <c r="W683" s="189"/>
      <c r="X683" s="189"/>
    </row>
    <row r="684" spans="1:24">
      <c r="A684" s="189"/>
      <c r="B684" s="189"/>
      <c r="C684" s="189"/>
      <c r="D684" s="189"/>
      <c r="E684" s="189"/>
      <c r="F684" s="189"/>
      <c r="G684" s="189"/>
      <c r="H684" s="189"/>
      <c r="I684" s="189"/>
      <c r="J684" s="423"/>
      <c r="K684" s="189"/>
      <c r="M684" s="189"/>
      <c r="N684" s="189"/>
      <c r="R684" s="189"/>
      <c r="S684" s="189"/>
      <c r="T684" s="189"/>
      <c r="U684" s="189"/>
      <c r="V684" s="189"/>
      <c r="W684" s="189"/>
      <c r="X684" s="189"/>
    </row>
    <row r="685" spans="1:24">
      <c r="A685" s="189"/>
      <c r="B685" s="189"/>
      <c r="C685" s="189"/>
      <c r="D685" s="189"/>
      <c r="E685" s="189"/>
      <c r="F685" s="189"/>
      <c r="G685" s="189"/>
      <c r="H685" s="189"/>
      <c r="I685" s="189"/>
      <c r="J685" s="423"/>
      <c r="K685" s="189"/>
      <c r="M685" s="189"/>
      <c r="N685" s="189"/>
      <c r="R685" s="189"/>
      <c r="S685" s="189"/>
      <c r="T685" s="189"/>
      <c r="U685" s="189"/>
      <c r="V685" s="189"/>
      <c r="W685" s="189"/>
      <c r="X685" s="189"/>
    </row>
    <row r="686" spans="1:24">
      <c r="A686" s="189"/>
      <c r="B686" s="189"/>
      <c r="C686" s="189"/>
      <c r="D686" s="189"/>
      <c r="E686" s="189"/>
      <c r="F686" s="189"/>
      <c r="G686" s="189"/>
      <c r="H686" s="189"/>
      <c r="I686" s="189"/>
      <c r="J686" s="423"/>
      <c r="K686" s="189"/>
      <c r="M686" s="189"/>
      <c r="N686" s="189"/>
      <c r="R686" s="189"/>
      <c r="S686" s="189"/>
      <c r="T686" s="189"/>
      <c r="U686" s="189"/>
      <c r="V686" s="189"/>
      <c r="W686" s="189"/>
      <c r="X686" s="189"/>
    </row>
    <row r="687" spans="1:24">
      <c r="A687" s="189"/>
      <c r="B687" s="189"/>
      <c r="C687" s="189"/>
      <c r="D687" s="189"/>
      <c r="E687" s="189"/>
      <c r="F687" s="189"/>
      <c r="G687" s="189"/>
      <c r="H687" s="189"/>
      <c r="I687" s="189"/>
      <c r="J687" s="423"/>
      <c r="K687" s="189"/>
      <c r="M687" s="189"/>
      <c r="N687" s="189"/>
      <c r="R687" s="189"/>
      <c r="S687" s="189"/>
      <c r="T687" s="189"/>
      <c r="U687" s="189"/>
      <c r="V687" s="189"/>
      <c r="W687" s="189"/>
      <c r="X687" s="189"/>
    </row>
    <row r="688" spans="1:24">
      <c r="A688" s="189"/>
      <c r="B688" s="189"/>
      <c r="C688" s="189"/>
      <c r="D688" s="189"/>
      <c r="E688" s="189"/>
      <c r="F688" s="189"/>
      <c r="G688" s="189"/>
      <c r="H688" s="189"/>
      <c r="I688" s="189"/>
      <c r="J688" s="423"/>
      <c r="K688" s="189"/>
      <c r="M688" s="189"/>
      <c r="N688" s="189"/>
      <c r="R688" s="189"/>
      <c r="S688" s="189"/>
      <c r="T688" s="189"/>
      <c r="U688" s="189"/>
      <c r="V688" s="189"/>
      <c r="W688" s="189"/>
      <c r="X688" s="189"/>
    </row>
    <row r="689" spans="1:24">
      <c r="A689" s="189"/>
      <c r="B689" s="189"/>
      <c r="C689" s="189"/>
      <c r="D689" s="189"/>
      <c r="E689" s="189"/>
      <c r="F689" s="189"/>
      <c r="G689" s="189"/>
      <c r="H689" s="189"/>
      <c r="I689" s="189"/>
      <c r="J689" s="423"/>
      <c r="K689" s="189"/>
      <c r="M689" s="189"/>
      <c r="N689" s="189"/>
      <c r="R689" s="189"/>
      <c r="S689" s="189"/>
      <c r="T689" s="189"/>
      <c r="U689" s="189"/>
      <c r="V689" s="189"/>
      <c r="W689" s="189"/>
      <c r="X689" s="189"/>
    </row>
    <row r="690" spans="1:24">
      <c r="A690" s="189"/>
      <c r="B690" s="189"/>
      <c r="C690" s="189"/>
      <c r="D690" s="189"/>
      <c r="E690" s="189"/>
      <c r="F690" s="189"/>
      <c r="G690" s="189"/>
      <c r="H690" s="189"/>
      <c r="I690" s="189"/>
      <c r="J690" s="423"/>
      <c r="K690" s="189"/>
      <c r="M690" s="189"/>
      <c r="N690" s="189"/>
      <c r="R690" s="189"/>
      <c r="S690" s="189"/>
      <c r="T690" s="189"/>
      <c r="U690" s="189"/>
      <c r="V690" s="189"/>
      <c r="W690" s="189"/>
      <c r="X690" s="189"/>
    </row>
    <row r="691" spans="1:24">
      <c r="A691" s="189"/>
      <c r="B691" s="189"/>
      <c r="C691" s="189"/>
      <c r="D691" s="189"/>
      <c r="E691" s="189"/>
      <c r="F691" s="189"/>
      <c r="G691" s="189"/>
      <c r="H691" s="189"/>
      <c r="I691" s="189"/>
      <c r="J691" s="423"/>
      <c r="K691" s="189"/>
      <c r="M691" s="189"/>
      <c r="N691" s="189"/>
      <c r="R691" s="189"/>
      <c r="S691" s="189"/>
      <c r="T691" s="189"/>
      <c r="U691" s="189"/>
      <c r="V691" s="189"/>
      <c r="W691" s="189"/>
      <c r="X691" s="189"/>
    </row>
    <row r="692" spans="1:24">
      <c r="A692" s="189"/>
      <c r="B692" s="189"/>
      <c r="C692" s="189"/>
      <c r="D692" s="189"/>
      <c r="E692" s="189"/>
      <c r="F692" s="189"/>
      <c r="G692" s="189"/>
      <c r="H692" s="189"/>
      <c r="I692" s="189"/>
      <c r="J692" s="423"/>
      <c r="K692" s="189"/>
      <c r="M692" s="189"/>
      <c r="N692" s="189"/>
      <c r="R692" s="189"/>
      <c r="S692" s="189"/>
      <c r="T692" s="189"/>
      <c r="U692" s="189"/>
      <c r="V692" s="189"/>
      <c r="W692" s="189"/>
      <c r="X692" s="189"/>
    </row>
    <row r="693" spans="1:24">
      <c r="A693" s="189"/>
      <c r="B693" s="189"/>
      <c r="C693" s="189"/>
      <c r="D693" s="189"/>
      <c r="E693" s="189"/>
      <c r="F693" s="189"/>
      <c r="G693" s="189"/>
      <c r="H693" s="189"/>
      <c r="I693" s="189"/>
      <c r="J693" s="423"/>
      <c r="K693" s="189"/>
      <c r="M693" s="189"/>
      <c r="N693" s="189"/>
      <c r="R693" s="189"/>
      <c r="S693" s="189"/>
      <c r="T693" s="189"/>
      <c r="U693" s="189"/>
      <c r="V693" s="189"/>
      <c r="W693" s="189"/>
      <c r="X693" s="189"/>
    </row>
    <row r="694" spans="1:24">
      <c r="A694" s="189"/>
      <c r="B694" s="189"/>
      <c r="C694" s="189"/>
      <c r="D694" s="189"/>
      <c r="E694" s="189"/>
      <c r="F694" s="189"/>
      <c r="G694" s="189"/>
      <c r="H694" s="189"/>
      <c r="I694" s="189"/>
      <c r="J694" s="423"/>
      <c r="K694" s="189"/>
      <c r="M694" s="189"/>
      <c r="N694" s="189"/>
      <c r="R694" s="189"/>
      <c r="S694" s="189"/>
      <c r="T694" s="189"/>
      <c r="U694" s="189"/>
      <c r="V694" s="189"/>
      <c r="W694" s="189"/>
      <c r="X694" s="189"/>
    </row>
    <row r="695" spans="1:24">
      <c r="A695" s="189"/>
      <c r="B695" s="189"/>
      <c r="C695" s="189"/>
      <c r="D695" s="189"/>
      <c r="E695" s="189"/>
      <c r="F695" s="189"/>
      <c r="G695" s="189"/>
      <c r="H695" s="189"/>
      <c r="I695" s="189"/>
      <c r="J695" s="423"/>
      <c r="K695" s="189"/>
      <c r="M695" s="189"/>
      <c r="N695" s="189"/>
      <c r="R695" s="189"/>
      <c r="S695" s="189"/>
      <c r="T695" s="189"/>
      <c r="U695" s="189"/>
      <c r="V695" s="189"/>
      <c r="W695" s="189"/>
      <c r="X695" s="189"/>
    </row>
    <row r="696" spans="1:24">
      <c r="A696" s="189"/>
      <c r="B696" s="189"/>
      <c r="C696" s="189"/>
      <c r="D696" s="189"/>
      <c r="E696" s="189"/>
      <c r="F696" s="189"/>
      <c r="G696" s="189"/>
      <c r="H696" s="189"/>
      <c r="I696" s="189"/>
      <c r="J696" s="423"/>
      <c r="K696" s="189"/>
      <c r="M696" s="189"/>
      <c r="N696" s="189"/>
      <c r="R696" s="189"/>
      <c r="S696" s="189"/>
      <c r="T696" s="189"/>
      <c r="U696" s="189"/>
      <c r="V696" s="189"/>
      <c r="W696" s="189"/>
      <c r="X696" s="189"/>
    </row>
    <row r="697" spans="1:24">
      <c r="A697" s="189"/>
      <c r="B697" s="189"/>
      <c r="C697" s="189"/>
      <c r="D697" s="189"/>
      <c r="E697" s="189"/>
      <c r="F697" s="189"/>
      <c r="G697" s="189"/>
      <c r="H697" s="189"/>
      <c r="I697" s="189"/>
      <c r="J697" s="423"/>
      <c r="K697" s="189"/>
      <c r="M697" s="189"/>
      <c r="N697" s="189"/>
      <c r="R697" s="189"/>
      <c r="S697" s="189"/>
      <c r="T697" s="189"/>
      <c r="U697" s="189"/>
      <c r="V697" s="189"/>
      <c r="W697" s="189"/>
      <c r="X697" s="189"/>
    </row>
    <row r="698" spans="1:24">
      <c r="A698" s="189"/>
      <c r="B698" s="189"/>
      <c r="C698" s="189"/>
      <c r="D698" s="189"/>
      <c r="E698" s="189"/>
      <c r="F698" s="189"/>
      <c r="G698" s="189"/>
      <c r="H698" s="189"/>
      <c r="I698" s="189"/>
      <c r="J698" s="423"/>
      <c r="K698" s="189"/>
      <c r="M698" s="189"/>
      <c r="N698" s="189"/>
      <c r="R698" s="189"/>
      <c r="S698" s="189"/>
      <c r="T698" s="189"/>
      <c r="U698" s="189"/>
      <c r="V698" s="189"/>
      <c r="W698" s="189"/>
      <c r="X698" s="189"/>
    </row>
    <row r="699" spans="1:24">
      <c r="A699" s="189"/>
      <c r="B699" s="189"/>
      <c r="C699" s="189"/>
      <c r="D699" s="189"/>
      <c r="E699" s="189"/>
      <c r="F699" s="189"/>
      <c r="G699" s="189"/>
      <c r="H699" s="189"/>
      <c r="I699" s="189"/>
      <c r="J699" s="423"/>
      <c r="K699" s="189"/>
      <c r="M699" s="189"/>
      <c r="N699" s="189"/>
      <c r="R699" s="189"/>
      <c r="S699" s="189"/>
      <c r="T699" s="189"/>
      <c r="U699" s="189"/>
      <c r="V699" s="189"/>
      <c r="W699" s="189"/>
      <c r="X699" s="189"/>
    </row>
    <row r="700" spans="1:24">
      <c r="A700" s="189"/>
      <c r="B700" s="189"/>
      <c r="C700" s="189"/>
      <c r="D700" s="189"/>
      <c r="E700" s="189"/>
      <c r="F700" s="189"/>
      <c r="G700" s="189"/>
      <c r="H700" s="189"/>
      <c r="I700" s="189"/>
      <c r="J700" s="423"/>
      <c r="K700" s="189"/>
      <c r="M700" s="189"/>
      <c r="N700" s="189"/>
      <c r="R700" s="189"/>
      <c r="S700" s="189"/>
      <c r="T700" s="189"/>
      <c r="U700" s="189"/>
      <c r="V700" s="189"/>
      <c r="W700" s="189"/>
      <c r="X700" s="189"/>
    </row>
    <row r="701" spans="1:24">
      <c r="A701" s="189"/>
      <c r="B701" s="189"/>
      <c r="C701" s="189"/>
      <c r="D701" s="189"/>
      <c r="E701" s="189"/>
      <c r="F701" s="189"/>
      <c r="G701" s="189"/>
      <c r="H701" s="189"/>
      <c r="I701" s="189"/>
      <c r="J701" s="423"/>
      <c r="K701" s="189"/>
      <c r="M701" s="189"/>
      <c r="N701" s="189"/>
      <c r="R701" s="189"/>
      <c r="S701" s="189"/>
      <c r="T701" s="189"/>
      <c r="U701" s="189"/>
      <c r="V701" s="189"/>
      <c r="W701" s="189"/>
      <c r="X701" s="189"/>
    </row>
    <row r="702" spans="1:24">
      <c r="A702" s="189"/>
      <c r="B702" s="189"/>
      <c r="C702" s="189"/>
      <c r="D702" s="189"/>
      <c r="E702" s="189"/>
      <c r="F702" s="189"/>
      <c r="G702" s="189"/>
      <c r="H702" s="189"/>
      <c r="I702" s="189"/>
      <c r="J702" s="423"/>
      <c r="K702" s="189"/>
      <c r="M702" s="189"/>
      <c r="N702" s="189"/>
      <c r="R702" s="189"/>
      <c r="S702" s="189"/>
      <c r="T702" s="189"/>
      <c r="U702" s="189"/>
      <c r="V702" s="189"/>
      <c r="W702" s="189"/>
      <c r="X702" s="189"/>
    </row>
    <row r="703" spans="1:24">
      <c r="A703" s="189"/>
      <c r="B703" s="189"/>
      <c r="C703" s="189"/>
      <c r="D703" s="189"/>
      <c r="E703" s="189"/>
      <c r="F703" s="189"/>
      <c r="G703" s="189"/>
      <c r="H703" s="189"/>
      <c r="I703" s="189"/>
      <c r="J703" s="423"/>
      <c r="K703" s="189"/>
      <c r="M703" s="189"/>
      <c r="N703" s="189"/>
      <c r="R703" s="189"/>
      <c r="S703" s="189"/>
      <c r="T703" s="189"/>
      <c r="U703" s="189"/>
      <c r="V703" s="189"/>
      <c r="W703" s="189"/>
      <c r="X703" s="189"/>
    </row>
    <row r="704" spans="1:24">
      <c r="A704" s="189"/>
      <c r="B704" s="189"/>
      <c r="C704" s="189"/>
      <c r="D704" s="189"/>
      <c r="E704" s="189"/>
      <c r="F704" s="189"/>
      <c r="G704" s="189"/>
      <c r="H704" s="189"/>
      <c r="I704" s="189"/>
      <c r="J704" s="423"/>
      <c r="K704" s="189"/>
      <c r="M704" s="189"/>
      <c r="N704" s="189"/>
      <c r="R704" s="189"/>
      <c r="S704" s="189"/>
      <c r="T704" s="189"/>
      <c r="U704" s="189"/>
      <c r="V704" s="189"/>
      <c r="W704" s="189"/>
      <c r="X704" s="189"/>
    </row>
    <row r="705" spans="1:24">
      <c r="A705" s="189"/>
      <c r="B705" s="189"/>
      <c r="C705" s="189"/>
      <c r="D705" s="189"/>
      <c r="E705" s="189"/>
      <c r="F705" s="189"/>
      <c r="G705" s="189"/>
      <c r="H705" s="189"/>
      <c r="I705" s="189"/>
      <c r="J705" s="423"/>
      <c r="K705" s="189"/>
      <c r="M705" s="189"/>
      <c r="N705" s="189"/>
      <c r="R705" s="189"/>
      <c r="S705" s="189"/>
      <c r="T705" s="189"/>
      <c r="U705" s="189"/>
      <c r="V705" s="189"/>
      <c r="W705" s="189"/>
      <c r="X705" s="189"/>
    </row>
    <row r="706" spans="1:24">
      <c r="A706" s="189"/>
      <c r="B706" s="189"/>
      <c r="C706" s="189"/>
      <c r="D706" s="189"/>
      <c r="E706" s="189"/>
      <c r="F706" s="189"/>
      <c r="G706" s="189"/>
      <c r="H706" s="189"/>
      <c r="I706" s="189"/>
      <c r="J706" s="423"/>
      <c r="K706" s="189"/>
      <c r="M706" s="189"/>
      <c r="N706" s="189"/>
      <c r="R706" s="189"/>
      <c r="S706" s="189"/>
      <c r="T706" s="189"/>
      <c r="U706" s="189"/>
      <c r="V706" s="189"/>
      <c r="W706" s="189"/>
      <c r="X706" s="189"/>
    </row>
    <row r="707" spans="1:24">
      <c r="A707" s="189"/>
      <c r="B707" s="189"/>
      <c r="C707" s="189"/>
      <c r="D707" s="189"/>
      <c r="E707" s="189"/>
      <c r="F707" s="189"/>
      <c r="G707" s="189"/>
      <c r="H707" s="189"/>
      <c r="I707" s="189"/>
      <c r="J707" s="423"/>
      <c r="K707" s="189"/>
      <c r="M707" s="189"/>
      <c r="N707" s="189"/>
      <c r="R707" s="189"/>
      <c r="S707" s="189"/>
      <c r="T707" s="189"/>
      <c r="U707" s="189"/>
      <c r="V707" s="189"/>
      <c r="W707" s="189"/>
      <c r="X707" s="189"/>
    </row>
    <row r="708" spans="1:24">
      <c r="A708" s="189"/>
      <c r="B708" s="189"/>
      <c r="C708" s="189"/>
      <c r="D708" s="189"/>
      <c r="E708" s="189"/>
      <c r="F708" s="189"/>
      <c r="G708" s="189"/>
      <c r="H708" s="189"/>
      <c r="I708" s="189"/>
      <c r="J708" s="423"/>
      <c r="K708" s="189"/>
      <c r="M708" s="189"/>
      <c r="N708" s="189"/>
      <c r="R708" s="189"/>
      <c r="S708" s="189"/>
      <c r="T708" s="189"/>
      <c r="U708" s="189"/>
      <c r="V708" s="189"/>
      <c r="W708" s="189"/>
      <c r="X708" s="189"/>
    </row>
    <row r="709" spans="1:24">
      <c r="A709" s="189"/>
      <c r="B709" s="189"/>
      <c r="C709" s="189"/>
      <c r="D709" s="189"/>
      <c r="E709" s="189"/>
      <c r="F709" s="189"/>
      <c r="G709" s="189"/>
      <c r="H709" s="189"/>
      <c r="I709" s="189"/>
      <c r="J709" s="423"/>
      <c r="K709" s="189"/>
      <c r="M709" s="189"/>
      <c r="N709" s="189"/>
      <c r="R709" s="189"/>
      <c r="S709" s="189"/>
      <c r="T709" s="189"/>
      <c r="U709" s="189"/>
      <c r="V709" s="189"/>
      <c r="W709" s="189"/>
      <c r="X709" s="189"/>
    </row>
    <row r="710" spans="1:24">
      <c r="A710" s="189"/>
      <c r="B710" s="189"/>
      <c r="C710" s="189"/>
      <c r="D710" s="189"/>
      <c r="E710" s="189"/>
      <c r="F710" s="189"/>
      <c r="G710" s="189"/>
      <c r="H710" s="189"/>
      <c r="I710" s="189"/>
      <c r="J710" s="423"/>
      <c r="K710" s="189"/>
      <c r="M710" s="189"/>
      <c r="N710" s="189"/>
      <c r="R710" s="189"/>
      <c r="S710" s="189"/>
      <c r="T710" s="189"/>
      <c r="U710" s="189"/>
      <c r="V710" s="189"/>
      <c r="W710" s="189"/>
      <c r="X710" s="189"/>
    </row>
    <row r="711" spans="1:24">
      <c r="A711" s="189"/>
      <c r="B711" s="189"/>
      <c r="C711" s="189"/>
      <c r="D711" s="189"/>
      <c r="E711" s="189"/>
      <c r="F711" s="189"/>
      <c r="G711" s="189"/>
      <c r="H711" s="189"/>
      <c r="I711" s="189"/>
      <c r="J711" s="423"/>
      <c r="K711" s="189"/>
      <c r="M711" s="189"/>
      <c r="N711" s="189"/>
      <c r="R711" s="189"/>
      <c r="S711" s="189"/>
      <c r="T711" s="189"/>
      <c r="U711" s="189"/>
      <c r="V711" s="189"/>
      <c r="W711" s="189"/>
      <c r="X711" s="189"/>
    </row>
    <row r="712" spans="1:24">
      <c r="A712" s="189"/>
      <c r="B712" s="189"/>
      <c r="C712" s="189"/>
      <c r="D712" s="189"/>
      <c r="E712" s="189"/>
      <c r="F712" s="189"/>
      <c r="G712" s="189"/>
      <c r="H712" s="189"/>
      <c r="I712" s="189"/>
      <c r="J712" s="423"/>
      <c r="K712" s="189"/>
      <c r="M712" s="189"/>
      <c r="N712" s="189"/>
      <c r="R712" s="189"/>
      <c r="S712" s="189"/>
      <c r="T712" s="189"/>
      <c r="U712" s="189"/>
      <c r="V712" s="189"/>
      <c r="W712" s="189"/>
      <c r="X712" s="189"/>
    </row>
    <row r="713" spans="1:24">
      <c r="A713" s="189"/>
      <c r="B713" s="189"/>
      <c r="C713" s="189"/>
      <c r="D713" s="189"/>
      <c r="E713" s="189"/>
      <c r="F713" s="189"/>
      <c r="G713" s="189"/>
      <c r="H713" s="189"/>
      <c r="I713" s="189"/>
      <c r="J713" s="423"/>
      <c r="K713" s="189"/>
      <c r="M713" s="189"/>
      <c r="N713" s="189"/>
      <c r="R713" s="189"/>
      <c r="S713" s="189"/>
      <c r="T713" s="189"/>
      <c r="U713" s="189"/>
      <c r="V713" s="189"/>
      <c r="W713" s="189"/>
      <c r="X713" s="189"/>
    </row>
    <row r="714" spans="1:24">
      <c r="A714" s="189"/>
      <c r="B714" s="189"/>
      <c r="C714" s="189"/>
      <c r="D714" s="189"/>
      <c r="E714" s="189"/>
      <c r="F714" s="189"/>
      <c r="G714" s="189"/>
      <c r="H714" s="189"/>
      <c r="I714" s="189"/>
      <c r="J714" s="423"/>
      <c r="K714" s="189"/>
      <c r="M714" s="189"/>
      <c r="N714" s="189"/>
      <c r="R714" s="189"/>
      <c r="S714" s="189"/>
      <c r="T714" s="189"/>
      <c r="U714" s="189"/>
      <c r="V714" s="189"/>
      <c r="W714" s="189"/>
      <c r="X714" s="189"/>
    </row>
    <row r="715" spans="1:24">
      <c r="A715" s="189"/>
      <c r="B715" s="189"/>
      <c r="C715" s="189"/>
      <c r="D715" s="189"/>
      <c r="E715" s="189"/>
      <c r="F715" s="189"/>
      <c r="G715" s="189"/>
      <c r="H715" s="189"/>
      <c r="I715" s="189"/>
      <c r="J715" s="423"/>
      <c r="K715" s="189"/>
      <c r="M715" s="189"/>
      <c r="N715" s="189"/>
      <c r="R715" s="189"/>
      <c r="S715" s="189"/>
      <c r="T715" s="189"/>
      <c r="U715" s="189"/>
      <c r="V715" s="189"/>
      <c r="W715" s="189"/>
      <c r="X715" s="189"/>
    </row>
    <row r="716" spans="1:24">
      <c r="A716" s="189"/>
      <c r="B716" s="189"/>
      <c r="C716" s="189"/>
      <c r="D716" s="189"/>
      <c r="E716" s="189"/>
      <c r="F716" s="189"/>
      <c r="G716" s="189"/>
      <c r="H716" s="189"/>
      <c r="I716" s="189"/>
      <c r="J716" s="423"/>
      <c r="K716" s="189"/>
      <c r="M716" s="189"/>
      <c r="N716" s="189"/>
      <c r="R716" s="189"/>
      <c r="S716" s="189"/>
      <c r="T716" s="189"/>
      <c r="U716" s="189"/>
      <c r="V716" s="189"/>
      <c r="W716" s="189"/>
      <c r="X716" s="189"/>
    </row>
    <row r="717" spans="1:24">
      <c r="A717" s="189"/>
      <c r="B717" s="189"/>
      <c r="C717" s="189"/>
      <c r="D717" s="189"/>
      <c r="E717" s="189"/>
      <c r="F717" s="189"/>
      <c r="G717" s="189"/>
      <c r="H717" s="189"/>
      <c r="I717" s="189"/>
      <c r="J717" s="423"/>
      <c r="K717" s="189"/>
      <c r="M717" s="189"/>
      <c r="N717" s="189"/>
      <c r="R717" s="189"/>
      <c r="S717" s="189"/>
      <c r="T717" s="189"/>
      <c r="U717" s="189"/>
      <c r="V717" s="189"/>
      <c r="W717" s="189"/>
      <c r="X717" s="189"/>
    </row>
    <row r="718" spans="1:24">
      <c r="A718" s="189"/>
      <c r="B718" s="189"/>
      <c r="C718" s="189"/>
      <c r="D718" s="189"/>
      <c r="E718" s="189"/>
      <c r="F718" s="189"/>
      <c r="G718" s="189"/>
      <c r="H718" s="189"/>
      <c r="I718" s="189"/>
      <c r="J718" s="423"/>
      <c r="K718" s="189"/>
      <c r="M718" s="189"/>
      <c r="N718" s="189"/>
      <c r="R718" s="189"/>
      <c r="S718" s="189"/>
      <c r="T718" s="189"/>
      <c r="U718" s="189"/>
      <c r="V718" s="189"/>
      <c r="W718" s="189"/>
      <c r="X718" s="189"/>
    </row>
    <row r="719" spans="1:24">
      <c r="A719" s="189"/>
      <c r="B719" s="189"/>
      <c r="C719" s="189"/>
      <c r="D719" s="189"/>
      <c r="E719" s="189"/>
      <c r="F719" s="189"/>
      <c r="G719" s="189"/>
      <c r="H719" s="189"/>
      <c r="I719" s="189"/>
      <c r="J719" s="423"/>
      <c r="K719" s="189"/>
      <c r="M719" s="189"/>
      <c r="N719" s="189"/>
      <c r="R719" s="189"/>
      <c r="S719" s="189"/>
      <c r="T719" s="189"/>
      <c r="U719" s="189"/>
      <c r="V719" s="189"/>
      <c r="W719" s="189"/>
      <c r="X719" s="189"/>
    </row>
    <row r="720" spans="1:24">
      <c r="A720" s="189"/>
      <c r="B720" s="189"/>
      <c r="C720" s="189"/>
      <c r="D720" s="189"/>
      <c r="E720" s="189"/>
      <c r="F720" s="189"/>
      <c r="G720" s="189"/>
      <c r="H720" s="189"/>
      <c r="I720" s="189"/>
      <c r="J720" s="423"/>
      <c r="K720" s="189"/>
      <c r="M720" s="189"/>
      <c r="N720" s="189"/>
      <c r="R720" s="189"/>
      <c r="S720" s="189"/>
      <c r="T720" s="189"/>
      <c r="U720" s="189"/>
      <c r="V720" s="189"/>
      <c r="W720" s="189"/>
      <c r="X720" s="189"/>
    </row>
    <row r="721" spans="1:24">
      <c r="A721" s="189"/>
      <c r="B721" s="189"/>
      <c r="C721" s="189"/>
      <c r="D721" s="189"/>
      <c r="E721" s="189"/>
      <c r="F721" s="189"/>
      <c r="G721" s="189"/>
      <c r="H721" s="189"/>
      <c r="I721" s="189"/>
      <c r="J721" s="423"/>
      <c r="K721" s="189"/>
      <c r="M721" s="189"/>
      <c r="N721" s="189"/>
      <c r="R721" s="189"/>
      <c r="S721" s="189"/>
      <c r="T721" s="189"/>
      <c r="U721" s="189"/>
      <c r="V721" s="189"/>
      <c r="W721" s="189"/>
      <c r="X721" s="189"/>
    </row>
    <row r="722" spans="1:24">
      <c r="A722" s="189"/>
      <c r="B722" s="189"/>
      <c r="C722" s="189"/>
      <c r="D722" s="189"/>
      <c r="E722" s="189"/>
      <c r="F722" s="189"/>
      <c r="G722" s="189"/>
      <c r="H722" s="189"/>
      <c r="I722" s="189"/>
      <c r="J722" s="423"/>
      <c r="K722" s="189"/>
      <c r="M722" s="189"/>
      <c r="N722" s="189"/>
      <c r="R722" s="189"/>
      <c r="S722" s="189"/>
      <c r="T722" s="189"/>
      <c r="U722" s="189"/>
      <c r="V722" s="189"/>
      <c r="W722" s="189"/>
      <c r="X722" s="189"/>
    </row>
    <row r="723" spans="1:24">
      <c r="A723" s="189"/>
      <c r="B723" s="189"/>
      <c r="C723" s="189"/>
      <c r="D723" s="189"/>
      <c r="E723" s="189"/>
      <c r="F723" s="189"/>
      <c r="G723" s="189"/>
      <c r="H723" s="189"/>
      <c r="I723" s="189"/>
      <c r="J723" s="423"/>
      <c r="K723" s="189"/>
      <c r="M723" s="189"/>
      <c r="N723" s="189"/>
      <c r="R723" s="189"/>
      <c r="S723" s="189"/>
      <c r="T723" s="189"/>
      <c r="U723" s="189"/>
      <c r="V723" s="189"/>
      <c r="W723" s="189"/>
      <c r="X723" s="189"/>
    </row>
    <row r="724" spans="1:24">
      <c r="A724" s="189"/>
      <c r="B724" s="189"/>
      <c r="C724" s="189"/>
      <c r="D724" s="189"/>
      <c r="E724" s="189"/>
      <c r="F724" s="189"/>
      <c r="G724" s="189"/>
      <c r="H724" s="189"/>
      <c r="I724" s="189"/>
      <c r="J724" s="423"/>
      <c r="K724" s="189"/>
      <c r="M724" s="189"/>
      <c r="N724" s="189"/>
      <c r="R724" s="189"/>
      <c r="S724" s="189"/>
      <c r="T724" s="189"/>
      <c r="U724" s="189"/>
      <c r="V724" s="189"/>
      <c r="W724" s="189"/>
      <c r="X724" s="189"/>
    </row>
    <row r="725" spans="1:24">
      <c r="A725" s="189"/>
      <c r="B725" s="189"/>
      <c r="C725" s="189"/>
      <c r="D725" s="189"/>
      <c r="E725" s="189"/>
      <c r="F725" s="189"/>
      <c r="G725" s="189"/>
      <c r="H725" s="189"/>
      <c r="I725" s="189"/>
      <c r="J725" s="423"/>
      <c r="K725" s="189"/>
      <c r="M725" s="189"/>
      <c r="N725" s="189"/>
      <c r="R725" s="189"/>
      <c r="S725" s="189"/>
      <c r="T725" s="189"/>
      <c r="U725" s="189"/>
      <c r="V725" s="189"/>
      <c r="W725" s="189"/>
      <c r="X725" s="189"/>
    </row>
    <row r="726" spans="1:24">
      <c r="A726" s="189"/>
      <c r="B726" s="189"/>
      <c r="C726" s="189"/>
      <c r="D726" s="189"/>
      <c r="E726" s="189"/>
      <c r="F726" s="189"/>
      <c r="G726" s="189"/>
      <c r="H726" s="189"/>
      <c r="I726" s="189"/>
      <c r="J726" s="423"/>
      <c r="K726" s="189"/>
      <c r="M726" s="189"/>
      <c r="N726" s="189"/>
      <c r="R726" s="189"/>
      <c r="S726" s="189"/>
      <c r="T726" s="189"/>
      <c r="U726" s="189"/>
      <c r="V726" s="189"/>
      <c r="W726" s="189"/>
      <c r="X726" s="189"/>
    </row>
    <row r="727" spans="1:24">
      <c r="A727" s="189"/>
      <c r="B727" s="189"/>
      <c r="C727" s="189"/>
      <c r="D727" s="189"/>
      <c r="E727" s="189"/>
      <c r="F727" s="189"/>
      <c r="G727" s="189"/>
      <c r="H727" s="189"/>
      <c r="I727" s="189"/>
      <c r="J727" s="423"/>
      <c r="K727" s="189"/>
      <c r="M727" s="189"/>
      <c r="N727" s="189"/>
      <c r="R727" s="189"/>
      <c r="S727" s="189"/>
      <c r="T727" s="189"/>
      <c r="U727" s="189"/>
      <c r="V727" s="189"/>
      <c r="W727" s="189"/>
      <c r="X727" s="189"/>
    </row>
    <row r="728" spans="1:24">
      <c r="A728" s="189"/>
      <c r="B728" s="189"/>
      <c r="C728" s="189"/>
      <c r="D728" s="189"/>
      <c r="E728" s="189"/>
      <c r="F728" s="189"/>
      <c r="G728" s="189"/>
      <c r="H728" s="189"/>
      <c r="I728" s="189"/>
      <c r="J728" s="423"/>
      <c r="K728" s="189"/>
      <c r="M728" s="189"/>
      <c r="N728" s="189"/>
      <c r="R728" s="189"/>
      <c r="S728" s="189"/>
      <c r="T728" s="189"/>
      <c r="U728" s="189"/>
      <c r="V728" s="189"/>
      <c r="W728" s="189"/>
      <c r="X728" s="189"/>
    </row>
    <row r="729" spans="1:24">
      <c r="A729" s="189"/>
      <c r="B729" s="189"/>
      <c r="C729" s="189"/>
      <c r="D729" s="189"/>
      <c r="E729" s="189"/>
      <c r="F729" s="189"/>
      <c r="G729" s="189"/>
      <c r="H729" s="189"/>
      <c r="I729" s="189"/>
      <c r="J729" s="423"/>
      <c r="K729" s="189"/>
      <c r="M729" s="189"/>
      <c r="N729" s="189"/>
      <c r="R729" s="189"/>
      <c r="S729" s="189"/>
      <c r="T729" s="189"/>
      <c r="U729" s="189"/>
      <c r="V729" s="189"/>
      <c r="W729" s="189"/>
      <c r="X729" s="189"/>
    </row>
    <row r="730" spans="1:24">
      <c r="A730" s="189"/>
      <c r="B730" s="189"/>
      <c r="C730" s="189"/>
      <c r="D730" s="189"/>
      <c r="E730" s="189"/>
      <c r="F730" s="189"/>
      <c r="G730" s="189"/>
      <c r="H730" s="189"/>
      <c r="I730" s="189"/>
      <c r="J730" s="423"/>
      <c r="K730" s="189"/>
      <c r="M730" s="189"/>
      <c r="N730" s="189"/>
      <c r="R730" s="189"/>
      <c r="S730" s="189"/>
      <c r="T730" s="189"/>
      <c r="U730" s="189"/>
      <c r="V730" s="189"/>
      <c r="W730" s="189"/>
      <c r="X730" s="189"/>
    </row>
    <row r="731" spans="1:24">
      <c r="A731" s="189"/>
      <c r="B731" s="189"/>
      <c r="C731" s="189"/>
      <c r="D731" s="189"/>
      <c r="E731" s="189"/>
      <c r="F731" s="189"/>
      <c r="G731" s="189"/>
      <c r="H731" s="189"/>
      <c r="I731" s="189"/>
      <c r="J731" s="423"/>
      <c r="K731" s="189"/>
      <c r="M731" s="189"/>
      <c r="N731" s="189"/>
      <c r="R731" s="189"/>
      <c r="S731" s="189"/>
      <c r="T731" s="189"/>
      <c r="U731" s="189"/>
      <c r="V731" s="189"/>
      <c r="W731" s="189"/>
      <c r="X731" s="189"/>
    </row>
    <row r="732" spans="1:24">
      <c r="A732" s="189"/>
      <c r="B732" s="189"/>
      <c r="C732" s="189"/>
      <c r="D732" s="189"/>
      <c r="E732" s="189"/>
      <c r="F732" s="189"/>
      <c r="G732" s="189"/>
      <c r="H732" s="189"/>
      <c r="I732" s="189"/>
      <c r="J732" s="423"/>
      <c r="K732" s="189"/>
      <c r="M732" s="189"/>
      <c r="N732" s="189"/>
      <c r="R732" s="189"/>
      <c r="S732" s="189"/>
      <c r="T732" s="189"/>
      <c r="U732" s="189"/>
      <c r="V732" s="189"/>
      <c r="W732" s="189"/>
      <c r="X732" s="189"/>
    </row>
    <row r="733" spans="1:24">
      <c r="A733" s="189"/>
      <c r="B733" s="189"/>
      <c r="C733" s="189"/>
      <c r="D733" s="189"/>
      <c r="E733" s="189"/>
      <c r="F733" s="189"/>
      <c r="G733" s="189"/>
      <c r="H733" s="189"/>
      <c r="I733" s="189"/>
      <c r="J733" s="423"/>
      <c r="K733" s="189"/>
      <c r="M733" s="189"/>
      <c r="N733" s="189"/>
      <c r="R733" s="189"/>
      <c r="S733" s="189"/>
      <c r="T733" s="189"/>
      <c r="U733" s="189"/>
      <c r="V733" s="189"/>
      <c r="W733" s="189"/>
      <c r="X733" s="189"/>
    </row>
    <row r="734" spans="1:24">
      <c r="A734" s="189"/>
      <c r="B734" s="189"/>
      <c r="C734" s="189"/>
      <c r="D734" s="189"/>
      <c r="E734" s="189"/>
      <c r="F734" s="189"/>
      <c r="G734" s="189"/>
      <c r="H734" s="189"/>
      <c r="I734" s="189"/>
      <c r="J734" s="423"/>
      <c r="K734" s="189"/>
      <c r="M734" s="189"/>
      <c r="N734" s="189"/>
      <c r="R734" s="189"/>
      <c r="S734" s="189"/>
      <c r="T734" s="189"/>
      <c r="U734" s="189"/>
      <c r="V734" s="189"/>
      <c r="W734" s="189"/>
      <c r="X734" s="189"/>
    </row>
    <row r="735" spans="1:24">
      <c r="A735" s="189"/>
      <c r="B735" s="189"/>
      <c r="C735" s="189"/>
      <c r="D735" s="189"/>
      <c r="E735" s="189"/>
      <c r="F735" s="189"/>
      <c r="G735" s="189"/>
      <c r="H735" s="189"/>
      <c r="I735" s="189"/>
      <c r="J735" s="423"/>
      <c r="K735" s="189"/>
      <c r="M735" s="189"/>
      <c r="N735" s="189"/>
      <c r="R735" s="189"/>
      <c r="S735" s="189"/>
      <c r="T735" s="189"/>
      <c r="U735" s="189"/>
      <c r="V735" s="189"/>
      <c r="W735" s="189"/>
      <c r="X735" s="189"/>
    </row>
    <row r="736" spans="1:24">
      <c r="A736" s="189"/>
      <c r="B736" s="189"/>
      <c r="C736" s="189"/>
      <c r="D736" s="189"/>
      <c r="E736" s="189"/>
      <c r="F736" s="189"/>
      <c r="G736" s="189"/>
      <c r="H736" s="189"/>
      <c r="I736" s="189"/>
      <c r="J736" s="423"/>
      <c r="K736" s="189"/>
      <c r="M736" s="189"/>
      <c r="N736" s="189"/>
      <c r="R736" s="189"/>
      <c r="S736" s="189"/>
      <c r="T736" s="189"/>
      <c r="U736" s="189"/>
      <c r="V736" s="189"/>
      <c r="W736" s="189"/>
      <c r="X736" s="189"/>
    </row>
    <row r="737" spans="1:24">
      <c r="A737" s="189"/>
      <c r="B737" s="189"/>
      <c r="C737" s="189"/>
      <c r="D737" s="189"/>
      <c r="E737" s="189"/>
      <c r="F737" s="189"/>
      <c r="G737" s="189"/>
      <c r="H737" s="189"/>
      <c r="I737" s="189"/>
      <c r="J737" s="423"/>
      <c r="K737" s="189"/>
      <c r="M737" s="189"/>
      <c r="N737" s="189"/>
      <c r="R737" s="189"/>
      <c r="S737" s="189"/>
      <c r="T737" s="189"/>
      <c r="U737" s="189"/>
      <c r="V737" s="189"/>
      <c r="W737" s="189"/>
      <c r="X737" s="189"/>
    </row>
    <row r="738" spans="1:24">
      <c r="A738" s="189"/>
      <c r="B738" s="189"/>
      <c r="C738" s="189"/>
      <c r="D738" s="189"/>
      <c r="E738" s="189"/>
      <c r="F738" s="189"/>
      <c r="G738" s="189"/>
      <c r="H738" s="189"/>
      <c r="I738" s="189"/>
      <c r="J738" s="423"/>
      <c r="K738" s="189"/>
      <c r="M738" s="189"/>
      <c r="N738" s="189"/>
      <c r="R738" s="189"/>
      <c r="S738" s="189"/>
      <c r="T738" s="189"/>
      <c r="U738" s="189"/>
      <c r="V738" s="189"/>
      <c r="W738" s="189"/>
      <c r="X738" s="189"/>
    </row>
    <row r="739" spans="1:24">
      <c r="A739" s="189"/>
      <c r="B739" s="189"/>
      <c r="C739" s="189"/>
      <c r="D739" s="189"/>
      <c r="E739" s="189"/>
      <c r="F739" s="189"/>
      <c r="G739" s="189"/>
      <c r="H739" s="189"/>
      <c r="I739" s="189"/>
      <c r="J739" s="423"/>
      <c r="K739" s="189"/>
      <c r="M739" s="189"/>
      <c r="N739" s="189"/>
      <c r="R739" s="189"/>
      <c r="S739" s="189"/>
      <c r="T739" s="189"/>
      <c r="U739" s="189"/>
      <c r="V739" s="189"/>
      <c r="W739" s="189"/>
      <c r="X739" s="189"/>
    </row>
    <row r="740" spans="1:24">
      <c r="A740" s="189"/>
      <c r="B740" s="189"/>
      <c r="C740" s="189"/>
      <c r="D740" s="189"/>
      <c r="E740" s="189"/>
      <c r="F740" s="189"/>
      <c r="G740" s="189"/>
      <c r="H740" s="189"/>
      <c r="I740" s="189"/>
      <c r="J740" s="423"/>
      <c r="K740" s="189"/>
      <c r="M740" s="189"/>
      <c r="N740" s="189"/>
      <c r="R740" s="189"/>
      <c r="S740" s="189"/>
      <c r="T740" s="189"/>
      <c r="U740" s="189"/>
      <c r="V740" s="189"/>
      <c r="W740" s="189"/>
      <c r="X740" s="189"/>
    </row>
    <row r="741" spans="1:24">
      <c r="A741" s="189"/>
      <c r="B741" s="189"/>
      <c r="C741" s="189"/>
      <c r="D741" s="189"/>
      <c r="E741" s="189"/>
      <c r="F741" s="189"/>
      <c r="G741" s="189"/>
      <c r="H741" s="189"/>
      <c r="I741" s="189"/>
      <c r="J741" s="423"/>
      <c r="K741" s="189"/>
      <c r="M741" s="189"/>
      <c r="N741" s="189"/>
      <c r="R741" s="189"/>
      <c r="S741" s="189"/>
      <c r="T741" s="189"/>
      <c r="U741" s="189"/>
      <c r="V741" s="189"/>
      <c r="W741" s="189"/>
      <c r="X741" s="189"/>
    </row>
    <row r="742" spans="1:24">
      <c r="A742" s="189"/>
      <c r="B742" s="189"/>
      <c r="C742" s="189"/>
      <c r="D742" s="189"/>
      <c r="E742" s="189"/>
      <c r="F742" s="189"/>
      <c r="G742" s="189"/>
      <c r="H742" s="189"/>
      <c r="I742" s="189"/>
      <c r="J742" s="423"/>
      <c r="K742" s="189"/>
      <c r="M742" s="189"/>
      <c r="N742" s="189"/>
      <c r="R742" s="189"/>
      <c r="S742" s="189"/>
      <c r="T742" s="189"/>
      <c r="U742" s="189"/>
      <c r="V742" s="189"/>
      <c r="W742" s="189"/>
      <c r="X742" s="189"/>
    </row>
    <row r="743" spans="1:24">
      <c r="A743" s="189"/>
      <c r="B743" s="189"/>
      <c r="C743" s="189"/>
      <c r="D743" s="189"/>
      <c r="E743" s="189"/>
      <c r="F743" s="189"/>
      <c r="G743" s="189"/>
      <c r="H743" s="189"/>
      <c r="I743" s="189"/>
      <c r="J743" s="423"/>
      <c r="K743" s="189"/>
      <c r="M743" s="189"/>
      <c r="N743" s="189"/>
      <c r="R743" s="189"/>
      <c r="S743" s="189"/>
      <c r="T743" s="189"/>
      <c r="U743" s="189"/>
      <c r="V743" s="189"/>
      <c r="W743" s="189"/>
      <c r="X743" s="189"/>
    </row>
    <row r="744" spans="1:24">
      <c r="A744" s="189"/>
      <c r="B744" s="189"/>
      <c r="C744" s="189"/>
      <c r="D744" s="189"/>
      <c r="E744" s="189"/>
      <c r="F744" s="189"/>
      <c r="G744" s="189"/>
      <c r="H744" s="189"/>
      <c r="I744" s="189"/>
      <c r="J744" s="423"/>
      <c r="K744" s="189"/>
      <c r="M744" s="189"/>
      <c r="N744" s="189"/>
      <c r="R744" s="189"/>
      <c r="S744" s="189"/>
      <c r="T744" s="189"/>
      <c r="U744" s="189"/>
      <c r="V744" s="189"/>
      <c r="W744" s="189"/>
      <c r="X744" s="189"/>
    </row>
    <row r="745" spans="1:24">
      <c r="A745" s="189"/>
      <c r="B745" s="189"/>
      <c r="C745" s="189"/>
      <c r="D745" s="189"/>
      <c r="E745" s="189"/>
      <c r="F745" s="189"/>
      <c r="G745" s="189"/>
      <c r="H745" s="189"/>
      <c r="I745" s="189"/>
      <c r="J745" s="423"/>
      <c r="K745" s="189"/>
      <c r="M745" s="189"/>
      <c r="N745" s="189"/>
      <c r="R745" s="189"/>
      <c r="S745" s="189"/>
      <c r="T745" s="189"/>
      <c r="U745" s="189"/>
      <c r="V745" s="189"/>
      <c r="W745" s="189"/>
      <c r="X745" s="189"/>
    </row>
    <row r="746" spans="1:24">
      <c r="A746" s="189"/>
      <c r="B746" s="189"/>
      <c r="C746" s="189"/>
      <c r="D746" s="189"/>
      <c r="E746" s="189"/>
      <c r="F746" s="189"/>
      <c r="G746" s="189"/>
      <c r="H746" s="189"/>
      <c r="I746" s="189"/>
      <c r="J746" s="423"/>
      <c r="K746" s="189"/>
      <c r="M746" s="189"/>
      <c r="N746" s="189"/>
      <c r="R746" s="189"/>
      <c r="S746" s="189"/>
      <c r="T746" s="189"/>
      <c r="U746" s="189"/>
      <c r="V746" s="189"/>
      <c r="W746" s="189"/>
      <c r="X746" s="189"/>
    </row>
    <row r="747" spans="1:24">
      <c r="A747" s="189"/>
      <c r="B747" s="189"/>
      <c r="C747" s="189"/>
      <c r="D747" s="189"/>
      <c r="E747" s="189"/>
      <c r="F747" s="189"/>
      <c r="G747" s="189"/>
      <c r="H747" s="189"/>
      <c r="I747" s="189"/>
      <c r="J747" s="423"/>
      <c r="K747" s="189"/>
      <c r="M747" s="189"/>
      <c r="N747" s="189"/>
      <c r="R747" s="189"/>
      <c r="S747" s="189"/>
      <c r="T747" s="189"/>
      <c r="U747" s="189"/>
      <c r="V747" s="189"/>
      <c r="W747" s="189"/>
      <c r="X747" s="189"/>
    </row>
    <row r="748" spans="1:24">
      <c r="A748" s="189"/>
      <c r="B748" s="189"/>
      <c r="C748" s="189"/>
      <c r="D748" s="189"/>
      <c r="E748" s="189"/>
      <c r="F748" s="189"/>
      <c r="G748" s="189"/>
      <c r="H748" s="189"/>
      <c r="I748" s="189"/>
      <c r="J748" s="423"/>
      <c r="K748" s="189"/>
      <c r="M748" s="189"/>
      <c r="N748" s="189"/>
      <c r="R748" s="189"/>
      <c r="S748" s="189"/>
      <c r="T748" s="189"/>
      <c r="U748" s="189"/>
      <c r="V748" s="189"/>
      <c r="W748" s="189"/>
      <c r="X748" s="189"/>
    </row>
    <row r="749" spans="1:24">
      <c r="A749" s="189"/>
      <c r="B749" s="189"/>
      <c r="C749" s="189"/>
      <c r="D749" s="189"/>
      <c r="E749" s="189"/>
      <c r="F749" s="189"/>
      <c r="G749" s="189"/>
      <c r="H749" s="189"/>
      <c r="I749" s="189"/>
      <c r="J749" s="423"/>
      <c r="K749" s="189"/>
      <c r="M749" s="189"/>
      <c r="N749" s="189"/>
      <c r="R749" s="189"/>
      <c r="S749" s="189"/>
      <c r="T749" s="189"/>
      <c r="U749" s="189"/>
      <c r="V749" s="189"/>
      <c r="W749" s="189"/>
      <c r="X749" s="189"/>
    </row>
    <row r="750" spans="1:24">
      <c r="A750" s="189"/>
      <c r="B750" s="189"/>
      <c r="C750" s="189"/>
      <c r="D750" s="189"/>
      <c r="E750" s="189"/>
      <c r="F750" s="189"/>
      <c r="G750" s="189"/>
      <c r="H750" s="189"/>
      <c r="I750" s="189"/>
      <c r="J750" s="423"/>
      <c r="K750" s="189"/>
      <c r="M750" s="189"/>
      <c r="N750" s="189"/>
      <c r="R750" s="189"/>
      <c r="S750" s="189"/>
      <c r="T750" s="189"/>
      <c r="U750" s="189"/>
      <c r="V750" s="189"/>
      <c r="W750" s="189"/>
      <c r="X750" s="189"/>
    </row>
    <row r="751" spans="1:24">
      <c r="A751" s="189"/>
      <c r="B751" s="189"/>
      <c r="C751" s="189"/>
      <c r="D751" s="189"/>
      <c r="E751" s="189"/>
      <c r="F751" s="189"/>
      <c r="G751" s="189"/>
      <c r="H751" s="189"/>
      <c r="I751" s="189"/>
      <c r="J751" s="423"/>
      <c r="K751" s="189"/>
      <c r="M751" s="189"/>
      <c r="N751" s="189"/>
      <c r="R751" s="189"/>
      <c r="S751" s="189"/>
      <c r="T751" s="189"/>
      <c r="U751" s="189"/>
      <c r="V751" s="189"/>
      <c r="W751" s="189"/>
      <c r="X751" s="189"/>
    </row>
    <row r="752" spans="1:24">
      <c r="A752" s="189"/>
      <c r="B752" s="189"/>
      <c r="C752" s="189"/>
      <c r="D752" s="189"/>
      <c r="E752" s="189"/>
      <c r="F752" s="189"/>
      <c r="G752" s="189"/>
      <c r="H752" s="189"/>
      <c r="I752" s="189"/>
      <c r="J752" s="423"/>
      <c r="K752" s="189"/>
      <c r="M752" s="189"/>
      <c r="N752" s="189"/>
      <c r="R752" s="189"/>
      <c r="S752" s="189"/>
      <c r="T752" s="189"/>
      <c r="U752" s="189"/>
      <c r="V752" s="189"/>
      <c r="W752" s="189"/>
      <c r="X752" s="189"/>
    </row>
    <row r="753" spans="1:24">
      <c r="A753" s="189"/>
      <c r="B753" s="189"/>
      <c r="C753" s="189"/>
      <c r="D753" s="189"/>
      <c r="E753" s="189"/>
      <c r="F753" s="189"/>
      <c r="G753" s="189"/>
      <c r="H753" s="189"/>
      <c r="I753" s="189"/>
      <c r="J753" s="423"/>
      <c r="K753" s="189"/>
      <c r="M753" s="189"/>
      <c r="N753" s="189"/>
      <c r="R753" s="189"/>
      <c r="S753" s="189"/>
      <c r="T753" s="189"/>
      <c r="U753" s="189"/>
      <c r="V753" s="189"/>
      <c r="W753" s="189"/>
      <c r="X753" s="189"/>
    </row>
    <row r="754" spans="1:24">
      <c r="A754" s="189"/>
      <c r="B754" s="189"/>
      <c r="C754" s="189"/>
      <c r="D754" s="189"/>
      <c r="E754" s="189"/>
      <c r="F754" s="189"/>
      <c r="G754" s="189"/>
      <c r="H754" s="189"/>
      <c r="I754" s="189"/>
      <c r="J754" s="423"/>
      <c r="K754" s="189"/>
      <c r="M754" s="189"/>
      <c r="N754" s="189"/>
      <c r="R754" s="189"/>
      <c r="S754" s="189"/>
      <c r="T754" s="189"/>
      <c r="U754" s="189"/>
      <c r="V754" s="189"/>
      <c r="W754" s="189"/>
      <c r="X754" s="189"/>
    </row>
    <row r="755" spans="1:24">
      <c r="A755" s="189"/>
      <c r="B755" s="189"/>
      <c r="C755" s="189"/>
      <c r="D755" s="189"/>
      <c r="E755" s="189"/>
      <c r="F755" s="189"/>
      <c r="G755" s="189"/>
      <c r="H755" s="189"/>
      <c r="I755" s="189"/>
      <c r="J755" s="423"/>
      <c r="K755" s="189"/>
      <c r="M755" s="189"/>
      <c r="N755" s="189"/>
      <c r="R755" s="189"/>
      <c r="S755" s="189"/>
      <c r="T755" s="189"/>
      <c r="U755" s="189"/>
      <c r="V755" s="189"/>
      <c r="W755" s="189"/>
      <c r="X755" s="189"/>
    </row>
    <row r="756" spans="1:24">
      <c r="A756" s="189"/>
      <c r="B756" s="189"/>
      <c r="C756" s="189"/>
      <c r="D756" s="189"/>
      <c r="E756" s="189"/>
      <c r="F756" s="189"/>
      <c r="G756" s="189"/>
      <c r="H756" s="189"/>
      <c r="I756" s="189"/>
      <c r="J756" s="423"/>
      <c r="K756" s="189"/>
      <c r="M756" s="189"/>
      <c r="N756" s="189"/>
      <c r="R756" s="189"/>
      <c r="S756" s="189"/>
      <c r="T756" s="189"/>
      <c r="U756" s="189"/>
      <c r="V756" s="189"/>
      <c r="W756" s="189"/>
      <c r="X756" s="189"/>
    </row>
    <row r="757" spans="1:24">
      <c r="A757" s="189"/>
      <c r="B757" s="189"/>
      <c r="C757" s="189"/>
      <c r="D757" s="189"/>
      <c r="E757" s="189"/>
      <c r="F757" s="189"/>
      <c r="G757" s="189"/>
      <c r="H757" s="189"/>
      <c r="I757" s="189"/>
      <c r="J757" s="423"/>
      <c r="K757" s="189"/>
      <c r="M757" s="189"/>
      <c r="N757" s="189"/>
      <c r="R757" s="189"/>
      <c r="S757" s="189"/>
      <c r="T757" s="189"/>
      <c r="U757" s="189"/>
      <c r="V757" s="189"/>
      <c r="W757" s="189"/>
      <c r="X757" s="189"/>
    </row>
    <row r="758" spans="1:24">
      <c r="A758" s="189"/>
      <c r="B758" s="189"/>
      <c r="C758" s="189"/>
      <c r="D758" s="189"/>
      <c r="E758" s="189"/>
      <c r="F758" s="189"/>
      <c r="G758" s="189"/>
      <c r="H758" s="189"/>
      <c r="I758" s="189"/>
      <c r="J758" s="423"/>
      <c r="K758" s="189"/>
      <c r="M758" s="189"/>
      <c r="N758" s="189"/>
      <c r="R758" s="189"/>
      <c r="S758" s="189"/>
      <c r="T758" s="189"/>
      <c r="U758" s="189"/>
      <c r="V758" s="189"/>
      <c r="W758" s="189"/>
      <c r="X758" s="189"/>
    </row>
    <row r="759" spans="1:24">
      <c r="A759" s="189"/>
      <c r="B759" s="189"/>
      <c r="C759" s="189"/>
      <c r="D759" s="189"/>
      <c r="E759" s="189"/>
      <c r="F759" s="189"/>
      <c r="G759" s="189"/>
      <c r="H759" s="189"/>
      <c r="I759" s="189"/>
      <c r="J759" s="423"/>
      <c r="K759" s="189"/>
      <c r="M759" s="189"/>
      <c r="N759" s="189"/>
      <c r="R759" s="189"/>
      <c r="S759" s="189"/>
      <c r="T759" s="189"/>
      <c r="U759" s="189"/>
      <c r="V759" s="189"/>
      <c r="W759" s="189"/>
      <c r="X759" s="189"/>
    </row>
    <row r="760" spans="1:24">
      <c r="A760" s="189"/>
      <c r="B760" s="189"/>
      <c r="C760" s="189"/>
      <c r="D760" s="189"/>
      <c r="E760" s="189"/>
      <c r="F760" s="189"/>
      <c r="G760" s="189"/>
      <c r="H760" s="189"/>
      <c r="I760" s="189"/>
      <c r="J760" s="423"/>
      <c r="K760" s="189"/>
      <c r="M760" s="189"/>
      <c r="N760" s="189"/>
      <c r="R760" s="189"/>
      <c r="S760" s="189"/>
      <c r="T760" s="189"/>
      <c r="U760" s="189"/>
      <c r="V760" s="189"/>
      <c r="W760" s="189"/>
      <c r="X760" s="189"/>
    </row>
    <row r="761" spans="1:24">
      <c r="A761" s="189"/>
      <c r="B761" s="189"/>
      <c r="C761" s="189"/>
      <c r="D761" s="189"/>
      <c r="E761" s="189"/>
      <c r="F761" s="189"/>
      <c r="G761" s="189"/>
      <c r="H761" s="189"/>
      <c r="I761" s="189"/>
      <c r="J761" s="423"/>
      <c r="K761" s="189"/>
      <c r="M761" s="189"/>
      <c r="N761" s="189"/>
      <c r="R761" s="189"/>
      <c r="S761" s="189"/>
      <c r="T761" s="189"/>
      <c r="U761" s="189"/>
      <c r="V761" s="189"/>
      <c r="W761" s="189"/>
      <c r="X761" s="189"/>
    </row>
    <row r="762" spans="1:24">
      <c r="A762" s="189"/>
      <c r="B762" s="189"/>
      <c r="C762" s="189"/>
      <c r="D762" s="189"/>
      <c r="E762" s="189"/>
      <c r="F762" s="189"/>
      <c r="G762" s="189"/>
      <c r="H762" s="189"/>
      <c r="I762" s="189"/>
      <c r="J762" s="423"/>
      <c r="K762" s="189"/>
      <c r="M762" s="189"/>
      <c r="N762" s="189"/>
      <c r="R762" s="189"/>
      <c r="S762" s="189"/>
      <c r="T762" s="189"/>
      <c r="U762" s="189"/>
      <c r="V762" s="189"/>
      <c r="W762" s="189"/>
      <c r="X762" s="189"/>
    </row>
    <row r="763" spans="1:24">
      <c r="A763" s="189"/>
      <c r="B763" s="189"/>
      <c r="C763" s="189"/>
      <c r="D763" s="189"/>
      <c r="E763" s="189"/>
      <c r="F763" s="189"/>
      <c r="G763" s="189"/>
      <c r="H763" s="189"/>
      <c r="I763" s="189"/>
      <c r="J763" s="423"/>
      <c r="K763" s="189"/>
      <c r="M763" s="189"/>
      <c r="N763" s="189"/>
      <c r="R763" s="189"/>
      <c r="S763" s="189"/>
      <c r="T763" s="189"/>
      <c r="U763" s="189"/>
      <c r="V763" s="189"/>
      <c r="W763" s="189"/>
      <c r="X763" s="189"/>
    </row>
    <row r="764" spans="1:24">
      <c r="A764" s="189"/>
      <c r="B764" s="189"/>
      <c r="C764" s="189"/>
      <c r="D764" s="189"/>
      <c r="E764" s="189"/>
      <c r="F764" s="189"/>
      <c r="G764" s="189"/>
      <c r="H764" s="189"/>
      <c r="I764" s="189"/>
      <c r="J764" s="423"/>
      <c r="K764" s="189"/>
      <c r="M764" s="189"/>
      <c r="N764" s="189"/>
      <c r="R764" s="189"/>
      <c r="S764" s="189"/>
      <c r="T764" s="189"/>
      <c r="U764" s="189"/>
      <c r="V764" s="189"/>
      <c r="W764" s="189"/>
      <c r="X764" s="189"/>
    </row>
    <row r="765" spans="1:24">
      <c r="A765" s="189"/>
      <c r="B765" s="189"/>
      <c r="C765" s="189"/>
      <c r="D765" s="189"/>
      <c r="E765" s="189"/>
      <c r="F765" s="189"/>
      <c r="G765" s="189"/>
      <c r="H765" s="189"/>
      <c r="I765" s="189"/>
      <c r="J765" s="423"/>
      <c r="K765" s="189"/>
      <c r="M765" s="189"/>
      <c r="N765" s="189"/>
      <c r="R765" s="189"/>
      <c r="S765" s="189"/>
      <c r="T765" s="189"/>
      <c r="U765" s="189"/>
      <c r="V765" s="189"/>
      <c r="W765" s="189"/>
      <c r="X765" s="189"/>
    </row>
    <row r="766" spans="1:24">
      <c r="A766" s="189"/>
      <c r="B766" s="189"/>
      <c r="C766" s="189"/>
      <c r="D766" s="189"/>
      <c r="E766" s="189"/>
      <c r="F766" s="189"/>
      <c r="G766" s="189"/>
      <c r="H766" s="189"/>
      <c r="I766" s="189"/>
      <c r="J766" s="423"/>
      <c r="K766" s="189"/>
      <c r="M766" s="189"/>
      <c r="N766" s="189"/>
      <c r="R766" s="189"/>
      <c r="S766" s="189"/>
      <c r="T766" s="189"/>
      <c r="U766" s="189"/>
      <c r="V766" s="189"/>
      <c r="W766" s="189"/>
      <c r="X766" s="189"/>
    </row>
    <row r="767" spans="1:24">
      <c r="A767" s="189"/>
      <c r="B767" s="189"/>
      <c r="C767" s="189"/>
      <c r="D767" s="189"/>
      <c r="E767" s="189"/>
      <c r="F767" s="189"/>
      <c r="G767" s="189"/>
      <c r="H767" s="189"/>
      <c r="I767" s="189"/>
      <c r="J767" s="423"/>
      <c r="K767" s="189"/>
      <c r="M767" s="189"/>
      <c r="N767" s="189"/>
      <c r="R767" s="189"/>
      <c r="S767" s="189"/>
      <c r="T767" s="189"/>
      <c r="U767" s="189"/>
      <c r="V767" s="189"/>
      <c r="W767" s="189"/>
      <c r="X767" s="189"/>
    </row>
    <row r="768" spans="1:24">
      <c r="A768" s="189"/>
      <c r="B768" s="189"/>
      <c r="C768" s="189"/>
      <c r="D768" s="189"/>
      <c r="E768" s="189"/>
      <c r="F768" s="189"/>
      <c r="G768" s="189"/>
      <c r="H768" s="189"/>
      <c r="I768" s="189"/>
      <c r="J768" s="423"/>
      <c r="K768" s="189"/>
      <c r="M768" s="189"/>
      <c r="N768" s="189"/>
      <c r="R768" s="189"/>
      <c r="S768" s="189"/>
      <c r="T768" s="189"/>
      <c r="U768" s="189"/>
      <c r="V768" s="189"/>
      <c r="W768" s="189"/>
      <c r="X768" s="189"/>
    </row>
    <row r="769" spans="1:24">
      <c r="A769" s="189"/>
      <c r="B769" s="189"/>
      <c r="C769" s="189"/>
      <c r="D769" s="189"/>
      <c r="E769" s="189"/>
      <c r="F769" s="189"/>
      <c r="G769" s="189"/>
      <c r="H769" s="189"/>
      <c r="I769" s="189"/>
      <c r="J769" s="423"/>
      <c r="K769" s="189"/>
      <c r="M769" s="189"/>
      <c r="N769" s="189"/>
      <c r="R769" s="189"/>
      <c r="S769" s="189"/>
      <c r="T769" s="189"/>
      <c r="U769" s="189"/>
      <c r="V769" s="189"/>
      <c r="W769" s="189"/>
      <c r="X769" s="189"/>
    </row>
    <row r="770" spans="1:24">
      <c r="A770" s="189"/>
      <c r="B770" s="189"/>
      <c r="C770" s="189"/>
      <c r="D770" s="189"/>
      <c r="E770" s="189"/>
      <c r="F770" s="189"/>
      <c r="G770" s="189"/>
      <c r="H770" s="189"/>
      <c r="I770" s="189"/>
      <c r="J770" s="423"/>
      <c r="K770" s="189"/>
      <c r="M770" s="189"/>
      <c r="N770" s="189"/>
      <c r="R770" s="189"/>
      <c r="S770" s="189"/>
      <c r="T770" s="189"/>
      <c r="U770" s="189"/>
      <c r="V770" s="189"/>
      <c r="W770" s="189"/>
      <c r="X770" s="189"/>
    </row>
    <row r="771" spans="1:24">
      <c r="A771" s="189"/>
      <c r="B771" s="189"/>
      <c r="C771" s="189"/>
      <c r="D771" s="189"/>
      <c r="E771" s="189"/>
      <c r="F771" s="189"/>
      <c r="G771" s="189"/>
      <c r="H771" s="189"/>
      <c r="I771" s="189"/>
      <c r="J771" s="423"/>
      <c r="K771" s="189"/>
      <c r="M771" s="189"/>
      <c r="N771" s="189"/>
      <c r="R771" s="189"/>
      <c r="S771" s="189"/>
      <c r="T771" s="189"/>
      <c r="U771" s="189"/>
      <c r="V771" s="189"/>
      <c r="W771" s="189"/>
      <c r="X771" s="189"/>
    </row>
    <row r="772" spans="1:24">
      <c r="A772" s="189"/>
      <c r="B772" s="189"/>
      <c r="C772" s="189"/>
      <c r="D772" s="189"/>
      <c r="E772" s="189"/>
      <c r="F772" s="189"/>
      <c r="G772" s="189"/>
      <c r="H772" s="189"/>
      <c r="I772" s="189"/>
      <c r="J772" s="423"/>
      <c r="K772" s="189"/>
      <c r="M772" s="189"/>
      <c r="N772" s="189"/>
      <c r="R772" s="189"/>
      <c r="S772" s="189"/>
      <c r="T772" s="189"/>
      <c r="U772" s="189"/>
      <c r="V772" s="189"/>
      <c r="W772" s="189"/>
      <c r="X772" s="189"/>
    </row>
    <row r="773" spans="1:24">
      <c r="A773" s="189"/>
      <c r="B773" s="189"/>
      <c r="C773" s="189"/>
      <c r="D773" s="189"/>
      <c r="E773" s="189"/>
      <c r="F773" s="189"/>
      <c r="G773" s="189"/>
      <c r="H773" s="189"/>
      <c r="I773" s="189"/>
      <c r="J773" s="423"/>
      <c r="K773" s="189"/>
      <c r="M773" s="189"/>
      <c r="N773" s="189"/>
      <c r="R773" s="189"/>
      <c r="S773" s="189"/>
      <c r="T773" s="189"/>
      <c r="U773" s="189"/>
      <c r="V773" s="189"/>
      <c r="W773" s="189"/>
      <c r="X773" s="189"/>
    </row>
    <row r="774" spans="1:24">
      <c r="A774" s="189"/>
      <c r="B774" s="189"/>
      <c r="C774" s="189"/>
      <c r="D774" s="189"/>
      <c r="E774" s="189"/>
      <c r="F774" s="189"/>
      <c r="G774" s="189"/>
      <c r="H774" s="189"/>
      <c r="I774" s="189"/>
      <c r="J774" s="423"/>
      <c r="K774" s="189"/>
      <c r="M774" s="189"/>
      <c r="N774" s="189"/>
      <c r="R774" s="189"/>
      <c r="S774" s="189"/>
      <c r="T774" s="189"/>
      <c r="U774" s="189"/>
      <c r="V774" s="189"/>
      <c r="W774" s="189"/>
      <c r="X774" s="189"/>
    </row>
    <row r="775" spans="1:24">
      <c r="A775" s="189"/>
      <c r="B775" s="189"/>
      <c r="C775" s="189"/>
      <c r="D775" s="189"/>
      <c r="E775" s="189"/>
      <c r="F775" s="189"/>
      <c r="G775" s="189"/>
      <c r="H775" s="189"/>
      <c r="I775" s="189"/>
      <c r="J775" s="423"/>
      <c r="K775" s="189"/>
      <c r="M775" s="189"/>
      <c r="N775" s="189"/>
      <c r="R775" s="189"/>
      <c r="S775" s="189"/>
      <c r="T775" s="189"/>
      <c r="U775" s="189"/>
      <c r="V775" s="189"/>
      <c r="W775" s="189"/>
      <c r="X775" s="189"/>
    </row>
    <row r="776" spans="1:24">
      <c r="A776" s="189"/>
      <c r="B776" s="189"/>
      <c r="C776" s="189"/>
      <c r="D776" s="189"/>
      <c r="E776" s="189"/>
      <c r="F776" s="189"/>
      <c r="G776" s="189"/>
      <c r="H776" s="189"/>
      <c r="I776" s="189"/>
      <c r="J776" s="423"/>
      <c r="K776" s="189"/>
      <c r="M776" s="189"/>
      <c r="N776" s="189"/>
      <c r="R776" s="189"/>
      <c r="S776" s="189"/>
      <c r="T776" s="189"/>
      <c r="U776" s="189"/>
      <c r="V776" s="189"/>
      <c r="W776" s="189"/>
      <c r="X776" s="189"/>
    </row>
    <row r="777" spans="1:24">
      <c r="A777" s="189"/>
      <c r="B777" s="189"/>
      <c r="C777" s="189"/>
      <c r="D777" s="189"/>
      <c r="E777" s="189"/>
      <c r="F777" s="189"/>
      <c r="G777" s="189"/>
      <c r="H777" s="189"/>
      <c r="I777" s="189"/>
      <c r="J777" s="423"/>
      <c r="K777" s="189"/>
      <c r="M777" s="189"/>
      <c r="N777" s="189"/>
      <c r="R777" s="189"/>
      <c r="S777" s="189"/>
      <c r="T777" s="189"/>
      <c r="U777" s="189"/>
      <c r="V777" s="189"/>
      <c r="W777" s="189"/>
      <c r="X777" s="189"/>
    </row>
    <row r="778" spans="1:24">
      <c r="A778" s="189"/>
      <c r="B778" s="189"/>
      <c r="C778" s="189"/>
      <c r="D778" s="189"/>
      <c r="E778" s="189"/>
      <c r="F778" s="189"/>
      <c r="G778" s="189"/>
      <c r="H778" s="189"/>
      <c r="I778" s="189"/>
      <c r="J778" s="423"/>
      <c r="K778" s="189"/>
      <c r="M778" s="189"/>
      <c r="N778" s="189"/>
      <c r="R778" s="189"/>
      <c r="S778" s="189"/>
      <c r="T778" s="189"/>
      <c r="U778" s="189"/>
      <c r="V778" s="189"/>
      <c r="W778" s="189"/>
      <c r="X778" s="189"/>
    </row>
    <row r="779" spans="1:24">
      <c r="A779" s="189"/>
      <c r="B779" s="189"/>
      <c r="C779" s="189"/>
      <c r="D779" s="189"/>
      <c r="E779" s="189"/>
      <c r="F779" s="189"/>
      <c r="G779" s="189"/>
      <c r="H779" s="189"/>
      <c r="I779" s="189"/>
      <c r="J779" s="423"/>
      <c r="K779" s="189"/>
      <c r="M779" s="189"/>
      <c r="N779" s="189"/>
      <c r="R779" s="189"/>
      <c r="S779" s="189"/>
      <c r="T779" s="189"/>
      <c r="U779" s="189"/>
      <c r="V779" s="189"/>
      <c r="W779" s="189"/>
      <c r="X779" s="189"/>
    </row>
    <row r="780" spans="1:24">
      <c r="A780" s="189"/>
      <c r="B780" s="189"/>
      <c r="C780" s="189"/>
      <c r="D780" s="189"/>
      <c r="E780" s="189"/>
      <c r="F780" s="189"/>
      <c r="G780" s="189"/>
      <c r="H780" s="189"/>
      <c r="I780" s="189"/>
      <c r="J780" s="423"/>
      <c r="K780" s="189"/>
      <c r="M780" s="189"/>
      <c r="N780" s="189"/>
      <c r="R780" s="189"/>
      <c r="S780" s="189"/>
      <c r="T780" s="189"/>
      <c r="U780" s="189"/>
      <c r="V780" s="189"/>
      <c r="W780" s="189"/>
      <c r="X780" s="189"/>
    </row>
    <row r="781" spans="1:24">
      <c r="A781" s="189"/>
      <c r="B781" s="189"/>
      <c r="C781" s="189"/>
      <c r="D781" s="189"/>
      <c r="E781" s="189"/>
      <c r="F781" s="189"/>
      <c r="G781" s="189"/>
      <c r="H781" s="189"/>
      <c r="I781" s="189"/>
      <c r="J781" s="423"/>
      <c r="K781" s="189"/>
      <c r="M781" s="189"/>
      <c r="N781" s="189"/>
      <c r="R781" s="189"/>
      <c r="S781" s="189"/>
      <c r="T781" s="189"/>
      <c r="U781" s="189"/>
      <c r="V781" s="189"/>
      <c r="W781" s="189"/>
      <c r="X781" s="189"/>
    </row>
    <row r="782" spans="1:24">
      <c r="A782" s="189"/>
      <c r="B782" s="189"/>
      <c r="C782" s="189"/>
      <c r="D782" s="189"/>
      <c r="E782" s="189"/>
      <c r="F782" s="189"/>
      <c r="G782" s="189"/>
      <c r="H782" s="189"/>
      <c r="I782" s="189"/>
      <c r="J782" s="423"/>
      <c r="K782" s="189"/>
      <c r="M782" s="189"/>
      <c r="N782" s="189"/>
      <c r="R782" s="189"/>
      <c r="S782" s="189"/>
      <c r="T782" s="189"/>
      <c r="U782" s="189"/>
      <c r="V782" s="189"/>
      <c r="W782" s="189"/>
      <c r="X782" s="189"/>
    </row>
    <row r="783" spans="1:24">
      <c r="A783" s="189"/>
      <c r="B783" s="189"/>
      <c r="C783" s="189"/>
      <c r="D783" s="189"/>
      <c r="E783" s="189"/>
      <c r="F783" s="189"/>
      <c r="G783" s="189"/>
      <c r="H783" s="189"/>
      <c r="I783" s="189"/>
      <c r="J783" s="423"/>
      <c r="K783" s="189"/>
      <c r="M783" s="189"/>
      <c r="N783" s="189"/>
      <c r="R783" s="189"/>
      <c r="S783" s="189"/>
      <c r="T783" s="189"/>
      <c r="U783" s="189"/>
      <c r="V783" s="189"/>
      <c r="W783" s="189"/>
      <c r="X783" s="189"/>
    </row>
    <row r="784" spans="1:24">
      <c r="A784" s="189"/>
      <c r="B784" s="189"/>
      <c r="C784" s="189"/>
      <c r="D784" s="189"/>
      <c r="E784" s="189"/>
      <c r="F784" s="189"/>
      <c r="G784" s="189"/>
      <c r="H784" s="189"/>
      <c r="I784" s="189"/>
      <c r="J784" s="423"/>
      <c r="K784" s="189"/>
      <c r="M784" s="189"/>
      <c r="N784" s="189"/>
      <c r="R784" s="189"/>
      <c r="S784" s="189"/>
      <c r="T784" s="189"/>
      <c r="U784" s="189"/>
      <c r="V784" s="189"/>
      <c r="W784" s="189"/>
      <c r="X784" s="189"/>
    </row>
    <row r="785" spans="1:24">
      <c r="A785" s="189"/>
      <c r="B785" s="189"/>
      <c r="C785" s="189"/>
      <c r="D785" s="189"/>
      <c r="E785" s="189"/>
      <c r="F785" s="189"/>
      <c r="G785" s="189"/>
      <c r="H785" s="189"/>
      <c r="I785" s="189"/>
      <c r="J785" s="423"/>
      <c r="K785" s="189"/>
      <c r="M785" s="189"/>
      <c r="N785" s="189"/>
      <c r="R785" s="189"/>
      <c r="S785" s="189"/>
      <c r="T785" s="189"/>
      <c r="U785" s="189"/>
      <c r="V785" s="189"/>
      <c r="W785" s="189"/>
      <c r="X785" s="189"/>
    </row>
    <row r="786" spans="1:24">
      <c r="A786" s="189"/>
      <c r="B786" s="189"/>
      <c r="C786" s="189"/>
      <c r="D786" s="189"/>
      <c r="E786" s="189"/>
      <c r="F786" s="189"/>
      <c r="G786" s="189"/>
      <c r="H786" s="189"/>
      <c r="I786" s="189"/>
      <c r="J786" s="423"/>
      <c r="K786" s="189"/>
      <c r="M786" s="189"/>
      <c r="N786" s="189"/>
      <c r="R786" s="189"/>
      <c r="S786" s="189"/>
      <c r="T786" s="189"/>
      <c r="U786" s="189"/>
      <c r="V786" s="189"/>
      <c r="W786" s="189"/>
      <c r="X786" s="189"/>
    </row>
    <row r="787" spans="1:24">
      <c r="A787" s="189"/>
      <c r="B787" s="189"/>
      <c r="C787" s="189"/>
      <c r="D787" s="189"/>
      <c r="E787" s="189"/>
      <c r="F787" s="189"/>
      <c r="G787" s="189"/>
      <c r="H787" s="189"/>
      <c r="I787" s="189"/>
      <c r="J787" s="423"/>
      <c r="K787" s="189"/>
      <c r="M787" s="189"/>
      <c r="N787" s="189"/>
      <c r="R787" s="189"/>
      <c r="S787" s="189"/>
      <c r="T787" s="189"/>
      <c r="U787" s="189"/>
      <c r="V787" s="189"/>
      <c r="W787" s="189"/>
      <c r="X787" s="189"/>
    </row>
    <row r="788" spans="1:24">
      <c r="A788" s="189"/>
      <c r="B788" s="189"/>
      <c r="C788" s="189"/>
      <c r="D788" s="189"/>
      <c r="E788" s="189"/>
      <c r="F788" s="189"/>
      <c r="G788" s="189"/>
      <c r="H788" s="189"/>
      <c r="I788" s="189"/>
      <c r="J788" s="423"/>
      <c r="K788" s="189"/>
      <c r="M788" s="189"/>
      <c r="N788" s="189"/>
      <c r="R788" s="189"/>
      <c r="S788" s="189"/>
      <c r="T788" s="189"/>
      <c r="U788" s="189"/>
      <c r="V788" s="189"/>
      <c r="W788" s="189"/>
      <c r="X788" s="189"/>
    </row>
    <row r="789" spans="1:24">
      <c r="A789" s="189"/>
      <c r="B789" s="189"/>
      <c r="C789" s="189"/>
      <c r="D789" s="189"/>
      <c r="E789" s="189"/>
      <c r="F789" s="189"/>
      <c r="G789" s="189"/>
      <c r="H789" s="189"/>
      <c r="I789" s="189"/>
      <c r="J789" s="423"/>
      <c r="K789" s="189"/>
      <c r="M789" s="189"/>
      <c r="N789" s="189"/>
      <c r="R789" s="189"/>
      <c r="S789" s="189"/>
      <c r="T789" s="189"/>
      <c r="U789" s="189"/>
      <c r="V789" s="189"/>
      <c r="W789" s="189"/>
      <c r="X789" s="189"/>
    </row>
    <row r="790" spans="1:24">
      <c r="A790" s="189"/>
      <c r="B790" s="189"/>
      <c r="C790" s="189"/>
      <c r="D790" s="189"/>
      <c r="E790" s="189"/>
      <c r="F790" s="189"/>
      <c r="G790" s="189"/>
      <c r="H790" s="189"/>
      <c r="I790" s="189"/>
      <c r="J790" s="423"/>
      <c r="K790" s="189"/>
      <c r="M790" s="189"/>
      <c r="N790" s="189"/>
      <c r="R790" s="189"/>
      <c r="S790" s="189"/>
      <c r="T790" s="189"/>
      <c r="U790" s="189"/>
      <c r="V790" s="189"/>
      <c r="W790" s="189"/>
      <c r="X790" s="189"/>
    </row>
    <row r="791" spans="1:24">
      <c r="A791" s="189"/>
      <c r="B791" s="189"/>
      <c r="C791" s="189"/>
      <c r="D791" s="189"/>
      <c r="E791" s="189"/>
      <c r="F791" s="189"/>
      <c r="G791" s="189"/>
      <c r="H791" s="189"/>
      <c r="I791" s="189"/>
      <c r="J791" s="423"/>
      <c r="K791" s="189"/>
      <c r="M791" s="189"/>
      <c r="N791" s="189"/>
      <c r="R791" s="189"/>
      <c r="S791" s="189"/>
      <c r="T791" s="189"/>
      <c r="U791" s="189"/>
      <c r="V791" s="189"/>
      <c r="W791" s="189"/>
      <c r="X791" s="189"/>
    </row>
    <row r="792" spans="1:24">
      <c r="A792" s="189"/>
      <c r="B792" s="189"/>
      <c r="C792" s="189"/>
      <c r="D792" s="189"/>
      <c r="E792" s="189"/>
      <c r="F792" s="189"/>
      <c r="G792" s="189"/>
      <c r="H792" s="189"/>
      <c r="I792" s="189"/>
      <c r="J792" s="423"/>
      <c r="K792" s="189"/>
      <c r="M792" s="189"/>
      <c r="N792" s="189"/>
      <c r="R792" s="189"/>
      <c r="S792" s="189"/>
      <c r="T792" s="189"/>
      <c r="U792" s="189"/>
      <c r="V792" s="189"/>
      <c r="W792" s="189"/>
      <c r="X792" s="189"/>
    </row>
    <row r="793" spans="1:24">
      <c r="A793" s="189"/>
      <c r="B793" s="189"/>
      <c r="C793" s="189"/>
      <c r="D793" s="189"/>
      <c r="E793" s="189"/>
      <c r="F793" s="189"/>
      <c r="G793" s="189"/>
      <c r="H793" s="189"/>
      <c r="I793" s="189"/>
      <c r="J793" s="423"/>
      <c r="K793" s="189"/>
      <c r="M793" s="189"/>
      <c r="N793" s="189"/>
      <c r="R793" s="189"/>
      <c r="S793" s="189"/>
      <c r="T793" s="189"/>
      <c r="U793" s="189"/>
      <c r="V793" s="189"/>
      <c r="W793" s="189"/>
      <c r="X793" s="189"/>
    </row>
    <row r="794" spans="1:24">
      <c r="A794" s="189"/>
      <c r="B794" s="189"/>
      <c r="C794" s="189"/>
      <c r="D794" s="189"/>
      <c r="E794" s="189"/>
      <c r="F794" s="189"/>
      <c r="G794" s="189"/>
      <c r="H794" s="189"/>
      <c r="I794" s="189"/>
      <c r="J794" s="423"/>
      <c r="K794" s="189"/>
      <c r="M794" s="189"/>
      <c r="N794" s="189"/>
      <c r="R794" s="189"/>
      <c r="S794" s="189"/>
      <c r="T794" s="189"/>
      <c r="U794" s="189"/>
      <c r="V794" s="189"/>
      <c r="W794" s="189"/>
      <c r="X794" s="189"/>
    </row>
    <row r="795" spans="1:24">
      <c r="A795" s="189"/>
      <c r="B795" s="189"/>
      <c r="C795" s="189"/>
      <c r="D795" s="189"/>
      <c r="E795" s="189"/>
      <c r="F795" s="189"/>
      <c r="G795" s="189"/>
      <c r="H795" s="189"/>
      <c r="I795" s="189"/>
      <c r="J795" s="423"/>
      <c r="K795" s="189"/>
      <c r="M795" s="189"/>
      <c r="N795" s="189"/>
      <c r="R795" s="189"/>
      <c r="S795" s="189"/>
      <c r="T795" s="189"/>
      <c r="U795" s="189"/>
      <c r="V795" s="189"/>
      <c r="W795" s="189"/>
      <c r="X795" s="189"/>
    </row>
    <row r="796" spans="1:24">
      <c r="A796" s="189"/>
      <c r="B796" s="189"/>
      <c r="C796" s="189"/>
      <c r="D796" s="189"/>
      <c r="E796" s="189"/>
      <c r="F796" s="189"/>
      <c r="G796" s="189"/>
      <c r="H796" s="189"/>
      <c r="I796" s="189"/>
      <c r="J796" s="423"/>
      <c r="K796" s="189"/>
      <c r="M796" s="189"/>
      <c r="N796" s="189"/>
      <c r="R796" s="189"/>
      <c r="S796" s="189"/>
      <c r="T796" s="189"/>
      <c r="U796" s="189"/>
      <c r="V796" s="189"/>
      <c r="W796" s="189"/>
      <c r="X796" s="189"/>
    </row>
    <row r="797" spans="1:24">
      <c r="A797" s="189"/>
      <c r="B797" s="189"/>
      <c r="C797" s="189"/>
      <c r="D797" s="189"/>
      <c r="E797" s="189"/>
      <c r="F797" s="189"/>
      <c r="G797" s="189"/>
      <c r="H797" s="189"/>
      <c r="I797" s="189"/>
      <c r="J797" s="423"/>
      <c r="K797" s="189"/>
      <c r="M797" s="189"/>
      <c r="N797" s="189"/>
      <c r="R797" s="189"/>
      <c r="S797" s="189"/>
      <c r="T797" s="189"/>
      <c r="U797" s="189"/>
      <c r="V797" s="189"/>
      <c r="W797" s="189"/>
      <c r="X797" s="189"/>
    </row>
    <row r="798" spans="1:24">
      <c r="A798" s="189"/>
      <c r="B798" s="189"/>
      <c r="C798" s="189"/>
      <c r="D798" s="189"/>
      <c r="E798" s="189"/>
      <c r="F798" s="189"/>
      <c r="G798" s="189"/>
      <c r="H798" s="189"/>
      <c r="I798" s="189"/>
      <c r="J798" s="423"/>
      <c r="K798" s="189"/>
      <c r="M798" s="189"/>
      <c r="N798" s="189"/>
      <c r="R798" s="189"/>
      <c r="S798" s="189"/>
      <c r="T798" s="189"/>
      <c r="U798" s="189"/>
      <c r="V798" s="189"/>
      <c r="W798" s="189"/>
      <c r="X798" s="189"/>
    </row>
    <row r="799" spans="1:24">
      <c r="A799" s="189"/>
      <c r="B799" s="189"/>
      <c r="C799" s="189"/>
      <c r="D799" s="189"/>
      <c r="E799" s="189"/>
      <c r="F799" s="189"/>
      <c r="G799" s="189"/>
      <c r="H799" s="189"/>
      <c r="I799" s="189"/>
      <c r="J799" s="423"/>
      <c r="K799" s="189"/>
      <c r="M799" s="189"/>
      <c r="N799" s="189"/>
      <c r="R799" s="189"/>
      <c r="S799" s="189"/>
      <c r="T799" s="189"/>
      <c r="U799" s="189"/>
      <c r="V799" s="189"/>
      <c r="W799" s="189"/>
      <c r="X799" s="189"/>
    </row>
    <row r="800" spans="1:24">
      <c r="A800" s="189"/>
      <c r="B800" s="189"/>
      <c r="C800" s="189"/>
      <c r="D800" s="189"/>
      <c r="E800" s="189"/>
      <c r="F800" s="189"/>
      <c r="G800" s="189"/>
      <c r="H800" s="189"/>
      <c r="I800" s="189"/>
      <c r="J800" s="423"/>
      <c r="K800" s="189"/>
      <c r="M800" s="189"/>
      <c r="N800" s="189"/>
      <c r="R800" s="189"/>
      <c r="S800" s="189"/>
      <c r="T800" s="189"/>
      <c r="U800" s="189"/>
      <c r="V800" s="189"/>
      <c r="W800" s="189"/>
      <c r="X800" s="189"/>
    </row>
    <row r="801" spans="1:24">
      <c r="A801" s="189"/>
      <c r="B801" s="189"/>
      <c r="C801" s="189"/>
      <c r="D801" s="189"/>
      <c r="E801" s="189"/>
      <c r="F801" s="189"/>
      <c r="G801" s="189"/>
      <c r="H801" s="189"/>
      <c r="I801" s="189"/>
      <c r="J801" s="423"/>
      <c r="K801" s="189"/>
      <c r="M801" s="189"/>
      <c r="N801" s="189"/>
      <c r="R801" s="189"/>
      <c r="S801" s="189"/>
      <c r="T801" s="189"/>
      <c r="U801" s="189"/>
      <c r="V801" s="189"/>
      <c r="W801" s="189"/>
      <c r="X801" s="189"/>
    </row>
    <row r="802" spans="1:24">
      <c r="A802" s="189"/>
      <c r="B802" s="189"/>
      <c r="C802" s="189"/>
      <c r="D802" s="189"/>
      <c r="E802" s="189"/>
      <c r="F802" s="189"/>
      <c r="G802" s="189"/>
      <c r="H802" s="189"/>
      <c r="I802" s="189"/>
      <c r="J802" s="423"/>
      <c r="K802" s="189"/>
      <c r="M802" s="189"/>
      <c r="N802" s="189"/>
      <c r="R802" s="189"/>
      <c r="S802" s="189"/>
      <c r="T802" s="189"/>
      <c r="U802" s="189"/>
      <c r="V802" s="189"/>
      <c r="W802" s="189"/>
      <c r="X802" s="189"/>
    </row>
    <row r="803" spans="1:24">
      <c r="A803" s="189"/>
      <c r="B803" s="189"/>
      <c r="C803" s="189"/>
      <c r="D803" s="189"/>
      <c r="E803" s="189"/>
      <c r="F803" s="189"/>
      <c r="G803" s="189"/>
      <c r="H803" s="189"/>
      <c r="I803" s="189"/>
      <c r="J803" s="423"/>
      <c r="K803" s="189"/>
      <c r="M803" s="189"/>
      <c r="N803" s="189"/>
      <c r="R803" s="189"/>
      <c r="S803" s="189"/>
      <c r="T803" s="189"/>
      <c r="U803" s="189"/>
      <c r="V803" s="189"/>
      <c r="W803" s="189"/>
      <c r="X803" s="189"/>
    </row>
    <row r="804" spans="1:24">
      <c r="A804" s="189"/>
      <c r="B804" s="189"/>
      <c r="C804" s="189"/>
      <c r="D804" s="189"/>
      <c r="E804" s="189"/>
      <c r="F804" s="189"/>
      <c r="G804" s="189"/>
      <c r="H804" s="189"/>
      <c r="I804" s="189"/>
      <c r="J804" s="423"/>
      <c r="K804" s="189"/>
      <c r="M804" s="189"/>
      <c r="N804" s="189"/>
      <c r="R804" s="189"/>
      <c r="S804" s="189"/>
      <c r="T804" s="189"/>
      <c r="U804" s="189"/>
      <c r="V804" s="189"/>
      <c r="W804" s="189"/>
      <c r="X804" s="189"/>
    </row>
    <row r="805" spans="1:24">
      <c r="A805" s="189"/>
      <c r="B805" s="189"/>
      <c r="C805" s="189"/>
      <c r="D805" s="189"/>
      <c r="E805" s="189"/>
      <c r="F805" s="189"/>
      <c r="G805" s="189"/>
      <c r="H805" s="189"/>
      <c r="I805" s="189"/>
      <c r="J805" s="423"/>
      <c r="K805" s="189"/>
      <c r="M805" s="189"/>
      <c r="N805" s="189"/>
      <c r="R805" s="189"/>
      <c r="S805" s="189"/>
      <c r="T805" s="189"/>
      <c r="U805" s="189"/>
      <c r="V805" s="189"/>
      <c r="W805" s="189"/>
      <c r="X805" s="189"/>
    </row>
    <row r="806" spans="1:24">
      <c r="A806" s="189"/>
      <c r="B806" s="189"/>
      <c r="C806" s="189"/>
      <c r="D806" s="189"/>
      <c r="E806" s="189"/>
      <c r="F806" s="189"/>
      <c r="G806" s="189"/>
      <c r="H806" s="189"/>
      <c r="I806" s="189"/>
      <c r="J806" s="423"/>
      <c r="K806" s="189"/>
      <c r="M806" s="189"/>
      <c r="N806" s="189"/>
      <c r="R806" s="189"/>
      <c r="S806" s="189"/>
      <c r="T806" s="189"/>
      <c r="U806" s="189"/>
      <c r="V806" s="189"/>
      <c r="W806" s="189"/>
      <c r="X806" s="189"/>
    </row>
    <row r="807" spans="1:24">
      <c r="A807" s="189"/>
      <c r="B807" s="189"/>
      <c r="C807" s="189"/>
      <c r="D807" s="189"/>
      <c r="E807" s="189"/>
      <c r="F807" s="189"/>
      <c r="G807" s="189"/>
      <c r="H807" s="189"/>
      <c r="I807" s="189"/>
      <c r="J807" s="423"/>
      <c r="K807" s="189"/>
      <c r="M807" s="189"/>
      <c r="N807" s="189"/>
      <c r="R807" s="189"/>
      <c r="S807" s="189"/>
      <c r="T807" s="189"/>
      <c r="U807" s="189"/>
      <c r="V807" s="189"/>
      <c r="W807" s="189"/>
      <c r="X807" s="189"/>
    </row>
    <row r="808" spans="1:24">
      <c r="A808" s="189"/>
      <c r="B808" s="189"/>
      <c r="C808" s="189"/>
      <c r="D808" s="189"/>
      <c r="E808" s="189"/>
      <c r="F808" s="189"/>
      <c r="G808" s="189"/>
      <c r="H808" s="189"/>
      <c r="I808" s="189"/>
      <c r="J808" s="423"/>
      <c r="K808" s="189"/>
      <c r="M808" s="189"/>
      <c r="N808" s="189"/>
      <c r="R808" s="189"/>
      <c r="S808" s="189"/>
      <c r="T808" s="189"/>
      <c r="U808" s="189"/>
      <c r="V808" s="189"/>
      <c r="W808" s="189"/>
      <c r="X808" s="189"/>
    </row>
    <row r="809" spans="1:24">
      <c r="A809" s="189"/>
      <c r="B809" s="189"/>
      <c r="C809" s="189"/>
      <c r="D809" s="189"/>
      <c r="E809" s="189"/>
      <c r="F809" s="189"/>
      <c r="G809" s="189"/>
      <c r="H809" s="189"/>
      <c r="I809" s="189"/>
      <c r="J809" s="423"/>
      <c r="K809" s="189"/>
      <c r="M809" s="189"/>
      <c r="N809" s="189"/>
      <c r="R809" s="189"/>
      <c r="S809" s="189"/>
      <c r="T809" s="189"/>
      <c r="U809" s="189"/>
      <c r="V809" s="189"/>
      <c r="W809" s="189"/>
      <c r="X809" s="189"/>
    </row>
    <row r="810" spans="1:24">
      <c r="A810" s="189"/>
      <c r="B810" s="189"/>
      <c r="C810" s="189"/>
      <c r="D810" s="189"/>
      <c r="E810" s="189"/>
      <c r="F810" s="189"/>
      <c r="G810" s="189"/>
      <c r="H810" s="189"/>
      <c r="I810" s="189"/>
      <c r="J810" s="423"/>
      <c r="K810" s="189"/>
      <c r="M810" s="189"/>
      <c r="N810" s="189"/>
      <c r="R810" s="189"/>
      <c r="S810" s="189"/>
      <c r="T810" s="189"/>
      <c r="U810" s="189"/>
      <c r="V810" s="189"/>
      <c r="W810" s="189"/>
      <c r="X810" s="189"/>
    </row>
    <row r="811" spans="1:24">
      <c r="A811" s="189"/>
      <c r="B811" s="189"/>
      <c r="C811" s="189"/>
      <c r="D811" s="189"/>
      <c r="E811" s="189"/>
      <c r="F811" s="189"/>
      <c r="G811" s="189"/>
      <c r="H811" s="189"/>
      <c r="I811" s="189"/>
      <c r="J811" s="423"/>
      <c r="K811" s="189"/>
      <c r="M811" s="189"/>
      <c r="N811" s="189"/>
      <c r="R811" s="189"/>
      <c r="S811" s="189"/>
      <c r="T811" s="189"/>
      <c r="U811" s="189"/>
      <c r="V811" s="189"/>
      <c r="W811" s="189"/>
      <c r="X811" s="189"/>
    </row>
    <row r="812" spans="1:24">
      <c r="A812" s="189"/>
      <c r="B812" s="189"/>
      <c r="C812" s="189"/>
      <c r="D812" s="189"/>
      <c r="E812" s="189"/>
      <c r="F812" s="189"/>
      <c r="G812" s="189"/>
      <c r="H812" s="189"/>
      <c r="I812" s="189"/>
      <c r="J812" s="423"/>
      <c r="K812" s="189"/>
      <c r="M812" s="189"/>
      <c r="N812" s="189"/>
      <c r="R812" s="189"/>
      <c r="S812" s="189"/>
      <c r="T812" s="189"/>
      <c r="U812" s="189"/>
      <c r="V812" s="189"/>
      <c r="W812" s="189"/>
      <c r="X812" s="189"/>
    </row>
    <row r="813" spans="1:24">
      <c r="A813" s="189"/>
      <c r="B813" s="189"/>
      <c r="C813" s="189"/>
      <c r="D813" s="189"/>
      <c r="E813" s="189"/>
      <c r="F813" s="189"/>
      <c r="G813" s="189"/>
      <c r="H813" s="189"/>
      <c r="I813" s="189"/>
      <c r="J813" s="423"/>
      <c r="K813" s="189"/>
      <c r="M813" s="189"/>
      <c r="N813" s="189"/>
      <c r="R813" s="189"/>
      <c r="S813" s="189"/>
      <c r="T813" s="189"/>
      <c r="U813" s="189"/>
      <c r="V813" s="189"/>
      <c r="W813" s="189"/>
      <c r="X813" s="189"/>
    </row>
    <row r="814" spans="1:24">
      <c r="A814" s="189"/>
      <c r="B814" s="189"/>
      <c r="C814" s="189"/>
      <c r="D814" s="189"/>
      <c r="E814" s="189"/>
      <c r="F814" s="189"/>
      <c r="G814" s="189"/>
      <c r="H814" s="189"/>
      <c r="I814" s="189"/>
      <c r="J814" s="423"/>
      <c r="K814" s="189"/>
      <c r="M814" s="189"/>
      <c r="N814" s="189"/>
      <c r="R814" s="189"/>
      <c r="S814" s="189"/>
      <c r="T814" s="189"/>
      <c r="U814" s="189"/>
      <c r="V814" s="189"/>
      <c r="W814" s="189"/>
      <c r="X814" s="189"/>
    </row>
    <row r="815" spans="1:24">
      <c r="A815" s="189"/>
      <c r="B815" s="189"/>
      <c r="C815" s="189"/>
      <c r="D815" s="189"/>
      <c r="E815" s="189"/>
      <c r="F815" s="189"/>
      <c r="G815" s="189"/>
      <c r="H815" s="189"/>
      <c r="I815" s="189"/>
      <c r="J815" s="423"/>
      <c r="K815" s="189"/>
      <c r="M815" s="189"/>
      <c r="N815" s="189"/>
      <c r="R815" s="189"/>
      <c r="S815" s="189"/>
      <c r="T815" s="189"/>
      <c r="U815" s="189"/>
      <c r="V815" s="189"/>
      <c r="W815" s="189"/>
      <c r="X815" s="189"/>
    </row>
    <row r="816" spans="1:24">
      <c r="A816" s="189"/>
      <c r="B816" s="189"/>
      <c r="C816" s="189"/>
      <c r="D816" s="189"/>
      <c r="E816" s="189"/>
      <c r="F816" s="189"/>
      <c r="G816" s="189"/>
      <c r="H816" s="189"/>
      <c r="I816" s="189"/>
      <c r="J816" s="423"/>
      <c r="K816" s="189"/>
      <c r="M816" s="189"/>
      <c r="N816" s="189"/>
      <c r="R816" s="189"/>
      <c r="S816" s="189"/>
      <c r="T816" s="189"/>
      <c r="U816" s="189"/>
      <c r="V816" s="189"/>
      <c r="W816" s="189"/>
      <c r="X816" s="189"/>
    </row>
    <row r="817" spans="1:24">
      <c r="A817" s="189"/>
      <c r="B817" s="189"/>
      <c r="C817" s="189"/>
      <c r="D817" s="189"/>
      <c r="E817" s="189"/>
      <c r="F817" s="189"/>
      <c r="G817" s="189"/>
      <c r="H817" s="189"/>
      <c r="I817" s="189"/>
      <c r="J817" s="423"/>
      <c r="K817" s="189"/>
      <c r="M817" s="189"/>
      <c r="N817" s="189"/>
      <c r="R817" s="189"/>
      <c r="S817" s="189"/>
      <c r="T817" s="189"/>
      <c r="U817" s="189"/>
      <c r="V817" s="189"/>
      <c r="W817" s="189"/>
      <c r="X817" s="189"/>
    </row>
    <row r="818" spans="1:24">
      <c r="A818" s="189"/>
      <c r="B818" s="189"/>
      <c r="C818" s="189"/>
      <c r="D818" s="189"/>
      <c r="E818" s="189"/>
      <c r="F818" s="189"/>
      <c r="G818" s="189"/>
      <c r="H818" s="189"/>
      <c r="I818" s="189"/>
      <c r="J818" s="423"/>
      <c r="K818" s="189"/>
      <c r="M818" s="189"/>
      <c r="N818" s="189"/>
      <c r="R818" s="189"/>
      <c r="S818" s="189"/>
      <c r="T818" s="189"/>
      <c r="U818" s="189"/>
      <c r="V818" s="189"/>
      <c r="W818" s="189"/>
      <c r="X818" s="189"/>
    </row>
    <row r="819" spans="1:24">
      <c r="A819" s="189"/>
      <c r="B819" s="189"/>
      <c r="C819" s="189"/>
      <c r="D819" s="189"/>
      <c r="E819" s="189"/>
      <c r="F819" s="189"/>
      <c r="G819" s="189"/>
      <c r="H819" s="189"/>
      <c r="I819" s="189"/>
      <c r="J819" s="423"/>
      <c r="K819" s="189"/>
      <c r="M819" s="189"/>
      <c r="N819" s="189"/>
      <c r="R819" s="189"/>
      <c r="S819" s="189"/>
      <c r="T819" s="189"/>
      <c r="U819" s="189"/>
      <c r="V819" s="189"/>
      <c r="W819" s="189"/>
      <c r="X819" s="189"/>
    </row>
    <row r="820" spans="1:24">
      <c r="J820" s="425"/>
    </row>
    <row r="821" spans="1:24">
      <c r="J821" s="425"/>
    </row>
    <row r="822" spans="1:24">
      <c r="J822" s="425"/>
    </row>
    <row r="823" spans="1:24">
      <c r="J823" s="425"/>
    </row>
    <row r="824" spans="1:24">
      <c r="J824" s="425"/>
    </row>
    <row r="825" spans="1:24">
      <c r="J825" s="425"/>
    </row>
    <row r="826" spans="1:24">
      <c r="J826" s="425"/>
    </row>
    <row r="827" spans="1:24">
      <c r="J827" s="425"/>
    </row>
    <row r="828" spans="1:24">
      <c r="J828" s="425"/>
    </row>
    <row r="829" spans="1:24">
      <c r="J829" s="425"/>
    </row>
    <row r="830" spans="1:24">
      <c r="J830" s="425"/>
    </row>
    <row r="831" spans="1:24">
      <c r="J831" s="425"/>
    </row>
    <row r="832" spans="1:24">
      <c r="J832" s="425"/>
    </row>
    <row r="833" spans="10:10">
      <c r="J833" s="425"/>
    </row>
    <row r="834" spans="10:10">
      <c r="J834" s="425"/>
    </row>
    <row r="835" spans="10:10">
      <c r="J835" s="425"/>
    </row>
    <row r="836" spans="10:10">
      <c r="J836" s="425"/>
    </row>
    <row r="837" spans="10:10">
      <c r="J837" s="425"/>
    </row>
    <row r="838" spans="10:10">
      <c r="J838" s="425"/>
    </row>
    <row r="839" spans="10:10">
      <c r="J839" s="425"/>
    </row>
    <row r="840" spans="10:10">
      <c r="J840" s="425"/>
    </row>
    <row r="841" spans="10:10">
      <c r="J841" s="425"/>
    </row>
    <row r="842" spans="10:10">
      <c r="J842" s="425"/>
    </row>
    <row r="843" spans="10:10">
      <c r="J843" s="425"/>
    </row>
    <row r="844" spans="10:10">
      <c r="J844" s="425"/>
    </row>
    <row r="845" spans="10:10">
      <c r="J845" s="425"/>
    </row>
    <row r="846" spans="10:10">
      <c r="J846" s="425"/>
    </row>
    <row r="847" spans="10:10">
      <c r="J847" s="425"/>
    </row>
    <row r="848" spans="10:10">
      <c r="J848" s="425"/>
    </row>
    <row r="849" spans="10:10">
      <c r="J849" s="425"/>
    </row>
    <row r="850" spans="10:10">
      <c r="J850" s="425"/>
    </row>
    <row r="851" spans="10:10">
      <c r="J851" s="425"/>
    </row>
    <row r="852" spans="10:10">
      <c r="J852" s="425"/>
    </row>
    <row r="853" spans="10:10">
      <c r="J853" s="425"/>
    </row>
    <row r="854" spans="10:10">
      <c r="J854" s="425"/>
    </row>
    <row r="855" spans="10:10">
      <c r="J855" s="425"/>
    </row>
    <row r="856" spans="10:10">
      <c r="J856" s="425"/>
    </row>
    <row r="857" spans="10:10">
      <c r="J857" s="425"/>
    </row>
    <row r="858" spans="10:10">
      <c r="J858" s="425"/>
    </row>
    <row r="859" spans="10:10">
      <c r="J859" s="425"/>
    </row>
    <row r="860" spans="10:10">
      <c r="J860" s="425"/>
    </row>
    <row r="861" spans="10:10">
      <c r="J861" s="425"/>
    </row>
    <row r="862" spans="10:10">
      <c r="J862" s="425"/>
    </row>
    <row r="863" spans="10:10">
      <c r="J863" s="425"/>
    </row>
    <row r="864" spans="10:10">
      <c r="J864" s="425"/>
    </row>
    <row r="865" spans="10:10">
      <c r="J865" s="425"/>
    </row>
    <row r="866" spans="10:10">
      <c r="J866" s="425"/>
    </row>
    <row r="867" spans="10:10">
      <c r="J867" s="425"/>
    </row>
    <row r="868" spans="10:10">
      <c r="J868" s="425"/>
    </row>
    <row r="869" spans="10:10">
      <c r="J869" s="425"/>
    </row>
    <row r="870" spans="10:10">
      <c r="J870" s="425"/>
    </row>
    <row r="871" spans="10:10">
      <c r="J871" s="425"/>
    </row>
    <row r="872" spans="10:10">
      <c r="J872" s="425"/>
    </row>
    <row r="873" spans="10:10">
      <c r="J873" s="425"/>
    </row>
    <row r="874" spans="10:10">
      <c r="J874" s="425"/>
    </row>
    <row r="875" spans="10:10">
      <c r="J875" s="425"/>
    </row>
    <row r="876" spans="10:10">
      <c r="J876" s="425"/>
    </row>
    <row r="877" spans="10:10">
      <c r="J877" s="425"/>
    </row>
    <row r="878" spans="10:10">
      <c r="J878" s="425"/>
    </row>
    <row r="879" spans="10:10">
      <c r="J879" s="425"/>
    </row>
    <row r="880" spans="10:10">
      <c r="J880" s="425"/>
    </row>
    <row r="881" spans="10:10">
      <c r="J881" s="425"/>
    </row>
    <row r="882" spans="10:10">
      <c r="J882" s="425"/>
    </row>
    <row r="883" spans="10:10">
      <c r="J883" s="425"/>
    </row>
    <row r="884" spans="10:10">
      <c r="J884" s="425"/>
    </row>
    <row r="885" spans="10:10">
      <c r="J885" s="425"/>
    </row>
    <row r="886" spans="10:10">
      <c r="J886" s="425"/>
    </row>
    <row r="887" spans="10:10">
      <c r="J887" s="425"/>
    </row>
    <row r="888" spans="10:10">
      <c r="J888" s="425"/>
    </row>
    <row r="889" spans="10:10">
      <c r="J889" s="425"/>
    </row>
    <row r="890" spans="10:10">
      <c r="J890" s="425"/>
    </row>
    <row r="891" spans="10:10">
      <c r="J891" s="425"/>
    </row>
    <row r="892" spans="10:10">
      <c r="J892" s="425"/>
    </row>
    <row r="893" spans="10:10">
      <c r="J893" s="425"/>
    </row>
    <row r="894" spans="10:10">
      <c r="J894" s="425"/>
    </row>
    <row r="895" spans="10:10">
      <c r="J895" s="425"/>
    </row>
    <row r="896" spans="10:10">
      <c r="J896" s="425"/>
    </row>
    <row r="897" spans="10:10">
      <c r="J897" s="425"/>
    </row>
    <row r="898" spans="10:10">
      <c r="J898" s="425"/>
    </row>
    <row r="899" spans="10:10">
      <c r="J899" s="425"/>
    </row>
    <row r="900" spans="10:10">
      <c r="J900" s="425"/>
    </row>
    <row r="901" spans="10:10">
      <c r="J901" s="425"/>
    </row>
    <row r="902" spans="10:10">
      <c r="J902" s="425"/>
    </row>
    <row r="903" spans="10:10">
      <c r="J903" s="425"/>
    </row>
    <row r="904" spans="10:10">
      <c r="J904" s="425"/>
    </row>
    <row r="905" spans="10:10">
      <c r="J905" s="425"/>
    </row>
    <row r="906" spans="10:10">
      <c r="J906" s="425"/>
    </row>
    <row r="907" spans="10:10">
      <c r="J907" s="425"/>
    </row>
    <row r="908" spans="10:10">
      <c r="J908" s="425"/>
    </row>
    <row r="909" spans="10:10">
      <c r="J909" s="425"/>
    </row>
    <row r="910" spans="10:10">
      <c r="J910" s="425"/>
    </row>
    <row r="911" spans="10:10">
      <c r="J911" s="425"/>
    </row>
    <row r="912" spans="10:10">
      <c r="J912" s="425"/>
    </row>
    <row r="913" spans="10:10">
      <c r="J913" s="425"/>
    </row>
    <row r="914" spans="10:10">
      <c r="J914" s="425"/>
    </row>
    <row r="915" spans="10:10">
      <c r="J915" s="425"/>
    </row>
    <row r="916" spans="10:10">
      <c r="J916" s="425"/>
    </row>
    <row r="917" spans="10:10">
      <c r="J917" s="425"/>
    </row>
    <row r="918" spans="10:10">
      <c r="J918" s="425"/>
    </row>
    <row r="919" spans="10:10">
      <c r="J919" s="425"/>
    </row>
    <row r="920" spans="10:10">
      <c r="J920" s="425"/>
    </row>
    <row r="921" spans="10:10">
      <c r="J921" s="425"/>
    </row>
    <row r="922" spans="10:10">
      <c r="J922" s="425"/>
    </row>
    <row r="923" spans="10:10">
      <c r="J923" s="425"/>
    </row>
    <row r="924" spans="10:10">
      <c r="J924" s="425"/>
    </row>
    <row r="925" spans="10:10">
      <c r="J925" s="425"/>
    </row>
    <row r="926" spans="10:10">
      <c r="J926" s="425"/>
    </row>
    <row r="927" spans="10:10">
      <c r="J927" s="425"/>
    </row>
    <row r="928" spans="10:10">
      <c r="J928" s="425"/>
    </row>
    <row r="929" spans="10:10">
      <c r="J929" s="425"/>
    </row>
    <row r="930" spans="10:10">
      <c r="J930" s="425"/>
    </row>
    <row r="931" spans="10:10">
      <c r="J931" s="425"/>
    </row>
    <row r="932" spans="10:10">
      <c r="J932" s="425"/>
    </row>
    <row r="933" spans="10:10">
      <c r="J933" s="425"/>
    </row>
    <row r="934" spans="10:10">
      <c r="J934" s="425"/>
    </row>
    <row r="935" spans="10:10">
      <c r="J935" s="425"/>
    </row>
    <row r="936" spans="10:10">
      <c r="J936" s="425"/>
    </row>
    <row r="937" spans="10:10">
      <c r="J937" s="425"/>
    </row>
    <row r="938" spans="10:10">
      <c r="J938" s="425"/>
    </row>
    <row r="939" spans="10:10">
      <c r="J939" s="425"/>
    </row>
    <row r="940" spans="10:10">
      <c r="J940" s="425"/>
    </row>
    <row r="941" spans="10:10">
      <c r="J941" s="425"/>
    </row>
    <row r="942" spans="10:10">
      <c r="J942" s="425"/>
    </row>
    <row r="943" spans="10:10">
      <c r="J943" s="425"/>
    </row>
    <row r="944" spans="10:10">
      <c r="J944" s="425"/>
    </row>
    <row r="945" spans="10:10">
      <c r="J945" s="425"/>
    </row>
    <row r="946" spans="10:10">
      <c r="J946" s="425"/>
    </row>
    <row r="947" spans="10:10">
      <c r="J947" s="425"/>
    </row>
    <row r="948" spans="10:10">
      <c r="J948" s="425"/>
    </row>
    <row r="949" spans="10:10">
      <c r="J949" s="425"/>
    </row>
    <row r="950" spans="10:10">
      <c r="J950" s="425"/>
    </row>
    <row r="951" spans="10:10">
      <c r="J951" s="425"/>
    </row>
    <row r="952" spans="10:10">
      <c r="J952" s="425"/>
    </row>
    <row r="953" spans="10:10">
      <c r="J953" s="425"/>
    </row>
    <row r="954" spans="10:10">
      <c r="J954" s="425"/>
    </row>
    <row r="955" spans="10:10">
      <c r="J955" s="425"/>
    </row>
    <row r="956" spans="10:10">
      <c r="J956" s="425"/>
    </row>
    <row r="957" spans="10:10">
      <c r="J957" s="425"/>
    </row>
    <row r="958" spans="10:10">
      <c r="J958" s="425"/>
    </row>
    <row r="959" spans="10:10">
      <c r="J959" s="425"/>
    </row>
    <row r="960" spans="10:10">
      <c r="J960" s="425"/>
    </row>
    <row r="961" spans="10:10">
      <c r="J961" s="425"/>
    </row>
    <row r="962" spans="10:10">
      <c r="J962" s="425"/>
    </row>
    <row r="963" spans="10:10">
      <c r="J963" s="425"/>
    </row>
    <row r="964" spans="10:10">
      <c r="J964" s="425"/>
    </row>
    <row r="965" spans="10:10">
      <c r="J965" s="425"/>
    </row>
    <row r="966" spans="10:10">
      <c r="J966" s="425"/>
    </row>
    <row r="967" spans="10:10">
      <c r="J967" s="425"/>
    </row>
    <row r="968" spans="10:10">
      <c r="J968" s="425"/>
    </row>
    <row r="969" spans="10:10">
      <c r="J969" s="425"/>
    </row>
    <row r="970" spans="10:10">
      <c r="J970" s="425"/>
    </row>
    <row r="971" spans="10:10">
      <c r="J971" s="425"/>
    </row>
    <row r="972" spans="10:10">
      <c r="J972" s="425"/>
    </row>
    <row r="973" spans="10:10">
      <c r="J973" s="425"/>
    </row>
    <row r="974" spans="10:10">
      <c r="J974" s="425"/>
    </row>
    <row r="975" spans="10:10">
      <c r="J975" s="425"/>
    </row>
    <row r="976" spans="10:10">
      <c r="J976" s="425"/>
    </row>
    <row r="977" spans="10:10">
      <c r="J977" s="425"/>
    </row>
    <row r="978" spans="10:10">
      <c r="J978" s="425"/>
    </row>
    <row r="979" spans="10:10">
      <c r="J979" s="425"/>
    </row>
    <row r="980" spans="10:10">
      <c r="J980" s="425"/>
    </row>
    <row r="981" spans="10:10">
      <c r="J981" s="425"/>
    </row>
    <row r="982" spans="10:10">
      <c r="J982" s="425"/>
    </row>
    <row r="983" spans="10:10">
      <c r="J983" s="425"/>
    </row>
    <row r="984" spans="10:10">
      <c r="J984" s="425"/>
    </row>
    <row r="985" spans="10:10">
      <c r="J985" s="425"/>
    </row>
    <row r="986" spans="10:10">
      <c r="J986" s="425"/>
    </row>
    <row r="987" spans="10:10">
      <c r="J987" s="425"/>
    </row>
    <row r="988" spans="10:10">
      <c r="J988" s="425"/>
    </row>
    <row r="989" spans="10:10">
      <c r="J989" s="425"/>
    </row>
    <row r="990" spans="10:10">
      <c r="J990" s="425"/>
    </row>
    <row r="991" spans="10:10">
      <c r="J991" s="425"/>
    </row>
    <row r="992" spans="10:10">
      <c r="J992" s="425"/>
    </row>
    <row r="993" spans="10:10">
      <c r="J993" s="42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"/>
  <sheetViews>
    <sheetView zoomScale="90" zoomScaleNormal="90" workbookViewId="0">
      <selection activeCell="E10" sqref="E10"/>
    </sheetView>
  </sheetViews>
  <sheetFormatPr baseColWidth="10" defaultRowHeight="15"/>
  <cols>
    <col min="1" max="3" width="8.140625" style="576" customWidth="1"/>
    <col min="4" max="4" width="30.28515625" style="576" bestFit="1" customWidth="1"/>
    <col min="5" max="5" width="15.140625" style="576" bestFit="1" customWidth="1"/>
    <col min="6" max="6" width="6" style="576" customWidth="1"/>
    <col min="7" max="7" width="26" style="576" bestFit="1" customWidth="1"/>
    <col min="8" max="8" width="4.140625" style="576" bestFit="1" customWidth="1"/>
    <col min="9" max="9" width="4.140625" style="576" customWidth="1"/>
    <col min="10" max="10" width="15.140625" style="576" bestFit="1" customWidth="1"/>
    <col min="11" max="11" width="15.140625" style="576" customWidth="1"/>
    <col min="12" max="12" width="13.42578125" style="576" customWidth="1"/>
    <col min="13" max="13" width="14.85546875" style="576" customWidth="1"/>
    <col min="14" max="14" width="13.85546875" style="576" customWidth="1"/>
    <col min="15" max="15" width="20.85546875" style="576" customWidth="1"/>
    <col min="16" max="16" width="16.42578125" style="576" customWidth="1"/>
    <col min="17" max="17" width="17.7109375" style="576" customWidth="1"/>
    <col min="18" max="18" width="16.5703125" style="576" bestFit="1" customWidth="1"/>
    <col min="19" max="16384" width="11.42578125" style="576"/>
  </cols>
  <sheetData>
    <row r="1" spans="1:18" ht="52.5" customHeight="1">
      <c r="A1" s="577" t="s">
        <v>466</v>
      </c>
      <c r="B1" s="577" t="s">
        <v>467</v>
      </c>
      <c r="C1" s="600" t="s">
        <v>5</v>
      </c>
      <c r="D1" s="607" t="s">
        <v>422</v>
      </c>
      <c r="E1" s="608" t="s">
        <v>425</v>
      </c>
      <c r="F1" s="606" t="s">
        <v>468</v>
      </c>
      <c r="G1" s="630"/>
      <c r="H1" s="630"/>
      <c r="I1" s="630"/>
      <c r="J1" s="630"/>
      <c r="K1" s="630"/>
      <c r="L1" s="609" t="s">
        <v>463</v>
      </c>
      <c r="M1" s="610" t="s">
        <v>464</v>
      </c>
      <c r="N1" s="611" t="s">
        <v>465</v>
      </c>
      <c r="O1" s="612" t="s">
        <v>449</v>
      </c>
      <c r="P1" s="613" t="s">
        <v>447</v>
      </c>
      <c r="Q1" s="604" t="s">
        <v>450</v>
      </c>
      <c r="R1" s="591" t="s">
        <v>448</v>
      </c>
    </row>
    <row r="2" spans="1:18" ht="52.5" customHeight="1">
      <c r="A2" s="621"/>
      <c r="B2" s="577"/>
      <c r="C2" s="600"/>
      <c r="D2" s="622"/>
      <c r="E2" s="624" t="s">
        <v>469</v>
      </c>
      <c r="F2" s="623" t="s">
        <v>468</v>
      </c>
      <c r="G2" s="631" t="s">
        <v>477</v>
      </c>
      <c r="H2" s="631" t="s">
        <v>478</v>
      </c>
      <c r="I2" s="631"/>
      <c r="J2" s="631" t="s">
        <v>475</v>
      </c>
      <c r="K2" s="631" t="s">
        <v>425</v>
      </c>
      <c r="L2" s="625" t="s">
        <v>470</v>
      </c>
      <c r="M2" s="626" t="s">
        <v>471</v>
      </c>
      <c r="N2" s="627" t="s">
        <v>472</v>
      </c>
      <c r="O2" s="628" t="s">
        <v>473</v>
      </c>
      <c r="P2" s="629" t="s">
        <v>474</v>
      </c>
      <c r="Q2" s="604"/>
      <c r="R2" s="591"/>
    </row>
    <row r="3" spans="1:18">
      <c r="A3" s="530">
        <v>50771</v>
      </c>
      <c r="B3" s="507">
        <v>6</v>
      </c>
      <c r="C3" s="601">
        <v>2</v>
      </c>
      <c r="D3" s="579" t="s">
        <v>197</v>
      </c>
      <c r="E3" s="578" t="s">
        <v>426</v>
      </c>
      <c r="F3" s="614">
        <v>1</v>
      </c>
      <c r="G3" s="451" t="s">
        <v>198</v>
      </c>
      <c r="H3" s="451">
        <v>2</v>
      </c>
      <c r="I3" s="451" t="s">
        <v>479</v>
      </c>
      <c r="J3" s="578" t="s">
        <v>426</v>
      </c>
      <c r="K3" s="578">
        <v>1</v>
      </c>
      <c r="L3" s="580">
        <v>277.66575849078873</v>
      </c>
      <c r="M3" s="589">
        <v>6863.78</v>
      </c>
      <c r="N3" s="590">
        <f>(M3/(10^2))/(CFMS!Q3/1000)</f>
        <v>24.313779667020899</v>
      </c>
      <c r="O3" s="590">
        <f>VLOOKUP(A3,'Tabla resumen diametros'!A1:P219,13,FALSE)</f>
        <v>0.20433333333333334</v>
      </c>
      <c r="P3" s="632">
        <f>VLOOKUP($A3,'Tabla resumen alturas'!$A$2:$N$219,13,FALSE)</f>
        <v>10.333333333333334</v>
      </c>
      <c r="Q3" s="605">
        <f>VLOOKUP($A3,'Tabla resumen diametros'!$A$1:$P$219,14,FALSE)</f>
        <v>0.61299999999999999</v>
      </c>
      <c r="R3" s="592">
        <f>VLOOKUP($A3,'Tabla resumen alturas'!$A$2:$N$219,14,FALSE)</f>
        <v>31</v>
      </c>
    </row>
    <row r="4" spans="1:18">
      <c r="A4" s="530">
        <v>50754</v>
      </c>
      <c r="B4" s="507">
        <v>2</v>
      </c>
      <c r="C4" s="601">
        <v>4</v>
      </c>
      <c r="D4" s="579" t="s">
        <v>69</v>
      </c>
      <c r="E4" s="578" t="s">
        <v>426</v>
      </c>
      <c r="F4" s="614">
        <v>2</v>
      </c>
      <c r="G4" s="451" t="s">
        <v>70</v>
      </c>
      <c r="H4" s="451">
        <v>5</v>
      </c>
      <c r="I4" s="451" t="s">
        <v>479</v>
      </c>
      <c r="J4" s="578" t="s">
        <v>426</v>
      </c>
      <c r="K4" s="578">
        <v>1</v>
      </c>
      <c r="L4" s="580">
        <v>179.03928475284462</v>
      </c>
      <c r="M4" s="589">
        <v>15097.5</v>
      </c>
      <c r="N4" s="590">
        <f>(M4/(10^2))/(CFMS!Q4/1000)</f>
        <v>31.972681067344343</v>
      </c>
      <c r="O4" s="590">
        <f>VLOOKUP(A4,'Tabla resumen diametros'!A2:P220,13,FALSE)</f>
        <v>0.13896666666666654</v>
      </c>
      <c r="P4" s="632">
        <f>VLOOKUP($A4,'Tabla resumen alturas'!$A$2:$N$219,13,FALSE)</f>
        <v>11.699999999999998</v>
      </c>
      <c r="Q4" s="605">
        <f>VLOOKUP(A4,'Tabla resumen diametros'!A2:P220,14,FALSE)</f>
        <v>0.4168999999999996</v>
      </c>
      <c r="R4" s="592">
        <f>VLOOKUP($A4,'Tabla resumen alturas'!$A$2:$N$219,14,FALSE)</f>
        <v>35.099999999999994</v>
      </c>
    </row>
    <row r="5" spans="1:18">
      <c r="A5" s="530">
        <v>50707</v>
      </c>
      <c r="B5" s="507">
        <v>4</v>
      </c>
      <c r="C5" s="601">
        <v>15</v>
      </c>
      <c r="D5" s="581" t="s">
        <v>160</v>
      </c>
      <c r="E5" s="578" t="s">
        <v>427</v>
      </c>
      <c r="F5" s="614">
        <v>3</v>
      </c>
      <c r="G5" s="451" t="s">
        <v>161</v>
      </c>
      <c r="H5" s="451">
        <v>3</v>
      </c>
      <c r="I5" s="451" t="s">
        <v>479</v>
      </c>
      <c r="J5" s="578" t="s">
        <v>427</v>
      </c>
      <c r="K5" s="578">
        <v>3</v>
      </c>
      <c r="L5" s="580">
        <v>223.2712239602422</v>
      </c>
      <c r="M5" s="589">
        <v>10410.980000000001</v>
      </c>
      <c r="N5" s="590">
        <f>(M5/(10^2))/(CFMS!Q5/1000)</f>
        <v>68.358371634931061</v>
      </c>
      <c r="O5" s="590">
        <f>VLOOKUP(A5,'Tabla resumen diametros'!A3:P221,13,FALSE)</f>
        <v>5.966666666666668E-2</v>
      </c>
      <c r="P5" s="632">
        <f>VLOOKUP($A5,'Tabla resumen alturas'!$A$2:$N$219,13,FALSE)</f>
        <v>6.333333333333333</v>
      </c>
      <c r="Q5" s="605">
        <f>VLOOKUP(A5,'Tabla resumen diametros'!A3:P221,14,FALSE)</f>
        <v>0.17900000000000005</v>
      </c>
      <c r="R5" s="592">
        <f>VLOOKUP($A5,'Tabla resumen alturas'!$A$2:$N$219,14,FALSE)</f>
        <v>19</v>
      </c>
    </row>
    <row r="6" spans="1:18">
      <c r="A6" s="539">
        <v>50798</v>
      </c>
      <c r="B6" s="507">
        <v>5</v>
      </c>
      <c r="C6" s="601">
        <v>9</v>
      </c>
      <c r="D6" s="581" t="s">
        <v>189</v>
      </c>
      <c r="E6" s="578" t="s">
        <v>427</v>
      </c>
      <c r="F6" s="614">
        <v>4</v>
      </c>
      <c r="G6" s="453" t="s">
        <v>190</v>
      </c>
      <c r="H6" s="453">
        <v>2</v>
      </c>
      <c r="I6" s="453"/>
      <c r="J6" s="578" t="s">
        <v>427</v>
      </c>
      <c r="K6" s="578">
        <v>3</v>
      </c>
      <c r="L6" s="580">
        <v>233.32603175375831</v>
      </c>
      <c r="M6" s="589">
        <v>6911.18</v>
      </c>
      <c r="N6" s="590">
        <f>(M6/(10^2))/(CFMS!Q6/1000)</f>
        <v>24.030528511821977</v>
      </c>
      <c r="O6" s="590">
        <f>VLOOKUP(A6,'Tabla resumen diametros'!A4:P222,13,FALSE)</f>
        <v>7.3888888888888893E-2</v>
      </c>
      <c r="P6" s="632">
        <f>VLOOKUP($A6,'Tabla resumen alturas'!$A$2:$N$219,13,FALSE)</f>
        <v>8.8333333333333339</v>
      </c>
      <c r="Q6" s="605">
        <f>VLOOKUP(A6,'Tabla resumen diametros'!A4:P222,14,FALSE)</f>
        <v>0.22166666666666668</v>
      </c>
      <c r="R6" s="592">
        <f>VLOOKUP($A6,'Tabla resumen alturas'!$A$2:$N$219,14,FALSE)</f>
        <v>26.5</v>
      </c>
    </row>
    <row r="7" spans="1:18">
      <c r="A7" s="550">
        <v>50809</v>
      </c>
      <c r="B7" s="507">
        <v>4</v>
      </c>
      <c r="C7" s="601">
        <v>14</v>
      </c>
      <c r="D7" s="581" t="s">
        <v>145</v>
      </c>
      <c r="E7" s="578" t="s">
        <v>427</v>
      </c>
      <c r="F7" s="614">
        <v>5</v>
      </c>
      <c r="G7" s="456" t="s">
        <v>418</v>
      </c>
      <c r="H7" s="456">
        <v>1</v>
      </c>
      <c r="I7" s="456" t="s">
        <v>479</v>
      </c>
      <c r="J7" s="578" t="s">
        <v>427</v>
      </c>
      <c r="K7" s="578">
        <v>3</v>
      </c>
      <c r="L7" s="580">
        <v>362.76215599333966</v>
      </c>
      <c r="M7" s="589">
        <v>3232.0000000000009</v>
      </c>
      <c r="N7" s="590">
        <f>(M7/(10^2))/(CFMS!Q7/1000)</f>
        <v>16.668385765858694</v>
      </c>
      <c r="O7" s="590">
        <f>VLOOKUP(A7,'Tabla resumen diametros'!A5:P223,13,FALSE)</f>
        <v>0.17899999999999996</v>
      </c>
      <c r="P7" s="632">
        <f>VLOOKUP($A7,'Tabla resumen alturas'!$A$2:$N$219,13,FALSE)</f>
        <v>6.9200000000000017</v>
      </c>
      <c r="Q7" s="605">
        <f>VLOOKUP(A7,'Tabla resumen diametros'!A5:P223,14,FALSE)</f>
        <v>0.53699999999999992</v>
      </c>
      <c r="R7" s="592">
        <f>VLOOKUP($A7,'Tabla resumen alturas'!$A$2:$N$219,14,FALSE)</f>
        <v>20.760000000000005</v>
      </c>
    </row>
    <row r="8" spans="1:18">
      <c r="A8" s="530">
        <v>50794</v>
      </c>
      <c r="B8" s="507">
        <v>1</v>
      </c>
      <c r="C8" s="601">
        <v>8</v>
      </c>
      <c r="D8" s="579" t="s">
        <v>35</v>
      </c>
      <c r="E8" s="578" t="s">
        <v>426</v>
      </c>
      <c r="F8" s="614">
        <v>6</v>
      </c>
      <c r="G8" s="451" t="s">
        <v>36</v>
      </c>
      <c r="H8" s="451">
        <v>2</v>
      </c>
      <c r="I8" s="451" t="s">
        <v>479</v>
      </c>
      <c r="J8" s="578" t="s">
        <v>426</v>
      </c>
      <c r="K8" s="578">
        <v>1</v>
      </c>
      <c r="L8" s="580">
        <v>354.69991173874672</v>
      </c>
      <c r="M8" s="589">
        <v>7657.1399999999994</v>
      </c>
      <c r="N8" s="590">
        <f>(M8/(10^2))/(CFMS!Q8/1000)</f>
        <v>39.694867807153962</v>
      </c>
      <c r="O8" s="590">
        <f>VLOOKUP(A8,'Tabla resumen diametros'!A6:P224,13,FALSE)</f>
        <v>5.5466666666666629E-2</v>
      </c>
      <c r="P8" s="632">
        <f>VLOOKUP($A8,'Tabla resumen alturas'!$A$2:$N$219,13,FALSE)</f>
        <v>8.1066666666666638</v>
      </c>
      <c r="Q8" s="605">
        <f>VLOOKUP(A8,'Tabla resumen diametros'!A6:P224,14,FALSE)</f>
        <v>0.16639999999999988</v>
      </c>
      <c r="R8" s="592">
        <f>VLOOKUP($A8,'Tabla resumen alturas'!$A$2:$N$219,14,FALSE)</f>
        <v>24.319999999999993</v>
      </c>
    </row>
    <row r="9" spans="1:18">
      <c r="A9" s="530">
        <v>50815</v>
      </c>
      <c r="B9" s="507">
        <v>4</v>
      </c>
      <c r="C9" s="601">
        <v>15</v>
      </c>
      <c r="D9" s="581" t="s">
        <v>149</v>
      </c>
      <c r="E9" s="578" t="s">
        <v>427</v>
      </c>
      <c r="F9" s="614">
        <v>7</v>
      </c>
      <c r="G9" s="456" t="s">
        <v>414</v>
      </c>
      <c r="H9" s="456">
        <v>1</v>
      </c>
      <c r="I9" s="456" t="s">
        <v>479</v>
      </c>
      <c r="J9" s="578" t="s">
        <v>427</v>
      </c>
      <c r="K9" s="578">
        <v>3</v>
      </c>
      <c r="L9" s="580">
        <v>527.34375</v>
      </c>
      <c r="M9" s="589">
        <v>352.9</v>
      </c>
      <c r="N9" s="590">
        <f>(M9/(10^2))/(CFMS!Q9/1000)</f>
        <v>21.783950617283949</v>
      </c>
      <c r="O9" s="590">
        <f>VLOOKUP(A9,'Tabla resumen diametros'!A7:P225,13,FALSE)</f>
        <v>0.17522222222222217</v>
      </c>
      <c r="P9" s="632">
        <f>VLOOKUP($A9,'Tabla resumen alturas'!$A$2:$N$219,13,FALSE)</f>
        <v>5.3766666666666749</v>
      </c>
      <c r="Q9" s="605">
        <f>VLOOKUP(A9,'Tabla resumen diametros'!A7:P225,14,FALSE)</f>
        <v>0.5256666666666665</v>
      </c>
      <c r="R9" s="592">
        <f>VLOOKUP($A9,'Tabla resumen alturas'!$A$2:$N$219,14,FALSE)</f>
        <v>16.130000000000024</v>
      </c>
    </row>
    <row r="10" spans="1:18">
      <c r="A10" s="530">
        <v>50830</v>
      </c>
      <c r="B10" s="507">
        <v>4</v>
      </c>
      <c r="C10" s="601">
        <v>9</v>
      </c>
      <c r="D10" s="582" t="s">
        <v>136</v>
      </c>
      <c r="E10" s="586" t="s">
        <v>428</v>
      </c>
      <c r="F10" s="614">
        <v>8</v>
      </c>
      <c r="G10" s="451" t="s">
        <v>137</v>
      </c>
      <c r="H10" s="451">
        <v>1</v>
      </c>
      <c r="I10" s="451" t="s">
        <v>479</v>
      </c>
      <c r="J10" s="586" t="s">
        <v>428</v>
      </c>
      <c r="K10" s="586">
        <v>2</v>
      </c>
      <c r="L10" s="580">
        <v>274.04044572843583</v>
      </c>
      <c r="M10" s="589">
        <v>3177.3199999999997</v>
      </c>
      <c r="N10" s="590">
        <f>(M10/(10^2))/(CFMS!Q10/1000)</f>
        <v>31.9008032128514</v>
      </c>
      <c r="O10" s="590">
        <f>VLOOKUP(A10,'Tabla resumen diametros'!A8:P226,13,FALSE)</f>
        <v>5.3137037037037094E-2</v>
      </c>
      <c r="P10" s="632">
        <f>VLOOKUP($A10,'Tabla resumen alturas'!$A$2:$N$219,13,FALSE)</f>
        <v>8.0400000000000009</v>
      </c>
      <c r="Q10" s="605">
        <f>VLOOKUP(A10,'Tabla resumen diametros'!A8:P226,14,FALSE)</f>
        <v>0.15941111111111128</v>
      </c>
      <c r="R10" s="592">
        <f>VLOOKUP($A10,'Tabla resumen alturas'!$A$2:$N$219,14,FALSE)</f>
        <v>24.120000000000005</v>
      </c>
    </row>
    <row r="11" spans="1:18">
      <c r="A11" s="530">
        <v>50853</v>
      </c>
      <c r="B11" s="507">
        <v>7</v>
      </c>
      <c r="C11" s="601">
        <v>2</v>
      </c>
      <c r="D11" s="581" t="s">
        <v>205</v>
      </c>
      <c r="E11" s="578" t="s">
        <v>427</v>
      </c>
      <c r="F11" s="614">
        <v>9</v>
      </c>
      <c r="G11" s="456" t="s">
        <v>415</v>
      </c>
      <c r="H11" s="456">
        <v>2</v>
      </c>
      <c r="I11" s="456" t="s">
        <v>479</v>
      </c>
      <c r="J11" s="578" t="s">
        <v>427</v>
      </c>
      <c r="K11" s="578">
        <v>3</v>
      </c>
      <c r="L11" s="580">
        <v>281.98257248611998</v>
      </c>
      <c r="M11" s="589">
        <v>5688.14</v>
      </c>
      <c r="N11" s="590">
        <f>(M11/(10^2))/(CFMS!Q11/1000)</f>
        <v>19.443973473712997</v>
      </c>
      <c r="O11" s="590">
        <f>VLOOKUP(A11,'Tabla resumen diametros'!A9:P227,13,FALSE)</f>
        <v>0.19556666666666669</v>
      </c>
      <c r="P11" s="632">
        <f>VLOOKUP($A11,'Tabla resumen alturas'!$A$2:$N$219,13,FALSE)</f>
        <v>6.8666666666666645</v>
      </c>
      <c r="Q11" s="605">
        <f>VLOOKUP(A11,'Tabla resumen diametros'!A9:P227,14,FALSE)</f>
        <v>0.58670000000000011</v>
      </c>
      <c r="R11" s="592">
        <f>VLOOKUP($A11,'Tabla resumen alturas'!$A$2:$N$219,14,FALSE)</f>
        <v>20.599999999999994</v>
      </c>
    </row>
    <row r="12" spans="1:18">
      <c r="A12" s="530">
        <v>50840</v>
      </c>
      <c r="B12" s="507">
        <v>4</v>
      </c>
      <c r="C12" s="601">
        <v>15</v>
      </c>
      <c r="D12" s="581" t="s">
        <v>162</v>
      </c>
      <c r="E12" s="578" t="s">
        <v>427</v>
      </c>
      <c r="F12" s="614">
        <v>10</v>
      </c>
      <c r="G12" s="456" t="s">
        <v>420</v>
      </c>
      <c r="H12" s="456">
        <v>1</v>
      </c>
      <c r="I12" s="456" t="s">
        <v>479</v>
      </c>
      <c r="J12" s="578" t="s">
        <v>427</v>
      </c>
      <c r="K12" s="578">
        <v>3</v>
      </c>
      <c r="L12" s="580">
        <v>283.95061728395063</v>
      </c>
      <c r="M12" s="589">
        <v>521.08000000000004</v>
      </c>
      <c r="N12" s="590">
        <f>(M12/(10^2))/(CFMS!Q12/1000)</f>
        <v>37.759420289855072</v>
      </c>
      <c r="O12" s="590">
        <f>VLOOKUP(A12,'Tabla resumen diametros'!A10:P228,13,FALSE)</f>
        <v>5.4999999999999993E-2</v>
      </c>
      <c r="P12" s="632">
        <f>VLOOKUP($A12,'Tabla resumen alturas'!$A$2:$N$219,13,FALSE)</f>
        <v>5.833333333333333</v>
      </c>
      <c r="Q12" s="605">
        <f>VLOOKUP(A12,'Tabla resumen diametros'!A10:P228,14,FALSE)</f>
        <v>0.16499999999999998</v>
      </c>
      <c r="R12" s="592">
        <f>VLOOKUP($A12,'Tabla resumen alturas'!$A$2:$N$219,14,FALSE)</f>
        <v>17.5</v>
      </c>
    </row>
    <row r="13" spans="1:18">
      <c r="A13" s="530">
        <v>50594</v>
      </c>
      <c r="B13" s="507">
        <v>1</v>
      </c>
      <c r="C13" s="601">
        <v>15</v>
      </c>
      <c r="D13" s="582" t="s">
        <v>56</v>
      </c>
      <c r="E13" s="578" t="s">
        <v>428</v>
      </c>
      <c r="F13" s="614">
        <v>11</v>
      </c>
      <c r="G13" s="451" t="s">
        <v>57</v>
      </c>
      <c r="H13" s="451">
        <v>1</v>
      </c>
      <c r="I13" s="451" t="s">
        <v>479</v>
      </c>
      <c r="J13" s="578" t="s">
        <v>428</v>
      </c>
      <c r="K13" s="586">
        <v>2</v>
      </c>
      <c r="L13" s="580">
        <v>399.09384489323759</v>
      </c>
      <c r="M13" s="589">
        <v>1248.04</v>
      </c>
      <c r="N13" s="590">
        <f>(M13/(10^2))/(CFMS!Q13/1000)</f>
        <v>15.072946859903382</v>
      </c>
      <c r="O13" s="590">
        <f>'Tabla resumen diametros'!M25</f>
        <v>0.1203333333333334</v>
      </c>
      <c r="P13" s="632">
        <f>VLOOKUP($A13,'Tabla resumen alturas'!$A$2:$N$219,13,FALSE)</f>
        <v>2.3333333333333335</v>
      </c>
      <c r="Q13" s="605">
        <f>'Tabla resumen diametros'!N25</f>
        <v>0.36100000000000021</v>
      </c>
      <c r="R13" s="592">
        <f>VLOOKUP($A13,'Tabla resumen alturas'!$A$2:$N$219,14,FALSE)</f>
        <v>7</v>
      </c>
    </row>
    <row r="14" spans="1:18">
      <c r="A14" s="530">
        <v>50876</v>
      </c>
      <c r="B14" s="507">
        <v>8</v>
      </c>
      <c r="C14" s="601">
        <v>14</v>
      </c>
      <c r="D14" s="579" t="s">
        <v>241</v>
      </c>
      <c r="E14" s="578" t="s">
        <v>426</v>
      </c>
      <c r="F14" s="614">
        <v>12</v>
      </c>
      <c r="G14" s="456" t="s">
        <v>416</v>
      </c>
      <c r="H14" s="456">
        <v>1</v>
      </c>
      <c r="I14" s="456" t="s">
        <v>479</v>
      </c>
      <c r="J14" s="578" t="s">
        <v>426</v>
      </c>
      <c r="K14" s="578">
        <v>1</v>
      </c>
      <c r="L14" s="580">
        <v>342.18068535825546</v>
      </c>
      <c r="M14" s="589">
        <v>2772.1599999999994</v>
      </c>
      <c r="N14" s="590">
        <f>(M14/(10^2))/(CFMS!Q14/1000)</f>
        <v>20.190531682447194</v>
      </c>
      <c r="O14" s="590">
        <f>VLOOKUP(A14,'Tabla resumen diametros'!A12:P230,13,FALSE)</f>
        <v>9.1259259259259262E-2</v>
      </c>
      <c r="P14" s="632">
        <f>VLOOKUP($A14,'Tabla resumen alturas'!$A$2:$N$219,13,FALSE)</f>
        <v>2.6400000000000006</v>
      </c>
      <c r="Q14" s="605">
        <f>VLOOKUP(A14,'Tabla resumen diametros'!A12:P230,14,FALSE)</f>
        <v>0.27377777777777779</v>
      </c>
      <c r="R14" s="592">
        <f>VLOOKUP($A14,'Tabla resumen alturas'!$A$2:$N$219,14,FALSE)</f>
        <v>7.9200000000000017</v>
      </c>
    </row>
    <row r="15" spans="1:18">
      <c r="A15" s="530">
        <v>50748</v>
      </c>
      <c r="B15" s="507">
        <v>2</v>
      </c>
      <c r="C15" s="601">
        <v>13</v>
      </c>
      <c r="D15" s="583" t="s">
        <v>76</v>
      </c>
      <c r="E15" s="578" t="s">
        <v>429</v>
      </c>
      <c r="F15" s="614">
        <v>13</v>
      </c>
      <c r="G15" s="451" t="s">
        <v>77</v>
      </c>
      <c r="H15" s="451">
        <v>1</v>
      </c>
      <c r="I15" s="451" t="s">
        <v>479</v>
      </c>
      <c r="J15" s="578" t="s">
        <v>476</v>
      </c>
      <c r="K15" s="578">
        <v>4</v>
      </c>
      <c r="L15" s="580">
        <v>194.87008660892741</v>
      </c>
      <c r="M15" s="589">
        <v>987.15999999999985</v>
      </c>
      <c r="N15" s="590">
        <f>(M15/(10^2))/(CFMS!Q15/1000)</f>
        <v>42.186324786324782</v>
      </c>
      <c r="O15" s="590">
        <f>VLOOKUP(A15,'Tabla resumen diametros'!A13:P231,13,FALSE)</f>
        <v>5.6416666666666705E-2</v>
      </c>
      <c r="P15" s="632">
        <f>VLOOKUP($A15,'Tabla resumen alturas'!$A$2:$N$219,13,FALSE)</f>
        <v>6.8766666666666652</v>
      </c>
      <c r="Q15" s="605">
        <f>VLOOKUP(A15,'Tabla resumen diametros'!A13:P231,14,FALSE)</f>
        <v>0.16925000000000012</v>
      </c>
      <c r="R15" s="592">
        <f>VLOOKUP($A15,'Tabla resumen alturas'!$A$2:$N$219,14,FALSE)</f>
        <v>20.629999999999995</v>
      </c>
    </row>
    <row r="16" spans="1:18">
      <c r="A16" s="530">
        <v>50262</v>
      </c>
      <c r="B16" s="507">
        <v>1</v>
      </c>
      <c r="C16" s="601">
        <v>12</v>
      </c>
      <c r="D16" s="579" t="s">
        <v>46</v>
      </c>
      <c r="E16" s="578" t="s">
        <v>426</v>
      </c>
      <c r="F16" s="614">
        <v>14</v>
      </c>
      <c r="G16" s="451" t="s">
        <v>47</v>
      </c>
      <c r="H16" s="451">
        <v>4</v>
      </c>
      <c r="I16" s="451"/>
      <c r="J16" s="578" t="s">
        <v>426</v>
      </c>
      <c r="K16" s="578">
        <v>1</v>
      </c>
      <c r="L16" s="580">
        <v>440.35352074803529</v>
      </c>
      <c r="M16" s="589">
        <v>22214.179999999997</v>
      </c>
      <c r="N16" s="590">
        <f>(M16/(10^2))/(CFMS!Q16/1000)</f>
        <v>12.796923785932366</v>
      </c>
      <c r="O16" s="590">
        <f>'Tabla resumen diametros'!M29</f>
        <v>9.1666666666666199E-3</v>
      </c>
      <c r="P16" s="632">
        <f>'Tabla resumen alturas'!M29</f>
        <v>5.5333333333333314</v>
      </c>
      <c r="Q16" s="605">
        <f>'Tabla resumen diametros'!N29</f>
        <v>2.7499999999999858E-2</v>
      </c>
      <c r="R16" s="592">
        <f>'Tabla resumen alturas'!N29</f>
        <v>16.599999999999994</v>
      </c>
    </row>
    <row r="17" spans="1:18">
      <c r="A17" s="530">
        <v>50601</v>
      </c>
      <c r="B17" s="507">
        <v>6</v>
      </c>
      <c r="C17" s="601">
        <v>3</v>
      </c>
      <c r="D17" s="581" t="s">
        <v>201</v>
      </c>
      <c r="E17" s="578" t="s">
        <v>427</v>
      </c>
      <c r="F17" s="614">
        <v>15</v>
      </c>
      <c r="G17" s="451" t="s">
        <v>202</v>
      </c>
      <c r="H17" s="451">
        <v>1</v>
      </c>
      <c r="I17" s="451" t="s">
        <v>479</v>
      </c>
      <c r="J17" s="578" t="s">
        <v>427</v>
      </c>
      <c r="K17" s="578">
        <v>3</v>
      </c>
      <c r="L17" s="580">
        <v>183.26297491929475</v>
      </c>
      <c r="M17" s="589">
        <v>1522.7799999999997</v>
      </c>
      <c r="N17" s="590">
        <f>(M17/(10^2))/(CFMS!Q17/1000)</f>
        <v>41.267750677506768</v>
      </c>
      <c r="O17" s="590">
        <f>VLOOKUP(A17,'Tabla resumen diametros'!A15:P233,13,FALSE)</f>
        <v>8.683333333333336E-2</v>
      </c>
      <c r="P17" s="632">
        <f>VLOOKUP($A17,'Tabla resumen alturas'!$A$2:$N$219,13,FALSE)</f>
        <v>0.73999999999999966</v>
      </c>
      <c r="Q17" s="605">
        <f>VLOOKUP(A17,'Tabla resumen diametros'!A15:P233,14,FALSE)</f>
        <v>0.26050000000000006</v>
      </c>
      <c r="R17" s="592">
        <f>VLOOKUP($A17,'Tabla resumen alturas'!$A$2:$N$219,14,FALSE)</f>
        <v>2.2199999999999989</v>
      </c>
    </row>
    <row r="18" spans="1:18">
      <c r="A18" s="550">
        <v>50767</v>
      </c>
      <c r="B18" s="507">
        <v>4</v>
      </c>
      <c r="C18" s="601">
        <v>2</v>
      </c>
      <c r="D18" s="579" t="s">
        <v>126</v>
      </c>
      <c r="E18" s="578" t="s">
        <v>426</v>
      </c>
      <c r="F18" s="614">
        <v>16</v>
      </c>
      <c r="G18" s="451" t="s">
        <v>127</v>
      </c>
      <c r="H18" s="451">
        <v>3</v>
      </c>
      <c r="I18" s="451" t="s">
        <v>479</v>
      </c>
      <c r="J18" s="578" t="s">
        <v>426</v>
      </c>
      <c r="K18" s="578">
        <v>1</v>
      </c>
      <c r="L18" s="580">
        <v>348.95298175185388</v>
      </c>
      <c r="M18" s="589">
        <v>9427.66</v>
      </c>
      <c r="N18" s="590">
        <f>(M18/(10^2))/(CFMS!Q18/1000)</f>
        <v>21.519424788860992</v>
      </c>
      <c r="O18" s="590">
        <f>VLOOKUP(A18,'Tabla resumen diametros'!A16:P234,13,FALSE)</f>
        <v>0.27766666666666667</v>
      </c>
      <c r="P18" s="632">
        <f>VLOOKUP($A18,'Tabla resumen alturas'!$A$2:$N$219,13,FALSE)</f>
        <v>1.5</v>
      </c>
      <c r="Q18" s="605">
        <f>VLOOKUP(A18,'Tabla resumen diametros'!A16:P234,14,FALSE)</f>
        <v>0.83300000000000007</v>
      </c>
      <c r="R18" s="592">
        <f>VLOOKUP($A18,'Tabla resumen alturas'!$A$2:$N$219,14,FALSE)</f>
        <v>4.5</v>
      </c>
    </row>
    <row r="19" spans="1:18">
      <c r="A19" s="550">
        <v>50206</v>
      </c>
      <c r="B19" s="507">
        <v>7</v>
      </c>
      <c r="C19" s="601">
        <v>18</v>
      </c>
      <c r="D19" s="584" t="s">
        <v>230</v>
      </c>
      <c r="E19" s="586" t="s">
        <v>255</v>
      </c>
      <c r="F19" s="614">
        <v>17</v>
      </c>
      <c r="G19" s="451" t="s">
        <v>231</v>
      </c>
      <c r="H19" s="451">
        <v>4</v>
      </c>
      <c r="I19" s="451" t="s">
        <v>479</v>
      </c>
      <c r="J19" s="586" t="s">
        <v>255</v>
      </c>
      <c r="K19" s="586">
        <v>5</v>
      </c>
      <c r="L19" s="580">
        <v>343.24468349050397</v>
      </c>
      <c r="M19" s="589">
        <v>22806.199999999997</v>
      </c>
      <c r="N19" s="590">
        <f>(M19/(10^2))/(CFMS!Q19/1000)</f>
        <v>14.33477689711308</v>
      </c>
      <c r="O19" s="590">
        <f>VLOOKUP(A19,'Tabla resumen diametros'!A17:P235,13,FALSE)</f>
        <v>0</v>
      </c>
      <c r="P19" s="632">
        <f>VLOOKUP($A19,'Tabla resumen alturas'!$A$2:$N$219,13,FALSE)</f>
        <v>10.816666666666668</v>
      </c>
      <c r="Q19" s="605">
        <f>VLOOKUP(A$19,'Tabla resumen diametros'!A$17:P$235,14,FALSE)</f>
        <v>0</v>
      </c>
      <c r="R19" s="592">
        <f>VLOOKUP($A19,'Tabla resumen alturas'!$A$2:$N$219,14,FALSE)</f>
        <v>32.450000000000003</v>
      </c>
    </row>
    <row r="20" spans="1:18">
      <c r="A20" s="550">
        <v>50535</v>
      </c>
      <c r="B20" s="507">
        <v>3</v>
      </c>
      <c r="C20" s="601">
        <v>18</v>
      </c>
      <c r="D20" s="581" t="s">
        <v>114</v>
      </c>
      <c r="E20" s="578" t="s">
        <v>427</v>
      </c>
      <c r="F20" s="614">
        <v>18</v>
      </c>
      <c r="G20" s="451" t="s">
        <v>115</v>
      </c>
      <c r="H20" s="451">
        <v>1</v>
      </c>
      <c r="I20" s="451" t="s">
        <v>479</v>
      </c>
      <c r="J20" s="578" t="s">
        <v>427</v>
      </c>
      <c r="K20" s="578">
        <v>3</v>
      </c>
      <c r="L20" s="580">
        <v>293.11809685641458</v>
      </c>
      <c r="M20" s="589">
        <v>207.54000000000002</v>
      </c>
      <c r="N20" s="590">
        <f>(M20/(10^2))/(CFMS!Q20/1000)</f>
        <v>30.078260869565216</v>
      </c>
      <c r="O20" s="590">
        <f>VLOOKUP(A20,'Tabla resumen diametros'!A18:P236,13,FALSE)</f>
        <v>1.5000000000000005E-2</v>
      </c>
      <c r="P20" s="632">
        <f>VLOOKUP($A20,'Tabla resumen alturas'!$A$2:$N$219,13,FALSE)</f>
        <v>2.6666666666666665</v>
      </c>
      <c r="Q20" s="605">
        <f>VLOOKUP(A20,'Tabla resumen diametros'!A18:P236,14,FALSE)</f>
        <v>4.5000000000000012E-2</v>
      </c>
      <c r="R20" s="592">
        <f>VLOOKUP($A20,'Tabla resumen alturas'!$A$2:$N$219,14,FALSE)</f>
        <v>8</v>
      </c>
    </row>
    <row r="21" spans="1:18">
      <c r="A21" s="550">
        <v>50758</v>
      </c>
      <c r="B21" s="507">
        <v>3</v>
      </c>
      <c r="C21" s="601">
        <v>19</v>
      </c>
      <c r="D21" s="581" t="s">
        <v>112</v>
      </c>
      <c r="E21" s="578" t="s">
        <v>427</v>
      </c>
      <c r="F21" s="614">
        <v>19</v>
      </c>
      <c r="G21" s="451" t="s">
        <v>113</v>
      </c>
      <c r="H21" s="451">
        <v>2</v>
      </c>
      <c r="I21" s="451"/>
      <c r="J21" s="578" t="s">
        <v>427</v>
      </c>
      <c r="K21" s="578">
        <v>3</v>
      </c>
      <c r="L21" s="580">
        <v>156.62448671750607</v>
      </c>
      <c r="M21" s="589">
        <v>5907.619999999999</v>
      </c>
      <c r="N21" s="590">
        <f>(M21/(10^2))/(CFMS!Q21/1000)</f>
        <v>31.608453718566075</v>
      </c>
      <c r="O21" s="590">
        <f>VLOOKUP(A21,'Tabla resumen diametros'!A19:P237,13,FALSE)</f>
        <v>4.7223809523809557E-2</v>
      </c>
      <c r="P21" s="632">
        <f>VLOOKUP($A21,'Tabla resumen alturas'!$A$2:$N$219,13,FALSE)</f>
        <v>3.7366666666666646</v>
      </c>
      <c r="Q21" s="605">
        <f>VLOOKUP(A21,'Tabla resumen diametros'!A19:P237,14,FALSE)</f>
        <v>0.14167142857142867</v>
      </c>
      <c r="R21" s="592">
        <f>VLOOKUP($A21,'Tabla resumen alturas'!$A$2:$N$219,14,FALSE)</f>
        <v>11.209999999999994</v>
      </c>
    </row>
    <row r="22" spans="1:18">
      <c r="A22" s="550">
        <v>50467</v>
      </c>
      <c r="B22" s="507">
        <v>1</v>
      </c>
      <c r="C22" s="601">
        <v>17</v>
      </c>
      <c r="D22" s="579" t="s">
        <v>60</v>
      </c>
      <c r="E22" s="586" t="s">
        <v>426</v>
      </c>
      <c r="F22" s="614">
        <v>20</v>
      </c>
      <c r="G22" s="451" t="s">
        <v>61</v>
      </c>
      <c r="H22" s="451">
        <v>2</v>
      </c>
      <c r="I22" s="451" t="s">
        <v>479</v>
      </c>
      <c r="J22" s="586" t="s">
        <v>426</v>
      </c>
      <c r="K22" s="578">
        <v>1</v>
      </c>
      <c r="L22" s="580">
        <v>307.38160626967641</v>
      </c>
      <c r="M22" s="589">
        <v>7428.98</v>
      </c>
      <c r="N22" s="590">
        <f>(M22/(10^2))/(CFMS!Q22/1000)</f>
        <v>16.189021334088782</v>
      </c>
      <c r="O22" s="590">
        <f>VLOOKUP(A22,'Tabla resumen diametros'!A20:P238,13,FALSE)</f>
        <v>8.566666666666686E-3</v>
      </c>
      <c r="P22" s="632">
        <f>VLOOKUP($A22,'Tabla resumen alturas'!$A$2:$N$219,13,FALSE)</f>
        <v>1.7333333333333296</v>
      </c>
      <c r="Q22" s="605">
        <f>VLOOKUP(A22,'Tabla resumen diametros'!A20:P238,14,FALSE)</f>
        <v>2.5700000000000056E-2</v>
      </c>
      <c r="R22" s="592">
        <f>VLOOKUP($A22,'Tabla resumen alturas'!$A$2:$N$219,14,FALSE)</f>
        <v>5.1999999999999886</v>
      </c>
    </row>
    <row r="23" spans="1:18">
      <c r="A23" s="550">
        <v>50764</v>
      </c>
      <c r="B23" s="507">
        <v>2</v>
      </c>
      <c r="C23" s="601">
        <v>9</v>
      </c>
      <c r="D23" s="579" t="s">
        <v>60</v>
      </c>
      <c r="E23" s="578" t="s">
        <v>426</v>
      </c>
      <c r="F23" s="614">
        <v>21</v>
      </c>
      <c r="G23" s="451" t="s">
        <v>71</v>
      </c>
      <c r="H23" s="451">
        <v>4</v>
      </c>
      <c r="I23" s="451" t="s">
        <v>479</v>
      </c>
      <c r="J23" s="578" t="s">
        <v>426</v>
      </c>
      <c r="K23" s="578">
        <v>1</v>
      </c>
      <c r="L23" s="580">
        <v>243.56939811569305</v>
      </c>
      <c r="M23" s="589">
        <v>21181.100000000002</v>
      </c>
      <c r="N23" s="590">
        <f>(M23/(10^2))/(CFMS!Q23/1000)</f>
        <v>16.747924408950741</v>
      </c>
      <c r="O23" s="590">
        <f>VLOOKUP(A23,'Tabla resumen diametros'!A21:P239,13,FALSE)</f>
        <v>4.4985185185185239E-2</v>
      </c>
      <c r="P23" s="632">
        <f>VLOOKUP($A23,'Tabla resumen alturas'!$A$2:$N$219,13,FALSE)</f>
        <v>8.329999999999993</v>
      </c>
      <c r="Q23" s="605">
        <f>VLOOKUP(A23,'Tabla resumen diametros'!A21:P239,14,FALSE)</f>
        <v>0.13495555555555572</v>
      </c>
      <c r="R23" s="592">
        <f>VLOOKUP($A23,'Tabla resumen alturas'!$A$2:$N$219,14,FALSE)</f>
        <v>24.989999999999981</v>
      </c>
    </row>
    <row r="24" spans="1:18">
      <c r="A24" s="550">
        <v>50267</v>
      </c>
      <c r="B24" s="507">
        <v>1</v>
      </c>
      <c r="C24" s="601">
        <v>13</v>
      </c>
      <c r="D24" s="581" t="s">
        <v>32</v>
      </c>
      <c r="E24" s="578" t="s">
        <v>427</v>
      </c>
      <c r="F24" s="614">
        <v>22</v>
      </c>
      <c r="G24" s="451" t="s">
        <v>33</v>
      </c>
      <c r="H24" s="451">
        <v>2</v>
      </c>
      <c r="I24" s="451" t="s">
        <v>479</v>
      </c>
      <c r="J24" s="578" t="s">
        <v>427</v>
      </c>
      <c r="K24" s="578">
        <v>3</v>
      </c>
      <c r="L24" s="580">
        <v>338.34262493951064</v>
      </c>
      <c r="M24" s="589">
        <v>7122.579999999999</v>
      </c>
      <c r="N24" s="590">
        <f>(M24/(10^2))/(CFMS!Q24/1000)</f>
        <v>13.954898119122255</v>
      </c>
      <c r="O24" s="590">
        <f>VLOOKUP(A24,'Tabla resumen diametros'!A22:P240,13,FALSE)</f>
        <v>3.4499999999999975E-2</v>
      </c>
      <c r="P24" s="632">
        <f>VLOOKUP($A24,'Tabla resumen alturas'!$A$2:$N$219,13,FALSE)</f>
        <v>5.083333333333333</v>
      </c>
      <c r="Q24" s="605">
        <f>VLOOKUP(A24,'Tabla resumen diametros'!A22:P240,14,FALSE)</f>
        <v>0.10349999999999993</v>
      </c>
      <c r="R24" s="592">
        <f>VLOOKUP($A24,'Tabla resumen alturas'!$A$2:$N$219,14,FALSE)</f>
        <v>15.25</v>
      </c>
    </row>
    <row r="25" spans="1:18">
      <c r="A25" s="550">
        <v>50851</v>
      </c>
      <c r="B25" s="507">
        <v>4</v>
      </c>
      <c r="C25" s="601">
        <v>15</v>
      </c>
      <c r="D25" s="582" t="s">
        <v>153</v>
      </c>
      <c r="E25" s="578" t="s">
        <v>428</v>
      </c>
      <c r="F25" s="614">
        <v>23</v>
      </c>
      <c r="G25" s="451" t="s">
        <v>154</v>
      </c>
      <c r="H25" s="451">
        <v>1</v>
      </c>
      <c r="I25" s="451" t="s">
        <v>479</v>
      </c>
      <c r="J25" s="578" t="s">
        <v>428</v>
      </c>
      <c r="K25" s="586">
        <v>2</v>
      </c>
      <c r="L25" s="580">
        <v>367.61249783539074</v>
      </c>
      <c r="M25" s="589">
        <v>1616.0400000000002</v>
      </c>
      <c r="N25" s="590">
        <f>(M25/(10^2))/(CFMS!Q25/1000)</f>
        <v>10.875100942126515</v>
      </c>
      <c r="O25" s="590">
        <f>VLOOKUP(A25,'Tabla resumen diametros'!A23:P241,13,FALSE)</f>
        <v>0.15233333333333335</v>
      </c>
      <c r="P25" s="632">
        <f>VLOOKUP($A25,'Tabla resumen alturas'!$A$2:$N$219,13,FALSE)</f>
        <v>4.5333333333333341</v>
      </c>
      <c r="Q25" s="605">
        <f>VLOOKUP(A25,'Tabla resumen diametros'!A23:P241,14,FALSE)</f>
        <v>0.45700000000000007</v>
      </c>
      <c r="R25" s="592">
        <f>VLOOKUP($A25,'Tabla resumen alturas'!$A$2:$N$219,14,FALSE)</f>
        <v>13.600000000000001</v>
      </c>
    </row>
    <row r="26" spans="1:18">
      <c r="A26" s="555">
        <v>50632</v>
      </c>
      <c r="B26" s="507">
        <v>2</v>
      </c>
      <c r="C26" s="601">
        <v>3</v>
      </c>
      <c r="D26" s="579" t="s">
        <v>66</v>
      </c>
      <c r="E26" s="578" t="s">
        <v>426</v>
      </c>
      <c r="F26" s="614">
        <v>24</v>
      </c>
      <c r="G26" s="451" t="s">
        <v>355</v>
      </c>
      <c r="H26" s="451">
        <v>5</v>
      </c>
      <c r="I26" s="451"/>
      <c r="J26" s="578" t="s">
        <v>426</v>
      </c>
      <c r="K26" s="578">
        <v>1</v>
      </c>
      <c r="L26" s="580">
        <v>247.33284689505246</v>
      </c>
      <c r="M26" s="589">
        <v>14741.880000000001</v>
      </c>
      <c r="N26" s="590">
        <f>(M26/(10^2))/(CFMS!Q26/1000)</f>
        <v>8.9485735097729755</v>
      </c>
      <c r="O26" s="590">
        <f>VLOOKUP(A26,'Tabla resumen diametros'!A24:P242,13,FALSE)</f>
        <v>7.2111111111110571E-3</v>
      </c>
      <c r="P26" s="632">
        <f>VLOOKUP($A26,'Tabla resumen alturas'!$A$2:$N$219,13,FALSE)</f>
        <v>1</v>
      </c>
      <c r="Q26" s="605">
        <f>VLOOKUP(A26,'Tabla resumen diametros'!A24:P242,14,FALSE)</f>
        <v>2.1633333333333171E-2</v>
      </c>
      <c r="R26" s="592">
        <f>VLOOKUP($A26,'Tabla resumen alturas'!$A$2:$N$219,14,FALSE)</f>
        <v>3</v>
      </c>
    </row>
    <row r="27" spans="1:18">
      <c r="A27" s="550">
        <v>50323</v>
      </c>
      <c r="B27" s="507">
        <v>7</v>
      </c>
      <c r="C27" s="601">
        <v>13</v>
      </c>
      <c r="D27" s="579" t="s">
        <v>66</v>
      </c>
      <c r="E27" s="578" t="s">
        <v>426</v>
      </c>
      <c r="F27" s="614">
        <v>25</v>
      </c>
      <c r="G27" s="451" t="s">
        <v>67</v>
      </c>
      <c r="H27" s="451">
        <v>3</v>
      </c>
      <c r="I27" s="451" t="s">
        <v>479</v>
      </c>
      <c r="J27" s="578" t="s">
        <v>426</v>
      </c>
      <c r="K27" s="578">
        <v>1</v>
      </c>
      <c r="L27" s="580">
        <v>229.49302071601653</v>
      </c>
      <c r="M27" s="589">
        <v>8892.1999999999989</v>
      </c>
      <c r="N27" s="590">
        <f>(M27/(10^2))/(CFMS!Q27/1000)</f>
        <v>8.2648945069244331</v>
      </c>
      <c r="O27" s="590">
        <f>VLOOKUP(A27,'Tabla resumen diametros'!A25:P243,13,FALSE)</f>
        <v>0.23588888888888881</v>
      </c>
      <c r="P27" s="632">
        <f>VLOOKUP($A27,'Tabla resumen alturas'!$A$2:$N$219,13,FALSE)</f>
        <v>1.2333333333333332</v>
      </c>
      <c r="Q27" s="605">
        <f>VLOOKUP(A27,'Tabla resumen diametros'!A25:P243,14,FALSE)</f>
        <v>0.70766666666666644</v>
      </c>
      <c r="R27" s="592">
        <f>VLOOKUP($A27,'Tabla resumen alturas'!$A$2:$N$219,14,FALSE)</f>
        <v>3.6999999999999993</v>
      </c>
    </row>
    <row r="28" spans="1:18">
      <c r="A28" s="550">
        <v>50859</v>
      </c>
      <c r="B28" s="507">
        <v>3</v>
      </c>
      <c r="C28" s="601">
        <v>13</v>
      </c>
      <c r="D28" s="579" t="s">
        <v>105</v>
      </c>
      <c r="E28" s="578" t="s">
        <v>426</v>
      </c>
      <c r="F28" s="614">
        <v>26</v>
      </c>
      <c r="G28" s="451" t="s">
        <v>106</v>
      </c>
      <c r="H28" s="451">
        <v>1</v>
      </c>
      <c r="I28" s="451" t="s">
        <v>479</v>
      </c>
      <c r="J28" s="578" t="s">
        <v>426</v>
      </c>
      <c r="K28" s="578">
        <v>1</v>
      </c>
      <c r="L28" s="580">
        <v>323.99299474605959</v>
      </c>
      <c r="M28" s="589">
        <v>2522.5</v>
      </c>
      <c r="N28" s="590">
        <f>(M28/(10^2))/(CFMS!Q28/1000)</f>
        <v>45.450450450450447</v>
      </c>
      <c r="O28" s="590">
        <f>VLOOKUP(A28,'Tabla resumen diametros'!A26:P244,13,FALSE)</f>
        <v>5.2899999999999982E-2</v>
      </c>
      <c r="P28" s="632">
        <f>VLOOKUP($A28,'Tabla resumen alturas'!$A$2:$N$219,13,FALSE)</f>
        <v>7.5999999999999988</v>
      </c>
      <c r="Q28" s="605">
        <f>VLOOKUP(A28,'Tabla resumen diametros'!A26:P244,14,FALSE)</f>
        <v>0.15869999999999995</v>
      </c>
      <c r="R28" s="592">
        <f>VLOOKUP($A28,'Tabla resumen alturas'!$A$2:$N$219,14,FALSE)</f>
        <v>22.799999999999997</v>
      </c>
    </row>
    <row r="29" spans="1:18">
      <c r="A29" s="550">
        <v>50784</v>
      </c>
      <c r="B29" s="507">
        <v>3</v>
      </c>
      <c r="C29" s="601">
        <v>6</v>
      </c>
      <c r="D29" s="582" t="s">
        <v>91</v>
      </c>
      <c r="E29" s="578" t="s">
        <v>428</v>
      </c>
      <c r="F29" s="614">
        <v>27</v>
      </c>
      <c r="G29" s="451" t="s">
        <v>92</v>
      </c>
      <c r="H29" s="451">
        <v>1</v>
      </c>
      <c r="I29" s="451" t="s">
        <v>479</v>
      </c>
      <c r="J29" s="578" t="s">
        <v>428</v>
      </c>
      <c r="K29" s="586">
        <v>2</v>
      </c>
      <c r="L29" s="580">
        <v>281.79481621404022</v>
      </c>
      <c r="M29" s="589">
        <v>3055.3200000000006</v>
      </c>
      <c r="N29" s="590">
        <f>(M29/(10^2))/(CFMS!Q29/1000)</f>
        <v>16.787472527472531</v>
      </c>
      <c r="O29" s="590">
        <f>VLOOKUP(A29,'Tabla resumen diametros'!A27:P245,13,FALSE)</f>
        <v>1.6333333333333311E-2</v>
      </c>
      <c r="P29" s="632">
        <f>VLOOKUP($A29,'Tabla resumen alturas'!$A$2:$N$219,13,FALSE)</f>
        <v>3.25</v>
      </c>
      <c r="Q29" s="605">
        <f>VLOOKUP(A29,'Tabla resumen diametros'!A27:P245,14,FALSE)</f>
        <v>4.8999999999999932E-2</v>
      </c>
      <c r="R29" s="592">
        <f>VLOOKUP($A29,'Tabla resumen alturas'!$A$2:$N$219,14,FALSE)</f>
        <v>9.75</v>
      </c>
    </row>
    <row r="30" spans="1:18">
      <c r="A30" s="550">
        <v>50635</v>
      </c>
      <c r="B30" s="507">
        <v>7</v>
      </c>
      <c r="C30" s="601">
        <v>3</v>
      </c>
      <c r="D30" s="579" t="s">
        <v>208</v>
      </c>
      <c r="E30" s="578" t="s">
        <v>426</v>
      </c>
      <c r="F30" s="614">
        <v>28</v>
      </c>
      <c r="G30" s="451" t="s">
        <v>209</v>
      </c>
      <c r="H30" s="451">
        <v>2</v>
      </c>
      <c r="I30" s="451" t="s">
        <v>479</v>
      </c>
      <c r="J30" s="578" t="s">
        <v>426</v>
      </c>
      <c r="K30" s="578">
        <v>1</v>
      </c>
      <c r="L30" s="580">
        <v>288.47753848636273</v>
      </c>
      <c r="M30" s="589">
        <v>7453</v>
      </c>
      <c r="N30" s="590">
        <f>(M30/(10^2))/(CFMS!Q30/1000)</f>
        <v>13.027442754763154</v>
      </c>
      <c r="O30" s="590">
        <f>VLOOKUP(A30,'Tabla resumen diametros'!A28:P246,13,FALSE)</f>
        <v>7.020000000000011E-2</v>
      </c>
      <c r="P30" s="632">
        <f>VLOOKUP($A30,'Tabla resumen alturas'!$A$2:$N$219,13,FALSE)</f>
        <v>3.6766666666666672</v>
      </c>
      <c r="Q30" s="605">
        <f>VLOOKUP(A30,'Tabla resumen diametros'!A28:P246,14,FALSE)</f>
        <v>0.21060000000000034</v>
      </c>
      <c r="R30" s="592">
        <f>VLOOKUP($A30,'Tabla resumen alturas'!$A$2:$N$219,14,FALSE)</f>
        <v>11.030000000000001</v>
      </c>
    </row>
    <row r="31" spans="1:18">
      <c r="A31" s="550">
        <v>50663</v>
      </c>
      <c r="B31" s="507">
        <v>1</v>
      </c>
      <c r="C31" s="601">
        <v>9</v>
      </c>
      <c r="D31" s="582" t="s">
        <v>37</v>
      </c>
      <c r="E31" s="578" t="s">
        <v>428</v>
      </c>
      <c r="F31" s="614">
        <v>29</v>
      </c>
      <c r="G31" s="451" t="s">
        <v>38</v>
      </c>
      <c r="H31" s="451">
        <v>1</v>
      </c>
      <c r="I31" s="451" t="s">
        <v>479</v>
      </c>
      <c r="J31" s="578" t="s">
        <v>428</v>
      </c>
      <c r="K31" s="586">
        <v>2</v>
      </c>
      <c r="L31" s="580">
        <v>413.81045217281928</v>
      </c>
      <c r="M31" s="589">
        <v>1222.72</v>
      </c>
      <c r="N31" s="590">
        <f>(M31/(10^2))/(CFMS!Q31/1000)</f>
        <v>18.582370820668693</v>
      </c>
      <c r="O31" s="590">
        <f>'Tabla resumen diametros'!M80</f>
        <v>8.2666666666666666E-2</v>
      </c>
      <c r="P31" s="632">
        <f>'Tabla resumen alturas'!M80</f>
        <v>0.65666666666666629</v>
      </c>
      <c r="Q31" s="605">
        <f>'Tabla resumen diametros'!N80</f>
        <v>0.248</v>
      </c>
      <c r="R31" s="592">
        <f>'Tabla resumen alturas'!N80</f>
        <v>1.9699999999999989</v>
      </c>
    </row>
    <row r="32" spans="1:18">
      <c r="A32" s="550">
        <v>50716</v>
      </c>
      <c r="B32" s="507">
        <v>4</v>
      </c>
      <c r="C32" s="601">
        <v>6</v>
      </c>
      <c r="D32" s="579" t="s">
        <v>132</v>
      </c>
      <c r="E32" s="578" t="s">
        <v>426</v>
      </c>
      <c r="F32" s="614">
        <v>30</v>
      </c>
      <c r="G32" s="451" t="s">
        <v>133</v>
      </c>
      <c r="H32" s="451">
        <v>1</v>
      </c>
      <c r="I32" s="451" t="s">
        <v>479</v>
      </c>
      <c r="J32" s="578" t="s">
        <v>426</v>
      </c>
      <c r="K32" s="578">
        <v>1</v>
      </c>
      <c r="L32" s="580">
        <v>256.70945157526256</v>
      </c>
      <c r="M32" s="589">
        <v>1809.48</v>
      </c>
      <c r="N32" s="590">
        <f>(M32/(10^2))/(CFMS!Q32/1000)</f>
        <v>18.692975206611571</v>
      </c>
      <c r="O32" s="590">
        <f>VLOOKUP(A32,'Tabla resumen diametros'!A30:P248,13,FALSE)</f>
        <v>4.4666666666666639E-2</v>
      </c>
      <c r="P32" s="632">
        <f>VLOOKUP($A32,'Tabla resumen alturas'!$A$2:$N$219,13,FALSE)</f>
        <v>1.01</v>
      </c>
      <c r="Q32" s="605">
        <f>VLOOKUP(A32,'Tabla resumen diametros'!A30:P248,14,FALSE)</f>
        <v>0.13399999999999992</v>
      </c>
      <c r="R32" s="592">
        <f>VLOOKUP($A32,'Tabla resumen alturas'!$A$2:$N$219,14,FALSE)</f>
        <v>3.0300000000000002</v>
      </c>
    </row>
    <row r="33" spans="1:18">
      <c r="A33" s="550">
        <v>50881</v>
      </c>
      <c r="B33" s="507">
        <v>5</v>
      </c>
      <c r="C33" s="601">
        <v>8</v>
      </c>
      <c r="D33" s="582" t="s">
        <v>187</v>
      </c>
      <c r="E33" s="578" t="s">
        <v>428</v>
      </c>
      <c r="F33" s="614">
        <v>31</v>
      </c>
      <c r="G33" s="451" t="s">
        <v>188</v>
      </c>
      <c r="H33" s="451">
        <v>1</v>
      </c>
      <c r="I33" s="451" t="s">
        <v>479</v>
      </c>
      <c r="J33" s="578" t="s">
        <v>428</v>
      </c>
      <c r="K33" s="586">
        <v>2</v>
      </c>
      <c r="L33" s="580">
        <v>344.61726136017074</v>
      </c>
      <c r="M33" s="589">
        <v>338.17999999999995</v>
      </c>
      <c r="N33" s="590">
        <f>(M33/(10^2))/(CFMS!Q33/1000)</f>
        <v>29.927433628318582</v>
      </c>
      <c r="O33" s="590">
        <f>VLOOKUP(A33,'Tabla resumen diametros'!A31:P249,13,FALSE)</f>
        <v>0.11077777777777775</v>
      </c>
      <c r="P33" s="632">
        <f>VLOOKUP($A33,'Tabla resumen alturas'!$A$2:$N$219,13,FALSE)</f>
        <v>6.4799999999999995</v>
      </c>
      <c r="Q33" s="605">
        <f>VLOOKUP(A33,'Tabla resumen diametros'!A31:P249,14,FALSE)</f>
        <v>0.33233333333333326</v>
      </c>
      <c r="R33" s="592">
        <f>VLOOKUP($A33,'Tabla resumen alturas'!$A$2:$N$219,14,FALSE)</f>
        <v>19.439999999999998</v>
      </c>
    </row>
    <row r="34" spans="1:18">
      <c r="A34" s="550">
        <v>50886</v>
      </c>
      <c r="B34" s="507">
        <v>3</v>
      </c>
      <c r="C34" s="601">
        <v>8</v>
      </c>
      <c r="D34" s="579" t="s">
        <v>95</v>
      </c>
      <c r="E34" s="578" t="s">
        <v>426</v>
      </c>
      <c r="F34" s="614">
        <v>32</v>
      </c>
      <c r="G34" s="451" t="s">
        <v>96</v>
      </c>
      <c r="H34" s="451">
        <v>1</v>
      </c>
      <c r="I34" s="451" t="s">
        <v>479</v>
      </c>
      <c r="J34" s="578" t="s">
        <v>426</v>
      </c>
      <c r="K34" s="578">
        <v>1</v>
      </c>
      <c r="L34" s="580">
        <v>234.57996810535522</v>
      </c>
      <c r="M34" s="589">
        <v>2668.7799999999997</v>
      </c>
      <c r="N34" s="590">
        <f>(M34/(10^2))/(CFMS!Q34/1000)</f>
        <v>58.525877192982442</v>
      </c>
      <c r="O34" s="590">
        <f>VLOOKUP(A34,'Tabla resumen diametros'!A32:P250,13,FALSE)</f>
        <v>6.5466666666666631E-2</v>
      </c>
      <c r="P34" s="632">
        <f>VLOOKUP($A34,'Tabla resumen alturas'!$A$2:$N$219,13,FALSE)</f>
        <v>0.95999999999999963</v>
      </c>
      <c r="Q34" s="605">
        <f>VLOOKUP(A34,'Tabla resumen diametros'!A32:P250,14,FALSE)</f>
        <v>0.19639999999999991</v>
      </c>
      <c r="R34" s="592">
        <f>VLOOKUP($A34,'Tabla resumen alturas'!$A$2:$N$219,14,FALSE)</f>
        <v>2.879999999999999</v>
      </c>
    </row>
    <row r="35" spans="1:18">
      <c r="A35" s="550">
        <v>50847</v>
      </c>
      <c r="B35" s="507">
        <v>3</v>
      </c>
      <c r="C35" s="601">
        <v>14</v>
      </c>
      <c r="D35" s="582" t="s">
        <v>107</v>
      </c>
      <c r="E35" s="578" t="s">
        <v>428</v>
      </c>
      <c r="F35" s="614">
        <v>33</v>
      </c>
      <c r="G35" s="451" t="s">
        <v>108</v>
      </c>
      <c r="H35" s="451">
        <v>1</v>
      </c>
      <c r="I35" s="451" t="s">
        <v>479</v>
      </c>
      <c r="J35" s="578" t="s">
        <v>428</v>
      </c>
      <c r="K35" s="586">
        <v>2</v>
      </c>
      <c r="L35" s="580">
        <v>249.53789279112752</v>
      </c>
      <c r="M35" s="589">
        <v>66.28</v>
      </c>
      <c r="N35" s="590">
        <f>(M35/(10^2))/(CFMS!Q35/1000)</f>
        <v>24.548148148148151</v>
      </c>
      <c r="O35" s="590">
        <f>VLOOKUP(A35,'Tabla resumen diametros'!A33:P251,13,FALSE)</f>
        <v>0.1615</v>
      </c>
      <c r="P35" s="632">
        <f>VLOOKUP($A35,'Tabla resumen alturas'!$A$2:$N$219,13,FALSE)</f>
        <v>5.3666666666666671</v>
      </c>
      <c r="Q35" s="605">
        <f>VLOOKUP(A35,'Tabla resumen diametros'!A33:P251,14,FALSE)</f>
        <v>0.48449999999999999</v>
      </c>
      <c r="R35" s="592">
        <f>VLOOKUP($A35,'Tabla resumen alturas'!$A$2:$N$219,14,FALSE)</f>
        <v>16.100000000000001</v>
      </c>
    </row>
    <row r="36" spans="1:18">
      <c r="A36" s="550">
        <v>50844</v>
      </c>
      <c r="B36" s="507">
        <v>5</v>
      </c>
      <c r="C36" s="601">
        <v>7</v>
      </c>
      <c r="D36" s="582" t="s">
        <v>185</v>
      </c>
      <c r="E36" s="578" t="s">
        <v>428</v>
      </c>
      <c r="F36" s="614">
        <v>34</v>
      </c>
      <c r="G36" s="451" t="s">
        <v>186</v>
      </c>
      <c r="H36" s="451">
        <v>1</v>
      </c>
      <c r="I36" s="451" t="s">
        <v>479</v>
      </c>
      <c r="J36" s="578" t="s">
        <v>428</v>
      </c>
      <c r="K36" s="586">
        <v>2</v>
      </c>
      <c r="L36" s="580">
        <v>323.30489447687472</v>
      </c>
      <c r="M36" s="589">
        <v>697.06000000000006</v>
      </c>
      <c r="N36" s="590">
        <f>(M36/(10^2))/(CFMS!Q36/1000)</f>
        <v>19.362777777777783</v>
      </c>
      <c r="O36" s="590">
        <f>VLOOKUP(A36,'Tabla resumen diametros'!A34:P252,13,FALSE)</f>
        <v>0.2378518518518519</v>
      </c>
      <c r="P36" s="632">
        <f>VLOOKUP($A36,'Tabla resumen alturas'!$A$2:$N$219,13,FALSE)</f>
        <v>8.83</v>
      </c>
      <c r="Q36" s="605">
        <f>VLOOKUP(A36,'Tabla resumen diametros'!A34:P252,14,FALSE)</f>
        <v>0.71355555555555572</v>
      </c>
      <c r="R36" s="592">
        <f>VLOOKUP($A36,'Tabla resumen alturas'!$A$2:$N$219,14,FALSE)</f>
        <v>26.49</v>
      </c>
    </row>
    <row r="37" spans="1:18">
      <c r="A37" s="550">
        <v>50843</v>
      </c>
      <c r="B37" s="507">
        <v>4</v>
      </c>
      <c r="C37" s="601">
        <v>22</v>
      </c>
      <c r="D37" s="579" t="s">
        <v>179</v>
      </c>
      <c r="E37" s="578" t="s">
        <v>426</v>
      </c>
      <c r="F37" s="614">
        <v>35</v>
      </c>
      <c r="G37" s="451" t="s">
        <v>180</v>
      </c>
      <c r="H37" s="451">
        <v>2</v>
      </c>
      <c r="I37" s="451" t="s">
        <v>479</v>
      </c>
      <c r="J37" s="578" t="s">
        <v>426</v>
      </c>
      <c r="K37" s="578">
        <v>1</v>
      </c>
      <c r="L37" s="580">
        <v>231.62375415282392</v>
      </c>
      <c r="M37" s="589">
        <v>5195.9999999999991</v>
      </c>
      <c r="N37" s="590">
        <f>(M37/(10^2))/(CFMS!Q37/1000)</f>
        <v>23.290004482294933</v>
      </c>
      <c r="O37" s="590">
        <f>VLOOKUP(A37,'Tabla resumen diametros'!A35:P253,13,FALSE)</f>
        <v>0.20053333333333337</v>
      </c>
      <c r="P37" s="632">
        <f>VLOOKUP($A37,'Tabla resumen alturas'!$A$2:$N$219,13,FALSE)</f>
        <v>9.0333333333333332</v>
      </c>
      <c r="Q37" s="605">
        <f>VLOOKUP(A37,'Tabla resumen diametros'!A35:P253,14,FALSE)</f>
        <v>0.60160000000000013</v>
      </c>
      <c r="R37" s="592">
        <f>VLOOKUP($A37,'Tabla resumen alturas'!$A$2:$N$219,14,FALSE)</f>
        <v>27.1</v>
      </c>
    </row>
    <row r="38" spans="1:18">
      <c r="A38" s="550">
        <v>50662</v>
      </c>
      <c r="B38" s="507">
        <v>7</v>
      </c>
      <c r="C38" s="601">
        <v>12</v>
      </c>
      <c r="D38" s="579" t="s">
        <v>226</v>
      </c>
      <c r="E38" s="578" t="s">
        <v>426</v>
      </c>
      <c r="F38" s="614">
        <v>36</v>
      </c>
      <c r="G38" s="456" t="s">
        <v>408</v>
      </c>
      <c r="H38" s="456">
        <v>2</v>
      </c>
      <c r="I38" s="456" t="s">
        <v>479</v>
      </c>
      <c r="J38" s="578" t="s">
        <v>426</v>
      </c>
      <c r="K38" s="578">
        <v>1</v>
      </c>
      <c r="L38" s="580">
        <v>334.88399833005309</v>
      </c>
      <c r="M38" s="589">
        <v>5028.1600000000008</v>
      </c>
      <c r="N38" s="590">
        <f>(M38/(10^2))/(CFMS!Q38/1000)</f>
        <v>22.387177203918078</v>
      </c>
      <c r="O38" s="590">
        <f>VLOOKUP(A38,'Tabla resumen diametros'!A36:P254,13,FALSE)</f>
        <v>0.14233333333333331</v>
      </c>
      <c r="P38" s="632">
        <f>VLOOKUP($A38,'Tabla resumen alturas'!$A$2:$N$219,13,FALSE)</f>
        <v>15.666666666666666</v>
      </c>
      <c r="Q38" s="605">
        <f>VLOOKUP(A38,'Tabla resumen diametros'!A36:P254,14,FALSE)</f>
        <v>0.42699999999999994</v>
      </c>
      <c r="R38" s="592">
        <f>VLOOKUP($A38,'Tabla resumen alturas'!$A$2:$N$219,14,FALSE)</f>
        <v>47</v>
      </c>
    </row>
    <row r="39" spans="1:18">
      <c r="A39" s="550">
        <v>50875</v>
      </c>
      <c r="B39" s="507">
        <v>1</v>
      </c>
      <c r="C39" s="601">
        <v>14</v>
      </c>
      <c r="D39" s="583" t="s">
        <v>51</v>
      </c>
      <c r="E39" s="578" t="s">
        <v>429</v>
      </c>
      <c r="F39" s="614">
        <v>37</v>
      </c>
      <c r="G39" s="456" t="s">
        <v>419</v>
      </c>
      <c r="H39" s="456">
        <v>1</v>
      </c>
      <c r="I39" s="456"/>
      <c r="J39" s="578" t="s">
        <v>476</v>
      </c>
      <c r="K39" s="578">
        <v>4</v>
      </c>
      <c r="L39" s="580">
        <v>434.78260869565219</v>
      </c>
      <c r="M39" s="589">
        <v>115.36</v>
      </c>
      <c r="N39" s="590">
        <f>(M39/(10^2))/(CFMS!Q39/1000)</f>
        <v>15.58918918918919</v>
      </c>
      <c r="O39" s="590">
        <f>VLOOKUP(A39,'Tabla resumen diametros'!A37:P255,13,FALSE)</f>
        <v>2.1333333333333343E-2</v>
      </c>
      <c r="P39" s="632">
        <f>VLOOKUP($A39,'Tabla resumen alturas'!$A$2:$N$219,13,FALSE)</f>
        <v>0.63333333333333341</v>
      </c>
      <c r="Q39" s="605">
        <f>VLOOKUP(A39,'Tabla resumen diametros'!A37:P255,14,FALSE)</f>
        <v>6.4000000000000029E-2</v>
      </c>
      <c r="R39" s="592">
        <f>VLOOKUP($A39,'Tabla resumen alturas'!$A$2:$N$219,14,FALSE)</f>
        <v>1.9000000000000004</v>
      </c>
    </row>
    <row r="40" spans="1:18">
      <c r="A40" s="550">
        <v>50555</v>
      </c>
      <c r="B40" s="507">
        <v>3</v>
      </c>
      <c r="C40" s="601">
        <v>2</v>
      </c>
      <c r="D40" s="579" t="s">
        <v>81</v>
      </c>
      <c r="E40" s="578" t="s">
        <v>426</v>
      </c>
      <c r="F40" s="614">
        <v>38</v>
      </c>
      <c r="G40" s="451" t="s">
        <v>82</v>
      </c>
      <c r="H40" s="451">
        <v>2</v>
      </c>
      <c r="I40" s="451" t="s">
        <v>479</v>
      </c>
      <c r="J40" s="578" t="s">
        <v>426</v>
      </c>
      <c r="K40" s="578">
        <v>1</v>
      </c>
      <c r="L40" s="580">
        <v>209.09611243856128</v>
      </c>
      <c r="M40" s="589">
        <v>7485.76</v>
      </c>
      <c r="N40" s="590">
        <f>(M40/(10^2))/(CFMS!Q40/1000)</f>
        <v>16.262785140126006</v>
      </c>
      <c r="O40" s="590">
        <f>VLOOKUP(A40,'Tabla resumen diametros'!A38:P256,13,FALSE)</f>
        <v>8.3666666666666709E-2</v>
      </c>
      <c r="P40" s="632">
        <f>VLOOKUP($A40,'Tabla resumen alturas'!$A$2:$N$219,13,FALSE)</f>
        <v>4.333333333333333</v>
      </c>
      <c r="Q40" s="605">
        <f>VLOOKUP(A40,'Tabla resumen diametros'!A38:P256,14,FALSE)</f>
        <v>0.25100000000000011</v>
      </c>
      <c r="R40" s="592">
        <f>VLOOKUP($A40,'Tabla resumen alturas'!$A$2:$N$219,14,FALSE)</f>
        <v>13</v>
      </c>
    </row>
    <row r="41" spans="1:18">
      <c r="A41" s="550">
        <v>50779</v>
      </c>
      <c r="B41" s="507">
        <v>7</v>
      </c>
      <c r="C41" s="601">
        <v>18</v>
      </c>
      <c r="D41" s="584" t="s">
        <v>451</v>
      </c>
      <c r="E41" s="586" t="s">
        <v>255</v>
      </c>
      <c r="F41" s="614">
        <v>39</v>
      </c>
      <c r="G41" s="451" t="s">
        <v>356</v>
      </c>
      <c r="H41" s="451">
        <v>2</v>
      </c>
      <c r="I41" s="451" t="s">
        <v>479</v>
      </c>
      <c r="J41" s="586" t="s">
        <v>255</v>
      </c>
      <c r="K41" s="586">
        <v>5</v>
      </c>
      <c r="L41" s="580">
        <v>381.78942611839136</v>
      </c>
      <c r="M41" s="589">
        <v>5507.1600000000008</v>
      </c>
      <c r="N41" s="590">
        <f>(M41/(10^2))/(CFMS!Q41/1000)</f>
        <v>13.036240975263347</v>
      </c>
      <c r="O41" s="590">
        <f>VLOOKUP(A41,'Tabla resumen diametros'!A39:P257,13,FALSE)</f>
        <v>0</v>
      </c>
      <c r="P41" s="632">
        <f>VLOOKUP($A41,'Tabla resumen alturas'!$A$2:$N$219,13,FALSE)</f>
        <v>3.776666666666666</v>
      </c>
      <c r="Q41" s="605">
        <f>VLOOKUP(A41,'Tabla resumen diametros'!A39:P257,14,FALSE)</f>
        <v>0</v>
      </c>
      <c r="R41" s="592">
        <f>VLOOKUP($A41,'Tabla resumen alturas'!$A$2:$N$219,14,FALSE)</f>
        <v>11.329999999999998</v>
      </c>
    </row>
    <row r="42" spans="1:18">
      <c r="A42" s="550">
        <v>50832</v>
      </c>
      <c r="B42" s="507">
        <v>3</v>
      </c>
      <c r="C42" s="601">
        <v>2</v>
      </c>
      <c r="D42" s="581" t="s">
        <v>85</v>
      </c>
      <c r="E42" s="578" t="s">
        <v>427</v>
      </c>
      <c r="F42" s="614">
        <v>40</v>
      </c>
      <c r="G42" s="451" t="s">
        <v>86</v>
      </c>
      <c r="H42" s="451">
        <v>1</v>
      </c>
      <c r="I42" s="451" t="s">
        <v>479</v>
      </c>
      <c r="J42" s="578" t="s">
        <v>427</v>
      </c>
      <c r="K42" s="578">
        <v>3</v>
      </c>
      <c r="L42" s="580">
        <v>494.34187016080995</v>
      </c>
      <c r="M42" s="589">
        <v>232.05999999999997</v>
      </c>
      <c r="N42" s="590">
        <f>(M42/(10^2))/(CFMS!Q42/1000)</f>
        <v>13.979518072289155</v>
      </c>
      <c r="O42" s="590">
        <f>VLOOKUP(A42,'Tabla resumen diametros'!A40:P258,13,FALSE)</f>
        <v>3.6666666666666625E-2</v>
      </c>
      <c r="P42" s="632">
        <f>VLOOKUP($A42,'Tabla resumen alturas'!$A$2:$N$219,13,FALSE)</f>
        <v>11.233333333333334</v>
      </c>
      <c r="Q42" s="605">
        <f>VLOOKUP(A42,'Tabla resumen diametros'!A40:P258,14,FALSE)</f>
        <v>0.10999999999999988</v>
      </c>
      <c r="R42" s="592">
        <f>VLOOKUP($A42,'Tabla resumen alturas'!$A$2:$N$219,14,FALSE)</f>
        <v>33.700000000000003</v>
      </c>
    </row>
    <row r="43" spans="1:18">
      <c r="A43" s="550">
        <v>50837</v>
      </c>
      <c r="B43" s="507">
        <v>5</v>
      </c>
      <c r="C43" s="601">
        <v>10</v>
      </c>
      <c r="D43" s="581" t="s">
        <v>191</v>
      </c>
      <c r="E43" s="578" t="s">
        <v>427</v>
      </c>
      <c r="F43" s="614">
        <v>41</v>
      </c>
      <c r="G43" s="451" t="s">
        <v>413</v>
      </c>
      <c r="H43" s="451">
        <v>1</v>
      </c>
      <c r="I43" s="451" t="s">
        <v>479</v>
      </c>
      <c r="J43" s="578" t="s">
        <v>427</v>
      </c>
      <c r="K43" s="578">
        <v>3</v>
      </c>
      <c r="L43" s="580">
        <v>407.19696969696969</v>
      </c>
      <c r="M43" s="589">
        <v>75.58</v>
      </c>
      <c r="N43" s="590">
        <f>(M43/(10^2))/(CFMS!Q43/1000)</f>
        <v>17.576744186046515</v>
      </c>
      <c r="O43" s="590">
        <f>VLOOKUP(A43,'Tabla resumen diametros'!A41:P259,13,FALSE)</f>
        <v>4.2333333333333334E-2</v>
      </c>
      <c r="P43" s="632">
        <f>VLOOKUP($A43,'Tabla resumen alturas'!$A$2:$N$219,13,FALSE)</f>
        <v>1.5</v>
      </c>
      <c r="Q43" s="605">
        <f>VLOOKUP(A43,'Tabla resumen diametros'!A41:P259,14,FALSE)</f>
        <v>0.127</v>
      </c>
      <c r="R43" s="592">
        <f>VLOOKUP($A43,'Tabla resumen alturas'!$A$2:$N$219,14,FALSE)</f>
        <v>4.5</v>
      </c>
    </row>
    <row r="44" spans="1:18">
      <c r="A44" s="548">
        <v>50584</v>
      </c>
      <c r="B44" s="469"/>
      <c r="C44" s="602"/>
      <c r="D44" s="585"/>
      <c r="E44" s="586" t="s">
        <v>426</v>
      </c>
      <c r="F44" s="614">
        <v>42</v>
      </c>
      <c r="G44" s="456" t="s">
        <v>412</v>
      </c>
      <c r="H44" s="456">
        <v>2</v>
      </c>
      <c r="I44" s="456" t="s">
        <v>479</v>
      </c>
      <c r="J44" s="586" t="s">
        <v>426</v>
      </c>
      <c r="K44" s="578">
        <v>1</v>
      </c>
      <c r="L44" s="580">
        <v>243.61694534742631</v>
      </c>
      <c r="M44" s="589">
        <v>7947.26</v>
      </c>
      <c r="N44" s="590">
        <f>(M44/(10^2))/(CFMS!Q44/1000)</f>
        <v>21.166728812656476</v>
      </c>
      <c r="O44" s="590">
        <f>VLOOKUP(A44,'Tabla resumen diametros'!A42:P260,13,FALSE)</f>
        <v>6.3931109750141754E-2</v>
      </c>
      <c r="P44" s="632">
        <f>VLOOKUP($A44,'Tabla resumen alturas'!$A$2:$N$219,13,FALSE)</f>
        <v>4.3433333333333337</v>
      </c>
      <c r="Q44" s="605">
        <f>VLOOKUP(A44,'Tabla resumen diametros'!A42:P260,14,FALSE)</f>
        <v>0.19179332925042525</v>
      </c>
      <c r="R44" s="592">
        <f>VLOOKUP($A44,'Tabla resumen alturas'!$A$2:$N$219,14,FALSE)</f>
        <v>13.030000000000001</v>
      </c>
    </row>
    <row r="45" spans="1:18">
      <c r="A45" s="550">
        <v>50703</v>
      </c>
      <c r="B45" s="507">
        <v>6</v>
      </c>
      <c r="C45" s="601">
        <v>1</v>
      </c>
      <c r="D45" s="579" t="s">
        <v>195</v>
      </c>
      <c r="E45" s="578" t="s">
        <v>426</v>
      </c>
      <c r="F45" s="614">
        <v>43</v>
      </c>
      <c r="G45" s="451" t="s">
        <v>196</v>
      </c>
      <c r="H45" s="451">
        <v>4</v>
      </c>
      <c r="I45" s="451" t="s">
        <v>479</v>
      </c>
      <c r="J45" s="578" t="s">
        <v>426</v>
      </c>
      <c r="K45" s="578">
        <v>1</v>
      </c>
      <c r="L45" s="580">
        <v>332.01402966824338</v>
      </c>
      <c r="M45" s="589">
        <v>21437.52</v>
      </c>
      <c r="N45" s="590">
        <f>(M45/(10^2))/(CFMS!Q45/1000)</f>
        <v>20.776817212638111</v>
      </c>
      <c r="O45" s="590">
        <f>VLOOKUP(A45,'Tabla resumen diametros'!A43:P261,13,FALSE)</f>
        <v>3.7047619047619072E-2</v>
      </c>
      <c r="P45" s="632">
        <f>VLOOKUP($A45,'Tabla resumen alturas'!$A$2:$N$219,13,FALSE)</f>
        <v>4.6366666666666703</v>
      </c>
      <c r="Q45" s="605">
        <f>VLOOKUP(A45,'Tabla resumen diametros'!A43:P261,14,FALSE)</f>
        <v>0.11114285714285721</v>
      </c>
      <c r="R45" s="592">
        <f>VLOOKUP($A45,'Tabla resumen alturas'!$A$2:$N$219,14,FALSE)</f>
        <v>13.910000000000011</v>
      </c>
    </row>
    <row r="46" spans="1:18">
      <c r="A46" s="550">
        <v>50831</v>
      </c>
      <c r="B46" s="507">
        <v>4</v>
      </c>
      <c r="C46" s="601">
        <v>18</v>
      </c>
      <c r="D46" s="579" t="s">
        <v>171</v>
      </c>
      <c r="E46" s="578" t="s">
        <v>426</v>
      </c>
      <c r="F46" s="614">
        <v>44</v>
      </c>
      <c r="G46" s="451" t="s">
        <v>172</v>
      </c>
      <c r="H46" s="451">
        <v>5</v>
      </c>
      <c r="I46" s="451" t="s">
        <v>479</v>
      </c>
      <c r="J46" s="578" t="s">
        <v>426</v>
      </c>
      <c r="K46" s="578">
        <v>1</v>
      </c>
      <c r="L46" s="580">
        <v>249.69452761377099</v>
      </c>
      <c r="M46" s="589">
        <v>17907.28</v>
      </c>
      <c r="N46" s="590">
        <f>(M46/(10^2))/(CFMS!Q46/1000)</f>
        <v>33.446544639521854</v>
      </c>
      <c r="O46" s="590">
        <f>VLOOKUP(A46,'Tabla resumen diametros'!A44:P262,13,FALSE)</f>
        <v>0.13831481481481486</v>
      </c>
      <c r="P46" s="632">
        <f>VLOOKUP($A46,'Tabla resumen alturas'!$A$2:$N$219,13,FALSE)</f>
        <v>7.7900000000000018</v>
      </c>
      <c r="Q46" s="605">
        <f>VLOOKUP(A46,'Tabla resumen diametros'!A44:P262,14,FALSE)</f>
        <v>0.41494444444444456</v>
      </c>
      <c r="R46" s="592">
        <f>VLOOKUP($A46,'Tabla resumen alturas'!$A$2:$N$219,14,FALSE)</f>
        <v>23.370000000000005</v>
      </c>
    </row>
    <row r="47" spans="1:18">
      <c r="A47" s="550">
        <v>50848</v>
      </c>
      <c r="B47" s="507">
        <v>3</v>
      </c>
      <c r="C47" s="601">
        <v>9</v>
      </c>
      <c r="D47" s="582" t="s">
        <v>99</v>
      </c>
      <c r="E47" s="578" t="s">
        <v>428</v>
      </c>
      <c r="F47" s="614">
        <v>45</v>
      </c>
      <c r="G47" s="451" t="s">
        <v>359</v>
      </c>
      <c r="H47" s="451">
        <v>1</v>
      </c>
      <c r="I47" s="451" t="s">
        <v>479</v>
      </c>
      <c r="J47" s="578" t="s">
        <v>428</v>
      </c>
      <c r="K47" s="586">
        <v>2</v>
      </c>
      <c r="L47" s="580">
        <v>205.53020553020551</v>
      </c>
      <c r="M47" s="589">
        <v>2742.02</v>
      </c>
      <c r="N47" s="590">
        <f>(M47/(10^2))/(CFMS!Q47/1000)</f>
        <v>26.015370018975332</v>
      </c>
      <c r="O47" s="590">
        <f>VLOOKUP(A47,'Tabla resumen diametros'!A45:P263,13,FALSE)</f>
        <v>6.916666666666664E-2</v>
      </c>
      <c r="P47" s="632">
        <f>VLOOKUP($A47,'Tabla resumen alturas'!$A$2:$N$219,13,FALSE)</f>
        <v>4.746666666666667</v>
      </c>
      <c r="Q47" s="605">
        <f>VLOOKUP(A47,'Tabla resumen diametros'!A45:P263,14,FALSE)</f>
        <v>0.20749999999999991</v>
      </c>
      <c r="R47" s="592">
        <f>VLOOKUP($A47,'Tabla resumen alturas'!$A$2:$N$219,14,FALSE)</f>
        <v>14.240000000000002</v>
      </c>
    </row>
    <row r="48" spans="1:18">
      <c r="A48" s="550">
        <v>50824</v>
      </c>
      <c r="B48" s="507">
        <v>8</v>
      </c>
      <c r="C48" s="601">
        <v>5</v>
      </c>
      <c r="D48" s="581" t="s">
        <v>142</v>
      </c>
      <c r="E48" s="578" t="s">
        <v>427</v>
      </c>
      <c r="F48" s="614">
        <v>46</v>
      </c>
      <c r="G48" s="451" t="s">
        <v>143</v>
      </c>
      <c r="H48" s="451">
        <v>1</v>
      </c>
      <c r="I48" s="451" t="s">
        <v>479</v>
      </c>
      <c r="J48" s="578" t="s">
        <v>427</v>
      </c>
      <c r="K48" s="578">
        <v>3</v>
      </c>
      <c r="L48" s="580">
        <v>146.73269131451832</v>
      </c>
      <c r="M48" s="589">
        <v>2158.06</v>
      </c>
      <c r="N48" s="590">
        <f>(M48/(10^2))/(CFMS!Q48/1000)</f>
        <v>44.680331262939958</v>
      </c>
      <c r="O48" s="590">
        <f>VLOOKUP(A48,'Tabla resumen diametros'!A46:P264,13,FALSE)</f>
        <v>0.04</v>
      </c>
      <c r="P48" s="632">
        <f>VLOOKUP($A48,'Tabla resumen alturas'!$A$2:$N$219,13,FALSE)</f>
        <v>1</v>
      </c>
      <c r="Q48" s="605">
        <f>VLOOKUP(A48,'Tabla resumen diametros'!A46:P264,14,FALSE)</f>
        <v>0.12</v>
      </c>
      <c r="R48" s="592">
        <f>VLOOKUP($A48,'Tabla resumen alturas'!$A$2:$N$219,14,FALSE)</f>
        <v>3</v>
      </c>
    </row>
    <row r="49" spans="1:18">
      <c r="A49" s="550">
        <v>50835</v>
      </c>
      <c r="B49" s="507">
        <v>6</v>
      </c>
      <c r="C49" s="601">
        <v>4</v>
      </c>
      <c r="D49" s="581" t="s">
        <v>203</v>
      </c>
      <c r="E49" s="578" t="s">
        <v>427</v>
      </c>
      <c r="F49" s="614">
        <v>47</v>
      </c>
      <c r="G49" s="451" t="s">
        <v>204</v>
      </c>
      <c r="H49" s="451">
        <v>1</v>
      </c>
      <c r="I49" s="451" t="s">
        <v>479</v>
      </c>
      <c r="J49" s="578" t="s">
        <v>427</v>
      </c>
      <c r="K49" s="578">
        <v>3</v>
      </c>
      <c r="L49" s="580">
        <v>190.15997585270148</v>
      </c>
      <c r="M49" s="589">
        <v>715.8</v>
      </c>
      <c r="N49" s="590">
        <f>(M49/(10^2))/(CFMS!Q49/1000)</f>
        <v>37.873015873015873</v>
      </c>
      <c r="O49" s="590">
        <f>'Tabla resumen diametros'!M122</f>
        <v>3.2100000000000017E-2</v>
      </c>
      <c r="P49" s="632">
        <f>'Tabla resumen alturas'!M122</f>
        <v>4.6833333333333327</v>
      </c>
      <c r="Q49" s="605">
        <f>'Tabla resumen diametros'!N122</f>
        <v>9.6300000000000052E-2</v>
      </c>
      <c r="R49" s="592">
        <f>'Tabla resumen alturas'!N122</f>
        <v>14.049999999999997</v>
      </c>
    </row>
    <row r="50" spans="1:18">
      <c r="A50" s="550">
        <v>50692</v>
      </c>
      <c r="B50" s="507">
        <v>3</v>
      </c>
      <c r="C50" s="601">
        <v>9</v>
      </c>
      <c r="D50" s="582" t="s">
        <v>100</v>
      </c>
      <c r="E50" s="578" t="s">
        <v>428</v>
      </c>
      <c r="F50" s="614">
        <v>48</v>
      </c>
      <c r="G50" s="451" t="s">
        <v>101</v>
      </c>
      <c r="H50" s="451">
        <v>1</v>
      </c>
      <c r="I50" s="451" t="s">
        <v>479</v>
      </c>
      <c r="J50" s="578" t="s">
        <v>428</v>
      </c>
      <c r="K50" s="586">
        <v>2</v>
      </c>
      <c r="L50" s="580">
        <v>321.61704669919345</v>
      </c>
      <c r="M50" s="589">
        <v>2056.56</v>
      </c>
      <c r="N50" s="590">
        <f>(M50/(10^2))/(CFMS!Q50/1000)</f>
        <v>31.835294117647059</v>
      </c>
      <c r="O50" s="590">
        <f>VLOOKUP(A50,'Tabla resumen diametros'!A48:P266,13,FALSE)</f>
        <v>5.7744444444444432E-2</v>
      </c>
      <c r="P50" s="632">
        <f>VLOOKUP($A50,'Tabla resumen alturas'!$A$2:$N$219,13,FALSE)</f>
        <v>3.3133333333333339</v>
      </c>
      <c r="Q50" s="605">
        <f>VLOOKUP(A50,'Tabla resumen diametros'!A48:P266,14,FALSE)</f>
        <v>0.17323333333333329</v>
      </c>
      <c r="R50" s="592">
        <f>VLOOKUP($A50,'Tabla resumen alturas'!$A$2:$N$219,14,FALSE)</f>
        <v>9.9400000000000013</v>
      </c>
    </row>
    <row r="51" spans="1:18">
      <c r="A51" s="550">
        <v>50776</v>
      </c>
      <c r="B51" s="507">
        <v>4</v>
      </c>
      <c r="C51" s="601">
        <v>15</v>
      </c>
      <c r="D51" s="582" t="s">
        <v>151</v>
      </c>
      <c r="E51" s="578" t="s">
        <v>428</v>
      </c>
      <c r="F51" s="614">
        <v>49</v>
      </c>
      <c r="G51" s="451" t="s">
        <v>152</v>
      </c>
      <c r="H51" s="451">
        <v>1</v>
      </c>
      <c r="I51" s="451" t="s">
        <v>479</v>
      </c>
      <c r="J51" s="578" t="s">
        <v>428</v>
      </c>
      <c r="K51" s="586">
        <v>2</v>
      </c>
      <c r="L51" s="580">
        <v>218.01876095247911</v>
      </c>
      <c r="M51" s="589">
        <v>869.14</v>
      </c>
      <c r="N51" s="590">
        <f>(M51/(10^2))/(CFMS!Q51/1000)</f>
        <v>20.547044917257683</v>
      </c>
      <c r="O51" s="590">
        <f>VLOOKUP(A51,'Tabla resumen diametros'!A49:P267,13,FALSE)</f>
        <v>0.22733333333333336</v>
      </c>
      <c r="P51" s="632">
        <f>VLOOKUP($A51,'Tabla resumen alturas'!$A$2:$N$219,13,FALSE)</f>
        <v>9.1666666666666661</v>
      </c>
      <c r="Q51" s="605">
        <f>VLOOKUP(A51,'Tabla resumen diametros'!A49:P267,14,FALSE)</f>
        <v>0.68200000000000005</v>
      </c>
      <c r="R51" s="592">
        <f>VLOOKUP($A51,'Tabla resumen alturas'!$A$2:$N$219,14,FALSE)</f>
        <v>27.5</v>
      </c>
    </row>
    <row r="52" spans="1:18">
      <c r="A52" s="550">
        <v>50658</v>
      </c>
      <c r="B52" s="507">
        <v>3</v>
      </c>
      <c r="C52" s="601">
        <v>11</v>
      </c>
      <c r="D52" s="581" t="s">
        <v>102</v>
      </c>
      <c r="E52" s="586" t="s">
        <v>427</v>
      </c>
      <c r="F52" s="614">
        <v>50</v>
      </c>
      <c r="G52" s="451" t="s">
        <v>104</v>
      </c>
      <c r="H52" s="451">
        <v>1</v>
      </c>
      <c r="I52" s="451" t="s">
        <v>479</v>
      </c>
      <c r="J52" s="586" t="s">
        <v>427</v>
      </c>
      <c r="K52" s="578">
        <v>3</v>
      </c>
      <c r="L52" s="580">
        <v>476.48190243049487</v>
      </c>
      <c r="M52" s="589">
        <v>381.66</v>
      </c>
      <c r="N52" s="590">
        <f>(M52/(10^2))/(CFMS!Q52/1000)</f>
        <v>14.005871559633027</v>
      </c>
      <c r="O52" s="590">
        <f>VLOOKUP(A52,'Tabla resumen diametros'!A50:P268,13,FALSE)</f>
        <v>0.10980000000000001</v>
      </c>
      <c r="P52" s="632">
        <f>VLOOKUP($A52,'Tabla resumen alturas'!$A$2:$N$219,13,FALSE)</f>
        <v>4.4000000000000012</v>
      </c>
      <c r="Q52" s="605">
        <f>VLOOKUP(A52,'Tabla resumen diametros'!A50:P268,14,FALSE)</f>
        <v>0.32940000000000003</v>
      </c>
      <c r="R52" s="592">
        <f>VLOOKUP($A52,'Tabla resumen alturas'!$A$2:$N$219,14,FALSE)</f>
        <v>13.200000000000003</v>
      </c>
    </row>
    <row r="53" spans="1:18">
      <c r="A53" s="550">
        <v>50821</v>
      </c>
      <c r="B53" s="507">
        <v>3</v>
      </c>
      <c r="C53" s="601">
        <v>11</v>
      </c>
      <c r="D53" s="582" t="s">
        <v>102</v>
      </c>
      <c r="E53" s="578" t="s">
        <v>428</v>
      </c>
      <c r="F53" s="614">
        <v>51</v>
      </c>
      <c r="G53" s="451" t="s">
        <v>103</v>
      </c>
      <c r="H53" s="451">
        <v>2</v>
      </c>
      <c r="I53" s="451"/>
      <c r="J53" s="578" t="s">
        <v>428</v>
      </c>
      <c r="K53" s="586">
        <v>2</v>
      </c>
      <c r="L53" s="580">
        <v>345.56180653227068</v>
      </c>
      <c r="M53" s="589">
        <v>3909.6400000000003</v>
      </c>
      <c r="N53" s="590">
        <f>(M53/(10^2))/(CFMS!Q53/1000)</f>
        <v>22.100847936687398</v>
      </c>
      <c r="O53" s="590">
        <f>VLOOKUP(A53,'Tabla resumen diametros'!A51:P269,13,FALSE)</f>
        <v>9.4999999999999932E-2</v>
      </c>
      <c r="P53" s="632">
        <f>VLOOKUP($A53,'Tabla resumen alturas'!$A$2:$N$219,13,FALSE)</f>
        <v>2.4099999999999988</v>
      </c>
      <c r="Q53" s="605">
        <f>VLOOKUP(A53,'Tabla resumen diametros'!A51:P269,14,FALSE)</f>
        <v>0.28499999999999981</v>
      </c>
      <c r="R53" s="592">
        <f>VLOOKUP($A53,'Tabla resumen alturas'!$A$2:$N$219,14,FALSE)</f>
        <v>7.2299999999999969</v>
      </c>
    </row>
    <row r="54" spans="1:18">
      <c r="A54" s="550">
        <v>50828</v>
      </c>
      <c r="B54" s="507">
        <v>4</v>
      </c>
      <c r="C54" s="601">
        <v>10</v>
      </c>
      <c r="D54" s="579" t="s">
        <v>138</v>
      </c>
      <c r="E54" s="578" t="s">
        <v>426</v>
      </c>
      <c r="F54" s="614">
        <v>52</v>
      </c>
      <c r="G54" s="451" t="s">
        <v>139</v>
      </c>
      <c r="H54" s="451">
        <v>1</v>
      </c>
      <c r="I54" s="451" t="s">
        <v>479</v>
      </c>
      <c r="J54" s="578" t="s">
        <v>426</v>
      </c>
      <c r="K54" s="578">
        <v>1</v>
      </c>
      <c r="L54" s="580">
        <v>389.04738967727593</v>
      </c>
      <c r="M54" s="589">
        <v>1366.94</v>
      </c>
      <c r="N54" s="590">
        <f>(M54/(10^2))/(CFMS!Q54/1000)</f>
        <v>13.018476190476191</v>
      </c>
      <c r="O54" s="590">
        <f>VLOOKUP(A54,'Tabla resumen diametros'!A52:P270,13,FALSE)</f>
        <v>5.3151851851851818E-2</v>
      </c>
      <c r="P54" s="632">
        <f>VLOOKUP($A54,'Tabla resumen alturas'!$A$2:$N$219,13,FALSE)</f>
        <v>8.9799999999999986</v>
      </c>
      <c r="Q54" s="605">
        <f>VLOOKUP(A54,'Tabla resumen diametros'!A52:P270,14,FALSE)</f>
        <v>0.15945555555555546</v>
      </c>
      <c r="R54" s="592">
        <f>VLOOKUP($A54,'Tabla resumen alturas'!$A$2:$N$219,14,FALSE)</f>
        <v>26.939999999999998</v>
      </c>
    </row>
    <row r="55" spans="1:18">
      <c r="A55" s="550">
        <v>50638</v>
      </c>
      <c r="B55" s="507">
        <v>4</v>
      </c>
      <c r="C55" s="601">
        <v>10</v>
      </c>
      <c r="D55" s="579" t="s">
        <v>140</v>
      </c>
      <c r="E55" s="578" t="s">
        <v>426</v>
      </c>
      <c r="F55" s="614">
        <v>53</v>
      </c>
      <c r="G55" s="456" t="s">
        <v>407</v>
      </c>
      <c r="H55" s="456">
        <v>1</v>
      </c>
      <c r="I55" s="456" t="s">
        <v>479</v>
      </c>
      <c r="J55" s="578" t="s">
        <v>426</v>
      </c>
      <c r="K55" s="578">
        <v>1</v>
      </c>
      <c r="L55" s="580">
        <v>423.06882761523889</v>
      </c>
      <c r="M55" s="589">
        <v>527.71999999999991</v>
      </c>
      <c r="N55" s="590">
        <f>(M55/(10^2))/(CFMS!Q55/1000)</f>
        <v>13.127363184079599</v>
      </c>
      <c r="O55" s="590">
        <f>VLOOKUP(A55,'Tabla resumen diametros'!A53:P271,13,FALSE)</f>
        <v>0.16155555555555545</v>
      </c>
      <c r="P55" s="632">
        <f>VLOOKUP($A55,'Tabla resumen alturas'!$A$2:$N$219,13,FALSE)</f>
        <v>5.3433333333333337</v>
      </c>
      <c r="Q55" s="605">
        <f>VLOOKUP(A55,'Tabla resumen diametros'!A53:P271,14,FALSE)</f>
        <v>0.48466666666666636</v>
      </c>
      <c r="R55" s="592">
        <f>VLOOKUP($A55,'Tabla resumen alturas'!$A$2:$N$219,14,FALSE)</f>
        <v>16.03</v>
      </c>
    </row>
    <row r="56" spans="1:18">
      <c r="A56" s="550">
        <v>50736</v>
      </c>
      <c r="B56" s="507">
        <v>2</v>
      </c>
      <c r="C56" s="601">
        <v>11</v>
      </c>
      <c r="D56" s="579" t="s">
        <v>74</v>
      </c>
      <c r="E56" s="578" t="s">
        <v>426</v>
      </c>
      <c r="F56" s="614">
        <v>54</v>
      </c>
      <c r="G56" s="451" t="s">
        <v>75</v>
      </c>
      <c r="H56" s="451">
        <v>2</v>
      </c>
      <c r="I56" s="451" t="s">
        <v>479</v>
      </c>
      <c r="J56" s="578" t="s">
        <v>426</v>
      </c>
      <c r="K56" s="578">
        <v>1</v>
      </c>
      <c r="L56" s="580">
        <v>419.50204955273307</v>
      </c>
      <c r="M56" s="589">
        <v>5241.5</v>
      </c>
      <c r="N56" s="590">
        <f>(M56/(10^2))/(CFMS!Q56/1000)</f>
        <v>12.614921780986762</v>
      </c>
      <c r="O56" s="590">
        <f>VLOOKUP(A56,'Tabla resumen diametros'!A54:P272,13,FALSE)</f>
        <v>1.6416666666666673E-2</v>
      </c>
      <c r="P56" s="632">
        <f>VLOOKUP($A56,'Tabla resumen alturas'!$A$2:$N$219,13,FALSE)</f>
        <v>1.2600000000000005</v>
      </c>
      <c r="Q56" s="605">
        <f>VLOOKUP(A56,'Tabla resumen diametros'!A54:P272,14,FALSE)</f>
        <v>4.9250000000000016E-2</v>
      </c>
      <c r="R56" s="592">
        <f>VLOOKUP($A56,'Tabla resumen alturas'!$A$2:$N$219,14,FALSE)</f>
        <v>3.7800000000000011</v>
      </c>
    </row>
    <row r="57" spans="1:18">
      <c r="A57" s="550">
        <v>50268</v>
      </c>
      <c r="B57" s="507">
        <v>4</v>
      </c>
      <c r="C57" s="601">
        <v>7</v>
      </c>
      <c r="D57" s="581" t="s">
        <v>134</v>
      </c>
      <c r="E57" s="578" t="s">
        <v>427</v>
      </c>
      <c r="F57" s="614">
        <v>55</v>
      </c>
      <c r="G57" s="451" t="s">
        <v>135</v>
      </c>
      <c r="H57" s="451">
        <v>1</v>
      </c>
      <c r="I57" s="451"/>
      <c r="J57" s="578" t="s">
        <v>427</v>
      </c>
      <c r="K57" s="578">
        <v>3</v>
      </c>
      <c r="L57" s="580">
        <v>242.71844660194174</v>
      </c>
      <c r="M57" s="589">
        <v>69.959999999999994</v>
      </c>
      <c r="N57" s="590">
        <f>(M57/(10^2))/(CFMS!Q57/1000)</f>
        <v>23.319999999999997</v>
      </c>
      <c r="O57" s="590">
        <f>'Tabla resumen diametros'!M147</f>
        <v>4.9455555555555475E-2</v>
      </c>
      <c r="P57" s="632">
        <f>'Tabla resumen alturas'!M147</f>
        <v>0.72333333333333394</v>
      </c>
      <c r="Q57" s="605">
        <f>'Tabla resumen diametros'!N147</f>
        <v>0.14836666666666642</v>
      </c>
      <c r="R57" s="592">
        <f>'Tabla resumen alturas'!N147</f>
        <v>2.1700000000000017</v>
      </c>
    </row>
    <row r="58" spans="1:18">
      <c r="A58" s="548">
        <v>50870</v>
      </c>
      <c r="B58" s="469"/>
      <c r="C58" s="602"/>
      <c r="D58" s="587"/>
      <c r="E58" s="586" t="s">
        <v>427</v>
      </c>
      <c r="F58" s="614">
        <v>56</v>
      </c>
      <c r="G58" s="454" t="s">
        <v>223</v>
      </c>
      <c r="H58" s="454">
        <v>1</v>
      </c>
      <c r="I58" s="454" t="s">
        <v>479</v>
      </c>
      <c r="J58" s="586" t="s">
        <v>427</v>
      </c>
      <c r="K58" s="578">
        <v>3</v>
      </c>
      <c r="L58" s="580">
        <v>281.73818728898061</v>
      </c>
      <c r="M58" s="589">
        <v>3105.400000000001</v>
      </c>
      <c r="N58" s="590">
        <f>(M58/(10^2))/(CFMS!Q58/1000)</f>
        <v>19.282210493635521</v>
      </c>
      <c r="O58" s="590">
        <f>VLOOKUP(A58,'Tabla resumen diametros'!A56:P274,13,FALSE)</f>
        <v>6.0833333333333295E-2</v>
      </c>
      <c r="P58" s="632">
        <f>VLOOKUP($A58,'Tabla resumen alturas'!$A$2:$N$219,13,FALSE)</f>
        <v>0.8999999999999998</v>
      </c>
      <c r="Q58" s="605">
        <f>VLOOKUP(A58,'Tabla resumen diametros'!A56:P274,14,FALSE)</f>
        <v>0.18249999999999988</v>
      </c>
      <c r="R58" s="592">
        <f>VLOOKUP($A58,'Tabla resumen alturas'!$A$2:$N$219,14,FALSE)</f>
        <v>2.6999999999999993</v>
      </c>
    </row>
    <row r="59" spans="1:18">
      <c r="A59" s="550">
        <v>50761</v>
      </c>
      <c r="B59" s="507">
        <v>4</v>
      </c>
      <c r="C59" s="601">
        <v>2</v>
      </c>
      <c r="D59" s="582" t="s">
        <v>124</v>
      </c>
      <c r="E59" s="578" t="s">
        <v>428</v>
      </c>
      <c r="F59" s="614">
        <v>57</v>
      </c>
      <c r="G59" s="451" t="s">
        <v>125</v>
      </c>
      <c r="H59" s="451">
        <v>1</v>
      </c>
      <c r="I59" s="451" t="s">
        <v>479</v>
      </c>
      <c r="J59" s="578" t="s">
        <v>428</v>
      </c>
      <c r="K59" s="586">
        <v>2</v>
      </c>
      <c r="L59" s="580">
        <v>329.94064679199289</v>
      </c>
      <c r="M59" s="589">
        <v>1719.0199999999998</v>
      </c>
      <c r="N59" s="590">
        <f>(M59/(10^2))/(CFMS!Q59/1000)</f>
        <v>11.75800273597811</v>
      </c>
      <c r="O59" s="590">
        <f>VLOOKUP(A59,'Tabla resumen diametros'!A57:P275,13,FALSE)</f>
        <v>3.935925925925924E-2</v>
      </c>
      <c r="P59" s="632">
        <f>VLOOKUP($A59,'Tabla resumen alturas'!$A$2:$N$219,13,FALSE)</f>
        <v>1.6900000000000002</v>
      </c>
      <c r="Q59" s="605">
        <f>VLOOKUP(A59,'Tabla resumen diametros'!A57:P275,14,FALSE)</f>
        <v>0.11807777777777773</v>
      </c>
      <c r="R59" s="592">
        <f>VLOOKUP($A59,'Tabla resumen alturas'!$A$2:$N$219,14,FALSE)</f>
        <v>5.07</v>
      </c>
    </row>
    <row r="60" spans="1:18">
      <c r="A60" s="550">
        <v>50778</v>
      </c>
      <c r="B60" s="507">
        <v>8</v>
      </c>
      <c r="C60" s="601">
        <v>2</v>
      </c>
      <c r="D60" s="579" t="s">
        <v>233</v>
      </c>
      <c r="E60" s="578" t="s">
        <v>426</v>
      </c>
      <c r="F60" s="614">
        <v>58</v>
      </c>
      <c r="G60" s="451" t="s">
        <v>234</v>
      </c>
      <c r="H60" s="451">
        <v>2</v>
      </c>
      <c r="I60" s="451" t="s">
        <v>479</v>
      </c>
      <c r="J60" s="578" t="s">
        <v>426</v>
      </c>
      <c r="K60" s="578">
        <v>1</v>
      </c>
      <c r="L60" s="580">
        <v>349.97969955339016</v>
      </c>
      <c r="M60" s="589">
        <v>4940.26</v>
      </c>
      <c r="N60" s="590">
        <f>(M60/(10^2))/(CFMS!Q60/1000)</f>
        <v>22.9246403712297</v>
      </c>
      <c r="O60" s="590">
        <f>VLOOKUP(A60,'Tabla resumen diametros'!A58:P276,13,FALSE)</f>
        <v>9.0166666666666659E-2</v>
      </c>
      <c r="P60" s="632">
        <f>VLOOKUP($A60,'Tabla resumen alturas'!$A$2:$N$219,13,FALSE)</f>
        <v>5.166666666666667</v>
      </c>
      <c r="Q60" s="605">
        <f>VLOOKUP(A60,'Tabla resumen diametros'!A58:P276,14,FALSE)</f>
        <v>0.27049999999999996</v>
      </c>
      <c r="R60" s="592">
        <f>VLOOKUP($A60,'Tabla resumen alturas'!$A$2:$N$219,14,FALSE)</f>
        <v>15.5</v>
      </c>
    </row>
    <row r="61" spans="1:18">
      <c r="A61" s="550">
        <v>50838</v>
      </c>
      <c r="B61" s="507">
        <v>5</v>
      </c>
      <c r="C61" s="601">
        <v>6</v>
      </c>
      <c r="D61" s="579" t="s">
        <v>49</v>
      </c>
      <c r="E61" s="578" t="s">
        <v>426</v>
      </c>
      <c r="F61" s="614">
        <v>59</v>
      </c>
      <c r="G61" s="451" t="s">
        <v>50</v>
      </c>
      <c r="H61" s="451">
        <v>2</v>
      </c>
      <c r="I61" s="451" t="s">
        <v>479</v>
      </c>
      <c r="J61" s="578" t="s">
        <v>426</v>
      </c>
      <c r="K61" s="578">
        <v>1</v>
      </c>
      <c r="L61" s="580">
        <v>249.00933222542528</v>
      </c>
      <c r="M61" s="589">
        <v>7616.26</v>
      </c>
      <c r="N61" s="590">
        <f>(M61/(10^2))/(CFMS!Q61/1000)</f>
        <v>9.1751114323575464</v>
      </c>
      <c r="O61" s="590">
        <f>VLOOKUP(A61,'Tabla resumen diametros'!A59:P277,13,FALSE)</f>
        <v>6.2333333333333352E-2</v>
      </c>
      <c r="P61" s="632">
        <f>VLOOKUP($A61,'Tabla resumen alturas'!$A$2:$N$219,13,FALSE)</f>
        <v>1.33</v>
      </c>
      <c r="Q61" s="605">
        <f>VLOOKUP(A61,'Tabla resumen diametros'!A59:P277,14,FALSE)</f>
        <v>0.18700000000000006</v>
      </c>
      <c r="R61" s="592">
        <f>VLOOKUP($A61,'Tabla resumen alturas'!$A$2:$N$219,14,FALSE)</f>
        <v>3.99</v>
      </c>
    </row>
    <row r="62" spans="1:18">
      <c r="A62" s="548">
        <v>50634</v>
      </c>
      <c r="B62" s="469"/>
      <c r="C62" s="602"/>
      <c r="D62" s="582" t="s">
        <v>49</v>
      </c>
      <c r="E62" s="586" t="s">
        <v>428</v>
      </c>
      <c r="F62" s="614">
        <v>60</v>
      </c>
      <c r="G62" s="451" t="s">
        <v>194</v>
      </c>
      <c r="H62" s="451">
        <v>3</v>
      </c>
      <c r="I62" s="451" t="s">
        <v>479</v>
      </c>
      <c r="J62" s="586" t="s">
        <v>428</v>
      </c>
      <c r="K62" s="586">
        <v>2</v>
      </c>
      <c r="L62" s="580">
        <v>299.46278746906495</v>
      </c>
      <c r="M62" s="589">
        <v>10012.200000000001</v>
      </c>
      <c r="N62" s="590">
        <f>(M62/(10^2))/(CFMS!Q62/1000)</f>
        <v>13.454003063774897</v>
      </c>
      <c r="O62" s="590">
        <f>VLOOKUP(A62,'Tabla resumen diametros'!A60:P278,13,FALSE)</f>
        <v>6.9999999999999993E-2</v>
      </c>
      <c r="P62" s="632">
        <f>VLOOKUP($A62,'Tabla resumen alturas'!$A$2:$N$219,13,FALSE)</f>
        <v>1.0066666666666666</v>
      </c>
      <c r="Q62" s="605">
        <f>VLOOKUP(A62,'Tabla resumen diametros'!A60:P278,14,FALSE)</f>
        <v>0.20999999999999996</v>
      </c>
      <c r="R62" s="592">
        <f>VLOOKUP($A62,'Tabla resumen alturas'!$A$2:$N$219,14,FALSE)</f>
        <v>3.0199999999999996</v>
      </c>
    </row>
    <row r="63" spans="1:18">
      <c r="A63" s="550">
        <v>50795</v>
      </c>
      <c r="B63" s="507">
        <v>1</v>
      </c>
      <c r="C63" s="601">
        <v>11</v>
      </c>
      <c r="D63" s="579" t="s">
        <v>44</v>
      </c>
      <c r="E63" s="578" t="s">
        <v>426</v>
      </c>
      <c r="F63" s="614">
        <v>61</v>
      </c>
      <c r="G63" s="451" t="s">
        <v>45</v>
      </c>
      <c r="H63" s="451">
        <v>2</v>
      </c>
      <c r="I63" s="451" t="s">
        <v>479</v>
      </c>
      <c r="J63" s="578" t="s">
        <v>426</v>
      </c>
      <c r="K63" s="578">
        <v>1</v>
      </c>
      <c r="L63" s="580">
        <v>249.05757644102201</v>
      </c>
      <c r="M63" s="589">
        <v>6823.0999999999995</v>
      </c>
      <c r="N63" s="590">
        <f>(M63/(10^2))/(CFMS!Q63/1000)</f>
        <v>44.13389391979301</v>
      </c>
      <c r="O63" s="590">
        <f>VLOOKUP(A63,'Tabla resumen diametros'!A61:P279,13,FALSE)</f>
        <v>4.94833333333334E-2</v>
      </c>
      <c r="P63" s="632">
        <f>VLOOKUP($A63,'Tabla resumen alturas'!$A$2:$N$219,13,FALSE)</f>
        <v>9.6366666666666649</v>
      </c>
      <c r="Q63" s="605">
        <f>VLOOKUP(A63,'Tabla resumen diametros'!A61:P279,14,FALSE)</f>
        <v>0.14845000000000019</v>
      </c>
      <c r="R63" s="592">
        <f>VLOOKUP($A63,'Tabla resumen alturas'!$A$2:$N$219,14,FALSE)</f>
        <v>28.909999999999997</v>
      </c>
    </row>
    <row r="64" spans="1:18">
      <c r="A64" s="550">
        <v>50867</v>
      </c>
      <c r="B64" s="507">
        <v>4</v>
      </c>
      <c r="C64" s="601">
        <v>20</v>
      </c>
      <c r="D64" s="579" t="s">
        <v>175</v>
      </c>
      <c r="E64" s="578" t="s">
        <v>426</v>
      </c>
      <c r="F64" s="614">
        <v>62</v>
      </c>
      <c r="G64" s="451" t="s">
        <v>176</v>
      </c>
      <c r="H64" s="451">
        <v>1</v>
      </c>
      <c r="I64" s="451" t="s">
        <v>479</v>
      </c>
      <c r="J64" s="578" t="s">
        <v>426</v>
      </c>
      <c r="K64" s="578">
        <v>1</v>
      </c>
      <c r="L64" s="580">
        <v>111.97173529012095</v>
      </c>
      <c r="M64" s="589">
        <v>1783.0599999999997</v>
      </c>
      <c r="N64" s="590">
        <f>(M64/(10^2))/(CFMS!Q64/1000)</f>
        <v>43.278155339805821</v>
      </c>
      <c r="O64" s="590">
        <f>VLOOKUP(A64,'Tabla resumen diametros'!A62:P280,13,FALSE)</f>
        <v>8.7416666666666656E-2</v>
      </c>
      <c r="P64" s="632">
        <f>VLOOKUP($A64,'Tabla resumen alturas'!$A$2:$N$219,13,FALSE)</f>
        <v>3.65</v>
      </c>
      <c r="Q64" s="605">
        <f>VLOOKUP(A64,'Tabla resumen diametros'!A62:P280,14,FALSE)</f>
        <v>0.26224999999999998</v>
      </c>
      <c r="R64" s="592">
        <f>VLOOKUP($A64,'Tabla resumen alturas'!$A$2:$N$219,14,FALSE)</f>
        <v>10.95</v>
      </c>
    </row>
    <row r="65" spans="1:18">
      <c r="A65" s="550">
        <v>50782</v>
      </c>
      <c r="B65" s="507">
        <v>5</v>
      </c>
      <c r="C65" s="601">
        <v>1</v>
      </c>
      <c r="D65" s="579" t="s">
        <v>181</v>
      </c>
      <c r="E65" s="578" t="s">
        <v>426</v>
      </c>
      <c r="F65" s="614">
        <v>63</v>
      </c>
      <c r="G65" s="451" t="s">
        <v>182</v>
      </c>
      <c r="H65" s="451">
        <v>2</v>
      </c>
      <c r="I65" s="451" t="s">
        <v>479</v>
      </c>
      <c r="J65" s="578" t="s">
        <v>426</v>
      </c>
      <c r="K65" s="578">
        <v>1</v>
      </c>
      <c r="L65" s="580">
        <v>292.09881199321137</v>
      </c>
      <c r="M65" s="589">
        <v>5230.1599999999989</v>
      </c>
      <c r="N65" s="590">
        <f>(M65/(10^2))/(CFMS!Q65/1000)</f>
        <v>16.882375726275011</v>
      </c>
      <c r="O65" s="590">
        <f>VLOOKUP(A65,'Tabla resumen diametros'!A63:P281,13,FALSE)</f>
        <v>4.5666666666666599E-2</v>
      </c>
      <c r="P65" s="632">
        <f>VLOOKUP($A65,'Tabla resumen alturas'!$A$2:$N$219,13,FALSE)</f>
        <v>0.63333333333333286</v>
      </c>
      <c r="Q65" s="605">
        <f>VLOOKUP(A65,'Tabla resumen diametros'!A63:P281,14,FALSE)</f>
        <v>0.13699999999999979</v>
      </c>
      <c r="R65" s="592">
        <f>VLOOKUP($A65,'Tabla resumen alturas'!$A$2:$N$219,14,FALSE)</f>
        <v>1.8999999999999986</v>
      </c>
    </row>
    <row r="66" spans="1:18">
      <c r="A66" s="550">
        <v>50805</v>
      </c>
      <c r="B66" s="507">
        <v>4</v>
      </c>
      <c r="C66" s="601">
        <v>15</v>
      </c>
      <c r="D66" s="581" t="s">
        <v>156</v>
      </c>
      <c r="E66" s="578" t="s">
        <v>427</v>
      </c>
      <c r="F66" s="614">
        <v>64</v>
      </c>
      <c r="G66" s="451" t="s">
        <v>157</v>
      </c>
      <c r="H66" s="451">
        <v>1</v>
      </c>
      <c r="I66" s="451" t="s">
        <v>479</v>
      </c>
      <c r="J66" s="578" t="s">
        <v>427</v>
      </c>
      <c r="K66" s="578">
        <v>3</v>
      </c>
      <c r="L66" s="580">
        <v>51.60429684757424</v>
      </c>
      <c r="M66" s="589">
        <v>1991.9199999999996</v>
      </c>
      <c r="N66" s="590">
        <f>(M66/(10^2))/(CFMS!Q66/1000)</f>
        <v>67.752380952380946</v>
      </c>
      <c r="O66" s="590">
        <f>VLOOKUP(A66,'Tabla resumen diametros'!A64:P282,13,FALSE)</f>
        <v>0.25666666666666665</v>
      </c>
      <c r="P66" s="632">
        <f>VLOOKUP($A66,'Tabla resumen alturas'!$A$2:$N$219,13,FALSE)</f>
        <v>0</v>
      </c>
      <c r="Q66" s="605">
        <f>VLOOKUP(A66,'Tabla resumen diametros'!A64:P282,14,FALSE)</f>
        <v>0.76999999999999991</v>
      </c>
      <c r="R66" s="592">
        <f>VLOOKUP($A66,'Tabla resumen alturas'!$A$2:$N$219,14,FALSE)</f>
        <v>0</v>
      </c>
    </row>
    <row r="67" spans="1:18">
      <c r="A67" s="550">
        <v>50759</v>
      </c>
      <c r="B67" s="507">
        <v>1</v>
      </c>
      <c r="C67" s="601">
        <v>3</v>
      </c>
      <c r="D67" s="583" t="s">
        <v>29</v>
      </c>
      <c r="E67" s="578" t="s">
        <v>429</v>
      </c>
      <c r="F67" s="614">
        <v>65</v>
      </c>
      <c r="G67" s="451" t="s">
        <v>30</v>
      </c>
      <c r="H67" s="451">
        <v>1</v>
      </c>
      <c r="I67" s="451" t="s">
        <v>479</v>
      </c>
      <c r="J67" s="578" t="s">
        <v>476</v>
      </c>
      <c r="K67" s="578">
        <v>4</v>
      </c>
      <c r="L67" s="580">
        <v>147.54956487600603</v>
      </c>
      <c r="M67" s="589">
        <v>1592.64</v>
      </c>
      <c r="N67" s="590">
        <f>(M67/(10^2))/(CFMS!Q67/1000)</f>
        <v>35.313525498891352</v>
      </c>
      <c r="O67" s="590">
        <f>VLOOKUP(A67,'Tabla resumen diametros'!A65:P283,13,FALSE)</f>
        <v>1.779166666666665E-2</v>
      </c>
      <c r="P67" s="632">
        <f>VLOOKUP($A67,'Tabla resumen alturas'!$A$2:$N$219,13,FALSE)</f>
        <v>2.0333333333333337</v>
      </c>
      <c r="Q67" s="605">
        <f>VLOOKUP(A67,'Tabla resumen diametros'!A65:P283,14,FALSE)</f>
        <v>5.337499999999995E-2</v>
      </c>
      <c r="R67" s="592">
        <f>VLOOKUP($A67,'Tabla resumen alturas'!$A$2:$N$219,14,FALSE)</f>
        <v>6.1000000000000014</v>
      </c>
    </row>
    <row r="68" spans="1:18">
      <c r="A68" s="550">
        <v>50752</v>
      </c>
      <c r="B68" s="507">
        <v>2</v>
      </c>
      <c r="C68" s="601">
        <v>2</v>
      </c>
      <c r="D68" s="581" t="s">
        <v>62</v>
      </c>
      <c r="E68" s="578" t="s">
        <v>427</v>
      </c>
      <c r="F68" s="614">
        <v>66</v>
      </c>
      <c r="G68" s="451" t="s">
        <v>63</v>
      </c>
      <c r="H68" s="451">
        <v>1</v>
      </c>
      <c r="I68" s="451" t="s">
        <v>479</v>
      </c>
      <c r="J68" s="578" t="s">
        <v>427</v>
      </c>
      <c r="K68" s="578">
        <v>3</v>
      </c>
      <c r="L68" s="580">
        <v>176.76099166457985</v>
      </c>
      <c r="M68" s="589">
        <v>1315.1</v>
      </c>
      <c r="N68" s="590">
        <f>(M68/(10^2))/(CFMS!Q68/1000)</f>
        <v>26.616069621534098</v>
      </c>
      <c r="O68" s="590">
        <f>VLOOKUP(A68,'Tabla resumen diametros'!A66:P284,13,FALSE)</f>
        <v>0.13083333333333327</v>
      </c>
      <c r="P68" s="632">
        <f>VLOOKUP($A68,'Tabla resumen alturas'!$A$2:$N$219,13,FALSE)</f>
        <v>1.4000000000000001</v>
      </c>
      <c r="Q68" s="605">
        <f>VLOOKUP(A68,'Tabla resumen diametros'!A66:P284,14,FALSE)</f>
        <v>0.39249999999999985</v>
      </c>
      <c r="R68" s="592">
        <f>VLOOKUP($A68,'Tabla resumen alturas'!$A$2:$N$219,14,FALSE)</f>
        <v>4.2</v>
      </c>
    </row>
    <row r="69" spans="1:18">
      <c r="A69" s="548">
        <v>50188</v>
      </c>
      <c r="B69" s="469">
        <v>2</v>
      </c>
      <c r="C69" s="602">
        <v>2</v>
      </c>
      <c r="D69" s="581" t="s">
        <v>362</v>
      </c>
      <c r="E69" s="578" t="s">
        <v>427</v>
      </c>
      <c r="F69" s="614">
        <v>67</v>
      </c>
      <c r="G69" s="451" t="s">
        <v>361</v>
      </c>
      <c r="H69" s="451">
        <v>5</v>
      </c>
      <c r="I69" s="451" t="s">
        <v>479</v>
      </c>
      <c r="J69" s="578" t="s">
        <v>427</v>
      </c>
      <c r="K69" s="578">
        <v>3</v>
      </c>
      <c r="L69" s="580">
        <v>94.243158371189296</v>
      </c>
      <c r="M69" s="589">
        <v>17072.949999999997</v>
      </c>
      <c r="N69" s="590">
        <f>(M69/(10^2))/(CFMS!Q69/1000)</f>
        <v>42.485877815105127</v>
      </c>
      <c r="O69" s="590">
        <f>'Tabla resumen diametros'!M167</f>
        <v>0</v>
      </c>
      <c r="P69" s="632">
        <f>VLOOKUP($A69,'Tabla resumen alturas'!$A$2:$N$219,13,FALSE)</f>
        <v>1.3333333333333333</v>
      </c>
      <c r="Q69" s="605">
        <f>'Tabla resumen diametros'!N167</f>
        <v>0</v>
      </c>
      <c r="R69" s="592">
        <f>VLOOKUP($A69,'Tabla resumen alturas'!$A$2:$N$219,14,FALSE)</f>
        <v>4</v>
      </c>
    </row>
    <row r="70" spans="1:18">
      <c r="A70" s="550">
        <v>50596</v>
      </c>
      <c r="B70" s="507">
        <v>4</v>
      </c>
      <c r="C70" s="601">
        <v>17</v>
      </c>
      <c r="D70" s="579" t="s">
        <v>169</v>
      </c>
      <c r="E70" s="578" t="s">
        <v>426</v>
      </c>
      <c r="F70" s="614">
        <v>68</v>
      </c>
      <c r="G70" s="451" t="s">
        <v>170</v>
      </c>
      <c r="H70" s="451">
        <v>1</v>
      </c>
      <c r="I70" s="451" t="s">
        <v>479</v>
      </c>
      <c r="J70" s="578" t="s">
        <v>426</v>
      </c>
      <c r="K70" s="578">
        <v>1</v>
      </c>
      <c r="L70" s="580">
        <v>334.66248931928226</v>
      </c>
      <c r="M70" s="589">
        <v>2268.6600000000003</v>
      </c>
      <c r="N70" s="590">
        <f>(M70/(10^2))/(CFMS!Q70/1000)</f>
        <v>24.134680851063834</v>
      </c>
      <c r="O70" s="590">
        <f>VLOOKUP(A70,'Tabla resumen diametros'!A68:P286,13,FALSE)</f>
        <v>0.15466666666666665</v>
      </c>
      <c r="P70" s="632">
        <f>VLOOKUP($A70,'Tabla resumen alturas'!$A$2:$N$219,13,FALSE)</f>
        <v>8.9833333333333343</v>
      </c>
      <c r="Q70" s="605">
        <f>VLOOKUP(A70,'Tabla resumen diametros'!A68:P286,14,FALSE)</f>
        <v>0.46399999999999997</v>
      </c>
      <c r="R70" s="592">
        <f>VLOOKUP($A70,'Tabla resumen alturas'!$A$2:$N$219,14,FALSE)</f>
        <v>26.950000000000003</v>
      </c>
    </row>
    <row r="71" spans="1:18">
      <c r="A71" s="550">
        <v>50580</v>
      </c>
      <c r="B71" s="507">
        <v>7</v>
      </c>
      <c r="C71" s="601">
        <v>4</v>
      </c>
      <c r="D71" s="579" t="s">
        <v>214</v>
      </c>
      <c r="E71" s="578" t="s">
        <v>426</v>
      </c>
      <c r="F71" s="614">
        <v>69</v>
      </c>
      <c r="G71" s="451" t="s">
        <v>215</v>
      </c>
      <c r="H71" s="451">
        <v>1</v>
      </c>
      <c r="I71" s="451"/>
      <c r="J71" s="578" t="s">
        <v>426</v>
      </c>
      <c r="K71" s="578">
        <v>1</v>
      </c>
      <c r="L71" s="580">
        <v>409.28270042194094</v>
      </c>
      <c r="M71" s="589">
        <v>1091.3</v>
      </c>
      <c r="N71" s="590">
        <f>(M71/(10^2))/(CFMS!Q71/1000)</f>
        <v>12.50057273768614</v>
      </c>
      <c r="O71" s="590">
        <f>VLOOKUP(A71,'Tabla resumen diametros'!A69:P287,13,FALSE)</f>
        <v>4.2500000000000059E-2</v>
      </c>
      <c r="P71" s="632">
        <f>VLOOKUP($A71,'Tabla resumen alturas'!$A$2:$N$219,13,FALSE)</f>
        <v>4.75</v>
      </c>
      <c r="Q71" s="605">
        <f>VLOOKUP(A71,'Tabla resumen diametros'!A69:P287,14,FALSE)</f>
        <v>0.12750000000000017</v>
      </c>
      <c r="R71" s="592">
        <f>VLOOKUP($A71,'Tabla resumen alturas'!$A$2:$N$219,14,FALSE)</f>
        <v>14.25</v>
      </c>
    </row>
    <row r="72" spans="1:18">
      <c r="A72" s="550">
        <v>50732</v>
      </c>
      <c r="B72" s="507">
        <v>3</v>
      </c>
      <c r="C72" s="601">
        <v>22</v>
      </c>
      <c r="D72" s="579" t="s">
        <v>122</v>
      </c>
      <c r="E72" s="578" t="s">
        <v>426</v>
      </c>
      <c r="F72" s="614">
        <v>70</v>
      </c>
      <c r="G72" s="451" t="s">
        <v>123</v>
      </c>
      <c r="H72" s="451">
        <v>2</v>
      </c>
      <c r="I72" s="451" t="s">
        <v>479</v>
      </c>
      <c r="J72" s="578" t="s">
        <v>426</v>
      </c>
      <c r="K72" s="578">
        <v>1</v>
      </c>
      <c r="L72" s="580">
        <v>464.25334724098428</v>
      </c>
      <c r="M72" s="589">
        <v>5293.32</v>
      </c>
      <c r="N72" s="590">
        <f>(M72/(10^2))/(CFMS!Q72/1000)</f>
        <v>19.496574585635361</v>
      </c>
      <c r="O72" s="590">
        <f>VLOOKUP(A72,'Tabla resumen diametros'!A70:P288,13,FALSE)</f>
        <v>5.6066666666666633E-2</v>
      </c>
      <c r="P72" s="632">
        <f>VLOOKUP($A72,'Tabla resumen alturas'!$A$2:$N$219,13,FALSE)</f>
        <v>9.1</v>
      </c>
      <c r="Q72" s="605">
        <f>VLOOKUP(A72,'Tabla resumen diametros'!A70:P288,14,FALSE)</f>
        <v>0.16819999999999991</v>
      </c>
      <c r="R72" s="592">
        <f>VLOOKUP($A72,'Tabla resumen alturas'!$A$2:$N$219,14,FALSE)</f>
        <v>27.299999999999997</v>
      </c>
    </row>
    <row r="73" spans="1:18">
      <c r="A73" s="550">
        <v>50547</v>
      </c>
      <c r="B73" s="507">
        <v>7</v>
      </c>
      <c r="C73" s="601">
        <v>4</v>
      </c>
      <c r="D73" s="579" t="s">
        <v>218</v>
      </c>
      <c r="E73" s="578" t="s">
        <v>426</v>
      </c>
      <c r="F73" s="614">
        <v>71</v>
      </c>
      <c r="G73" s="451" t="s">
        <v>219</v>
      </c>
      <c r="H73" s="451">
        <v>1</v>
      </c>
      <c r="I73" s="451" t="s">
        <v>479</v>
      </c>
      <c r="J73" s="578" t="s">
        <v>426</v>
      </c>
      <c r="K73" s="578">
        <v>1</v>
      </c>
      <c r="L73" s="580">
        <v>308.05687203791467</v>
      </c>
      <c r="M73" s="589">
        <v>60.68</v>
      </c>
      <c r="N73" s="590">
        <f>(M73/(10^2))/(CFMS!Q73/1000)</f>
        <v>23.338461538461541</v>
      </c>
      <c r="O73" s="590">
        <f>VLOOKUP(A73,'Tabla resumen diametros'!A71:P289,13,FALSE)</f>
        <v>9.1752703516627676E-2</v>
      </c>
      <c r="P73" s="632">
        <f>VLOOKUP($A73,'Tabla resumen alturas'!$A$2:$N$219,13,FALSE)</f>
        <v>5.2900000000000018</v>
      </c>
      <c r="Q73" s="605">
        <f>VLOOKUP(A73,'Tabla resumen diametros'!A71:P289,14,FALSE)</f>
        <v>0.27525811054988303</v>
      </c>
      <c r="R73" s="592">
        <f>VLOOKUP($A73,'Tabla resumen alturas'!$A$2:$N$219,14,FALSE)</f>
        <v>15.870000000000005</v>
      </c>
    </row>
    <row r="74" spans="1:18">
      <c r="A74" s="550">
        <v>50745</v>
      </c>
      <c r="B74" s="507">
        <v>3</v>
      </c>
      <c r="C74" s="601">
        <v>21</v>
      </c>
      <c r="D74" s="582" t="s">
        <v>120</v>
      </c>
      <c r="E74" s="578" t="s">
        <v>428</v>
      </c>
      <c r="F74" s="614">
        <v>72</v>
      </c>
      <c r="G74" s="451" t="s">
        <v>121</v>
      </c>
      <c r="H74" s="451">
        <v>6</v>
      </c>
      <c r="I74" s="451" t="s">
        <v>479</v>
      </c>
      <c r="J74" s="578" t="s">
        <v>428</v>
      </c>
      <c r="K74" s="586">
        <v>2</v>
      </c>
      <c r="L74" s="580">
        <v>232.04242703941551</v>
      </c>
      <c r="M74" s="589">
        <v>28326.660000000003</v>
      </c>
      <c r="N74" s="590">
        <f>(M74/(10^2))/(CFMS!Q74/1000)</f>
        <v>23.872122029327496</v>
      </c>
      <c r="O74" s="590">
        <f>VLOOKUP(A74,'Tabla resumen diametros'!A72:P290,13,FALSE)</f>
        <v>8.3722222222222101E-2</v>
      </c>
      <c r="P74" s="632">
        <f>VLOOKUP($A74,'Tabla resumen alturas'!$A$2:$N$219,13,FALSE)</f>
        <v>4.0999999999999988</v>
      </c>
      <c r="Q74" s="605">
        <f>VLOOKUP(A74,'Tabla resumen diametros'!A72:P290,14,FALSE)</f>
        <v>0.25116666666666632</v>
      </c>
      <c r="R74" s="592">
        <f>VLOOKUP($A74,'Tabla resumen alturas'!$A$2:$N$219,14,FALSE)</f>
        <v>12.299999999999997</v>
      </c>
    </row>
    <row r="75" spans="1:18">
      <c r="A75" s="530">
        <v>50808</v>
      </c>
      <c r="B75" s="507">
        <v>5</v>
      </c>
      <c r="C75" s="601">
        <v>5</v>
      </c>
      <c r="D75" s="582" t="s">
        <v>183</v>
      </c>
      <c r="E75" s="578" t="s">
        <v>428</v>
      </c>
      <c r="F75" s="614">
        <v>73</v>
      </c>
      <c r="G75" s="456" t="s">
        <v>430</v>
      </c>
      <c r="H75" s="456">
        <v>1</v>
      </c>
      <c r="I75" s="456"/>
      <c r="J75" s="578" t="s">
        <v>428</v>
      </c>
      <c r="K75" s="586">
        <v>2</v>
      </c>
      <c r="L75" s="580">
        <v>355.19524783328467</v>
      </c>
      <c r="M75" s="589">
        <v>2660.56</v>
      </c>
      <c r="N75" s="590">
        <f>(M75/(10^2))/(CFMS!Q75/1000)</f>
        <v>18.235503769705275</v>
      </c>
      <c r="O75" s="590">
        <f>VLOOKUP(A75,'Tabla resumen diametros'!A73:P291,13,FALSE)</f>
        <v>4.3499999999999948E-2</v>
      </c>
      <c r="P75" s="632">
        <f>VLOOKUP($A75,'Tabla resumen alturas'!$A$2:$N$219,13,FALSE)</f>
        <v>3.8133333333333375</v>
      </c>
      <c r="Q75" s="605">
        <f>VLOOKUP(A75,'Tabla resumen diametros'!A73:P291,14,FALSE)</f>
        <v>0.13049999999999984</v>
      </c>
      <c r="R75" s="592">
        <f>VLOOKUP($A75,'Tabla resumen alturas'!$A$2:$N$219,14,FALSE)</f>
        <v>11.440000000000012</v>
      </c>
    </row>
    <row r="76" spans="1:18">
      <c r="A76" s="550">
        <v>50865</v>
      </c>
      <c r="B76" s="507">
        <v>4</v>
      </c>
      <c r="C76" s="601">
        <v>16</v>
      </c>
      <c r="D76" s="579" t="s">
        <v>167</v>
      </c>
      <c r="E76" s="578" t="s">
        <v>426</v>
      </c>
      <c r="F76" s="614">
        <v>74</v>
      </c>
      <c r="G76" s="451" t="s">
        <v>168</v>
      </c>
      <c r="H76" s="451">
        <v>2</v>
      </c>
      <c r="I76" s="451" t="s">
        <v>479</v>
      </c>
      <c r="J76" s="578" t="s">
        <v>426</v>
      </c>
      <c r="K76" s="578">
        <v>1</v>
      </c>
      <c r="L76" s="580">
        <v>252.84750949169828</v>
      </c>
      <c r="M76" s="589">
        <v>6146.34</v>
      </c>
      <c r="N76" s="590">
        <f>(M76/(10^2))/(CFMS!Q76/1000)</f>
        <v>27.549708650829228</v>
      </c>
      <c r="O76" s="590">
        <f>VLOOKUP(A76,'Tabla resumen diametros'!A74:P292,13,FALSE)</f>
        <v>0.15143333333333334</v>
      </c>
      <c r="P76" s="632">
        <f>VLOOKUP($A76,'Tabla resumen alturas'!$A$2:$N$219,13,FALSE)</f>
        <v>7.9333333333333345</v>
      </c>
      <c r="Q76" s="605">
        <f>VLOOKUP(A76,'Tabla resumen diametros'!A74:P292,14,FALSE)</f>
        <v>0.45430000000000004</v>
      </c>
      <c r="R76" s="592">
        <f>VLOOKUP($A76,'Tabla resumen alturas'!$A$2:$N$219,14,FALSE)</f>
        <v>23.800000000000004</v>
      </c>
    </row>
    <row r="77" spans="1:18">
      <c r="A77" s="550">
        <v>50854</v>
      </c>
      <c r="B77" s="507">
        <v>3</v>
      </c>
      <c r="C77" s="601">
        <v>5</v>
      </c>
      <c r="D77" s="579" t="s">
        <v>89</v>
      </c>
      <c r="E77" s="578" t="s">
        <v>426</v>
      </c>
      <c r="F77" s="614">
        <v>75</v>
      </c>
      <c r="G77" s="451" t="s">
        <v>90</v>
      </c>
      <c r="H77" s="451">
        <v>3</v>
      </c>
      <c r="I77" s="451" t="s">
        <v>479</v>
      </c>
      <c r="J77" s="578" t="s">
        <v>426</v>
      </c>
      <c r="K77" s="578">
        <v>1</v>
      </c>
      <c r="L77" s="580">
        <v>183.71410830139391</v>
      </c>
      <c r="M77" s="589">
        <v>11938.78</v>
      </c>
      <c r="N77" s="590">
        <f>(M77/(10^2))/(CFMS!Q77/1000)</f>
        <v>34.786655011655014</v>
      </c>
      <c r="O77" s="590">
        <f>VLOOKUP(A77,'Tabla resumen diametros'!A75:P293,13,FALSE)</f>
        <v>0.18608333333333335</v>
      </c>
      <c r="P77" s="632">
        <f>VLOOKUP($A77,'Tabla resumen alturas'!$A$2:$N$219,13,FALSE)</f>
        <v>12.303333333333335</v>
      </c>
      <c r="Q77" s="605">
        <f>VLOOKUP(A77,'Tabla resumen diametros'!A75:P293,14,FALSE)</f>
        <v>0.55825000000000002</v>
      </c>
      <c r="R77" s="592">
        <f>VLOOKUP($A77,'Tabla resumen alturas'!$A$2:$N$219,14,FALSE)</f>
        <v>36.910000000000004</v>
      </c>
    </row>
    <row r="78" spans="1:18">
      <c r="A78" s="550">
        <v>50530</v>
      </c>
      <c r="B78" s="507">
        <v>1</v>
      </c>
      <c r="C78" s="601">
        <v>9</v>
      </c>
      <c r="D78" s="582" t="s">
        <v>39</v>
      </c>
      <c r="E78" s="578" t="s">
        <v>428</v>
      </c>
      <c r="F78" s="614">
        <v>76</v>
      </c>
      <c r="G78" s="451" t="s">
        <v>42</v>
      </c>
      <c r="H78" s="451">
        <v>7</v>
      </c>
      <c r="I78" s="451" t="s">
        <v>479</v>
      </c>
      <c r="J78" s="578" t="s">
        <v>428</v>
      </c>
      <c r="K78" s="586">
        <v>2</v>
      </c>
      <c r="L78" s="580">
        <v>166.16516724688245</v>
      </c>
      <c r="M78" s="589">
        <v>54025.96</v>
      </c>
      <c r="N78" s="590">
        <f>(M78/(10^2))/(CFMS!Q78/1000)</f>
        <v>24.767780681245128</v>
      </c>
      <c r="O78" s="590">
        <f>VLOOKUP(A78,'Tabla resumen diametros'!A76:P294,13,FALSE)</f>
        <v>7.6333333333333295E-2</v>
      </c>
      <c r="P78" s="632">
        <f>VLOOKUP($A78,'Tabla resumen alturas'!$A$2:$N$219,13,FALSE)</f>
        <v>0.66666666666666663</v>
      </c>
      <c r="Q78" s="605">
        <f>VLOOKUP(A78,'Tabla resumen diametros'!A76:P294,14,FALSE)</f>
        <v>0.22899999999999987</v>
      </c>
      <c r="R78" s="592">
        <f>VLOOKUP($A78,'Tabla resumen alturas'!$A$2:$N$219,14,FALSE)</f>
        <v>2</v>
      </c>
    </row>
    <row r="79" spans="1:18">
      <c r="A79" s="550">
        <v>50751</v>
      </c>
      <c r="B79" s="507">
        <v>8</v>
      </c>
      <c r="C79" s="601">
        <v>11</v>
      </c>
      <c r="D79" s="581" t="s">
        <v>237</v>
      </c>
      <c r="E79" s="578" t="s">
        <v>427</v>
      </c>
      <c r="F79" s="614">
        <v>77</v>
      </c>
      <c r="G79" s="451" t="s">
        <v>238</v>
      </c>
      <c r="H79" s="451">
        <v>2</v>
      </c>
      <c r="I79" s="451" t="s">
        <v>479</v>
      </c>
      <c r="J79" s="578" t="s">
        <v>427</v>
      </c>
      <c r="K79" s="578">
        <v>3</v>
      </c>
      <c r="L79" s="580">
        <v>170.30344978325016</v>
      </c>
      <c r="M79" s="589">
        <v>6945</v>
      </c>
      <c r="N79" s="590">
        <f>(M79/(10^2))/(CFMS!Q79/1000)</f>
        <v>37.139037433155082</v>
      </c>
      <c r="O79" s="590">
        <f>VLOOKUP(A79,'Tabla resumen diametros'!A77:P295,13,FALSE)</f>
        <v>0.14191666666666661</v>
      </c>
      <c r="P79" s="632">
        <f>VLOOKUP($A79,'Tabla resumen alturas'!$A$2:$N$219,13,FALSE)</f>
        <v>5.9000000000000012</v>
      </c>
      <c r="Q79" s="605">
        <f>VLOOKUP(A79,'Tabla resumen diametros'!A77:P295,14,FALSE)</f>
        <v>0.42574999999999985</v>
      </c>
      <c r="R79" s="592">
        <f>VLOOKUP($A79,'Tabla resumen alturas'!$A$2:$N$219,14,FALSE)</f>
        <v>17.700000000000003</v>
      </c>
    </row>
    <row r="80" spans="1:18">
      <c r="A80" s="550">
        <v>50603</v>
      </c>
      <c r="B80" s="507">
        <v>6</v>
      </c>
      <c r="C80" s="601">
        <v>3</v>
      </c>
      <c r="D80" s="582" t="s">
        <v>199</v>
      </c>
      <c r="E80" s="578" t="s">
        <v>428</v>
      </c>
      <c r="F80" s="614">
        <v>78</v>
      </c>
      <c r="G80" s="451" t="s">
        <v>200</v>
      </c>
      <c r="H80" s="451">
        <v>5</v>
      </c>
      <c r="I80" s="451" t="s">
        <v>479</v>
      </c>
      <c r="J80" s="578" t="s">
        <v>428</v>
      </c>
      <c r="K80" s="586">
        <v>2</v>
      </c>
      <c r="L80" s="580">
        <v>143.75887228566279</v>
      </c>
      <c r="M80" s="589">
        <v>15221.32</v>
      </c>
      <c r="N80" s="590">
        <f>(M80/(10^2))/(CFMS!Q80/1000)</f>
        <v>21.441498802648258</v>
      </c>
      <c r="O80" s="590">
        <f>VLOOKUP(A80,'Tabla resumen diametros'!A78:P296,13,FALSE)</f>
        <v>8.7333333333333263E-2</v>
      </c>
      <c r="P80" s="632">
        <f>VLOOKUP($A80,'Tabla resumen alturas'!$A$2:$N$219,13,FALSE)</f>
        <v>4.166666666666667</v>
      </c>
      <c r="Q80" s="605">
        <f>VLOOKUP(A80,'Tabla resumen diametros'!A78:P296,14,FALSE)</f>
        <v>0.26199999999999979</v>
      </c>
      <c r="R80" s="592">
        <f>VLOOKUP($A80,'Tabla resumen alturas'!$A$2:$N$219,14,FALSE)</f>
        <v>12.5</v>
      </c>
    </row>
    <row r="81" spans="1:18">
      <c r="A81" s="567">
        <v>50869</v>
      </c>
      <c r="B81" s="521">
        <v>7</v>
      </c>
      <c r="C81" s="603">
        <v>7</v>
      </c>
      <c r="D81" s="587"/>
      <c r="E81" s="578" t="s">
        <v>426</v>
      </c>
      <c r="F81" s="614">
        <v>79</v>
      </c>
      <c r="G81" s="460" t="s">
        <v>431</v>
      </c>
      <c r="H81" s="460">
        <v>1</v>
      </c>
      <c r="I81" s="460" t="s">
        <v>479</v>
      </c>
      <c r="J81" s="578" t="s">
        <v>426</v>
      </c>
      <c r="K81" s="578">
        <v>1</v>
      </c>
      <c r="L81" s="580">
        <v>332.58666666666664</v>
      </c>
      <c r="M81" s="589">
        <v>522.38</v>
      </c>
      <c r="N81" s="590">
        <f>(M81/(10^2))/(CFMS!Q81/1000)</f>
        <v>16.753688261706223</v>
      </c>
      <c r="O81" s="590">
        <f>VLOOKUP(A81,'Tabla resumen diametros'!A79:P297,13,FALSE)</f>
        <v>5.4916666666666669E-2</v>
      </c>
      <c r="P81" s="632">
        <f>VLOOKUP($A81,'Tabla resumen alturas'!$A$2:$N$219,13,FALSE)</f>
        <v>3.3766666666666665</v>
      </c>
      <c r="Q81" s="605">
        <f>VLOOKUP(A81,'Tabla resumen diametros'!A79:P297,14,FALSE)</f>
        <v>0.16475000000000001</v>
      </c>
      <c r="R81" s="592">
        <f>VLOOKUP($A81,'Tabla resumen alturas'!$A$2:$N$219,14,FALSE)</f>
        <v>10.129999999999999</v>
      </c>
    </row>
    <row r="82" spans="1:18">
      <c r="A82" s="567">
        <v>50845</v>
      </c>
      <c r="B82" s="507">
        <v>3</v>
      </c>
      <c r="C82" s="601">
        <v>9</v>
      </c>
      <c r="D82" s="579" t="s">
        <v>97</v>
      </c>
      <c r="E82" s="586" t="s">
        <v>428</v>
      </c>
      <c r="F82" s="614">
        <v>80</v>
      </c>
      <c r="G82" s="458" t="s">
        <v>98</v>
      </c>
      <c r="H82" s="458">
        <v>1</v>
      </c>
      <c r="I82" s="458" t="s">
        <v>479</v>
      </c>
      <c r="J82" s="586" t="s">
        <v>428</v>
      </c>
      <c r="K82" s="586">
        <v>2</v>
      </c>
      <c r="L82" s="580">
        <v>213.27529923830249</v>
      </c>
      <c r="M82" s="589">
        <v>1723.3799999999999</v>
      </c>
      <c r="N82" s="590">
        <f>(M82/(10^2))/(CFMS!Q82/1000)</f>
        <v>29.309183673469388</v>
      </c>
      <c r="O82" s="590">
        <f>VLOOKUP(A82,'Tabla resumen diametros'!A80:P298,13,FALSE)</f>
        <v>5.6933333333333357E-2</v>
      </c>
      <c r="P82" s="632">
        <f>VLOOKUP($A82,'Tabla resumen alturas'!$A$2:$N$219,13,FALSE)</f>
        <v>3.1999999999999993</v>
      </c>
      <c r="Q82" s="605">
        <f>VLOOKUP(A82,'Tabla resumen diametros'!A80:P298,14,FALSE)</f>
        <v>0.17080000000000006</v>
      </c>
      <c r="R82" s="592">
        <f>VLOOKUP($A82,'Tabla resumen alturas'!$A$2:$N$219,14,FALSE)</f>
        <v>9.5999999999999979</v>
      </c>
    </row>
    <row r="83" spans="1:18">
      <c r="A83" s="550">
        <v>50872</v>
      </c>
      <c r="B83" s="469">
        <v>7</v>
      </c>
      <c r="C83" s="602">
        <v>11</v>
      </c>
      <c r="D83" s="582" t="s">
        <v>224</v>
      </c>
      <c r="E83" s="578" t="s">
        <v>427</v>
      </c>
      <c r="F83" s="614">
        <v>81</v>
      </c>
      <c r="G83" s="459" t="s">
        <v>225</v>
      </c>
      <c r="H83" s="459">
        <v>2</v>
      </c>
      <c r="I83" s="459" t="s">
        <v>479</v>
      </c>
      <c r="J83" s="578" t="s">
        <v>427</v>
      </c>
      <c r="K83" s="578">
        <v>3</v>
      </c>
      <c r="L83" s="580">
        <v>151.07075414841898</v>
      </c>
      <c r="M83" s="589">
        <v>4374.3399999999992</v>
      </c>
      <c r="N83" s="590">
        <f>(M83/(10^2))/(CFMS!Q83/1000)</f>
        <v>58.169414893617017</v>
      </c>
      <c r="O83" s="590">
        <f>VLOOKUP(A83,'Tabla resumen diametros'!A81:P299,13,FALSE)</f>
        <v>0.128</v>
      </c>
      <c r="P83" s="632">
        <f>VLOOKUP($A83,'Tabla resumen alturas'!$A$2:$N$219,13,FALSE)</f>
        <v>11</v>
      </c>
      <c r="Q83" s="605">
        <f>VLOOKUP(A83,'Tabla resumen diametros'!A81:P299,14,FALSE)</f>
        <v>0.38400000000000001</v>
      </c>
      <c r="R83" s="592">
        <f>VLOOKUP($A83,'Tabla resumen alturas'!$A$2:$N$219,14,FALSE)</f>
        <v>33</v>
      </c>
    </row>
    <row r="84" spans="1:18">
      <c r="A84" s="550">
        <v>50801</v>
      </c>
      <c r="B84" s="507">
        <v>3</v>
      </c>
      <c r="C84" s="601">
        <v>1</v>
      </c>
      <c r="D84" s="588"/>
      <c r="E84" s="586" t="s">
        <v>428</v>
      </c>
      <c r="F84" s="614">
        <v>82</v>
      </c>
      <c r="G84" s="451" t="s">
        <v>79</v>
      </c>
      <c r="H84" s="451">
        <v>1</v>
      </c>
      <c r="I84" s="451" t="s">
        <v>479</v>
      </c>
      <c r="J84" s="586" t="s">
        <v>428</v>
      </c>
      <c r="K84" s="586">
        <v>2</v>
      </c>
      <c r="L84" s="580">
        <v>375.58564918811373</v>
      </c>
      <c r="M84" s="589">
        <v>1259.1799999999998</v>
      </c>
      <c r="N84" s="590">
        <f>(M84/(10^2))/(CFMS!Q84/1000)</f>
        <v>21.517088174982909</v>
      </c>
      <c r="O84" s="590">
        <f>VLOOKUP(A84,'Tabla resumen diametros'!A82:P300,13,FALSE)</f>
        <v>4.7319047619047629E-2</v>
      </c>
      <c r="P84" s="632">
        <f>VLOOKUP($A84,'Tabla resumen alturas'!$A$2:$N$219,13,FALSE)</f>
        <v>1.3199999999999978</v>
      </c>
      <c r="Q84" s="605">
        <f>VLOOKUP(A84,'Tabla resumen diametros'!A82:P300,14,FALSE)</f>
        <v>0.14195714285714289</v>
      </c>
      <c r="R84" s="592">
        <f>VLOOKUP($A84,'Tabla resumen alturas'!$A$2:$N$219,14,FALSE)</f>
        <v>3.9599999999999937</v>
      </c>
    </row>
    <row r="85" spans="1:18">
      <c r="A85" s="550">
        <v>50678</v>
      </c>
      <c r="B85" s="507">
        <v>4</v>
      </c>
      <c r="C85" s="601">
        <v>20</v>
      </c>
      <c r="D85" s="579" t="s">
        <v>173</v>
      </c>
      <c r="E85" s="578" t="s">
        <v>426</v>
      </c>
      <c r="F85" s="614">
        <v>83</v>
      </c>
      <c r="G85" s="451" t="s">
        <v>174</v>
      </c>
      <c r="H85" s="451">
        <v>1</v>
      </c>
      <c r="I85" s="451" t="s">
        <v>479</v>
      </c>
      <c r="J85" s="578" t="s">
        <v>426</v>
      </c>
      <c r="K85" s="578">
        <v>1</v>
      </c>
      <c r="L85" s="580">
        <v>73.710073710073715</v>
      </c>
      <c r="M85" s="589">
        <v>2742.46</v>
      </c>
      <c r="N85" s="590">
        <f>(M85/(10^2))/(CFMS!Q85/1000)</f>
        <v>72.55185185185185</v>
      </c>
      <c r="O85" s="590">
        <f>VLOOKUP(A85,'Tabla resumen diametros'!A83:P301,13,FALSE)</f>
        <v>0.11633333333333333</v>
      </c>
      <c r="P85" s="632">
        <f>VLOOKUP($A85,'Tabla resumen alturas'!$A$2:$N$219,13,FALSE)</f>
        <v>0.66666666666666663</v>
      </c>
      <c r="Q85" s="605">
        <f>VLOOKUP(A85,'Tabla resumen diametros'!A83:P301,14,FALSE)</f>
        <v>0.34899999999999998</v>
      </c>
      <c r="R85" s="592">
        <f>VLOOKUP($A85,'Tabla resumen alturas'!$A$2:$N$219,14,FALSE)</f>
        <v>2</v>
      </c>
    </row>
    <row r="86" spans="1:18">
      <c r="A86" s="574">
        <v>50797</v>
      </c>
      <c r="B86" s="507">
        <v>1</v>
      </c>
      <c r="C86" s="601">
        <v>16</v>
      </c>
      <c r="D86" s="579" t="s">
        <v>58</v>
      </c>
      <c r="E86" s="578" t="s">
        <v>426</v>
      </c>
      <c r="F86" s="614">
        <v>84</v>
      </c>
      <c r="G86" s="455" t="s">
        <v>59</v>
      </c>
      <c r="H86" s="452">
        <v>2</v>
      </c>
      <c r="I86" s="452"/>
      <c r="J86" s="578" t="s">
        <v>426</v>
      </c>
      <c r="K86" s="578">
        <v>1</v>
      </c>
      <c r="L86" s="580">
        <v>140.75310703023558</v>
      </c>
      <c r="M86" s="589">
        <v>8284.2000000000007</v>
      </c>
      <c r="N86" s="590">
        <f>(M86/(10^2))/(CFMS!Q86/1000)</f>
        <v>43.670005271481294</v>
      </c>
      <c r="O86" s="590">
        <f>VLOOKUP(A86,'Tabla resumen diametros'!A84:P302,13,FALSE)</f>
        <v>1.5800000000000036E-2</v>
      </c>
      <c r="P86" s="632">
        <f>VLOOKUP($A86,'Tabla resumen alturas'!$A$2:$N$219,13,FALSE)</f>
        <v>6.7999999999999927</v>
      </c>
      <c r="Q86" s="605">
        <f>VLOOKUP(A86,'Tabla resumen diametros'!A84:P302,14,FALSE)</f>
        <v>4.7400000000000109E-2</v>
      </c>
      <c r="R86" s="592">
        <f>VLOOKUP($A86,'Tabla resumen alturas'!$A$2:$N$219,14,FALSE)</f>
        <v>20.399999999999977</v>
      </c>
    </row>
    <row r="87" spans="1:18">
      <c r="A87" s="550">
        <v>50861</v>
      </c>
      <c r="B87" s="507">
        <v>4</v>
      </c>
      <c r="C87" s="601">
        <v>21</v>
      </c>
      <c r="D87" s="579" t="s">
        <v>177</v>
      </c>
      <c r="E87" s="578" t="s">
        <v>426</v>
      </c>
      <c r="F87" s="614">
        <v>85</v>
      </c>
      <c r="G87" s="451" t="s">
        <v>178</v>
      </c>
      <c r="H87" s="451">
        <v>2</v>
      </c>
      <c r="I87" s="451" t="s">
        <v>479</v>
      </c>
      <c r="J87" s="578" t="s">
        <v>426</v>
      </c>
      <c r="K87" s="578">
        <v>1</v>
      </c>
      <c r="L87" s="580">
        <v>221.94298023728317</v>
      </c>
      <c r="M87" s="589">
        <v>4899.6400000000012</v>
      </c>
      <c r="N87" s="590">
        <f>(M87/(10^2))/(CFMS!Q87/1000)</f>
        <v>36.026764705882364</v>
      </c>
      <c r="O87" s="590">
        <f>VLOOKUP(A87,'Tabla resumen diametros'!A85:P303,13,FALSE)</f>
        <v>0.1399</v>
      </c>
      <c r="P87" s="632">
        <f>VLOOKUP($A87,'Tabla resumen alturas'!$A$2:$N$219,13,FALSE)</f>
        <v>9.0666666666666682</v>
      </c>
      <c r="Q87" s="605">
        <f>VLOOKUP(A87,'Tabla resumen diametros'!A85:P303,14,FALSE)</f>
        <v>0.41969999999999996</v>
      </c>
      <c r="R87" s="592">
        <f>VLOOKUP($A87,'Tabla resumen alturas'!$A$2:$N$219,14,FALSE)</f>
        <v>27.200000000000003</v>
      </c>
    </row>
    <row r="88" spans="1:18">
      <c r="A88" s="550">
        <v>50849</v>
      </c>
      <c r="B88" s="507">
        <v>4</v>
      </c>
      <c r="C88" s="601">
        <v>15</v>
      </c>
      <c r="D88" s="579" t="s">
        <v>158</v>
      </c>
      <c r="E88" s="578" t="s">
        <v>426</v>
      </c>
      <c r="F88" s="614">
        <v>86</v>
      </c>
      <c r="G88" s="456" t="s">
        <v>410</v>
      </c>
      <c r="H88" s="456">
        <v>2</v>
      </c>
      <c r="I88" s="456" t="s">
        <v>479</v>
      </c>
      <c r="J88" s="578" t="s">
        <v>426</v>
      </c>
      <c r="K88" s="578">
        <v>1</v>
      </c>
      <c r="L88" s="580">
        <v>283.35847760168491</v>
      </c>
      <c r="M88" s="589">
        <v>4693.6400000000003</v>
      </c>
      <c r="N88" s="590">
        <f>(M88/(10^2))/(CFMS!Q88/1000)</f>
        <v>24.742435424354248</v>
      </c>
      <c r="O88" s="590">
        <f>VLOOKUP(A88,'Tabla resumen diametros'!A86:P304,13,FALSE)</f>
        <v>0.11566666666666665</v>
      </c>
      <c r="P88" s="632">
        <f>VLOOKUP($A88,'Tabla resumen alturas'!$A$2:$N$219,13,FALSE)</f>
        <v>6.166666666666667</v>
      </c>
      <c r="Q88" s="605">
        <f>VLOOKUP(A88,'Tabla resumen diametros'!A86:P304,14,FALSE)</f>
        <v>0.34699999999999998</v>
      </c>
      <c r="R88" s="592">
        <f>VLOOKUP($A88,'Tabla resumen alturas'!$A$2:$N$219,14,FALSE)</f>
        <v>18.5</v>
      </c>
    </row>
    <row r="89" spans="1:18">
      <c r="A89" s="550">
        <v>50618</v>
      </c>
      <c r="B89" s="507">
        <v>3</v>
      </c>
      <c r="C89" s="601">
        <v>3</v>
      </c>
      <c r="D89" s="579" t="s">
        <v>72</v>
      </c>
      <c r="E89" s="578" t="s">
        <v>426</v>
      </c>
      <c r="F89" s="614">
        <v>87</v>
      </c>
      <c r="G89" s="456" t="s">
        <v>411</v>
      </c>
      <c r="H89" s="456">
        <v>1</v>
      </c>
      <c r="I89" s="456"/>
      <c r="J89" s="578" t="s">
        <v>426</v>
      </c>
      <c r="K89" s="578">
        <v>1</v>
      </c>
      <c r="L89" s="580">
        <v>360.95870632399652</v>
      </c>
      <c r="M89" s="589">
        <v>272.05999999999995</v>
      </c>
      <c r="N89" s="590">
        <f>(M89/(10^2))/(CFMS!Q89/1000)</f>
        <v>21.764799999999994</v>
      </c>
      <c r="O89" s="590">
        <f>VLOOKUP(A89,'Tabla resumen diametros'!A87:P305,13,FALSE)</f>
        <v>4.6666666666666655E-2</v>
      </c>
      <c r="P89" s="632">
        <f>VLOOKUP($A89,'Tabla resumen alturas'!$A$2:$N$219,13,FALSE)</f>
        <v>2.6099999999999994</v>
      </c>
      <c r="Q89" s="605">
        <f>VLOOKUP(A89,'Tabla resumen diametros'!A87:P305,14,FALSE)</f>
        <v>0.13999999999999996</v>
      </c>
      <c r="R89" s="592">
        <f>VLOOKUP($A89,'Tabla resumen alturas'!$A$2:$N$219,14,FALSE)</f>
        <v>7.8299999999999983</v>
      </c>
    </row>
    <row r="90" spans="1:18" ht="15.75" thickBot="1">
      <c r="A90" s="530">
        <v>50604</v>
      </c>
      <c r="B90" s="507">
        <v>3</v>
      </c>
      <c r="C90" s="601">
        <v>7</v>
      </c>
      <c r="D90" s="616" t="s">
        <v>93</v>
      </c>
      <c r="E90" s="617" t="s">
        <v>428</v>
      </c>
      <c r="F90" s="615">
        <v>88</v>
      </c>
      <c r="G90" s="451" t="s">
        <v>94</v>
      </c>
      <c r="H90" s="634">
        <v>1</v>
      </c>
      <c r="I90" s="634" t="s">
        <v>479</v>
      </c>
      <c r="J90" s="617" t="s">
        <v>428</v>
      </c>
      <c r="K90" s="586">
        <v>2</v>
      </c>
      <c r="L90" s="618">
        <v>506.10600528767475</v>
      </c>
      <c r="M90" s="619">
        <v>1490.68</v>
      </c>
      <c r="N90" s="620">
        <f>(M90/(10^2))/(CFMS!Q90/1000)</f>
        <v>12.360530679933666</v>
      </c>
      <c r="O90" s="620">
        <f>VLOOKUP(A90,'Tabla resumen diametros'!A88:P306,13,FALSE)</f>
        <v>8.0766666666666584E-2</v>
      </c>
      <c r="P90" s="633">
        <f>VLOOKUP($A90,'Tabla resumen alturas'!$A$2:$N$219,13,FALSE)</f>
        <v>4.0666666666666673</v>
      </c>
      <c r="Q90" s="605">
        <f>VLOOKUP(A90,'Tabla resumen diametros'!A88:P306,14,FALSE)</f>
        <v>0.24229999999999974</v>
      </c>
      <c r="R90" s="592">
        <f>VLOOKUP($A90,'Tabla resumen alturas'!$A$2:$N$219,14,FALSE)</f>
        <v>12.200000000000003</v>
      </c>
    </row>
    <row r="91" spans="1:18">
      <c r="A91" s="635"/>
      <c r="B91" s="636"/>
      <c r="C91" s="636"/>
      <c r="D91" s="637"/>
      <c r="E91" s="638"/>
      <c r="F91" s="639"/>
      <c r="G91" s="491"/>
      <c r="H91" s="491"/>
      <c r="I91" s="491"/>
      <c r="J91" s="638"/>
      <c r="K91" s="640"/>
      <c r="L91" s="641">
        <f>AVERAGE(L3:L90)</f>
        <v>285.91893661886519</v>
      </c>
      <c r="M91" s="641">
        <f>AVERAGE(M3:M90)</f>
        <v>5979.9455681818208</v>
      </c>
      <c r="N91" s="641">
        <f>AVERAGE(N3:N90)</f>
        <v>25.894345570424193</v>
      </c>
      <c r="O91" s="641">
        <f>AVERAGE(O3:O90)</f>
        <v>8.7795930477839054E-2</v>
      </c>
      <c r="P91" s="641">
        <f>AVERAGE(P3:P90)</f>
        <v>4.863219696969697</v>
      </c>
      <c r="Q91" s="642"/>
      <c r="R91" s="642"/>
    </row>
    <row r="92" spans="1:18">
      <c r="A92" s="635"/>
      <c r="B92" s="636"/>
      <c r="C92" s="636"/>
      <c r="D92" s="637"/>
      <c r="E92" s="638"/>
      <c r="F92" s="639"/>
      <c r="G92" s="491"/>
      <c r="H92" s="491"/>
      <c r="I92" s="491"/>
      <c r="J92" s="638"/>
      <c r="K92" s="640"/>
      <c r="L92" s="641"/>
      <c r="M92" s="641"/>
      <c r="N92" s="641"/>
      <c r="O92" s="641"/>
      <c r="P92" s="641"/>
      <c r="Q92" s="642"/>
      <c r="R92" s="642"/>
    </row>
    <row r="93" spans="1:18">
      <c r="L93" s="576">
        <f>_xlfn.STDEV.S(L3:L90)</f>
        <v>100.9539780559776</v>
      </c>
      <c r="M93" s="576">
        <f>_xlfn.STDEV.S(M3:M90)</f>
        <v>7930.557741975148</v>
      </c>
      <c r="N93" s="576">
        <f>_xlfn.STDEV.S(N3:N90)</f>
        <v>13.692493443221974</v>
      </c>
      <c r="O93" s="576">
        <f>_xlfn.STDEV.S(O3:O90)</f>
        <v>6.4254836339475291E-2</v>
      </c>
      <c r="P93" s="576">
        <f>_xlfn.STDEV.S(P3:P90)</f>
        <v>3.4170536720867783</v>
      </c>
    </row>
  </sheetData>
  <autoFilter ref="A2:R91"/>
  <pageMargins left="0.7" right="0.7" top="0.75" bottom="0.75" header="0.3" footer="0.3"/>
  <pageSetup orientation="portrait" horizontalDpi="4294967292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zoomScaleNormal="100" workbookViewId="0">
      <selection activeCell="D45" sqref="D45"/>
    </sheetView>
  </sheetViews>
  <sheetFormatPr baseColWidth="10" defaultRowHeight="12"/>
  <cols>
    <col min="1" max="1" width="22.7109375" style="645" bestFit="1" customWidth="1"/>
    <col min="2" max="2" width="20.28515625" style="645" bestFit="1" customWidth="1"/>
    <col min="3" max="3" width="5.7109375" style="645" bestFit="1" customWidth="1"/>
    <col min="4" max="4" width="24.28515625" style="645" bestFit="1" customWidth="1"/>
    <col min="5" max="5" width="18.7109375" style="645" bestFit="1" customWidth="1"/>
    <col min="6" max="6" width="5.7109375" style="645" bestFit="1" customWidth="1"/>
    <col min="7" max="16384" width="11.42578125" style="645"/>
  </cols>
  <sheetData>
    <row r="1" spans="1:6">
      <c r="A1" s="644" t="s">
        <v>561</v>
      </c>
      <c r="B1" s="643" t="s">
        <v>350</v>
      </c>
      <c r="C1" s="643" t="s">
        <v>562</v>
      </c>
      <c r="D1" s="644" t="s">
        <v>561</v>
      </c>
      <c r="E1" s="643" t="s">
        <v>350</v>
      </c>
      <c r="F1" s="643" t="s">
        <v>562</v>
      </c>
    </row>
    <row r="2" spans="1:6">
      <c r="A2" s="643" t="s">
        <v>480</v>
      </c>
      <c r="B2" s="643" t="s">
        <v>198</v>
      </c>
      <c r="C2" s="675" t="s">
        <v>426</v>
      </c>
      <c r="D2" s="643" t="s">
        <v>487</v>
      </c>
      <c r="E2" s="643" t="s">
        <v>137</v>
      </c>
      <c r="F2" s="678" t="s">
        <v>428</v>
      </c>
    </row>
    <row r="3" spans="1:6">
      <c r="A3" s="643" t="s">
        <v>481</v>
      </c>
      <c r="B3" s="643" t="s">
        <v>70</v>
      </c>
      <c r="C3" s="676"/>
      <c r="D3" s="643" t="s">
        <v>490</v>
      </c>
      <c r="E3" s="643" t="s">
        <v>57</v>
      </c>
      <c r="F3" s="679"/>
    </row>
    <row r="4" spans="1:6">
      <c r="A4" s="643" t="s">
        <v>485</v>
      </c>
      <c r="B4" s="643" t="s">
        <v>36</v>
      </c>
      <c r="C4" s="676"/>
      <c r="D4" s="643" t="s">
        <v>501</v>
      </c>
      <c r="E4" s="643" t="s">
        <v>154</v>
      </c>
      <c r="F4" s="679"/>
    </row>
    <row r="5" spans="1:6">
      <c r="A5" s="643" t="s">
        <v>491</v>
      </c>
      <c r="B5" s="643" t="s">
        <v>416</v>
      </c>
      <c r="C5" s="676"/>
      <c r="D5" s="643" t="s">
        <v>504</v>
      </c>
      <c r="E5" s="643" t="s">
        <v>92</v>
      </c>
      <c r="F5" s="679"/>
    </row>
    <row r="6" spans="1:6">
      <c r="A6" s="643" t="s">
        <v>493</v>
      </c>
      <c r="B6" s="643" t="s">
        <v>47</v>
      </c>
      <c r="C6" s="676"/>
      <c r="D6" s="643" t="s">
        <v>506</v>
      </c>
      <c r="E6" s="643" t="s">
        <v>38</v>
      </c>
      <c r="F6" s="679"/>
    </row>
    <row r="7" spans="1:6">
      <c r="A7" s="643" t="s">
        <v>495</v>
      </c>
      <c r="B7" s="643" t="s">
        <v>127</v>
      </c>
      <c r="C7" s="676"/>
      <c r="D7" s="643" t="s">
        <v>508</v>
      </c>
      <c r="E7" s="643" t="s">
        <v>188</v>
      </c>
      <c r="F7" s="679"/>
    </row>
    <row r="8" spans="1:6">
      <c r="A8" s="643" t="s">
        <v>499</v>
      </c>
      <c r="B8" s="643" t="s">
        <v>61</v>
      </c>
      <c r="C8" s="676"/>
      <c r="D8" s="643" t="s">
        <v>510</v>
      </c>
      <c r="E8" s="643" t="s">
        <v>108</v>
      </c>
      <c r="F8" s="679"/>
    </row>
    <row r="9" spans="1:6">
      <c r="A9" s="643" t="s">
        <v>499</v>
      </c>
      <c r="B9" s="643" t="s">
        <v>71</v>
      </c>
      <c r="C9" s="676"/>
      <c r="D9" s="643" t="s">
        <v>511</v>
      </c>
      <c r="E9" s="643" t="s">
        <v>186</v>
      </c>
      <c r="F9" s="679"/>
    </row>
    <row r="10" spans="1:6">
      <c r="A10" s="643" t="s">
        <v>502</v>
      </c>
      <c r="B10" s="643" t="s">
        <v>355</v>
      </c>
      <c r="C10" s="676"/>
      <c r="D10" s="643" t="s">
        <v>521</v>
      </c>
      <c r="E10" s="643" t="s">
        <v>406</v>
      </c>
      <c r="F10" s="679"/>
    </row>
    <row r="11" spans="1:6">
      <c r="A11" s="643" t="s">
        <v>502</v>
      </c>
      <c r="B11" s="643" t="s">
        <v>67</v>
      </c>
      <c r="C11" s="676"/>
      <c r="D11" s="643" t="s">
        <v>524</v>
      </c>
      <c r="E11" s="643" t="s">
        <v>101</v>
      </c>
      <c r="F11" s="679"/>
    </row>
    <row r="12" spans="1:6">
      <c r="A12" s="643" t="s">
        <v>503</v>
      </c>
      <c r="B12" s="643" t="s">
        <v>106</v>
      </c>
      <c r="C12" s="676"/>
      <c r="D12" s="643" t="s">
        <v>525</v>
      </c>
      <c r="E12" s="643" t="s">
        <v>152</v>
      </c>
      <c r="F12" s="679"/>
    </row>
    <row r="13" spans="1:6">
      <c r="A13" s="643" t="s">
        <v>505</v>
      </c>
      <c r="B13" s="643" t="s">
        <v>209</v>
      </c>
      <c r="C13" s="676"/>
      <c r="D13" s="643" t="s">
        <v>526</v>
      </c>
      <c r="E13" s="643" t="s">
        <v>103</v>
      </c>
      <c r="F13" s="679"/>
    </row>
    <row r="14" spans="1:6">
      <c r="A14" s="643" t="s">
        <v>507</v>
      </c>
      <c r="B14" s="643" t="s">
        <v>133</v>
      </c>
      <c r="C14" s="676"/>
      <c r="D14" s="643" t="s">
        <v>531</v>
      </c>
      <c r="E14" s="643" t="s">
        <v>125</v>
      </c>
      <c r="F14" s="679"/>
    </row>
    <row r="15" spans="1:6">
      <c r="A15" s="643" t="s">
        <v>509</v>
      </c>
      <c r="B15" s="643" t="s">
        <v>96</v>
      </c>
      <c r="C15" s="676"/>
      <c r="D15" s="643" t="s">
        <v>533</v>
      </c>
      <c r="E15" s="643" t="s">
        <v>194</v>
      </c>
      <c r="F15" s="679"/>
    </row>
    <row r="16" spans="1:6">
      <c r="A16" s="643" t="s">
        <v>512</v>
      </c>
      <c r="B16" s="643" t="s">
        <v>180</v>
      </c>
      <c r="C16" s="676"/>
      <c r="D16" s="643" t="s">
        <v>544</v>
      </c>
      <c r="E16" s="643" t="s">
        <v>121</v>
      </c>
      <c r="F16" s="679"/>
    </row>
    <row r="17" spans="1:6">
      <c r="A17" s="643" t="s">
        <v>513</v>
      </c>
      <c r="B17" s="643" t="s">
        <v>408</v>
      </c>
      <c r="C17" s="676"/>
      <c r="D17" s="643" t="s">
        <v>545</v>
      </c>
      <c r="E17" s="643" t="s">
        <v>430</v>
      </c>
      <c r="F17" s="679"/>
    </row>
    <row r="18" spans="1:6">
      <c r="A18" s="643" t="s">
        <v>515</v>
      </c>
      <c r="B18" s="643" t="s">
        <v>82</v>
      </c>
      <c r="C18" s="676"/>
      <c r="D18" s="643" t="s">
        <v>548</v>
      </c>
      <c r="E18" s="643" t="s">
        <v>42</v>
      </c>
      <c r="F18" s="679"/>
    </row>
    <row r="19" spans="1:6">
      <c r="A19" s="646" t="s">
        <v>375</v>
      </c>
      <c r="B19" s="643" t="s">
        <v>412</v>
      </c>
      <c r="C19" s="676"/>
      <c r="D19" s="643" t="s">
        <v>550</v>
      </c>
      <c r="E19" s="643" t="s">
        <v>200</v>
      </c>
      <c r="F19" s="679"/>
    </row>
    <row r="20" spans="1:6">
      <c r="A20" s="643" t="s">
        <v>519</v>
      </c>
      <c r="B20" s="643" t="s">
        <v>196</v>
      </c>
      <c r="C20" s="676"/>
      <c r="D20" s="643" t="s">
        <v>551</v>
      </c>
      <c r="E20" s="643" t="s">
        <v>98</v>
      </c>
      <c r="F20" s="679"/>
    </row>
    <row r="21" spans="1:6">
      <c r="A21" s="643" t="s">
        <v>520</v>
      </c>
      <c r="B21" s="643" t="s">
        <v>172</v>
      </c>
      <c r="C21" s="676"/>
      <c r="D21" s="646" t="s">
        <v>560</v>
      </c>
      <c r="E21" s="643" t="s">
        <v>79</v>
      </c>
      <c r="F21" s="679"/>
    </row>
    <row r="22" spans="1:6">
      <c r="A22" s="643" t="s">
        <v>527</v>
      </c>
      <c r="B22" s="643" t="s">
        <v>139</v>
      </c>
      <c r="C22" s="676"/>
      <c r="D22" s="643" t="s">
        <v>558</v>
      </c>
      <c r="E22" s="643" t="s">
        <v>94</v>
      </c>
      <c r="F22" s="680"/>
    </row>
    <row r="23" spans="1:6">
      <c r="A23" s="643" t="s">
        <v>528</v>
      </c>
      <c r="B23" s="643" t="s">
        <v>407</v>
      </c>
      <c r="C23" s="676"/>
      <c r="D23" s="643" t="s">
        <v>482</v>
      </c>
      <c r="E23" s="643" t="s">
        <v>161</v>
      </c>
      <c r="F23" s="675" t="s">
        <v>427</v>
      </c>
    </row>
    <row r="24" spans="1:6">
      <c r="A24" s="643" t="s">
        <v>529</v>
      </c>
      <c r="B24" s="643" t="s">
        <v>75</v>
      </c>
      <c r="C24" s="676"/>
      <c r="D24" s="643" t="s">
        <v>483</v>
      </c>
      <c r="E24" s="643" t="s">
        <v>190</v>
      </c>
      <c r="F24" s="676"/>
    </row>
    <row r="25" spans="1:6">
      <c r="A25" s="643" t="s">
        <v>532</v>
      </c>
      <c r="B25" s="643" t="s">
        <v>234</v>
      </c>
      <c r="C25" s="676"/>
      <c r="D25" s="643" t="s">
        <v>484</v>
      </c>
      <c r="E25" s="643" t="s">
        <v>418</v>
      </c>
      <c r="F25" s="676"/>
    </row>
    <row r="26" spans="1:6">
      <c r="A26" s="643" t="s">
        <v>533</v>
      </c>
      <c r="B26" s="643" t="s">
        <v>50</v>
      </c>
      <c r="C26" s="676"/>
      <c r="D26" s="643" t="s">
        <v>486</v>
      </c>
      <c r="E26" s="643" t="s">
        <v>414</v>
      </c>
      <c r="F26" s="676"/>
    </row>
    <row r="27" spans="1:6">
      <c r="A27" s="643" t="s">
        <v>534</v>
      </c>
      <c r="B27" s="643" t="s">
        <v>45</v>
      </c>
      <c r="C27" s="676"/>
      <c r="D27" s="643" t="s">
        <v>488</v>
      </c>
      <c r="E27" s="643" t="s">
        <v>415</v>
      </c>
      <c r="F27" s="676"/>
    </row>
    <row r="28" spans="1:6">
      <c r="A28" s="643" t="s">
        <v>535</v>
      </c>
      <c r="B28" s="643" t="s">
        <v>176</v>
      </c>
      <c r="C28" s="676"/>
      <c r="D28" s="643" t="s">
        <v>489</v>
      </c>
      <c r="E28" s="643" t="s">
        <v>420</v>
      </c>
      <c r="F28" s="676"/>
    </row>
    <row r="29" spans="1:6">
      <c r="A29" s="643" t="s">
        <v>536</v>
      </c>
      <c r="B29" s="643" t="s">
        <v>182</v>
      </c>
      <c r="C29" s="676"/>
      <c r="D29" s="643" t="s">
        <v>494</v>
      </c>
      <c r="E29" s="643" t="s">
        <v>202</v>
      </c>
      <c r="F29" s="676"/>
    </row>
    <row r="30" spans="1:6">
      <c r="A30" s="643" t="s">
        <v>540</v>
      </c>
      <c r="B30" s="643" t="s">
        <v>170</v>
      </c>
      <c r="C30" s="676"/>
      <c r="D30" s="643" t="s">
        <v>497</v>
      </c>
      <c r="E30" s="643" t="s">
        <v>115</v>
      </c>
      <c r="F30" s="676"/>
    </row>
    <row r="31" spans="1:6">
      <c r="A31" s="643" t="s">
        <v>541</v>
      </c>
      <c r="B31" s="643" t="s">
        <v>215</v>
      </c>
      <c r="C31" s="676"/>
      <c r="D31" s="643" t="s">
        <v>498</v>
      </c>
      <c r="E31" s="643" t="s">
        <v>113</v>
      </c>
      <c r="F31" s="676"/>
    </row>
    <row r="32" spans="1:6">
      <c r="A32" s="643" t="s">
        <v>542</v>
      </c>
      <c r="B32" s="643" t="s">
        <v>123</v>
      </c>
      <c r="C32" s="676"/>
      <c r="D32" s="643" t="s">
        <v>500</v>
      </c>
      <c r="E32" s="643" t="s">
        <v>33</v>
      </c>
      <c r="F32" s="676"/>
    </row>
    <row r="33" spans="1:6">
      <c r="A33" s="643" t="s">
        <v>543</v>
      </c>
      <c r="B33" s="643" t="s">
        <v>219</v>
      </c>
      <c r="C33" s="676"/>
      <c r="D33" s="643" t="s">
        <v>517</v>
      </c>
      <c r="E33" s="643" t="s">
        <v>86</v>
      </c>
      <c r="F33" s="676"/>
    </row>
    <row r="34" spans="1:6">
      <c r="A34" s="643" t="s">
        <v>546</v>
      </c>
      <c r="B34" s="643" t="s">
        <v>168</v>
      </c>
      <c r="C34" s="676"/>
      <c r="D34" s="643" t="s">
        <v>518</v>
      </c>
      <c r="E34" s="643" t="s">
        <v>192</v>
      </c>
      <c r="F34" s="676"/>
    </row>
    <row r="35" spans="1:6">
      <c r="A35" s="643" t="s">
        <v>547</v>
      </c>
      <c r="B35" s="643" t="s">
        <v>90</v>
      </c>
      <c r="C35" s="676"/>
      <c r="D35" s="643" t="s">
        <v>522</v>
      </c>
      <c r="E35" s="643" t="s">
        <v>143</v>
      </c>
      <c r="F35" s="676"/>
    </row>
    <row r="36" spans="1:6">
      <c r="A36" s="646" t="s">
        <v>551</v>
      </c>
      <c r="B36" s="643" t="s">
        <v>409</v>
      </c>
      <c r="C36" s="676"/>
      <c r="D36" s="643" t="s">
        <v>523</v>
      </c>
      <c r="E36" s="643" t="s">
        <v>204</v>
      </c>
      <c r="F36" s="676"/>
    </row>
    <row r="37" spans="1:6">
      <c r="A37" s="643" t="s">
        <v>553</v>
      </c>
      <c r="B37" s="643" t="s">
        <v>174</v>
      </c>
      <c r="C37" s="676"/>
      <c r="D37" s="643" t="s">
        <v>526</v>
      </c>
      <c r="E37" s="643" t="s">
        <v>104</v>
      </c>
      <c r="F37" s="676"/>
    </row>
    <row r="38" spans="1:6">
      <c r="A38" s="643" t="s">
        <v>554</v>
      </c>
      <c r="B38" s="643" t="s">
        <v>59</v>
      </c>
      <c r="C38" s="676"/>
      <c r="D38" s="643" t="s">
        <v>530</v>
      </c>
      <c r="E38" s="643" t="s">
        <v>135</v>
      </c>
      <c r="F38" s="676"/>
    </row>
    <row r="39" spans="1:6">
      <c r="A39" s="643" t="s">
        <v>555</v>
      </c>
      <c r="B39" s="643" t="s">
        <v>178</v>
      </c>
      <c r="C39" s="676"/>
      <c r="D39" s="646" t="s">
        <v>559</v>
      </c>
      <c r="E39" s="643" t="s">
        <v>223</v>
      </c>
      <c r="F39" s="676"/>
    </row>
    <row r="40" spans="1:6">
      <c r="A40" s="643" t="s">
        <v>556</v>
      </c>
      <c r="B40" s="643" t="s">
        <v>410</v>
      </c>
      <c r="C40" s="676"/>
      <c r="D40" s="643" t="s">
        <v>537</v>
      </c>
      <c r="E40" s="643" t="s">
        <v>157</v>
      </c>
      <c r="F40" s="676"/>
    </row>
    <row r="41" spans="1:6">
      <c r="A41" s="643" t="s">
        <v>557</v>
      </c>
      <c r="B41" s="643" t="s">
        <v>411</v>
      </c>
      <c r="C41" s="677"/>
      <c r="D41" s="643" t="s">
        <v>539</v>
      </c>
      <c r="E41" s="643" t="s">
        <v>63</v>
      </c>
      <c r="F41" s="676"/>
    </row>
    <row r="42" spans="1:6" ht="14.25" customHeight="1">
      <c r="A42" s="643" t="s">
        <v>496</v>
      </c>
      <c r="B42" s="643" t="s">
        <v>231</v>
      </c>
      <c r="C42" s="678" t="s">
        <v>255</v>
      </c>
      <c r="D42" s="643" t="s">
        <v>362</v>
      </c>
      <c r="E42" s="643" t="s">
        <v>361</v>
      </c>
      <c r="F42" s="676"/>
    </row>
    <row r="43" spans="1:6" ht="17.25" customHeight="1" thickBot="1">
      <c r="A43" s="647" t="s">
        <v>516</v>
      </c>
      <c r="B43" s="643" t="s">
        <v>384</v>
      </c>
      <c r="C43" s="680"/>
      <c r="D43" s="643" t="s">
        <v>549</v>
      </c>
      <c r="E43" s="643" t="s">
        <v>238</v>
      </c>
      <c r="F43" s="676"/>
    </row>
    <row r="44" spans="1:6">
      <c r="D44" s="643" t="s">
        <v>552</v>
      </c>
      <c r="E44" s="643" t="s">
        <v>225</v>
      </c>
      <c r="F44" s="677"/>
    </row>
    <row r="45" spans="1:6">
      <c r="D45" s="643" t="s">
        <v>492</v>
      </c>
      <c r="E45" s="643" t="s">
        <v>77</v>
      </c>
      <c r="F45" s="681" t="s">
        <v>429</v>
      </c>
    </row>
    <row r="46" spans="1:6">
      <c r="D46" s="643" t="s">
        <v>514</v>
      </c>
      <c r="E46" s="643" t="s">
        <v>419</v>
      </c>
      <c r="F46" s="682"/>
    </row>
    <row r="47" spans="1:6">
      <c r="D47" s="643" t="s">
        <v>538</v>
      </c>
      <c r="E47" s="643" t="s">
        <v>30</v>
      </c>
      <c r="F47" s="683"/>
    </row>
    <row r="48" spans="1:6" ht="18.75" customHeight="1"/>
    <row r="49" ht="24" customHeight="1"/>
  </sheetData>
  <mergeCells count="5">
    <mergeCell ref="C2:C41"/>
    <mergeCell ref="F2:F22"/>
    <mergeCell ref="F23:F44"/>
    <mergeCell ref="F45:F47"/>
    <mergeCell ref="C42:C43"/>
  </mergeCells>
  <pageMargins left="0.7" right="0.7" top="0.75" bottom="0.75" header="0.3" footer="0.3"/>
  <pageSetup orientation="portrait" horizontalDpi="4294967292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1"/>
  <sheetViews>
    <sheetView zoomScale="80" zoomScaleNormal="80" workbookViewId="0">
      <selection activeCell="E13" sqref="E13"/>
    </sheetView>
  </sheetViews>
  <sheetFormatPr baseColWidth="10" defaultColWidth="15.140625" defaultRowHeight="15" customHeight="1"/>
  <cols>
    <col min="1" max="1" width="6" style="447" customWidth="1"/>
    <col min="2" max="3" width="26" style="447" bestFit="1" customWidth="1"/>
    <col min="4" max="4" width="26.85546875" style="447" bestFit="1" customWidth="1"/>
    <col min="5" max="5" width="27.5703125" style="447" bestFit="1" customWidth="1"/>
    <col min="6" max="6" width="16.7109375" style="447" bestFit="1" customWidth="1"/>
    <col min="7" max="7" width="20.85546875" style="447" customWidth="1"/>
    <col min="8" max="8" width="15.140625" style="447"/>
    <col min="9" max="9" width="18.140625" style="447" customWidth="1"/>
    <col min="10" max="10" width="15.140625" style="447"/>
    <col min="12" max="16384" width="15.140625" style="447"/>
  </cols>
  <sheetData>
    <row r="1" spans="1:11" ht="15" customHeight="1">
      <c r="A1" s="451"/>
      <c r="B1" s="655" t="s">
        <v>423</v>
      </c>
      <c r="C1" s="655" t="s">
        <v>421</v>
      </c>
      <c r="D1" s="451"/>
      <c r="K1" s="447"/>
    </row>
    <row r="2" spans="1:11" s="654" customFormat="1" ht="42.75">
      <c r="A2" s="653" t="s">
        <v>349</v>
      </c>
      <c r="B2" s="653" t="s">
        <v>350</v>
      </c>
      <c r="C2" s="653" t="s">
        <v>350</v>
      </c>
      <c r="D2" s="653" t="s">
        <v>422</v>
      </c>
      <c r="E2" s="653" t="s">
        <v>350</v>
      </c>
      <c r="F2" s="653" t="s">
        <v>425</v>
      </c>
      <c r="G2" s="650" t="s">
        <v>435</v>
      </c>
      <c r="H2" s="651" t="s">
        <v>436</v>
      </c>
      <c r="I2" s="651" t="s">
        <v>433</v>
      </c>
      <c r="J2" s="652" t="s">
        <v>434</v>
      </c>
    </row>
    <row r="3" spans="1:11">
      <c r="A3" s="452">
        <v>1</v>
      </c>
      <c r="B3" s="451" t="s">
        <v>198</v>
      </c>
      <c r="C3" s="451" t="s">
        <v>198</v>
      </c>
      <c r="D3" s="451" t="s">
        <v>197</v>
      </c>
      <c r="E3" s="485" t="s">
        <v>198</v>
      </c>
      <c r="F3" s="489" t="s">
        <v>426</v>
      </c>
      <c r="G3" s="482">
        <v>10.333333333333334</v>
      </c>
      <c r="H3" s="483">
        <v>31</v>
      </c>
      <c r="I3" s="483">
        <v>0.20433333333333334</v>
      </c>
      <c r="J3" s="484">
        <v>0.61299999999999999</v>
      </c>
    </row>
    <row r="4" spans="1:11">
      <c r="A4" s="452">
        <v>2</v>
      </c>
      <c r="B4" s="451" t="s">
        <v>70</v>
      </c>
      <c r="C4" s="451" t="s">
        <v>70</v>
      </c>
      <c r="D4" s="451" t="s">
        <v>69</v>
      </c>
      <c r="E4" s="485" t="s">
        <v>70</v>
      </c>
      <c r="F4" s="489" t="s">
        <v>426</v>
      </c>
      <c r="G4" s="486">
        <v>5.8499999999999988</v>
      </c>
      <c r="H4" s="487">
        <v>17.549999999999997</v>
      </c>
      <c r="I4" s="487">
        <v>6.9983333333333259E-2</v>
      </c>
      <c r="J4" s="488">
        <v>0.20994999999999975</v>
      </c>
    </row>
    <row r="5" spans="1:11">
      <c r="A5" s="452">
        <v>3</v>
      </c>
      <c r="B5" s="451" t="s">
        <v>161</v>
      </c>
      <c r="C5" s="451" t="s">
        <v>161</v>
      </c>
      <c r="D5" s="451" t="s">
        <v>160</v>
      </c>
      <c r="E5" s="485" t="s">
        <v>161</v>
      </c>
      <c r="F5" s="490" t="s">
        <v>427</v>
      </c>
      <c r="G5" s="486">
        <v>11.001666666666667</v>
      </c>
      <c r="H5" s="487">
        <v>33.005000000000003</v>
      </c>
      <c r="I5" s="487">
        <v>0.12848333333333337</v>
      </c>
      <c r="J5" s="488">
        <v>0.38545000000000007</v>
      </c>
    </row>
    <row r="6" spans="1:11">
      <c r="A6" s="452">
        <v>4</v>
      </c>
      <c r="B6" s="451" t="s">
        <v>190</v>
      </c>
      <c r="C6" s="453" t="s">
        <v>190</v>
      </c>
      <c r="D6" s="451" t="s">
        <v>189</v>
      </c>
      <c r="E6" s="485" t="s">
        <v>190</v>
      </c>
      <c r="F6" s="490" t="s">
        <v>427</v>
      </c>
      <c r="G6" s="486">
        <v>11.324999999999999</v>
      </c>
      <c r="H6" s="487">
        <v>33.975000000000001</v>
      </c>
      <c r="I6" s="487">
        <v>0.11154166666666666</v>
      </c>
      <c r="J6" s="488">
        <v>0.33462500000000001</v>
      </c>
    </row>
    <row r="7" spans="1:11">
      <c r="A7" s="452">
        <v>36</v>
      </c>
      <c r="B7" s="451" t="s">
        <v>146</v>
      </c>
      <c r="C7" s="456" t="s">
        <v>418</v>
      </c>
      <c r="D7" s="451" t="s">
        <v>145</v>
      </c>
      <c r="E7" s="485" t="s">
        <v>418</v>
      </c>
      <c r="F7" s="491" t="s">
        <v>427</v>
      </c>
      <c r="G7" s="486">
        <v>5.3716666666666679</v>
      </c>
      <c r="H7" s="487">
        <v>16.115000000000002</v>
      </c>
      <c r="I7" s="487">
        <v>0.15877083333333328</v>
      </c>
      <c r="J7" s="488">
        <v>0.47631249999999992</v>
      </c>
    </row>
    <row r="8" spans="1:11">
      <c r="A8" s="452">
        <v>5</v>
      </c>
      <c r="B8" s="451" t="s">
        <v>36</v>
      </c>
      <c r="C8" s="451" t="s">
        <v>36</v>
      </c>
      <c r="D8" s="451" t="s">
        <v>35</v>
      </c>
      <c r="E8" s="485" t="s">
        <v>36</v>
      </c>
      <c r="F8" s="489" t="s">
        <v>426</v>
      </c>
      <c r="G8" s="486">
        <v>6.9400000000000013</v>
      </c>
      <c r="H8" s="487">
        <v>20.820000000000004</v>
      </c>
      <c r="I8" s="487">
        <v>7.8180246913580234E-2</v>
      </c>
      <c r="J8" s="488">
        <v>0.23454074074074072</v>
      </c>
    </row>
    <row r="9" spans="1:11">
      <c r="A9" s="452">
        <v>6</v>
      </c>
      <c r="B9" s="451" t="s">
        <v>150</v>
      </c>
      <c r="C9" s="456" t="s">
        <v>414</v>
      </c>
      <c r="D9" s="451" t="s">
        <v>149</v>
      </c>
      <c r="E9" s="485" t="s">
        <v>414</v>
      </c>
      <c r="F9" s="490" t="s">
        <v>427</v>
      </c>
      <c r="G9" s="486">
        <v>5.3766666666666749</v>
      </c>
      <c r="H9" s="487">
        <v>16.130000000000024</v>
      </c>
      <c r="I9" s="487">
        <v>0.17522222222222217</v>
      </c>
      <c r="J9" s="488">
        <v>0.5256666666666665</v>
      </c>
    </row>
    <row r="10" spans="1:11">
      <c r="A10" s="452">
        <v>7</v>
      </c>
      <c r="B10" s="451" t="s">
        <v>137</v>
      </c>
      <c r="C10" s="451" t="s">
        <v>137</v>
      </c>
      <c r="D10" s="451" t="s">
        <v>136</v>
      </c>
      <c r="E10" s="485" t="s">
        <v>137</v>
      </c>
      <c r="F10" s="449" t="s">
        <v>428</v>
      </c>
      <c r="G10" s="486">
        <v>8.7355555555555569</v>
      </c>
      <c r="H10" s="487">
        <v>26.206666666666667</v>
      </c>
      <c r="I10" s="487">
        <v>8.2601234567901277E-2</v>
      </c>
      <c r="J10" s="488">
        <v>0.24780370370370383</v>
      </c>
    </row>
    <row r="11" spans="1:11">
      <c r="A11" s="452">
        <v>8</v>
      </c>
      <c r="B11" s="451" t="s">
        <v>206</v>
      </c>
      <c r="C11" s="456" t="s">
        <v>415</v>
      </c>
      <c r="D11" s="451" t="s">
        <v>205</v>
      </c>
      <c r="E11" s="485" t="s">
        <v>415</v>
      </c>
      <c r="F11" s="490" t="s">
        <v>427</v>
      </c>
      <c r="G11" s="486">
        <v>6.8666666666666645</v>
      </c>
      <c r="H11" s="487">
        <v>20.599999999999994</v>
      </c>
      <c r="I11" s="487">
        <v>0.19556666666666669</v>
      </c>
      <c r="J11" s="488">
        <v>0.58670000000000011</v>
      </c>
    </row>
    <row r="12" spans="1:11">
      <c r="A12" s="452">
        <v>10</v>
      </c>
      <c r="B12" s="451" t="s">
        <v>163</v>
      </c>
      <c r="C12" s="456" t="s">
        <v>420</v>
      </c>
      <c r="D12" s="451" t="s">
        <v>162</v>
      </c>
      <c r="E12" s="485" t="s">
        <v>420</v>
      </c>
      <c r="F12" s="491" t="s">
        <v>427</v>
      </c>
      <c r="G12" s="486">
        <v>5.833333333333333</v>
      </c>
      <c r="H12" s="487">
        <v>17.5</v>
      </c>
      <c r="I12" s="487">
        <v>5.4999999999999993E-2</v>
      </c>
      <c r="J12" s="488">
        <v>0.16499999999999998</v>
      </c>
    </row>
    <row r="13" spans="1:11">
      <c r="A13" s="452">
        <v>9</v>
      </c>
      <c r="B13" s="451" t="s">
        <v>57</v>
      </c>
      <c r="C13" s="451" t="s">
        <v>57</v>
      </c>
      <c r="D13" s="451" t="s">
        <v>56</v>
      </c>
      <c r="E13" s="485" t="s">
        <v>57</v>
      </c>
      <c r="F13" s="489" t="s">
        <v>428</v>
      </c>
      <c r="G13" s="486">
        <v>2.7300000000000009</v>
      </c>
      <c r="H13" s="487">
        <v>8.1900000000000031</v>
      </c>
      <c r="I13" s="487">
        <v>8.5833333333333359E-2</v>
      </c>
      <c r="J13" s="488">
        <v>0.25750000000000006</v>
      </c>
    </row>
    <row r="14" spans="1:11">
      <c r="A14" s="452">
        <v>11</v>
      </c>
      <c r="B14" s="451" t="s">
        <v>242</v>
      </c>
      <c r="C14" s="456" t="s">
        <v>416</v>
      </c>
      <c r="D14" s="451" t="s">
        <v>241</v>
      </c>
      <c r="E14" s="485" t="s">
        <v>416</v>
      </c>
      <c r="F14" s="491" t="s">
        <v>426</v>
      </c>
      <c r="G14" s="486">
        <v>2.6400000000000006</v>
      </c>
      <c r="H14" s="487">
        <v>7.9200000000000017</v>
      </c>
      <c r="I14" s="487">
        <v>9.1259259259259262E-2</v>
      </c>
      <c r="J14" s="488">
        <v>0.27377777777777779</v>
      </c>
    </row>
    <row r="15" spans="1:11">
      <c r="A15" s="452">
        <v>12</v>
      </c>
      <c r="B15" s="451" t="s">
        <v>77</v>
      </c>
      <c r="C15" s="451" t="s">
        <v>77</v>
      </c>
      <c r="D15" s="451" t="s">
        <v>76</v>
      </c>
      <c r="E15" s="485" t="s">
        <v>77</v>
      </c>
      <c r="F15" s="489" t="s">
        <v>429</v>
      </c>
      <c r="G15" s="486">
        <v>6.8766666666666652</v>
      </c>
      <c r="H15" s="487">
        <v>20.629999999999995</v>
      </c>
      <c r="I15" s="487">
        <v>5.6416666666666705E-2</v>
      </c>
      <c r="J15" s="488">
        <v>0.16925000000000012</v>
      </c>
    </row>
    <row r="16" spans="1:11">
      <c r="A16" s="452">
        <v>13</v>
      </c>
      <c r="B16" s="451" t="s">
        <v>47</v>
      </c>
      <c r="C16" s="451" t="s">
        <v>47</v>
      </c>
      <c r="D16" s="451" t="s">
        <v>46</v>
      </c>
      <c r="E16" s="485" t="s">
        <v>47</v>
      </c>
      <c r="F16" s="489" t="s">
        <v>426</v>
      </c>
      <c r="G16" s="486">
        <v>5.9899999999999993</v>
      </c>
      <c r="H16" s="487">
        <v>17.97</v>
      </c>
      <c r="I16" s="487">
        <v>3.7228571428571437E-2</v>
      </c>
      <c r="J16" s="488">
        <v>0.11168571428571432</v>
      </c>
    </row>
    <row r="17" spans="1:22">
      <c r="A17" s="452">
        <v>14</v>
      </c>
      <c r="B17" s="451" t="s">
        <v>202</v>
      </c>
      <c r="C17" s="451" t="s">
        <v>202</v>
      </c>
      <c r="D17" s="451" t="s">
        <v>201</v>
      </c>
      <c r="E17" s="485" t="s">
        <v>202</v>
      </c>
      <c r="F17" s="490" t="s">
        <v>427</v>
      </c>
      <c r="G17" s="486">
        <v>0.53666666666666651</v>
      </c>
      <c r="H17" s="487">
        <v>1.6099999999999994</v>
      </c>
      <c r="I17" s="487">
        <v>0.10716666666666666</v>
      </c>
      <c r="J17" s="488">
        <v>0.32149999999999995</v>
      </c>
    </row>
    <row r="18" spans="1:22">
      <c r="A18" s="452">
        <v>16</v>
      </c>
      <c r="B18" s="451" t="s">
        <v>127</v>
      </c>
      <c r="C18" s="451" t="s">
        <v>127</v>
      </c>
      <c r="D18" s="451" t="s">
        <v>126</v>
      </c>
      <c r="E18" s="485" t="s">
        <v>127</v>
      </c>
      <c r="F18" s="490" t="s">
        <v>426</v>
      </c>
      <c r="G18" s="486">
        <v>1.5</v>
      </c>
      <c r="H18" s="487">
        <v>4.5</v>
      </c>
      <c r="I18" s="487">
        <v>0.27766666666666667</v>
      </c>
      <c r="J18" s="488">
        <v>0.83300000000000007</v>
      </c>
    </row>
    <row r="19" spans="1:22">
      <c r="A19" s="452">
        <v>17</v>
      </c>
      <c r="B19" s="451" t="s">
        <v>231</v>
      </c>
      <c r="C19" s="451" t="s">
        <v>231</v>
      </c>
      <c r="D19" s="451" t="s">
        <v>230</v>
      </c>
      <c r="E19" s="485" t="s">
        <v>231</v>
      </c>
      <c r="F19" s="449" t="s">
        <v>255</v>
      </c>
      <c r="G19" s="486">
        <v>10.816666666666668</v>
      </c>
      <c r="H19" s="487">
        <v>32.450000000000003</v>
      </c>
      <c r="I19" s="487">
        <v>0</v>
      </c>
      <c r="J19" s="488">
        <v>0</v>
      </c>
      <c r="L19" s="450"/>
      <c r="M19" s="450"/>
      <c r="N19" s="450"/>
      <c r="O19" s="450"/>
      <c r="P19" s="450"/>
      <c r="Q19" s="450"/>
      <c r="R19" s="450"/>
      <c r="S19" s="450"/>
      <c r="T19" s="450"/>
      <c r="U19" s="450"/>
      <c r="V19" s="450"/>
    </row>
    <row r="20" spans="1:22">
      <c r="A20" s="452">
        <v>18</v>
      </c>
      <c r="B20" s="451" t="s">
        <v>115</v>
      </c>
      <c r="C20" s="451" t="s">
        <v>115</v>
      </c>
      <c r="D20" s="451" t="s">
        <v>114</v>
      </c>
      <c r="E20" s="485" t="s">
        <v>115</v>
      </c>
      <c r="F20" s="490" t="s">
        <v>427</v>
      </c>
      <c r="G20" s="486">
        <v>2.1049999999999995</v>
      </c>
      <c r="H20" s="487">
        <v>6.3149999999999995</v>
      </c>
      <c r="I20" s="487">
        <v>2.8555555555555567E-2</v>
      </c>
      <c r="J20" s="488">
        <v>8.5666666666666696E-2</v>
      </c>
    </row>
    <row r="21" spans="1:22">
      <c r="A21" s="452">
        <v>19</v>
      </c>
      <c r="B21" s="451" t="s">
        <v>113</v>
      </c>
      <c r="C21" s="451" t="s">
        <v>113</v>
      </c>
      <c r="D21" s="451" t="s">
        <v>112</v>
      </c>
      <c r="E21" s="485" t="s">
        <v>113</v>
      </c>
      <c r="F21" s="490" t="s">
        <v>427</v>
      </c>
      <c r="G21" s="486">
        <v>2.4050000000000002</v>
      </c>
      <c r="H21" s="487">
        <v>7.2149999999999999</v>
      </c>
      <c r="I21" s="487">
        <v>0.11178511904761905</v>
      </c>
      <c r="J21" s="488">
        <v>0.33535535714285714</v>
      </c>
    </row>
    <row r="22" spans="1:22">
      <c r="A22" s="452">
        <v>20</v>
      </c>
      <c r="B22" s="451" t="s">
        <v>61</v>
      </c>
      <c r="C22" s="451" t="s">
        <v>61</v>
      </c>
      <c r="D22" s="451" t="s">
        <v>60</v>
      </c>
      <c r="E22" s="485" t="s">
        <v>61</v>
      </c>
      <c r="F22" s="493" t="s">
        <v>426</v>
      </c>
      <c r="G22" s="486">
        <v>7.3172727272727256</v>
      </c>
      <c r="H22" s="487">
        <v>21.951818181818172</v>
      </c>
      <c r="I22" s="487">
        <v>5.7329859659223464E-2</v>
      </c>
      <c r="J22" s="488">
        <v>0.17198957897767039</v>
      </c>
      <c r="L22" s="450"/>
      <c r="M22" s="450"/>
      <c r="N22" s="450"/>
      <c r="O22" s="450"/>
      <c r="P22" s="450"/>
      <c r="Q22" s="450"/>
      <c r="R22" s="450"/>
      <c r="S22" s="450"/>
      <c r="T22" s="450"/>
      <c r="U22" s="450"/>
      <c r="V22" s="450"/>
    </row>
    <row r="23" spans="1:22">
      <c r="A23" s="452">
        <v>21</v>
      </c>
      <c r="B23" s="451" t="s">
        <v>71</v>
      </c>
      <c r="C23" s="451" t="s">
        <v>71</v>
      </c>
      <c r="D23" s="451" t="s">
        <v>60</v>
      </c>
      <c r="E23" s="485" t="s">
        <v>71</v>
      </c>
      <c r="F23" s="489" t="s">
        <v>426</v>
      </c>
      <c r="G23" s="486">
        <v>4.9983333333333295</v>
      </c>
      <c r="H23" s="487">
        <v>14.99499999999999</v>
      </c>
      <c r="I23" s="487">
        <v>2.3825925925925955E-2</v>
      </c>
      <c r="J23" s="488">
        <v>7.1477777777777862E-2</v>
      </c>
    </row>
    <row r="24" spans="1:22">
      <c r="A24" s="452">
        <v>22</v>
      </c>
      <c r="B24" s="451" t="s">
        <v>33</v>
      </c>
      <c r="C24" s="451" t="s">
        <v>33</v>
      </c>
      <c r="D24" s="451" t="s">
        <v>32</v>
      </c>
      <c r="E24" s="485" t="s">
        <v>33</v>
      </c>
      <c r="F24" s="490" t="s">
        <v>427</v>
      </c>
      <c r="G24" s="486">
        <v>4.6385185185185174</v>
      </c>
      <c r="H24" s="487">
        <v>13.915555555555553</v>
      </c>
      <c r="I24" s="487">
        <v>3.9291975308641973E-2</v>
      </c>
      <c r="J24" s="488">
        <v>0.11787592592592594</v>
      </c>
    </row>
    <row r="25" spans="1:22">
      <c r="A25" s="452">
        <v>23</v>
      </c>
      <c r="B25" s="451" t="s">
        <v>154</v>
      </c>
      <c r="C25" s="451" t="s">
        <v>154</v>
      </c>
      <c r="D25" s="451" t="s">
        <v>153</v>
      </c>
      <c r="E25" s="485" t="s">
        <v>154</v>
      </c>
      <c r="F25" s="490" t="s">
        <v>428</v>
      </c>
      <c r="G25" s="486">
        <v>4.5333333333333341</v>
      </c>
      <c r="H25" s="487">
        <v>13.600000000000001</v>
      </c>
      <c r="I25" s="487">
        <v>0.15233333333333335</v>
      </c>
      <c r="J25" s="488">
        <v>0.45700000000000007</v>
      </c>
    </row>
    <row r="26" spans="1:22">
      <c r="A26" s="452">
        <v>24</v>
      </c>
      <c r="B26" s="451" t="s">
        <v>67</v>
      </c>
      <c r="C26" s="451" t="s">
        <v>355</v>
      </c>
      <c r="D26" s="451" t="s">
        <v>66</v>
      </c>
      <c r="E26" s="485" t="s">
        <v>355</v>
      </c>
      <c r="F26" s="490" t="s">
        <v>426</v>
      </c>
      <c r="G26" s="486">
        <v>1</v>
      </c>
      <c r="H26" s="487">
        <v>3</v>
      </c>
      <c r="I26" s="487">
        <v>7.2111111111110571E-3</v>
      </c>
      <c r="J26" s="488">
        <v>2.1633333333333171E-2</v>
      </c>
    </row>
    <row r="27" spans="1:22">
      <c r="A27" s="452">
        <v>25</v>
      </c>
      <c r="B27" s="451" t="s">
        <v>355</v>
      </c>
      <c r="C27" s="451" t="s">
        <v>67</v>
      </c>
      <c r="D27" s="451" t="s">
        <v>66</v>
      </c>
      <c r="E27" s="485" t="s">
        <v>67</v>
      </c>
      <c r="F27" s="490" t="s">
        <v>426</v>
      </c>
      <c r="G27" s="486">
        <v>1.4528571428571424</v>
      </c>
      <c r="H27" s="487">
        <v>4.3585714285714277</v>
      </c>
      <c r="I27" s="487">
        <v>0.1269951625094482</v>
      </c>
      <c r="J27" s="488">
        <v>0.3809854875283446</v>
      </c>
    </row>
    <row r="28" spans="1:22">
      <c r="A28" s="452">
        <v>26</v>
      </c>
      <c r="B28" s="451" t="s">
        <v>106</v>
      </c>
      <c r="C28" s="451" t="s">
        <v>106</v>
      </c>
      <c r="D28" s="451" t="s">
        <v>105</v>
      </c>
      <c r="E28" s="485" t="s">
        <v>106</v>
      </c>
      <c r="F28" s="489" t="s">
        <v>426</v>
      </c>
      <c r="G28" s="486">
        <v>5.2149999999999972</v>
      </c>
      <c r="H28" s="487">
        <v>15.644999999999992</v>
      </c>
      <c r="I28" s="487">
        <v>4.7537500000000003E-2</v>
      </c>
      <c r="J28" s="488">
        <v>0.1426125</v>
      </c>
    </row>
    <row r="29" spans="1:22">
      <c r="A29" s="452">
        <v>27</v>
      </c>
      <c r="B29" s="451" t="s">
        <v>92</v>
      </c>
      <c r="C29" s="451" t="s">
        <v>92</v>
      </c>
      <c r="D29" s="451" t="s">
        <v>91</v>
      </c>
      <c r="E29" s="485" t="s">
        <v>92</v>
      </c>
      <c r="F29" s="490" t="s">
        <v>428</v>
      </c>
      <c r="G29" s="486">
        <v>3.25</v>
      </c>
      <c r="H29" s="487">
        <v>9.75</v>
      </c>
      <c r="I29" s="487">
        <v>1.6333333333333311E-2</v>
      </c>
      <c r="J29" s="488">
        <v>4.8999999999999932E-2</v>
      </c>
    </row>
    <row r="30" spans="1:22">
      <c r="A30" s="452">
        <v>28</v>
      </c>
      <c r="B30" s="451" t="s">
        <v>209</v>
      </c>
      <c r="C30" s="451" t="s">
        <v>209</v>
      </c>
      <c r="D30" s="451" t="s">
        <v>208</v>
      </c>
      <c r="E30" s="485" t="s">
        <v>209</v>
      </c>
      <c r="F30" s="490" t="s">
        <v>426</v>
      </c>
      <c r="G30" s="486">
        <v>2.5883333333333338</v>
      </c>
      <c r="H30" s="487">
        <v>7.7650000000000006</v>
      </c>
      <c r="I30" s="487">
        <v>7.1625791864496982E-2</v>
      </c>
      <c r="J30" s="488">
        <v>0.21487737559349096</v>
      </c>
    </row>
    <row r="31" spans="1:22">
      <c r="A31" s="452">
        <v>29</v>
      </c>
      <c r="B31" s="451" t="s">
        <v>38</v>
      </c>
      <c r="C31" s="451" t="s">
        <v>38</v>
      </c>
      <c r="D31" s="451" t="s">
        <v>37</v>
      </c>
      <c r="E31" s="485" t="s">
        <v>38</v>
      </c>
      <c r="F31" s="489" t="s">
        <v>428</v>
      </c>
      <c r="G31" s="486">
        <v>2.7319999999999998</v>
      </c>
      <c r="H31" s="487">
        <v>8.1959999999999997</v>
      </c>
      <c r="I31" s="487">
        <v>6.7138888888888887E-2</v>
      </c>
      <c r="J31" s="488">
        <v>0.20141666666666672</v>
      </c>
    </row>
    <row r="32" spans="1:22">
      <c r="A32" s="452">
        <v>30</v>
      </c>
      <c r="B32" s="451" t="s">
        <v>133</v>
      </c>
      <c r="C32" s="451" t="s">
        <v>133</v>
      </c>
      <c r="D32" s="451" t="s">
        <v>132</v>
      </c>
      <c r="E32" s="485" t="s">
        <v>133</v>
      </c>
      <c r="F32" s="490" t="s">
        <v>426</v>
      </c>
      <c r="G32" s="486">
        <v>1.0026666666666666</v>
      </c>
      <c r="H32" s="487">
        <v>3.008</v>
      </c>
      <c r="I32" s="487">
        <v>6.7877222222222214E-2</v>
      </c>
      <c r="J32" s="488">
        <v>0.20363166666666666</v>
      </c>
    </row>
    <row r="33" spans="1:10">
      <c r="A33" s="452">
        <v>31</v>
      </c>
      <c r="B33" s="451" t="s">
        <v>188</v>
      </c>
      <c r="C33" s="451" t="s">
        <v>188</v>
      </c>
      <c r="D33" s="451" t="s">
        <v>187</v>
      </c>
      <c r="E33" s="485" t="s">
        <v>188</v>
      </c>
      <c r="F33" s="489" t="s">
        <v>428</v>
      </c>
      <c r="G33" s="486">
        <v>6.4799999999999995</v>
      </c>
      <c r="H33" s="487">
        <v>19.439999999999998</v>
      </c>
      <c r="I33" s="487">
        <v>0.11077777777777775</v>
      </c>
      <c r="J33" s="488">
        <v>0.33233333333333326</v>
      </c>
    </row>
    <row r="34" spans="1:10">
      <c r="A34" s="452">
        <v>32</v>
      </c>
      <c r="B34" s="451" t="s">
        <v>96</v>
      </c>
      <c r="C34" s="451" t="s">
        <v>96</v>
      </c>
      <c r="D34" s="451" t="s">
        <v>95</v>
      </c>
      <c r="E34" s="485" t="s">
        <v>96</v>
      </c>
      <c r="F34" s="489" t="s">
        <v>426</v>
      </c>
      <c r="G34" s="486">
        <v>2.8633333333333328</v>
      </c>
      <c r="H34" s="487">
        <v>8.5899999999999981</v>
      </c>
      <c r="I34" s="487">
        <v>8.5066666666666652E-2</v>
      </c>
      <c r="J34" s="488">
        <v>0.25519999999999998</v>
      </c>
    </row>
    <row r="35" spans="1:10">
      <c r="A35" s="452">
        <v>33</v>
      </c>
      <c r="B35" s="451" t="s">
        <v>108</v>
      </c>
      <c r="C35" s="451" t="s">
        <v>108</v>
      </c>
      <c r="D35" s="451" t="s">
        <v>107</v>
      </c>
      <c r="E35" s="485" t="s">
        <v>108</v>
      </c>
      <c r="F35" s="490" t="s">
        <v>428</v>
      </c>
      <c r="G35" s="486">
        <v>6.5822222222222235</v>
      </c>
      <c r="H35" s="487">
        <v>19.746666666666666</v>
      </c>
      <c r="I35" s="487">
        <v>0.14432222222222224</v>
      </c>
      <c r="J35" s="488">
        <v>0.43296666666666672</v>
      </c>
    </row>
    <row r="36" spans="1:10">
      <c r="A36" s="452">
        <v>34</v>
      </c>
      <c r="B36" s="451" t="s">
        <v>186</v>
      </c>
      <c r="C36" s="451" t="s">
        <v>186</v>
      </c>
      <c r="D36" s="451" t="s">
        <v>185</v>
      </c>
      <c r="E36" s="485" t="s">
        <v>186</v>
      </c>
      <c r="F36" s="490" t="s">
        <v>428</v>
      </c>
      <c r="G36" s="486">
        <v>8.83</v>
      </c>
      <c r="H36" s="487">
        <v>26.49</v>
      </c>
      <c r="I36" s="487">
        <v>0.2378518518518519</v>
      </c>
      <c r="J36" s="488">
        <v>0.71355555555555572</v>
      </c>
    </row>
    <row r="37" spans="1:10">
      <c r="A37" s="452">
        <v>35</v>
      </c>
      <c r="B37" s="451" t="s">
        <v>180</v>
      </c>
      <c r="C37" s="451" t="s">
        <v>180</v>
      </c>
      <c r="D37" s="451" t="s">
        <v>179</v>
      </c>
      <c r="E37" s="485" t="s">
        <v>180</v>
      </c>
      <c r="F37" s="490" t="s">
        <v>426</v>
      </c>
      <c r="G37" s="486">
        <v>9.0333333333333332</v>
      </c>
      <c r="H37" s="487">
        <v>27.1</v>
      </c>
      <c r="I37" s="487">
        <v>0.20053333333333337</v>
      </c>
      <c r="J37" s="488">
        <v>0.60160000000000013</v>
      </c>
    </row>
    <row r="38" spans="1:10">
      <c r="A38" s="452">
        <v>72</v>
      </c>
      <c r="B38" s="451" t="s">
        <v>227</v>
      </c>
      <c r="C38" s="456" t="s">
        <v>408</v>
      </c>
      <c r="D38" s="451" t="s">
        <v>226</v>
      </c>
      <c r="E38" s="485" t="s">
        <v>408</v>
      </c>
      <c r="F38" s="490" t="s">
        <v>426</v>
      </c>
      <c r="G38" s="486">
        <v>15.666666666666666</v>
      </c>
      <c r="H38" s="487">
        <v>47</v>
      </c>
      <c r="I38" s="487">
        <v>0.14233333333333331</v>
      </c>
      <c r="J38" s="488">
        <v>0.42699999999999994</v>
      </c>
    </row>
    <row r="39" spans="1:10">
      <c r="A39" s="452">
        <v>37</v>
      </c>
      <c r="B39" s="451" t="s">
        <v>52</v>
      </c>
      <c r="C39" s="456" t="s">
        <v>419</v>
      </c>
      <c r="D39" s="451" t="s">
        <v>51</v>
      </c>
      <c r="E39" s="485" t="s">
        <v>419</v>
      </c>
      <c r="F39" s="490" t="s">
        <v>429</v>
      </c>
      <c r="G39" s="486">
        <v>0.63333333333333341</v>
      </c>
      <c r="H39" s="487">
        <v>1.9000000000000004</v>
      </c>
      <c r="I39" s="487">
        <v>2.1333333333333343E-2</v>
      </c>
      <c r="J39" s="488">
        <v>6.4000000000000029E-2</v>
      </c>
    </row>
    <row r="40" spans="1:10">
      <c r="A40" s="452">
        <v>38</v>
      </c>
      <c r="B40" s="451" t="s">
        <v>82</v>
      </c>
      <c r="C40" s="451" t="s">
        <v>82</v>
      </c>
      <c r="D40" s="451" t="s">
        <v>81</v>
      </c>
      <c r="E40" s="485" t="s">
        <v>82</v>
      </c>
      <c r="F40" s="489" t="s">
        <v>426</v>
      </c>
      <c r="G40" s="486">
        <v>2.6946666666666674</v>
      </c>
      <c r="H40" s="487">
        <v>8.0840000000000014</v>
      </c>
      <c r="I40" s="487">
        <v>0.26246666666666668</v>
      </c>
      <c r="J40" s="488">
        <v>0.7874000000000001</v>
      </c>
    </row>
    <row r="41" spans="1:10">
      <c r="A41" s="452">
        <v>39</v>
      </c>
      <c r="B41" s="451" t="s">
        <v>356</v>
      </c>
      <c r="C41" s="451" t="s">
        <v>356</v>
      </c>
      <c r="D41" s="451" t="s">
        <v>451</v>
      </c>
      <c r="E41" s="485" t="s">
        <v>384</v>
      </c>
      <c r="F41" s="493" t="s">
        <v>255</v>
      </c>
      <c r="G41" s="486">
        <v>3.776666666666666</v>
      </c>
      <c r="H41" s="487">
        <v>11.329999999999998</v>
      </c>
      <c r="I41" s="487">
        <v>0</v>
      </c>
      <c r="J41" s="488">
        <v>0</v>
      </c>
    </row>
    <row r="42" spans="1:10">
      <c r="A42" s="452">
        <v>40</v>
      </c>
      <c r="B42" s="451" t="s">
        <v>86</v>
      </c>
      <c r="C42" s="451" t="s">
        <v>86</v>
      </c>
      <c r="D42" s="451" t="s">
        <v>85</v>
      </c>
      <c r="E42" s="485" t="s">
        <v>86</v>
      </c>
      <c r="F42" s="490" t="s">
        <v>427</v>
      </c>
      <c r="G42" s="486">
        <v>10.366666666666667</v>
      </c>
      <c r="H42" s="487">
        <v>31.1</v>
      </c>
      <c r="I42" s="487">
        <v>7.7749999999999986E-2</v>
      </c>
      <c r="J42" s="488">
        <v>0.23324999999999996</v>
      </c>
    </row>
    <row r="43" spans="1:10">
      <c r="A43" s="452">
        <v>41</v>
      </c>
      <c r="B43" s="451" t="s">
        <v>192</v>
      </c>
      <c r="C43" s="451" t="s">
        <v>413</v>
      </c>
      <c r="D43" s="451" t="s">
        <v>191</v>
      </c>
      <c r="E43" s="485" t="s">
        <v>192</v>
      </c>
      <c r="F43" s="490" t="s">
        <v>427</v>
      </c>
      <c r="G43" s="486">
        <v>1.5</v>
      </c>
      <c r="H43" s="487">
        <v>4.5</v>
      </c>
      <c r="I43" s="487">
        <v>4.2333333333333334E-2</v>
      </c>
      <c r="J43" s="488">
        <v>0.127</v>
      </c>
    </row>
    <row r="44" spans="1:10">
      <c r="A44" s="452">
        <v>42</v>
      </c>
      <c r="B44" s="454" t="s">
        <v>357</v>
      </c>
      <c r="C44" s="456" t="s">
        <v>412</v>
      </c>
      <c r="D44" s="649"/>
      <c r="E44" s="485" t="s">
        <v>412</v>
      </c>
      <c r="F44" s="493" t="s">
        <v>426</v>
      </c>
      <c r="G44" s="486">
        <v>4.3433333333333337</v>
      </c>
      <c r="H44" s="487">
        <v>13.030000000000001</v>
      </c>
      <c r="I44" s="487">
        <v>6.3931109750141754E-2</v>
      </c>
      <c r="J44" s="488">
        <v>0.19179332925042525</v>
      </c>
    </row>
    <row r="45" spans="1:10">
      <c r="A45" s="452">
        <v>43</v>
      </c>
      <c r="B45" s="451" t="s">
        <v>196</v>
      </c>
      <c r="C45" s="451" t="s">
        <v>196</v>
      </c>
      <c r="D45" s="451" t="s">
        <v>195</v>
      </c>
      <c r="E45" s="485" t="s">
        <v>196</v>
      </c>
      <c r="F45" s="489" t="s">
        <v>426</v>
      </c>
      <c r="G45" s="486">
        <v>4.6366666666666703</v>
      </c>
      <c r="H45" s="487">
        <v>13.910000000000011</v>
      </c>
      <c r="I45" s="487">
        <v>3.7047619047619072E-2</v>
      </c>
      <c r="J45" s="488">
        <v>0.11114285714285721</v>
      </c>
    </row>
    <row r="46" spans="1:10">
      <c r="A46" s="452">
        <v>44</v>
      </c>
      <c r="B46" s="451" t="s">
        <v>172</v>
      </c>
      <c r="C46" s="451" t="s">
        <v>172</v>
      </c>
      <c r="D46" s="451" t="s">
        <v>171</v>
      </c>
      <c r="E46" s="485" t="s">
        <v>172</v>
      </c>
      <c r="F46" s="490" t="s">
        <v>426</v>
      </c>
      <c r="G46" s="486">
        <v>8.5066666666666677</v>
      </c>
      <c r="H46" s="487">
        <v>25.520000000000003</v>
      </c>
      <c r="I46" s="487">
        <v>0.15832407407407409</v>
      </c>
      <c r="J46" s="488">
        <v>0.47497222222222224</v>
      </c>
    </row>
    <row r="47" spans="1:10">
      <c r="A47" s="452">
        <v>45</v>
      </c>
      <c r="B47" s="451" t="s">
        <v>359</v>
      </c>
      <c r="C47" s="451" t="s">
        <v>359</v>
      </c>
      <c r="D47" s="451" t="s">
        <v>99</v>
      </c>
      <c r="E47" s="485" t="s">
        <v>406</v>
      </c>
      <c r="F47" s="490" t="s">
        <v>428</v>
      </c>
      <c r="G47" s="486">
        <v>4.746666666666667</v>
      </c>
      <c r="H47" s="487">
        <v>14.240000000000002</v>
      </c>
      <c r="I47" s="487">
        <v>6.916666666666664E-2</v>
      </c>
      <c r="J47" s="488">
        <v>0.20749999999999991</v>
      </c>
    </row>
    <row r="48" spans="1:10">
      <c r="A48" s="452">
        <v>46</v>
      </c>
      <c r="B48" s="451" t="s">
        <v>143</v>
      </c>
      <c r="C48" s="451" t="s">
        <v>143</v>
      </c>
      <c r="D48" s="451" t="s">
        <v>142</v>
      </c>
      <c r="E48" s="485" t="s">
        <v>143</v>
      </c>
      <c r="F48" s="490" t="s">
        <v>427</v>
      </c>
      <c r="G48" s="486">
        <v>5</v>
      </c>
      <c r="H48" s="487">
        <v>15</v>
      </c>
      <c r="I48" s="487">
        <v>0.31225000000000008</v>
      </c>
      <c r="J48" s="488">
        <v>0.93675000000000019</v>
      </c>
    </row>
    <row r="49" spans="1:22">
      <c r="A49" s="452">
        <v>47</v>
      </c>
      <c r="B49" s="451" t="s">
        <v>204</v>
      </c>
      <c r="C49" s="451" t="s">
        <v>204</v>
      </c>
      <c r="D49" s="451" t="s">
        <v>203</v>
      </c>
      <c r="E49" s="485" t="s">
        <v>204</v>
      </c>
      <c r="F49" s="490" t="s">
        <v>427</v>
      </c>
      <c r="G49" s="486">
        <v>2.9949999999999992</v>
      </c>
      <c r="H49" s="487">
        <v>8.9849999999999977</v>
      </c>
      <c r="I49" s="487">
        <v>0.12064768518518519</v>
      </c>
      <c r="J49" s="488">
        <v>0.36194305555555556</v>
      </c>
    </row>
    <row r="50" spans="1:22">
      <c r="A50" s="452">
        <v>48</v>
      </c>
      <c r="B50" s="451" t="s">
        <v>101</v>
      </c>
      <c r="C50" s="451" t="s">
        <v>101</v>
      </c>
      <c r="D50" s="451" t="s">
        <v>100</v>
      </c>
      <c r="E50" s="485" t="s">
        <v>101</v>
      </c>
      <c r="F50" s="490" t="s">
        <v>428</v>
      </c>
      <c r="G50" s="486">
        <v>3.1011111111111114</v>
      </c>
      <c r="H50" s="487">
        <v>9.3033333333333346</v>
      </c>
      <c r="I50" s="487">
        <v>6.53962962962963E-2</v>
      </c>
      <c r="J50" s="488">
        <v>0.19618888888888888</v>
      </c>
    </row>
    <row r="51" spans="1:22">
      <c r="A51" s="452">
        <v>49</v>
      </c>
      <c r="B51" s="451" t="s">
        <v>152</v>
      </c>
      <c r="C51" s="451" t="s">
        <v>152</v>
      </c>
      <c r="D51" s="451" t="s">
        <v>151</v>
      </c>
      <c r="E51" s="485" t="s">
        <v>152</v>
      </c>
      <c r="F51" s="490" t="s">
        <v>428</v>
      </c>
      <c r="G51" s="486">
        <v>9.1666666666666661</v>
      </c>
      <c r="H51" s="487">
        <v>27.5</v>
      </c>
      <c r="I51" s="487">
        <v>0.22733333333333336</v>
      </c>
      <c r="J51" s="488">
        <v>0.68200000000000005</v>
      </c>
    </row>
    <row r="52" spans="1:22">
      <c r="A52" s="452">
        <v>50</v>
      </c>
      <c r="B52" s="451" t="s">
        <v>104</v>
      </c>
      <c r="C52" s="451" t="s">
        <v>104</v>
      </c>
      <c r="D52" s="451" t="s">
        <v>102</v>
      </c>
      <c r="E52" s="485" t="s">
        <v>104</v>
      </c>
      <c r="F52" s="493" t="s">
        <v>427</v>
      </c>
      <c r="G52" s="486">
        <v>4.4000000000000012</v>
      </c>
      <c r="H52" s="487">
        <v>13.200000000000003</v>
      </c>
      <c r="I52" s="487">
        <v>0.10980000000000001</v>
      </c>
      <c r="J52" s="488">
        <v>0.32940000000000003</v>
      </c>
    </row>
    <row r="53" spans="1:22">
      <c r="A53" s="452">
        <v>51</v>
      </c>
      <c r="B53" s="451" t="s">
        <v>103</v>
      </c>
      <c r="C53" s="451" t="s">
        <v>103</v>
      </c>
      <c r="D53" s="451" t="s">
        <v>102</v>
      </c>
      <c r="E53" s="485" t="s">
        <v>103</v>
      </c>
      <c r="F53" s="490" t="s">
        <v>428</v>
      </c>
      <c r="G53" s="486">
        <v>4.2722222222222213</v>
      </c>
      <c r="H53" s="487">
        <v>12.816666666666663</v>
      </c>
      <c r="I53" s="487">
        <v>6.9802469135802458E-2</v>
      </c>
      <c r="J53" s="488">
        <v>0.20940740740740738</v>
      </c>
    </row>
    <row r="54" spans="1:22">
      <c r="A54" s="452">
        <v>52</v>
      </c>
      <c r="B54" s="451" t="s">
        <v>139</v>
      </c>
      <c r="C54" s="451" t="s">
        <v>139</v>
      </c>
      <c r="D54" s="451" t="s">
        <v>138</v>
      </c>
      <c r="E54" s="485" t="s">
        <v>139</v>
      </c>
      <c r="F54" s="489" t="s">
        <v>426</v>
      </c>
      <c r="G54" s="486">
        <v>7.5759999999999987</v>
      </c>
      <c r="H54" s="487">
        <v>22.727999999999998</v>
      </c>
      <c r="I54" s="487">
        <v>7.0703703703703685E-2</v>
      </c>
      <c r="J54" s="488">
        <v>0.21211111111111108</v>
      </c>
    </row>
    <row r="55" spans="1:22">
      <c r="A55" s="452">
        <v>53</v>
      </c>
      <c r="B55" s="451" t="s">
        <v>141</v>
      </c>
      <c r="C55" s="456" t="s">
        <v>407</v>
      </c>
      <c r="D55" s="451" t="s">
        <v>140</v>
      </c>
      <c r="E55" s="485" t="s">
        <v>407</v>
      </c>
      <c r="F55" s="491" t="s">
        <v>426</v>
      </c>
      <c r="G55" s="486">
        <v>5.1716666666666669</v>
      </c>
      <c r="H55" s="487">
        <v>15.515000000000001</v>
      </c>
      <c r="I55" s="487">
        <v>0.1384444444444444</v>
      </c>
      <c r="J55" s="488">
        <v>0.41533333333333322</v>
      </c>
    </row>
    <row r="56" spans="1:22">
      <c r="A56" s="452">
        <v>54</v>
      </c>
      <c r="B56" s="451" t="s">
        <v>75</v>
      </c>
      <c r="C56" s="451" t="s">
        <v>75</v>
      </c>
      <c r="D56" s="451" t="s">
        <v>74</v>
      </c>
      <c r="E56" s="485" t="s">
        <v>75</v>
      </c>
      <c r="F56" s="489" t="s">
        <v>426</v>
      </c>
      <c r="G56" s="486">
        <v>1.4850000000000001</v>
      </c>
      <c r="H56" s="487">
        <v>4.4550000000000001</v>
      </c>
      <c r="I56" s="487">
        <v>2.9309722222222223E-2</v>
      </c>
      <c r="J56" s="488">
        <v>8.7929166666666669E-2</v>
      </c>
    </row>
    <row r="57" spans="1:22">
      <c r="A57" s="452">
        <v>55</v>
      </c>
      <c r="B57" s="451" t="s">
        <v>135</v>
      </c>
      <c r="C57" s="451" t="s">
        <v>135</v>
      </c>
      <c r="D57" s="451" t="s">
        <v>134</v>
      </c>
      <c r="E57" s="485" t="s">
        <v>135</v>
      </c>
      <c r="F57" s="490" t="s">
        <v>427</v>
      </c>
      <c r="G57" s="486">
        <v>1.2900000000000007</v>
      </c>
      <c r="H57" s="487">
        <v>3.8700000000000023</v>
      </c>
      <c r="I57" s="487">
        <v>0.11594351851851847</v>
      </c>
      <c r="J57" s="488">
        <v>0.34783055555555542</v>
      </c>
    </row>
    <row r="58" spans="1:22">
      <c r="A58" s="452">
        <v>56</v>
      </c>
      <c r="B58" s="454" t="s">
        <v>223</v>
      </c>
      <c r="C58" s="454" t="s">
        <v>223</v>
      </c>
      <c r="D58" s="649"/>
      <c r="E58" s="485" t="s">
        <v>223</v>
      </c>
      <c r="F58" s="493" t="s">
        <v>427</v>
      </c>
      <c r="G58" s="486">
        <v>0.8999999999999998</v>
      </c>
      <c r="H58" s="487">
        <v>2.6999999999999993</v>
      </c>
      <c r="I58" s="487">
        <v>6.0833333333333295E-2</v>
      </c>
      <c r="J58" s="488">
        <v>0.18249999999999988</v>
      </c>
    </row>
    <row r="59" spans="1:22">
      <c r="A59" s="452">
        <v>57</v>
      </c>
      <c r="B59" s="451" t="s">
        <v>125</v>
      </c>
      <c r="C59" s="451" t="s">
        <v>125</v>
      </c>
      <c r="D59" s="451" t="s">
        <v>124</v>
      </c>
      <c r="E59" s="485" t="s">
        <v>125</v>
      </c>
      <c r="F59" s="490" t="s">
        <v>428</v>
      </c>
      <c r="G59" s="486">
        <v>1.3500000000000003</v>
      </c>
      <c r="H59" s="487">
        <v>4.0500000000000007</v>
      </c>
      <c r="I59" s="487">
        <v>4.930462962962967E-2</v>
      </c>
      <c r="J59" s="488">
        <v>0.14791388888888901</v>
      </c>
    </row>
    <row r="60" spans="1:22">
      <c r="A60" s="452">
        <v>58</v>
      </c>
      <c r="B60" s="451" t="s">
        <v>234</v>
      </c>
      <c r="C60" s="451" t="s">
        <v>234</v>
      </c>
      <c r="D60" s="451" t="s">
        <v>233</v>
      </c>
      <c r="E60" s="485" t="s">
        <v>234</v>
      </c>
      <c r="F60" s="489" t="s">
        <v>426</v>
      </c>
      <c r="G60" s="486">
        <v>3.3333333333333335</v>
      </c>
      <c r="H60" s="487">
        <v>10</v>
      </c>
      <c r="I60" s="487">
        <v>6.945833333333333E-2</v>
      </c>
      <c r="J60" s="488">
        <v>0.20837499999999998</v>
      </c>
    </row>
    <row r="61" spans="1:22">
      <c r="A61" s="452">
        <v>59</v>
      </c>
      <c r="B61" s="451" t="s">
        <v>50</v>
      </c>
      <c r="C61" s="451" t="s">
        <v>50</v>
      </c>
      <c r="D61" s="451" t="s">
        <v>49</v>
      </c>
      <c r="E61" s="485" t="s">
        <v>50</v>
      </c>
      <c r="F61" s="490" t="s">
        <v>426</v>
      </c>
      <c r="G61" s="486">
        <v>1.5433333333333332</v>
      </c>
      <c r="H61" s="487">
        <v>4.629999999999999</v>
      </c>
      <c r="I61" s="487">
        <v>9.2405555555555546E-2</v>
      </c>
      <c r="J61" s="488">
        <v>0.27721666666666667</v>
      </c>
    </row>
    <row r="62" spans="1:22">
      <c r="A62" s="452">
        <v>60</v>
      </c>
      <c r="B62" s="451" t="s">
        <v>194</v>
      </c>
      <c r="C62" s="451" t="s">
        <v>194</v>
      </c>
      <c r="D62" s="451" t="s">
        <v>49</v>
      </c>
      <c r="E62" s="485" t="s">
        <v>194</v>
      </c>
      <c r="F62" s="493" t="s">
        <v>428</v>
      </c>
      <c r="G62" s="486">
        <v>1.0066666666666666</v>
      </c>
      <c r="H62" s="487">
        <v>3.0199999999999996</v>
      </c>
      <c r="I62" s="487">
        <v>6.9999999999999993E-2</v>
      </c>
      <c r="J62" s="488">
        <v>0.20999999999999996</v>
      </c>
      <c r="L62" s="450"/>
      <c r="M62" s="450"/>
      <c r="N62" s="450"/>
      <c r="O62" s="450"/>
      <c r="P62" s="450"/>
      <c r="Q62" s="450"/>
      <c r="R62" s="450"/>
      <c r="S62" s="450"/>
      <c r="T62" s="450"/>
      <c r="U62" s="450"/>
      <c r="V62" s="450"/>
    </row>
    <row r="63" spans="1:22">
      <c r="A63" s="452">
        <v>61</v>
      </c>
      <c r="B63" s="451" t="s">
        <v>45</v>
      </c>
      <c r="C63" s="451" t="s">
        <v>45</v>
      </c>
      <c r="D63" s="451" t="s">
        <v>44</v>
      </c>
      <c r="E63" s="485" t="s">
        <v>45</v>
      </c>
      <c r="F63" s="489" t="s">
        <v>426</v>
      </c>
      <c r="G63" s="486">
        <v>9.6366666666666649</v>
      </c>
      <c r="H63" s="487">
        <v>28.909999999999997</v>
      </c>
      <c r="I63" s="487">
        <v>4.94833333333334E-2</v>
      </c>
      <c r="J63" s="488">
        <v>0.14845000000000019</v>
      </c>
    </row>
    <row r="64" spans="1:22">
      <c r="A64" s="452">
        <v>62</v>
      </c>
      <c r="B64" s="451" t="s">
        <v>176</v>
      </c>
      <c r="C64" s="451" t="s">
        <v>176</v>
      </c>
      <c r="D64" s="451" t="s">
        <v>175</v>
      </c>
      <c r="E64" s="485" t="s">
        <v>176</v>
      </c>
      <c r="F64" s="489" t="s">
        <v>426</v>
      </c>
      <c r="G64" s="486">
        <v>3.65</v>
      </c>
      <c r="H64" s="487">
        <v>10.95</v>
      </c>
      <c r="I64" s="487">
        <v>8.7416666666666656E-2</v>
      </c>
      <c r="J64" s="488">
        <v>0.26224999999999998</v>
      </c>
    </row>
    <row r="65" spans="1:10">
      <c r="A65" s="452">
        <v>63</v>
      </c>
      <c r="B65" s="451" t="s">
        <v>182</v>
      </c>
      <c r="C65" s="451" t="s">
        <v>182</v>
      </c>
      <c r="D65" s="451" t="s">
        <v>181</v>
      </c>
      <c r="E65" s="485" t="s">
        <v>182</v>
      </c>
      <c r="F65" s="490" t="s">
        <v>426</v>
      </c>
      <c r="G65" s="486">
        <v>0.63333333333333286</v>
      </c>
      <c r="H65" s="487">
        <v>1.8999999999999986</v>
      </c>
      <c r="I65" s="487">
        <v>4.5666666666666599E-2</v>
      </c>
      <c r="J65" s="488">
        <v>0.13699999999999979</v>
      </c>
    </row>
    <row r="66" spans="1:10">
      <c r="A66" s="452">
        <v>64</v>
      </c>
      <c r="B66" s="451" t="s">
        <v>157</v>
      </c>
      <c r="C66" s="451" t="s">
        <v>157</v>
      </c>
      <c r="D66" s="451" t="s">
        <v>156</v>
      </c>
      <c r="E66" s="485" t="s">
        <v>157</v>
      </c>
      <c r="F66" s="490" t="s">
        <v>427</v>
      </c>
      <c r="G66" s="486">
        <v>0</v>
      </c>
      <c r="H66" s="487">
        <v>0</v>
      </c>
      <c r="I66" s="487">
        <v>0.25666666666666665</v>
      </c>
      <c r="J66" s="488">
        <v>0.76999999999999991</v>
      </c>
    </row>
    <row r="67" spans="1:10">
      <c r="A67" s="452">
        <v>65</v>
      </c>
      <c r="B67" s="451" t="s">
        <v>30</v>
      </c>
      <c r="C67" s="451" t="s">
        <v>30</v>
      </c>
      <c r="D67" s="451" t="s">
        <v>29</v>
      </c>
      <c r="E67" s="485" t="s">
        <v>30</v>
      </c>
      <c r="F67" s="490" t="s">
        <v>429</v>
      </c>
      <c r="G67" s="486">
        <v>2.0333333333333337</v>
      </c>
      <c r="H67" s="487">
        <v>6.1000000000000014</v>
      </c>
      <c r="I67" s="487">
        <v>1.779166666666665E-2</v>
      </c>
      <c r="J67" s="488">
        <v>5.337499999999995E-2</v>
      </c>
    </row>
    <row r="68" spans="1:10">
      <c r="A68" s="452">
        <v>66</v>
      </c>
      <c r="B68" s="451" t="s">
        <v>63</v>
      </c>
      <c r="C68" s="451" t="s">
        <v>63</v>
      </c>
      <c r="D68" s="451" t="s">
        <v>62</v>
      </c>
      <c r="E68" s="485" t="s">
        <v>63</v>
      </c>
      <c r="F68" s="490" t="s">
        <v>427</v>
      </c>
      <c r="G68" s="486">
        <v>1.4000000000000001</v>
      </c>
      <c r="H68" s="487">
        <v>4.2</v>
      </c>
      <c r="I68" s="487">
        <v>0.13083333333333327</v>
      </c>
      <c r="J68" s="488">
        <v>0.39249999999999985</v>
      </c>
    </row>
    <row r="69" spans="1:10">
      <c r="A69" s="452">
        <v>67</v>
      </c>
      <c r="B69" s="451" t="s">
        <v>361</v>
      </c>
      <c r="C69" s="451" t="s">
        <v>361</v>
      </c>
      <c r="D69" s="451" t="s">
        <v>362</v>
      </c>
      <c r="E69" s="485" t="s">
        <v>361</v>
      </c>
      <c r="F69" s="490" t="s">
        <v>427</v>
      </c>
      <c r="G69" s="486">
        <v>1.3333333333333333</v>
      </c>
      <c r="H69" s="487">
        <v>4</v>
      </c>
      <c r="I69" s="487">
        <v>0</v>
      </c>
      <c r="J69" s="488">
        <v>0</v>
      </c>
    </row>
    <row r="70" spans="1:10">
      <c r="A70" s="452">
        <v>68</v>
      </c>
      <c r="B70" s="451" t="s">
        <v>170</v>
      </c>
      <c r="C70" s="451" t="s">
        <v>170</v>
      </c>
      <c r="D70" s="451" t="s">
        <v>169</v>
      </c>
      <c r="E70" s="485" t="s">
        <v>170</v>
      </c>
      <c r="F70" s="490" t="s">
        <v>426</v>
      </c>
      <c r="G70" s="486">
        <v>8.637777777777778</v>
      </c>
      <c r="H70" s="487">
        <v>25.91333333333333</v>
      </c>
      <c r="I70" s="487">
        <v>0.11518981481481479</v>
      </c>
      <c r="J70" s="488">
        <v>0.34556944444444443</v>
      </c>
    </row>
    <row r="71" spans="1:10">
      <c r="A71" s="452">
        <v>69</v>
      </c>
      <c r="B71" s="451" t="s">
        <v>215</v>
      </c>
      <c r="C71" s="451" t="s">
        <v>215</v>
      </c>
      <c r="D71" s="451" t="s">
        <v>214</v>
      </c>
      <c r="E71" s="485" t="s">
        <v>215</v>
      </c>
      <c r="F71" s="490" t="s">
        <v>426</v>
      </c>
      <c r="G71" s="486">
        <v>4.75</v>
      </c>
      <c r="H71" s="487">
        <v>14.25</v>
      </c>
      <c r="I71" s="487">
        <v>4.2500000000000059E-2</v>
      </c>
      <c r="J71" s="488">
        <v>0.12750000000000017</v>
      </c>
    </row>
    <row r="72" spans="1:10">
      <c r="A72" s="452">
        <v>70</v>
      </c>
      <c r="B72" s="451" t="s">
        <v>123</v>
      </c>
      <c r="C72" s="451" t="s">
        <v>123</v>
      </c>
      <c r="D72" s="451" t="s">
        <v>122</v>
      </c>
      <c r="E72" s="485" t="s">
        <v>123</v>
      </c>
      <c r="F72" s="490" t="s">
        <v>426</v>
      </c>
      <c r="G72" s="486">
        <v>7.4253333333333345</v>
      </c>
      <c r="H72" s="487">
        <v>22.276</v>
      </c>
      <c r="I72" s="487">
        <v>8.2593333333333324E-2</v>
      </c>
      <c r="J72" s="488">
        <v>0.24777999999999997</v>
      </c>
    </row>
    <row r="73" spans="1:10">
      <c r="A73" s="452">
        <v>71</v>
      </c>
      <c r="B73" s="451" t="s">
        <v>219</v>
      </c>
      <c r="C73" s="451" t="s">
        <v>219</v>
      </c>
      <c r="D73" s="451" t="s">
        <v>218</v>
      </c>
      <c r="E73" s="485" t="s">
        <v>219</v>
      </c>
      <c r="F73" s="490" t="s">
        <v>426</v>
      </c>
      <c r="G73" s="486">
        <v>9.0208333333333357</v>
      </c>
      <c r="H73" s="487">
        <v>27.0625</v>
      </c>
      <c r="I73" s="487">
        <v>6.6191077987112643E-2</v>
      </c>
      <c r="J73" s="488">
        <v>0.19857323396133791</v>
      </c>
    </row>
    <row r="74" spans="1:10">
      <c r="A74" s="452">
        <v>73</v>
      </c>
      <c r="B74" s="451" t="s">
        <v>121</v>
      </c>
      <c r="C74" s="451" t="s">
        <v>121</v>
      </c>
      <c r="D74" s="451" t="s">
        <v>120</v>
      </c>
      <c r="E74" s="485" t="s">
        <v>121</v>
      </c>
      <c r="F74" s="490" t="s">
        <v>428</v>
      </c>
      <c r="G74" s="486">
        <v>3.5777777777777762</v>
      </c>
      <c r="H74" s="487">
        <v>10.733333333333329</v>
      </c>
      <c r="I74" s="487">
        <v>0.22234351851851852</v>
      </c>
      <c r="J74" s="488">
        <v>0.66703055555555546</v>
      </c>
    </row>
    <row r="75" spans="1:10">
      <c r="A75" s="452">
        <v>15</v>
      </c>
      <c r="B75" s="451" t="s">
        <v>184</v>
      </c>
      <c r="C75" s="456" t="s">
        <v>430</v>
      </c>
      <c r="D75" s="451" t="s">
        <v>183</v>
      </c>
      <c r="E75" s="485" t="s">
        <v>430</v>
      </c>
      <c r="F75" s="490" t="s">
        <v>428</v>
      </c>
      <c r="G75" s="486">
        <v>2.6983333333333355</v>
      </c>
      <c r="H75" s="487">
        <v>8.095000000000006</v>
      </c>
      <c r="I75" s="487">
        <v>4.5083333333333295E-2</v>
      </c>
      <c r="J75" s="488">
        <v>0.13524999999999987</v>
      </c>
    </row>
    <row r="76" spans="1:10">
      <c r="A76" s="452">
        <v>74</v>
      </c>
      <c r="B76" s="451" t="s">
        <v>168</v>
      </c>
      <c r="C76" s="451" t="s">
        <v>168</v>
      </c>
      <c r="D76" s="451" t="s">
        <v>167</v>
      </c>
      <c r="E76" s="485" t="s">
        <v>168</v>
      </c>
      <c r="F76" s="490" t="s">
        <v>426</v>
      </c>
      <c r="G76" s="486">
        <v>5.1333333333333337</v>
      </c>
      <c r="H76" s="487">
        <v>15.400000000000002</v>
      </c>
      <c r="I76" s="487">
        <v>0.12304058915603064</v>
      </c>
      <c r="J76" s="488">
        <v>0.36912176746809194</v>
      </c>
    </row>
    <row r="77" spans="1:10">
      <c r="A77" s="452">
        <v>75</v>
      </c>
      <c r="B77" s="451" t="s">
        <v>90</v>
      </c>
      <c r="C77" s="451" t="s">
        <v>90</v>
      </c>
      <c r="D77" s="451" t="s">
        <v>89</v>
      </c>
      <c r="E77" s="485" t="s">
        <v>90</v>
      </c>
      <c r="F77" s="490" t="s">
        <v>426</v>
      </c>
      <c r="G77" s="486">
        <v>14.521666666666667</v>
      </c>
      <c r="H77" s="487">
        <v>43.564999999999998</v>
      </c>
      <c r="I77" s="487">
        <v>0.17134722222222215</v>
      </c>
      <c r="J77" s="488">
        <v>0.51404166666666651</v>
      </c>
    </row>
    <row r="78" spans="1:10">
      <c r="A78" s="452">
        <v>77</v>
      </c>
      <c r="B78" s="451" t="s">
        <v>363</v>
      </c>
      <c r="C78" s="451" t="s">
        <v>42</v>
      </c>
      <c r="D78" s="451" t="s">
        <v>39</v>
      </c>
      <c r="E78" s="485" t="s">
        <v>363</v>
      </c>
      <c r="F78" s="490" t="s">
        <v>428</v>
      </c>
      <c r="G78" s="486">
        <v>0.66666666666666663</v>
      </c>
      <c r="H78" s="487">
        <v>2</v>
      </c>
      <c r="I78" s="487">
        <v>7.6333333333333295E-2</v>
      </c>
      <c r="J78" s="488">
        <v>0.22899999999999987</v>
      </c>
    </row>
    <row r="79" spans="1:10">
      <c r="A79" s="452">
        <v>76</v>
      </c>
      <c r="B79" s="451" t="s">
        <v>238</v>
      </c>
      <c r="C79" s="451" t="s">
        <v>238</v>
      </c>
      <c r="D79" s="451" t="s">
        <v>237</v>
      </c>
      <c r="E79" s="485" t="s">
        <v>238</v>
      </c>
      <c r="F79" s="490" t="s">
        <v>427</v>
      </c>
      <c r="G79" s="486">
        <v>1.9708333333333337</v>
      </c>
      <c r="H79" s="487">
        <v>5.9125000000000005</v>
      </c>
      <c r="I79" s="487">
        <v>0.1449375</v>
      </c>
      <c r="J79" s="488">
        <v>0.43481249999999994</v>
      </c>
    </row>
    <row r="80" spans="1:10">
      <c r="A80" s="452">
        <v>78</v>
      </c>
      <c r="B80" s="451" t="s">
        <v>200</v>
      </c>
      <c r="C80" s="451" t="s">
        <v>200</v>
      </c>
      <c r="D80" s="451" t="s">
        <v>199</v>
      </c>
      <c r="E80" s="485" t="s">
        <v>200</v>
      </c>
      <c r="F80" s="489" t="s">
        <v>428</v>
      </c>
      <c r="G80" s="486">
        <v>4.166666666666667</v>
      </c>
      <c r="H80" s="487">
        <v>12.5</v>
      </c>
      <c r="I80" s="487">
        <v>8.7333333333333263E-2</v>
      </c>
      <c r="J80" s="488">
        <v>0.26199999999999979</v>
      </c>
    </row>
    <row r="81" spans="1:22">
      <c r="A81" s="452">
        <v>80</v>
      </c>
      <c r="B81" s="494" t="s">
        <v>409</v>
      </c>
      <c r="C81" s="460" t="s">
        <v>431</v>
      </c>
      <c r="D81" s="649"/>
      <c r="E81" s="485" t="s">
        <v>409</v>
      </c>
      <c r="F81" s="491" t="s">
        <v>426</v>
      </c>
      <c r="G81" s="486">
        <v>3.3766666666666665</v>
      </c>
      <c r="H81" s="487">
        <v>10.129999999999999</v>
      </c>
      <c r="I81" s="487">
        <v>5.4916666666666669E-2</v>
      </c>
      <c r="J81" s="488">
        <v>0.16475000000000001</v>
      </c>
      <c r="L81" s="450"/>
      <c r="M81" s="450"/>
      <c r="N81" s="450"/>
      <c r="O81" s="450"/>
      <c r="P81" s="450"/>
      <c r="Q81" s="450"/>
      <c r="R81" s="450"/>
      <c r="S81" s="450"/>
      <c r="T81" s="450"/>
      <c r="U81" s="450"/>
      <c r="V81" s="450"/>
    </row>
    <row r="82" spans="1:22">
      <c r="A82" s="452">
        <v>81</v>
      </c>
      <c r="B82" s="494" t="s">
        <v>98</v>
      </c>
      <c r="C82" s="458" t="s">
        <v>98</v>
      </c>
      <c r="D82" s="451" t="s">
        <v>97</v>
      </c>
      <c r="E82" s="485" t="s">
        <v>98</v>
      </c>
      <c r="F82" s="492" t="s">
        <v>428</v>
      </c>
      <c r="G82" s="486">
        <v>3.1999999999999993</v>
      </c>
      <c r="H82" s="487">
        <v>9.5999999999999979</v>
      </c>
      <c r="I82" s="487">
        <v>5.6933333333333357E-2</v>
      </c>
      <c r="J82" s="488">
        <v>0.17080000000000006</v>
      </c>
    </row>
    <row r="83" spans="1:22">
      <c r="A83" s="452">
        <v>79</v>
      </c>
      <c r="B83" s="495" t="s">
        <v>441</v>
      </c>
      <c r="C83" s="459" t="s">
        <v>225</v>
      </c>
      <c r="D83" s="451" t="s">
        <v>224</v>
      </c>
      <c r="E83" s="485" t="s">
        <v>225</v>
      </c>
      <c r="F83" s="490" t="s">
        <v>427</v>
      </c>
      <c r="G83" s="486">
        <v>11</v>
      </c>
      <c r="H83" s="487">
        <v>33</v>
      </c>
      <c r="I83" s="487">
        <v>0.128</v>
      </c>
      <c r="J83" s="488">
        <v>0.38400000000000001</v>
      </c>
    </row>
    <row r="84" spans="1:22">
      <c r="A84" s="452">
        <v>82</v>
      </c>
      <c r="B84" s="454" t="s">
        <v>79</v>
      </c>
      <c r="C84" s="451" t="s">
        <v>79</v>
      </c>
      <c r="D84" s="649"/>
      <c r="E84" s="485" t="s">
        <v>79</v>
      </c>
      <c r="F84" s="449" t="s">
        <v>428</v>
      </c>
      <c r="G84" s="486">
        <v>9.3679999999999986</v>
      </c>
      <c r="H84" s="487">
        <v>28.103999999999996</v>
      </c>
      <c r="I84" s="487">
        <v>5.9047142857142874E-2</v>
      </c>
      <c r="J84" s="488">
        <v>0.17714142857142862</v>
      </c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</row>
    <row r="85" spans="1:22">
      <c r="A85" s="452">
        <v>83</v>
      </c>
      <c r="B85" s="451" t="s">
        <v>174</v>
      </c>
      <c r="C85" s="451" t="s">
        <v>174</v>
      </c>
      <c r="D85" s="451" t="s">
        <v>173</v>
      </c>
      <c r="E85" s="485" t="s">
        <v>174</v>
      </c>
      <c r="F85" s="490" t="s">
        <v>426</v>
      </c>
      <c r="G85" s="486">
        <v>1.2833333333333339</v>
      </c>
      <c r="H85" s="487">
        <v>3.8500000000000014</v>
      </c>
      <c r="I85" s="487">
        <v>0.15302777777777787</v>
      </c>
      <c r="J85" s="488">
        <v>0.45908333333333362</v>
      </c>
    </row>
    <row r="86" spans="1:22">
      <c r="A86" s="452">
        <v>84</v>
      </c>
      <c r="B86" s="451" t="s">
        <v>59</v>
      </c>
      <c r="C86" s="455" t="s">
        <v>59</v>
      </c>
      <c r="D86" s="451" t="s">
        <v>58</v>
      </c>
      <c r="E86" s="485" t="s">
        <v>59</v>
      </c>
      <c r="F86" s="490" t="s">
        <v>426</v>
      </c>
      <c r="G86" s="486">
        <v>8.543333333333333</v>
      </c>
      <c r="H86" s="487">
        <v>25.629999999999995</v>
      </c>
      <c r="I86" s="487">
        <v>0.10225037037037035</v>
      </c>
      <c r="J86" s="488">
        <v>0.30675111111111109</v>
      </c>
    </row>
    <row r="87" spans="1:22">
      <c r="A87" s="452">
        <v>85</v>
      </c>
      <c r="B87" s="451" t="s">
        <v>178</v>
      </c>
      <c r="C87" s="451" t="s">
        <v>178</v>
      </c>
      <c r="D87" s="451" t="s">
        <v>177</v>
      </c>
      <c r="E87" s="485" t="s">
        <v>178</v>
      </c>
      <c r="F87" s="490" t="s">
        <v>426</v>
      </c>
      <c r="G87" s="486">
        <v>8.2550000000000026</v>
      </c>
      <c r="H87" s="487">
        <v>24.765000000000004</v>
      </c>
      <c r="I87" s="487">
        <v>0.14019999999999999</v>
      </c>
      <c r="J87" s="488">
        <v>0.42059999999999997</v>
      </c>
    </row>
    <row r="88" spans="1:22">
      <c r="A88" s="452">
        <v>86</v>
      </c>
      <c r="B88" s="451" t="s">
        <v>159</v>
      </c>
      <c r="C88" s="456" t="s">
        <v>410</v>
      </c>
      <c r="D88" s="451" t="s">
        <v>158</v>
      </c>
      <c r="E88" s="485" t="s">
        <v>410</v>
      </c>
      <c r="F88" s="491" t="s">
        <v>426</v>
      </c>
      <c r="G88" s="486">
        <v>6.166666666666667</v>
      </c>
      <c r="H88" s="487">
        <v>18.5</v>
      </c>
      <c r="I88" s="487">
        <v>0.11566666666666665</v>
      </c>
      <c r="J88" s="488">
        <v>0.34699999999999998</v>
      </c>
    </row>
    <row r="89" spans="1:22">
      <c r="A89" s="452">
        <v>87</v>
      </c>
      <c r="B89" s="451" t="s">
        <v>73</v>
      </c>
      <c r="C89" s="456" t="s">
        <v>411</v>
      </c>
      <c r="D89" s="451" t="s">
        <v>72</v>
      </c>
      <c r="E89" s="485" t="s">
        <v>411</v>
      </c>
      <c r="F89" s="491" t="s">
        <v>426</v>
      </c>
      <c r="G89" s="486">
        <v>2.1573333333333329</v>
      </c>
      <c r="H89" s="487">
        <v>6.4719999999999995</v>
      </c>
      <c r="I89" s="487">
        <v>6.1699999999999998E-2</v>
      </c>
      <c r="J89" s="488">
        <v>0.18509999999999999</v>
      </c>
    </row>
    <row r="90" spans="1:22">
      <c r="A90" s="452">
        <v>88</v>
      </c>
      <c r="B90" s="451" t="s">
        <v>94</v>
      </c>
      <c r="C90" s="451" t="s">
        <v>94</v>
      </c>
      <c r="D90" s="451" t="s">
        <v>93</v>
      </c>
      <c r="E90" s="485" t="s">
        <v>94</v>
      </c>
      <c r="F90" s="489" t="s">
        <v>428</v>
      </c>
      <c r="G90" s="486">
        <v>4.0666666666666673</v>
      </c>
      <c r="H90" s="487">
        <v>12.200000000000003</v>
      </c>
      <c r="I90" s="487">
        <v>8.0766666666666584E-2</v>
      </c>
      <c r="J90" s="488">
        <v>0.24229999999999974</v>
      </c>
    </row>
    <row r="91" spans="1:22">
      <c r="A91" s="448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98"/>
  <sheetViews>
    <sheetView topLeftCell="D1" zoomScale="85" zoomScaleNormal="85" workbookViewId="0">
      <selection activeCell="M6" sqref="M6"/>
    </sheetView>
  </sheetViews>
  <sheetFormatPr baseColWidth="10" defaultColWidth="15.140625" defaultRowHeight="15" customHeight="1"/>
  <cols>
    <col min="1" max="1" width="12.140625" style="282" customWidth="1"/>
    <col min="2" max="2" width="5.28515625" style="593" customWidth="1"/>
    <col min="3" max="3" width="4.85546875" style="593" customWidth="1"/>
    <col min="4" max="4" width="5.42578125" style="593" customWidth="1"/>
    <col min="5" max="5" width="28.85546875" style="593" bestFit="1" customWidth="1"/>
    <col min="6" max="6" width="27.28515625" style="447" bestFit="1" customWidth="1"/>
    <col min="7" max="7" width="7.140625" style="593" bestFit="1" customWidth="1"/>
    <col min="8" max="8" width="5.140625" style="593" customWidth="1"/>
    <col min="9" max="9" width="10.85546875" style="593" bestFit="1" customWidth="1"/>
    <col min="10" max="11" width="9.85546875" style="593" customWidth="1"/>
    <col min="12" max="12" width="10.85546875" style="593" bestFit="1" customWidth="1"/>
    <col min="13" max="13" width="12.5703125" style="334" customWidth="1"/>
    <col min="14" max="14" width="18.140625" style="334" customWidth="1"/>
    <col min="15" max="16384" width="15.140625" style="593"/>
  </cols>
  <sheetData>
    <row r="1" spans="1:14" s="346" customFormat="1" ht="60">
      <c r="A1" s="657" t="s">
        <v>9</v>
      </c>
      <c r="B1" s="657" t="s">
        <v>3</v>
      </c>
      <c r="C1" s="657" t="s">
        <v>4</v>
      </c>
      <c r="D1" s="657" t="s">
        <v>5</v>
      </c>
      <c r="E1" s="657" t="s">
        <v>6</v>
      </c>
      <c r="F1" s="658" t="s">
        <v>7</v>
      </c>
      <c r="G1" s="657" t="s">
        <v>8</v>
      </c>
      <c r="H1" s="657" t="s">
        <v>10</v>
      </c>
      <c r="I1" s="659" t="s">
        <v>378</v>
      </c>
      <c r="J1" s="659" t="s">
        <v>379</v>
      </c>
      <c r="K1" s="659" t="s">
        <v>380</v>
      </c>
      <c r="L1" s="660" t="s">
        <v>381</v>
      </c>
      <c r="M1" s="444" t="s">
        <v>435</v>
      </c>
      <c r="N1" s="445" t="s">
        <v>436</v>
      </c>
    </row>
    <row r="2" spans="1:14">
      <c r="A2" s="597">
        <v>50771</v>
      </c>
      <c r="B2" s="595">
        <v>2</v>
      </c>
      <c r="C2" s="596">
        <v>6</v>
      </c>
      <c r="D2" s="596">
        <v>2</v>
      </c>
      <c r="E2" s="595" t="s">
        <v>197</v>
      </c>
      <c r="F2" s="595" t="s">
        <v>198</v>
      </c>
      <c r="G2" s="595" t="s">
        <v>25</v>
      </c>
      <c r="H2" s="596">
        <v>9</v>
      </c>
      <c r="I2" s="598">
        <v>53</v>
      </c>
      <c r="J2" s="598">
        <v>70</v>
      </c>
      <c r="K2" s="598">
        <v>80</v>
      </c>
      <c r="L2" s="599">
        <v>84</v>
      </c>
      <c r="M2" s="470">
        <f t="shared" ref="M2:M65" si="0">((J2-I2)+(K2-J2)+(L2-K2))/3</f>
        <v>10.333333333333334</v>
      </c>
      <c r="N2" s="470">
        <f t="shared" ref="N2:N65" si="1">L2-I2</f>
        <v>31</v>
      </c>
    </row>
    <row r="3" spans="1:14">
      <c r="A3" s="597">
        <v>50754</v>
      </c>
      <c r="B3" s="595">
        <v>2</v>
      </c>
      <c r="C3" s="596">
        <v>2</v>
      </c>
      <c r="D3" s="596">
        <v>4</v>
      </c>
      <c r="E3" s="595" t="s">
        <v>69</v>
      </c>
      <c r="F3" s="595" t="s">
        <v>70</v>
      </c>
      <c r="G3" s="595" t="s">
        <v>25</v>
      </c>
      <c r="H3" s="596">
        <v>205</v>
      </c>
      <c r="I3" s="598">
        <v>137.4</v>
      </c>
      <c r="J3" s="598">
        <v>139.6</v>
      </c>
      <c r="K3" s="598">
        <v>144.30000000000001</v>
      </c>
      <c r="L3" s="599">
        <v>172.5</v>
      </c>
      <c r="M3" s="470">
        <f t="shared" si="0"/>
        <v>11.699999999999998</v>
      </c>
      <c r="N3" s="470">
        <f t="shared" si="1"/>
        <v>35.099999999999994</v>
      </c>
    </row>
    <row r="4" spans="1:14">
      <c r="A4" s="597">
        <v>50820</v>
      </c>
      <c r="B4" s="595">
        <v>2</v>
      </c>
      <c r="C4" s="596">
        <v>2</v>
      </c>
      <c r="D4" s="596">
        <v>4</v>
      </c>
      <c r="E4" s="595" t="s">
        <v>69</v>
      </c>
      <c r="F4" s="595" t="s">
        <v>70</v>
      </c>
      <c r="G4" s="595" t="s">
        <v>68</v>
      </c>
      <c r="H4" s="596">
        <v>9</v>
      </c>
      <c r="I4" s="598">
        <v>80</v>
      </c>
      <c r="J4" s="598">
        <v>80</v>
      </c>
      <c r="K4" s="598">
        <v>80</v>
      </c>
      <c r="L4" s="599">
        <v>80</v>
      </c>
      <c r="M4" s="470">
        <f t="shared" si="0"/>
        <v>0</v>
      </c>
      <c r="N4" s="470">
        <f t="shared" si="1"/>
        <v>0</v>
      </c>
    </row>
    <row r="5" spans="1:14">
      <c r="A5" s="597">
        <v>50707</v>
      </c>
      <c r="B5" s="595">
        <v>2</v>
      </c>
      <c r="C5" s="596">
        <v>4</v>
      </c>
      <c r="D5" s="596">
        <v>15</v>
      </c>
      <c r="E5" s="595" t="s">
        <v>160</v>
      </c>
      <c r="F5" s="595" t="s">
        <v>161</v>
      </c>
      <c r="G5" s="595" t="s">
        <v>34</v>
      </c>
      <c r="H5" s="596">
        <v>30</v>
      </c>
      <c r="I5" s="598">
        <v>27</v>
      </c>
      <c r="J5" s="598">
        <v>30</v>
      </c>
      <c r="K5" s="598">
        <v>40</v>
      </c>
      <c r="L5" s="599">
        <v>46</v>
      </c>
      <c r="M5" s="470">
        <f t="shared" si="0"/>
        <v>6.333333333333333</v>
      </c>
      <c r="N5" s="470">
        <f t="shared" si="1"/>
        <v>19</v>
      </c>
    </row>
    <row r="6" spans="1:14">
      <c r="A6" s="597">
        <v>50863</v>
      </c>
      <c r="B6" s="595">
        <v>2</v>
      </c>
      <c r="C6" s="596">
        <v>7</v>
      </c>
      <c r="D6" s="596">
        <v>5</v>
      </c>
      <c r="E6" s="595" t="s">
        <v>160</v>
      </c>
      <c r="F6" s="595" t="s">
        <v>161</v>
      </c>
      <c r="G6" s="595" t="s">
        <v>25</v>
      </c>
      <c r="H6" s="596">
        <v>168</v>
      </c>
      <c r="I6" s="598">
        <v>48</v>
      </c>
      <c r="J6" s="598">
        <v>64</v>
      </c>
      <c r="K6" s="598">
        <v>79.34</v>
      </c>
      <c r="L6" s="599">
        <v>95.01</v>
      </c>
      <c r="M6" s="470">
        <f t="shared" si="0"/>
        <v>15.670000000000002</v>
      </c>
      <c r="N6" s="470">
        <f t="shared" si="1"/>
        <v>47.010000000000005</v>
      </c>
    </row>
    <row r="7" spans="1:14">
      <c r="A7" s="597">
        <v>50798</v>
      </c>
      <c r="B7" s="595">
        <v>2</v>
      </c>
      <c r="C7" s="596">
        <v>5</v>
      </c>
      <c r="D7" s="596">
        <v>9</v>
      </c>
      <c r="E7" s="595" t="s">
        <v>189</v>
      </c>
      <c r="F7" s="595" t="s">
        <v>190</v>
      </c>
      <c r="G7" s="595" t="s">
        <v>31</v>
      </c>
      <c r="H7" s="596">
        <v>182</v>
      </c>
      <c r="I7" s="598">
        <v>63.5</v>
      </c>
      <c r="J7" s="598">
        <v>77.17</v>
      </c>
      <c r="K7" s="598">
        <v>89.5</v>
      </c>
      <c r="L7" s="599">
        <v>90</v>
      </c>
      <c r="M7" s="470">
        <f t="shared" si="0"/>
        <v>8.8333333333333339</v>
      </c>
      <c r="N7" s="470">
        <f t="shared" si="1"/>
        <v>26.5</v>
      </c>
    </row>
    <row r="8" spans="1:14">
      <c r="A8" s="597">
        <v>50856</v>
      </c>
      <c r="B8" s="595">
        <v>2</v>
      </c>
      <c r="C8" s="596">
        <v>5</v>
      </c>
      <c r="D8" s="596">
        <v>9</v>
      </c>
      <c r="E8" s="595" t="s">
        <v>189</v>
      </c>
      <c r="F8" s="595" t="s">
        <v>190</v>
      </c>
      <c r="G8" s="595" t="s">
        <v>31</v>
      </c>
      <c r="H8" s="596">
        <v>162</v>
      </c>
      <c r="I8" s="598">
        <v>36</v>
      </c>
      <c r="J8" s="598">
        <v>44.33</v>
      </c>
      <c r="K8" s="598">
        <v>57.58</v>
      </c>
      <c r="L8" s="599">
        <v>68.37</v>
      </c>
      <c r="M8" s="470">
        <f t="shared" si="0"/>
        <v>10.790000000000001</v>
      </c>
      <c r="N8" s="470">
        <f t="shared" si="1"/>
        <v>32.370000000000005</v>
      </c>
    </row>
    <row r="9" spans="1:14">
      <c r="A9" s="597">
        <v>50698</v>
      </c>
      <c r="B9" s="595">
        <v>2</v>
      </c>
      <c r="C9" s="596">
        <v>5</v>
      </c>
      <c r="D9" s="596">
        <v>9</v>
      </c>
      <c r="E9" s="595" t="s">
        <v>189</v>
      </c>
      <c r="F9" s="595" t="s">
        <v>190</v>
      </c>
      <c r="G9" s="595" t="s">
        <v>68</v>
      </c>
      <c r="H9" s="596">
        <v>87</v>
      </c>
      <c r="I9" s="598">
        <v>71</v>
      </c>
      <c r="J9" s="598">
        <v>72.2</v>
      </c>
      <c r="K9" s="598">
        <v>73.8</v>
      </c>
      <c r="L9" s="599">
        <v>77.75</v>
      </c>
      <c r="M9" s="470">
        <f t="shared" si="0"/>
        <v>2.25</v>
      </c>
      <c r="N9" s="470">
        <f t="shared" si="1"/>
        <v>6.75</v>
      </c>
    </row>
    <row r="10" spans="1:14">
      <c r="A10" s="597">
        <v>50864</v>
      </c>
      <c r="B10" s="595">
        <v>2</v>
      </c>
      <c r="C10" s="596">
        <v>7</v>
      </c>
      <c r="D10" s="596">
        <v>5</v>
      </c>
      <c r="E10" s="595" t="s">
        <v>189</v>
      </c>
      <c r="F10" s="595" t="s">
        <v>190</v>
      </c>
      <c r="G10" s="595" t="s">
        <v>25</v>
      </c>
      <c r="H10" s="596">
        <v>279</v>
      </c>
      <c r="I10" s="598">
        <v>51.6</v>
      </c>
      <c r="J10" s="598">
        <v>70.150000000000006</v>
      </c>
      <c r="K10" s="598">
        <v>88.56</v>
      </c>
      <c r="L10" s="599">
        <v>121.88</v>
      </c>
      <c r="M10" s="470">
        <f t="shared" si="0"/>
        <v>23.426666666666666</v>
      </c>
      <c r="N10" s="470">
        <f t="shared" si="1"/>
        <v>70.28</v>
      </c>
    </row>
    <row r="11" spans="1:14">
      <c r="A11" s="597">
        <v>50809</v>
      </c>
      <c r="B11" s="595">
        <v>2</v>
      </c>
      <c r="C11" s="596">
        <v>4</v>
      </c>
      <c r="D11" s="596">
        <v>14</v>
      </c>
      <c r="E11" s="595" t="s">
        <v>145</v>
      </c>
      <c r="F11" s="595" t="s">
        <v>418</v>
      </c>
      <c r="G11" s="595" t="s">
        <v>31</v>
      </c>
      <c r="H11" s="596">
        <v>664</v>
      </c>
      <c r="I11" s="598">
        <v>80.8</v>
      </c>
      <c r="J11" s="598">
        <v>82.35</v>
      </c>
      <c r="K11" s="598">
        <v>88.45</v>
      </c>
      <c r="L11" s="599">
        <v>101.56</v>
      </c>
      <c r="M11" s="470">
        <f t="shared" si="0"/>
        <v>6.9200000000000017</v>
      </c>
      <c r="N11" s="470">
        <f t="shared" si="1"/>
        <v>20.760000000000005</v>
      </c>
    </row>
    <row r="12" spans="1:14">
      <c r="A12" s="597">
        <v>50711</v>
      </c>
      <c r="B12" s="595">
        <v>2</v>
      </c>
      <c r="C12" s="596">
        <v>4</v>
      </c>
      <c r="D12" s="596">
        <v>15</v>
      </c>
      <c r="E12" s="595" t="s">
        <v>145</v>
      </c>
      <c r="F12" s="595" t="s">
        <v>418</v>
      </c>
      <c r="G12" s="595" t="s">
        <v>31</v>
      </c>
      <c r="H12" s="596">
        <v>100</v>
      </c>
      <c r="I12" s="598">
        <v>63</v>
      </c>
      <c r="J12" s="598">
        <v>63.67</v>
      </c>
      <c r="K12" s="598">
        <v>67.5</v>
      </c>
      <c r="L12" s="599">
        <v>69.7</v>
      </c>
      <c r="M12" s="470">
        <f t="shared" si="0"/>
        <v>2.2333333333333343</v>
      </c>
      <c r="N12" s="470">
        <f t="shared" si="1"/>
        <v>6.7000000000000028</v>
      </c>
    </row>
    <row r="13" spans="1:14">
      <c r="A13" s="597">
        <v>50701</v>
      </c>
      <c r="B13" s="595">
        <v>2</v>
      </c>
      <c r="C13" s="596">
        <v>4</v>
      </c>
      <c r="D13" s="596">
        <v>15</v>
      </c>
      <c r="E13" s="595" t="s">
        <v>145</v>
      </c>
      <c r="F13" s="595" t="s">
        <v>418</v>
      </c>
      <c r="G13" s="595" t="s">
        <v>68</v>
      </c>
      <c r="H13" s="596">
        <v>70</v>
      </c>
      <c r="I13" s="598">
        <v>18.7</v>
      </c>
      <c r="J13" s="598">
        <v>20</v>
      </c>
      <c r="K13" s="598">
        <v>23.17</v>
      </c>
      <c r="L13" s="599">
        <v>28</v>
      </c>
      <c r="M13" s="470">
        <f t="shared" si="0"/>
        <v>3.1</v>
      </c>
      <c r="N13" s="470">
        <f t="shared" si="1"/>
        <v>9.3000000000000007</v>
      </c>
    </row>
    <row r="14" spans="1:14">
      <c r="A14" s="597">
        <v>50866</v>
      </c>
      <c r="B14" s="595">
        <v>2</v>
      </c>
      <c r="C14" s="596">
        <v>4</v>
      </c>
      <c r="D14" s="596">
        <v>16</v>
      </c>
      <c r="E14" s="595" t="s">
        <v>145</v>
      </c>
      <c r="F14" s="595" t="s">
        <v>418</v>
      </c>
      <c r="G14" s="595" t="s">
        <v>31</v>
      </c>
      <c r="H14" s="596">
        <v>86</v>
      </c>
      <c r="I14" s="598">
        <v>38.799999999999997</v>
      </c>
      <c r="J14" s="598">
        <v>41</v>
      </c>
      <c r="K14" s="598">
        <v>52.13</v>
      </c>
      <c r="L14" s="599">
        <v>66.5</v>
      </c>
      <c r="M14" s="470">
        <f t="shared" si="0"/>
        <v>9.2333333333333343</v>
      </c>
      <c r="N14" s="470">
        <f t="shared" si="1"/>
        <v>27.700000000000003</v>
      </c>
    </row>
    <row r="15" spans="1:14">
      <c r="A15" s="597">
        <v>50794</v>
      </c>
      <c r="B15" s="595">
        <v>2</v>
      </c>
      <c r="C15" s="596">
        <v>1</v>
      </c>
      <c r="D15" s="596">
        <v>8</v>
      </c>
      <c r="E15" s="595" t="s">
        <v>35</v>
      </c>
      <c r="F15" s="595" t="s">
        <v>36</v>
      </c>
      <c r="G15" s="595" t="s">
        <v>31</v>
      </c>
      <c r="H15" s="596">
        <v>392</v>
      </c>
      <c r="I15" s="598">
        <v>160.1</v>
      </c>
      <c r="J15" s="598">
        <v>163.69</v>
      </c>
      <c r="K15" s="598">
        <v>181.67</v>
      </c>
      <c r="L15" s="599">
        <v>184.42</v>
      </c>
      <c r="M15" s="470">
        <f t="shared" si="0"/>
        <v>8.1066666666666638</v>
      </c>
      <c r="N15" s="470">
        <f t="shared" si="1"/>
        <v>24.319999999999993</v>
      </c>
    </row>
    <row r="16" spans="1:14">
      <c r="A16" s="597">
        <v>50806</v>
      </c>
      <c r="B16" s="595">
        <v>2</v>
      </c>
      <c r="C16" s="596">
        <v>5</v>
      </c>
      <c r="D16" s="596">
        <v>4</v>
      </c>
      <c r="E16" s="595" t="s">
        <v>35</v>
      </c>
      <c r="F16" s="595" t="s">
        <v>36</v>
      </c>
      <c r="G16" s="595" t="s">
        <v>31</v>
      </c>
      <c r="H16" s="596">
        <v>284</v>
      </c>
      <c r="I16" s="598">
        <v>162.19999999999999</v>
      </c>
      <c r="J16" s="598">
        <v>169.4</v>
      </c>
      <c r="K16" s="598">
        <v>175.25</v>
      </c>
      <c r="L16" s="599">
        <v>178.37</v>
      </c>
      <c r="M16" s="470">
        <f t="shared" si="0"/>
        <v>5.390000000000005</v>
      </c>
      <c r="N16" s="470">
        <f t="shared" si="1"/>
        <v>16.170000000000016</v>
      </c>
    </row>
    <row r="17" spans="1:14">
      <c r="A17" s="597">
        <v>50829</v>
      </c>
      <c r="B17" s="595">
        <v>2</v>
      </c>
      <c r="C17" s="596">
        <v>5</v>
      </c>
      <c r="D17" s="596">
        <v>4</v>
      </c>
      <c r="E17" s="595" t="s">
        <v>35</v>
      </c>
      <c r="F17" s="595" t="s">
        <v>36</v>
      </c>
      <c r="G17" s="595" t="s">
        <v>68</v>
      </c>
      <c r="H17" s="596">
        <v>418</v>
      </c>
      <c r="I17" s="598">
        <v>133.6</v>
      </c>
      <c r="J17" s="598">
        <v>139.15</v>
      </c>
      <c r="K17" s="598">
        <v>147</v>
      </c>
      <c r="L17" s="599">
        <v>155.57</v>
      </c>
      <c r="M17" s="470">
        <f t="shared" si="0"/>
        <v>7.3233333333333333</v>
      </c>
      <c r="N17" s="470">
        <f t="shared" si="1"/>
        <v>21.97</v>
      </c>
    </row>
    <row r="18" spans="1:14">
      <c r="A18" s="597">
        <v>50815</v>
      </c>
      <c r="B18" s="595">
        <v>2</v>
      </c>
      <c r="C18" s="596">
        <v>4</v>
      </c>
      <c r="D18" s="596">
        <v>15</v>
      </c>
      <c r="E18" s="595" t="s">
        <v>149</v>
      </c>
      <c r="F18" s="595" t="s">
        <v>414</v>
      </c>
      <c r="G18" s="595" t="s">
        <v>31</v>
      </c>
      <c r="H18" s="596">
        <v>81</v>
      </c>
      <c r="I18" s="598">
        <v>130.69999999999999</v>
      </c>
      <c r="J18" s="598">
        <v>136.13</v>
      </c>
      <c r="K18" s="598">
        <v>140.5</v>
      </c>
      <c r="L18" s="599">
        <v>146.83000000000001</v>
      </c>
      <c r="M18" s="470">
        <f t="shared" si="0"/>
        <v>5.3766666666666749</v>
      </c>
      <c r="N18" s="470">
        <f t="shared" si="1"/>
        <v>16.130000000000024</v>
      </c>
    </row>
    <row r="19" spans="1:14">
      <c r="A19" s="597">
        <v>50830</v>
      </c>
      <c r="B19" s="595">
        <v>2</v>
      </c>
      <c r="C19" s="596">
        <v>4</v>
      </c>
      <c r="D19" s="596">
        <v>9</v>
      </c>
      <c r="E19" s="595" t="s">
        <v>136</v>
      </c>
      <c r="F19" s="595" t="s">
        <v>137</v>
      </c>
      <c r="G19" s="595" t="s">
        <v>68</v>
      </c>
      <c r="H19" s="596">
        <v>329</v>
      </c>
      <c r="I19" s="598">
        <v>129.6</v>
      </c>
      <c r="J19" s="598">
        <v>132.44999999999999</v>
      </c>
      <c r="K19" s="598">
        <v>142.49</v>
      </c>
      <c r="L19" s="599">
        <v>153.72</v>
      </c>
      <c r="M19" s="470">
        <f t="shared" si="0"/>
        <v>8.0400000000000009</v>
      </c>
      <c r="N19" s="470">
        <f t="shared" si="1"/>
        <v>24.120000000000005</v>
      </c>
    </row>
    <row r="20" spans="1:14">
      <c r="A20" s="597">
        <v>50757</v>
      </c>
      <c r="B20" s="595">
        <v>2</v>
      </c>
      <c r="C20" s="596">
        <v>4</v>
      </c>
      <c r="D20" s="596">
        <v>9</v>
      </c>
      <c r="E20" s="595" t="s">
        <v>136</v>
      </c>
      <c r="F20" s="595" t="s">
        <v>137</v>
      </c>
      <c r="G20" s="595" t="s">
        <v>25</v>
      </c>
      <c r="H20" s="596">
        <v>10</v>
      </c>
      <c r="I20" s="598">
        <v>25</v>
      </c>
      <c r="J20" s="598">
        <v>30</v>
      </c>
      <c r="K20" s="598">
        <v>38</v>
      </c>
      <c r="L20" s="599">
        <v>41</v>
      </c>
      <c r="M20" s="470">
        <f t="shared" si="0"/>
        <v>5.333333333333333</v>
      </c>
      <c r="N20" s="470">
        <f t="shared" si="1"/>
        <v>16</v>
      </c>
    </row>
    <row r="21" spans="1:14">
      <c r="A21" s="597">
        <v>50857</v>
      </c>
      <c r="B21" s="595">
        <v>2</v>
      </c>
      <c r="C21" s="596">
        <v>8</v>
      </c>
      <c r="D21" s="596">
        <v>13</v>
      </c>
      <c r="E21" s="595" t="s">
        <v>136</v>
      </c>
      <c r="F21" s="595" t="s">
        <v>137</v>
      </c>
      <c r="G21" s="595" t="s">
        <v>25</v>
      </c>
      <c r="H21" s="596">
        <v>106</v>
      </c>
      <c r="I21" s="598">
        <v>99.5</v>
      </c>
      <c r="J21" s="598">
        <v>110.75</v>
      </c>
      <c r="K21" s="598">
        <v>121.25</v>
      </c>
      <c r="L21" s="599">
        <v>138</v>
      </c>
      <c r="M21" s="470">
        <f t="shared" si="0"/>
        <v>12.833333333333334</v>
      </c>
      <c r="N21" s="470">
        <f t="shared" si="1"/>
        <v>38.5</v>
      </c>
    </row>
    <row r="22" spans="1:14">
      <c r="A22" s="597">
        <v>50853</v>
      </c>
      <c r="B22" s="595">
        <v>2</v>
      </c>
      <c r="C22" s="596">
        <v>7</v>
      </c>
      <c r="D22" s="596">
        <v>2</v>
      </c>
      <c r="E22" s="595" t="s">
        <v>205</v>
      </c>
      <c r="F22" s="595" t="s">
        <v>415</v>
      </c>
      <c r="G22" s="595" t="s">
        <v>34</v>
      </c>
      <c r="H22" s="596">
        <v>642</v>
      </c>
      <c r="I22" s="598">
        <v>33.700000000000003</v>
      </c>
      <c r="J22" s="598">
        <v>38.6</v>
      </c>
      <c r="K22" s="598">
        <v>46.12</v>
      </c>
      <c r="L22" s="599">
        <v>54.3</v>
      </c>
      <c r="M22" s="470">
        <f t="shared" si="0"/>
        <v>6.8666666666666645</v>
      </c>
      <c r="N22" s="470">
        <f t="shared" si="1"/>
        <v>20.599999999999994</v>
      </c>
    </row>
    <row r="23" spans="1:14">
      <c r="A23" s="597">
        <v>50840</v>
      </c>
      <c r="B23" s="595">
        <v>2</v>
      </c>
      <c r="C23" s="596">
        <v>4</v>
      </c>
      <c r="D23" s="596">
        <v>15</v>
      </c>
      <c r="E23" s="595" t="s">
        <v>162</v>
      </c>
      <c r="F23" s="595" t="s">
        <v>420</v>
      </c>
      <c r="G23" s="595" t="s">
        <v>34</v>
      </c>
      <c r="H23" s="596">
        <v>1</v>
      </c>
      <c r="I23" s="598">
        <v>23</v>
      </c>
      <c r="J23" s="598">
        <v>24</v>
      </c>
      <c r="K23" s="598">
        <v>24</v>
      </c>
      <c r="L23" s="599">
        <v>40.5</v>
      </c>
      <c r="M23" s="470">
        <f t="shared" si="0"/>
        <v>5.833333333333333</v>
      </c>
      <c r="N23" s="470">
        <f t="shared" si="1"/>
        <v>17.5</v>
      </c>
    </row>
    <row r="24" spans="1:14">
      <c r="A24" s="597">
        <v>50594</v>
      </c>
      <c r="B24" s="595">
        <v>2</v>
      </c>
      <c r="C24" s="596">
        <v>1</v>
      </c>
      <c r="D24" s="596">
        <v>15</v>
      </c>
      <c r="E24" s="595" t="s">
        <v>56</v>
      </c>
      <c r="F24" s="595" t="s">
        <v>57</v>
      </c>
      <c r="G24" s="595" t="s">
        <v>34</v>
      </c>
      <c r="H24" s="596">
        <v>154</v>
      </c>
      <c r="I24" s="598">
        <v>65</v>
      </c>
      <c r="J24" s="598">
        <v>70</v>
      </c>
      <c r="K24" s="598">
        <v>70.5</v>
      </c>
      <c r="L24" s="599">
        <v>72</v>
      </c>
      <c r="M24" s="470">
        <f t="shared" si="0"/>
        <v>2.3333333333333335</v>
      </c>
      <c r="N24" s="470">
        <f t="shared" si="1"/>
        <v>7</v>
      </c>
    </row>
    <row r="25" spans="1:14">
      <c r="A25" s="597">
        <v>50712</v>
      </c>
      <c r="B25" s="595">
        <v>2</v>
      </c>
      <c r="C25" s="596">
        <v>4</v>
      </c>
      <c r="D25" s="596">
        <v>5</v>
      </c>
      <c r="E25" s="595" t="s">
        <v>56</v>
      </c>
      <c r="F25" s="595" t="s">
        <v>57</v>
      </c>
      <c r="G25" s="595" t="s">
        <v>31</v>
      </c>
      <c r="H25" s="596">
        <v>621</v>
      </c>
      <c r="I25" s="598">
        <v>114.5</v>
      </c>
      <c r="J25" s="598">
        <v>116.45</v>
      </c>
      <c r="K25" s="598">
        <v>121.45</v>
      </c>
      <c r="L25" s="599">
        <v>121.7</v>
      </c>
      <c r="M25" s="470">
        <f t="shared" si="0"/>
        <v>2.4000000000000008</v>
      </c>
      <c r="N25" s="470">
        <f t="shared" si="1"/>
        <v>7.2000000000000028</v>
      </c>
    </row>
    <row r="26" spans="1:14">
      <c r="A26" s="597">
        <v>50664</v>
      </c>
      <c r="B26" s="595">
        <v>2</v>
      </c>
      <c r="C26" s="596">
        <v>5</v>
      </c>
      <c r="D26" s="596">
        <v>2</v>
      </c>
      <c r="E26" s="595" t="s">
        <v>56</v>
      </c>
      <c r="F26" s="595" t="s">
        <v>57</v>
      </c>
      <c r="G26" s="595" t="s">
        <v>68</v>
      </c>
      <c r="H26" s="596">
        <v>125</v>
      </c>
      <c r="I26" s="598">
        <v>68.3</v>
      </c>
      <c r="J26" s="598">
        <v>74.67</v>
      </c>
      <c r="K26" s="598">
        <v>75.17</v>
      </c>
      <c r="L26" s="599">
        <v>78.67</v>
      </c>
      <c r="M26" s="470">
        <f t="shared" si="0"/>
        <v>3.4566666666666683</v>
      </c>
      <c r="N26" s="470">
        <f t="shared" si="1"/>
        <v>10.370000000000005</v>
      </c>
    </row>
    <row r="27" spans="1:14">
      <c r="A27" s="597">
        <v>50876</v>
      </c>
      <c r="B27" s="595">
        <v>2</v>
      </c>
      <c r="C27" s="596">
        <v>8</v>
      </c>
      <c r="D27" s="596">
        <v>14</v>
      </c>
      <c r="E27" s="595" t="s">
        <v>241</v>
      </c>
      <c r="F27" s="595" t="s">
        <v>416</v>
      </c>
      <c r="G27" s="595" t="s">
        <v>25</v>
      </c>
      <c r="H27" s="596">
        <v>420</v>
      </c>
      <c r="I27" s="598">
        <v>32.4</v>
      </c>
      <c r="J27" s="598">
        <v>35</v>
      </c>
      <c r="K27" s="598">
        <v>37.770000000000003</v>
      </c>
      <c r="L27" s="599">
        <v>40.32</v>
      </c>
      <c r="M27" s="470">
        <f t="shared" si="0"/>
        <v>2.6400000000000006</v>
      </c>
      <c r="N27" s="470">
        <f t="shared" si="1"/>
        <v>7.9200000000000017</v>
      </c>
    </row>
    <row r="28" spans="1:14">
      <c r="A28" s="597">
        <v>50748</v>
      </c>
      <c r="B28" s="595">
        <v>2</v>
      </c>
      <c r="C28" s="596">
        <v>2</v>
      </c>
      <c r="D28" s="596">
        <v>13</v>
      </c>
      <c r="E28" s="595" t="s">
        <v>76</v>
      </c>
      <c r="F28" s="595" t="s">
        <v>77</v>
      </c>
      <c r="G28" s="595" t="s">
        <v>25</v>
      </c>
      <c r="H28" s="596">
        <v>296</v>
      </c>
      <c r="I28" s="598">
        <v>87.5</v>
      </c>
      <c r="J28" s="598">
        <v>87.88</v>
      </c>
      <c r="K28" s="598">
        <v>101.91</v>
      </c>
      <c r="L28" s="599">
        <v>108.13</v>
      </c>
      <c r="M28" s="470">
        <f t="shared" si="0"/>
        <v>6.8766666666666652</v>
      </c>
      <c r="N28" s="470">
        <f t="shared" si="1"/>
        <v>20.629999999999995</v>
      </c>
    </row>
    <row r="29" spans="1:14">
      <c r="A29" s="597" t="s">
        <v>385</v>
      </c>
      <c r="B29" s="595">
        <v>2</v>
      </c>
      <c r="C29" s="596">
        <v>1</v>
      </c>
      <c r="D29" s="596">
        <v>12</v>
      </c>
      <c r="E29" s="595" t="s">
        <v>46</v>
      </c>
      <c r="F29" s="595" t="s">
        <v>47</v>
      </c>
      <c r="G29" s="595" t="s">
        <v>25</v>
      </c>
      <c r="H29" s="596">
        <v>472</v>
      </c>
      <c r="I29" s="598">
        <v>171.9</v>
      </c>
      <c r="J29" s="598">
        <v>173.56</v>
      </c>
      <c r="K29" s="598">
        <v>175.44</v>
      </c>
      <c r="L29" s="599">
        <v>188.5</v>
      </c>
      <c r="M29" s="470">
        <f t="shared" si="0"/>
        <v>5.5333333333333314</v>
      </c>
      <c r="N29" s="470">
        <f t="shared" si="1"/>
        <v>16.599999999999994</v>
      </c>
    </row>
    <row r="30" spans="1:14">
      <c r="A30" s="597" t="s">
        <v>386</v>
      </c>
      <c r="B30" s="595">
        <v>2</v>
      </c>
      <c r="C30" s="596">
        <v>1</v>
      </c>
      <c r="D30" s="596">
        <v>18</v>
      </c>
      <c r="E30" s="595" t="s">
        <v>46</v>
      </c>
      <c r="F30" s="451" t="s">
        <v>47</v>
      </c>
      <c r="G30" s="595" t="s">
        <v>25</v>
      </c>
      <c r="H30" s="596">
        <v>81</v>
      </c>
      <c r="I30" s="598">
        <v>199.2</v>
      </c>
      <c r="J30" s="598">
        <v>201.35</v>
      </c>
      <c r="K30" s="598">
        <v>202.8</v>
      </c>
      <c r="L30" s="599">
        <v>220.2</v>
      </c>
      <c r="M30" s="470">
        <f t="shared" si="0"/>
        <v>7</v>
      </c>
      <c r="N30" s="470">
        <f t="shared" si="1"/>
        <v>21</v>
      </c>
    </row>
    <row r="31" spans="1:14">
      <c r="A31" s="597">
        <v>50542</v>
      </c>
      <c r="B31" s="595">
        <v>2</v>
      </c>
      <c r="C31" s="596">
        <v>1</v>
      </c>
      <c r="D31" s="596">
        <v>18</v>
      </c>
      <c r="E31" s="595" t="s">
        <v>46</v>
      </c>
      <c r="F31" s="451" t="s">
        <v>47</v>
      </c>
      <c r="G31" s="595" t="s">
        <v>34</v>
      </c>
      <c r="H31" s="596">
        <v>109</v>
      </c>
      <c r="I31" s="598">
        <v>123.9</v>
      </c>
      <c r="J31" s="598">
        <v>128</v>
      </c>
      <c r="K31" s="598">
        <v>131.43</v>
      </c>
      <c r="L31" s="599">
        <v>140.21</v>
      </c>
      <c r="M31" s="470">
        <f t="shared" si="0"/>
        <v>5.4366666666666674</v>
      </c>
      <c r="N31" s="470">
        <f t="shared" si="1"/>
        <v>16.310000000000002</v>
      </c>
    </row>
    <row r="32" spans="1:14">
      <c r="A32" s="597">
        <v>50601</v>
      </c>
      <c r="B32" s="595">
        <v>2</v>
      </c>
      <c r="C32" s="596">
        <v>6</v>
      </c>
      <c r="D32" s="596">
        <v>3</v>
      </c>
      <c r="E32" s="595" t="s">
        <v>201</v>
      </c>
      <c r="F32" s="595" t="s">
        <v>202</v>
      </c>
      <c r="G32" s="595" t="s">
        <v>34</v>
      </c>
      <c r="H32" s="596">
        <v>146</v>
      </c>
      <c r="I32" s="598">
        <v>68.7</v>
      </c>
      <c r="J32" s="598">
        <v>70.75</v>
      </c>
      <c r="K32" s="598">
        <v>70.75</v>
      </c>
      <c r="L32" s="599">
        <v>70.92</v>
      </c>
      <c r="M32" s="470">
        <f t="shared" si="0"/>
        <v>0.73999999999999966</v>
      </c>
      <c r="N32" s="470">
        <f t="shared" si="1"/>
        <v>2.2199999999999989</v>
      </c>
    </row>
    <row r="33" spans="1:14">
      <c r="A33" s="597">
        <v>50525</v>
      </c>
      <c r="B33" s="595">
        <v>2</v>
      </c>
      <c r="C33" s="596">
        <v>6</v>
      </c>
      <c r="D33" s="596">
        <v>3</v>
      </c>
      <c r="E33" s="595" t="s">
        <v>201</v>
      </c>
      <c r="F33" s="595" t="s">
        <v>202</v>
      </c>
      <c r="G33" s="595" t="s">
        <v>25</v>
      </c>
      <c r="H33" s="596">
        <v>42</v>
      </c>
      <c r="I33" s="598">
        <v>75</v>
      </c>
      <c r="J33" s="598">
        <v>75.5</v>
      </c>
      <c r="K33" s="598">
        <v>75.5</v>
      </c>
      <c r="L33" s="599">
        <v>76</v>
      </c>
      <c r="M33" s="470">
        <f t="shared" si="0"/>
        <v>0.33333333333333331</v>
      </c>
      <c r="N33" s="470">
        <f t="shared" si="1"/>
        <v>1</v>
      </c>
    </row>
    <row r="34" spans="1:14">
      <c r="A34" s="597">
        <v>50767</v>
      </c>
      <c r="B34" s="595">
        <v>2</v>
      </c>
      <c r="C34" s="596">
        <v>4</v>
      </c>
      <c r="D34" s="596">
        <v>2</v>
      </c>
      <c r="E34" s="595" t="s">
        <v>126</v>
      </c>
      <c r="F34" s="595" t="s">
        <v>127</v>
      </c>
      <c r="G34" s="595" t="s">
        <v>25</v>
      </c>
      <c r="H34" s="596">
        <v>145</v>
      </c>
      <c r="I34" s="598">
        <v>39</v>
      </c>
      <c r="J34" s="598">
        <v>39</v>
      </c>
      <c r="K34" s="598">
        <v>43</v>
      </c>
      <c r="L34" s="599">
        <v>43.5</v>
      </c>
      <c r="M34" s="470">
        <f t="shared" si="0"/>
        <v>1.5</v>
      </c>
      <c r="N34" s="470">
        <f t="shared" si="1"/>
        <v>4.5</v>
      </c>
    </row>
    <row r="35" spans="1:14">
      <c r="A35" s="597">
        <v>50206</v>
      </c>
      <c r="B35" s="595">
        <v>2</v>
      </c>
      <c r="C35" s="596">
        <v>7</v>
      </c>
      <c r="D35" s="596">
        <v>18</v>
      </c>
      <c r="E35" s="595" t="s">
        <v>230</v>
      </c>
      <c r="F35" s="595" t="s">
        <v>231</v>
      </c>
      <c r="G35" s="595" t="s">
        <v>48</v>
      </c>
      <c r="H35" s="596">
        <v>73</v>
      </c>
      <c r="I35" s="598">
        <v>40.799999999999997</v>
      </c>
      <c r="J35" s="598">
        <v>53.68</v>
      </c>
      <c r="K35" s="598">
        <v>67</v>
      </c>
      <c r="L35" s="599">
        <v>73.25</v>
      </c>
      <c r="M35" s="470">
        <f t="shared" si="0"/>
        <v>10.816666666666668</v>
      </c>
      <c r="N35" s="470">
        <f t="shared" si="1"/>
        <v>32.450000000000003</v>
      </c>
    </row>
    <row r="36" spans="1:14">
      <c r="A36" s="597">
        <v>50858</v>
      </c>
      <c r="B36" s="595">
        <v>2</v>
      </c>
      <c r="C36" s="596">
        <v>3</v>
      </c>
      <c r="D36" s="596">
        <v>18</v>
      </c>
      <c r="E36" s="595" t="s">
        <v>114</v>
      </c>
      <c r="F36" s="595" t="s">
        <v>115</v>
      </c>
      <c r="G36" s="595" t="s">
        <v>25</v>
      </c>
      <c r="H36" s="596">
        <v>98</v>
      </c>
      <c r="I36" s="598">
        <v>13.7</v>
      </c>
      <c r="J36" s="598">
        <v>15.17</v>
      </c>
      <c r="K36" s="598">
        <v>17.329999999999998</v>
      </c>
      <c r="L36" s="599">
        <v>18.329999999999998</v>
      </c>
      <c r="M36" s="470">
        <f t="shared" si="0"/>
        <v>1.543333333333333</v>
      </c>
      <c r="N36" s="470">
        <f t="shared" si="1"/>
        <v>4.629999999999999</v>
      </c>
    </row>
    <row r="37" spans="1:14">
      <c r="A37" s="597">
        <v>50535</v>
      </c>
      <c r="B37" s="595">
        <v>2</v>
      </c>
      <c r="C37" s="596">
        <v>3</v>
      </c>
      <c r="D37" s="596">
        <v>18</v>
      </c>
      <c r="E37" s="595" t="s">
        <v>114</v>
      </c>
      <c r="F37" s="595" t="s">
        <v>115</v>
      </c>
      <c r="G37" s="595" t="s">
        <v>117</v>
      </c>
      <c r="H37" s="596">
        <v>24</v>
      </c>
      <c r="I37" s="598">
        <v>4</v>
      </c>
      <c r="J37" s="598">
        <v>8</v>
      </c>
      <c r="K37" s="598">
        <v>9</v>
      </c>
      <c r="L37" s="599">
        <v>12</v>
      </c>
      <c r="M37" s="470">
        <f t="shared" si="0"/>
        <v>2.6666666666666665</v>
      </c>
      <c r="N37" s="470">
        <f t="shared" si="1"/>
        <v>8</v>
      </c>
    </row>
    <row r="38" spans="1:14">
      <c r="A38" s="597">
        <v>50758</v>
      </c>
      <c r="B38" s="595">
        <v>2</v>
      </c>
      <c r="C38" s="596">
        <v>3</v>
      </c>
      <c r="D38" s="596">
        <v>18</v>
      </c>
      <c r="E38" s="595" t="s">
        <v>112</v>
      </c>
      <c r="F38" s="595" t="s">
        <v>113</v>
      </c>
      <c r="G38" s="595" t="s">
        <v>25</v>
      </c>
      <c r="H38" s="596">
        <v>246</v>
      </c>
      <c r="I38" s="598">
        <v>89</v>
      </c>
      <c r="J38" s="598">
        <v>90.8</v>
      </c>
      <c r="K38" s="598">
        <v>94.25</v>
      </c>
      <c r="L38" s="599">
        <v>100.21</v>
      </c>
      <c r="M38" s="470">
        <f t="shared" si="0"/>
        <v>3.7366666666666646</v>
      </c>
      <c r="N38" s="470">
        <f t="shared" si="1"/>
        <v>11.209999999999994</v>
      </c>
    </row>
    <row r="39" spans="1:14">
      <c r="A39" s="597">
        <v>50812</v>
      </c>
      <c r="B39" s="595">
        <v>2</v>
      </c>
      <c r="C39" s="596">
        <v>3</v>
      </c>
      <c r="D39" s="596">
        <v>18</v>
      </c>
      <c r="E39" s="595" t="s">
        <v>112</v>
      </c>
      <c r="F39" s="595" t="s">
        <v>113</v>
      </c>
      <c r="G39" s="595" t="s">
        <v>25</v>
      </c>
      <c r="H39" s="596">
        <v>29</v>
      </c>
      <c r="I39" s="598">
        <v>20</v>
      </c>
      <c r="J39" s="598">
        <v>23</v>
      </c>
      <c r="K39" s="598">
        <v>28</v>
      </c>
      <c r="L39" s="599">
        <v>32.5</v>
      </c>
      <c r="M39" s="470">
        <f t="shared" si="0"/>
        <v>4.166666666666667</v>
      </c>
      <c r="N39" s="470">
        <f t="shared" si="1"/>
        <v>12.5</v>
      </c>
    </row>
    <row r="40" spans="1:14">
      <c r="A40" s="597">
        <v>50688</v>
      </c>
      <c r="B40" s="595">
        <v>2</v>
      </c>
      <c r="C40" s="596">
        <v>3</v>
      </c>
      <c r="D40" s="596">
        <v>19</v>
      </c>
      <c r="E40" s="595" t="s">
        <v>112</v>
      </c>
      <c r="F40" s="595" t="s">
        <v>113</v>
      </c>
      <c r="G40" s="595" t="s">
        <v>34</v>
      </c>
      <c r="H40" s="596">
        <v>113</v>
      </c>
      <c r="I40" s="598">
        <v>115.6</v>
      </c>
      <c r="J40" s="598">
        <v>116.19</v>
      </c>
      <c r="K40" s="598">
        <v>116.63</v>
      </c>
      <c r="L40" s="599">
        <v>119.75</v>
      </c>
      <c r="M40" s="470">
        <f t="shared" si="0"/>
        <v>1.3833333333333353</v>
      </c>
      <c r="N40" s="470">
        <f t="shared" si="1"/>
        <v>4.1500000000000057</v>
      </c>
    </row>
    <row r="41" spans="1:14">
      <c r="A41" s="597">
        <v>50146</v>
      </c>
      <c r="B41" s="595">
        <v>2</v>
      </c>
      <c r="C41" s="596">
        <v>3</v>
      </c>
      <c r="D41" s="596">
        <v>19</v>
      </c>
      <c r="E41" s="595" t="s">
        <v>112</v>
      </c>
      <c r="F41" s="595" t="s">
        <v>113</v>
      </c>
      <c r="G41" s="595" t="s">
        <v>68</v>
      </c>
      <c r="H41" s="596">
        <v>9</v>
      </c>
      <c r="I41" s="598">
        <v>83</v>
      </c>
      <c r="J41" s="598">
        <v>84</v>
      </c>
      <c r="K41" s="598">
        <v>84</v>
      </c>
      <c r="L41" s="599">
        <v>84</v>
      </c>
      <c r="M41" s="470">
        <f t="shared" si="0"/>
        <v>0.33333333333333331</v>
      </c>
      <c r="N41" s="470">
        <f t="shared" si="1"/>
        <v>1</v>
      </c>
    </row>
    <row r="42" spans="1:14">
      <c r="A42" s="597">
        <v>50467</v>
      </c>
      <c r="B42" s="595">
        <v>2</v>
      </c>
      <c r="C42" s="596">
        <v>1</v>
      </c>
      <c r="D42" s="596">
        <v>17</v>
      </c>
      <c r="E42" s="595" t="s">
        <v>60</v>
      </c>
      <c r="F42" s="595" t="s">
        <v>61</v>
      </c>
      <c r="G42" s="595" t="s">
        <v>34</v>
      </c>
      <c r="H42" s="596">
        <v>426</v>
      </c>
      <c r="I42" s="598">
        <v>178.5</v>
      </c>
      <c r="J42" s="598">
        <v>180.3</v>
      </c>
      <c r="K42" s="598">
        <v>182.2</v>
      </c>
      <c r="L42" s="599">
        <v>183.7</v>
      </c>
      <c r="M42" s="470">
        <f t="shared" si="0"/>
        <v>1.7333333333333296</v>
      </c>
      <c r="N42" s="470">
        <f t="shared" si="1"/>
        <v>5.1999999999999886</v>
      </c>
    </row>
    <row r="43" spans="1:14">
      <c r="A43" s="597" t="s">
        <v>387</v>
      </c>
      <c r="B43" s="595">
        <v>2</v>
      </c>
      <c r="C43" s="596">
        <v>2</v>
      </c>
      <c r="D43" s="596">
        <v>13</v>
      </c>
      <c r="E43" s="595" t="s">
        <v>60</v>
      </c>
      <c r="F43" s="595" t="s">
        <v>61</v>
      </c>
      <c r="G43" s="595" t="s">
        <v>25</v>
      </c>
      <c r="H43" s="596">
        <v>200</v>
      </c>
      <c r="I43" s="598">
        <v>162.30000000000001</v>
      </c>
      <c r="J43" s="598">
        <v>164.63</v>
      </c>
      <c r="K43" s="598">
        <v>168.44</v>
      </c>
      <c r="L43" s="599">
        <v>173.94</v>
      </c>
      <c r="M43" s="470">
        <f t="shared" si="0"/>
        <v>3.8799999999999955</v>
      </c>
      <c r="N43" s="470">
        <f t="shared" si="1"/>
        <v>11.639999999999986</v>
      </c>
    </row>
    <row r="44" spans="1:14">
      <c r="A44" s="597">
        <v>50733</v>
      </c>
      <c r="B44" s="595">
        <v>2</v>
      </c>
      <c r="C44" s="596">
        <v>3</v>
      </c>
      <c r="D44" s="596">
        <v>17</v>
      </c>
      <c r="E44" s="595" t="s">
        <v>60</v>
      </c>
      <c r="F44" s="595" t="s">
        <v>61</v>
      </c>
      <c r="G44" s="595" t="s">
        <v>25</v>
      </c>
      <c r="H44" s="596">
        <v>114</v>
      </c>
      <c r="I44" s="598">
        <v>54</v>
      </c>
      <c r="J44" s="598">
        <v>54.5</v>
      </c>
      <c r="K44" s="598">
        <v>55</v>
      </c>
      <c r="L44" s="599">
        <v>67.5</v>
      </c>
      <c r="M44" s="470">
        <f t="shared" si="0"/>
        <v>4.5</v>
      </c>
      <c r="N44" s="470">
        <f t="shared" si="1"/>
        <v>13.5</v>
      </c>
    </row>
    <row r="45" spans="1:14">
      <c r="A45" s="597">
        <v>50636</v>
      </c>
      <c r="B45" s="595">
        <v>2</v>
      </c>
      <c r="C45" s="596">
        <v>3</v>
      </c>
      <c r="D45" s="596">
        <v>17</v>
      </c>
      <c r="E45" s="595" t="s">
        <v>60</v>
      </c>
      <c r="F45" s="595" t="s">
        <v>61</v>
      </c>
      <c r="G45" s="595" t="s">
        <v>68</v>
      </c>
      <c r="H45" s="596">
        <v>36</v>
      </c>
      <c r="I45" s="598">
        <v>102</v>
      </c>
      <c r="J45" s="598">
        <v>102</v>
      </c>
      <c r="K45" s="598">
        <v>105</v>
      </c>
      <c r="L45" s="599">
        <v>113</v>
      </c>
      <c r="M45" s="470">
        <f t="shared" si="0"/>
        <v>3.6666666666666665</v>
      </c>
      <c r="N45" s="470">
        <f t="shared" si="1"/>
        <v>11</v>
      </c>
    </row>
    <row r="46" spans="1:14">
      <c r="A46" s="597">
        <v>50626</v>
      </c>
      <c r="B46" s="595">
        <v>2</v>
      </c>
      <c r="C46" s="596">
        <v>3</v>
      </c>
      <c r="D46" s="596">
        <v>17</v>
      </c>
      <c r="E46" s="595" t="s">
        <v>60</v>
      </c>
      <c r="F46" s="595" t="s">
        <v>61</v>
      </c>
      <c r="G46" s="595" t="s">
        <v>68</v>
      </c>
      <c r="H46" s="596">
        <v>8</v>
      </c>
      <c r="I46" s="598">
        <v>72</v>
      </c>
      <c r="J46" s="598">
        <v>73</v>
      </c>
      <c r="K46" s="598">
        <v>78.5</v>
      </c>
      <c r="L46" s="599">
        <v>82</v>
      </c>
      <c r="M46" s="470">
        <f t="shared" si="0"/>
        <v>3.3333333333333335</v>
      </c>
      <c r="N46" s="470">
        <f t="shared" si="1"/>
        <v>10</v>
      </c>
    </row>
    <row r="47" spans="1:14">
      <c r="A47" s="597">
        <v>50595</v>
      </c>
      <c r="B47" s="595">
        <v>2</v>
      </c>
      <c r="C47" s="596">
        <v>3</v>
      </c>
      <c r="D47" s="596">
        <v>17</v>
      </c>
      <c r="E47" s="595" t="s">
        <v>60</v>
      </c>
      <c r="F47" s="595" t="s">
        <v>61</v>
      </c>
      <c r="G47" s="595" t="s">
        <v>34</v>
      </c>
      <c r="H47" s="596">
        <v>45</v>
      </c>
      <c r="I47" s="598">
        <v>73</v>
      </c>
      <c r="J47" s="598">
        <v>108.67</v>
      </c>
      <c r="K47" s="598">
        <v>110</v>
      </c>
      <c r="L47" s="599">
        <v>117.43</v>
      </c>
      <c r="M47" s="470">
        <f t="shared" si="0"/>
        <v>14.810000000000002</v>
      </c>
      <c r="N47" s="470">
        <f t="shared" si="1"/>
        <v>44.430000000000007</v>
      </c>
    </row>
    <row r="48" spans="1:14">
      <c r="A48" s="597">
        <v>50818</v>
      </c>
      <c r="B48" s="595">
        <v>2</v>
      </c>
      <c r="C48" s="596">
        <v>3</v>
      </c>
      <c r="D48" s="596">
        <v>17</v>
      </c>
      <c r="E48" s="595" t="s">
        <v>60</v>
      </c>
      <c r="F48" s="595" t="s">
        <v>61</v>
      </c>
      <c r="G48" s="595" t="s">
        <v>68</v>
      </c>
      <c r="H48" s="596">
        <v>67</v>
      </c>
      <c r="I48" s="598">
        <v>85</v>
      </c>
      <c r="J48" s="598">
        <v>87.67</v>
      </c>
      <c r="K48" s="598">
        <v>96.5</v>
      </c>
      <c r="L48" s="599">
        <v>109.83</v>
      </c>
      <c r="M48" s="470">
        <f t="shared" si="0"/>
        <v>8.2766666666666655</v>
      </c>
      <c r="N48" s="470">
        <f t="shared" si="1"/>
        <v>24.83</v>
      </c>
    </row>
    <row r="49" spans="1:14">
      <c r="A49" s="597" t="s">
        <v>389</v>
      </c>
      <c r="B49" s="595">
        <v>2</v>
      </c>
      <c r="C49" s="596">
        <v>3</v>
      </c>
      <c r="D49" s="596">
        <v>17</v>
      </c>
      <c r="E49" s="595" t="s">
        <v>60</v>
      </c>
      <c r="F49" s="595" t="s">
        <v>61</v>
      </c>
      <c r="G49" s="595" t="s">
        <v>31</v>
      </c>
      <c r="H49" s="596">
        <v>127</v>
      </c>
      <c r="I49" s="598">
        <v>190.8</v>
      </c>
      <c r="J49" s="598">
        <v>194</v>
      </c>
      <c r="K49" s="598">
        <v>198.25</v>
      </c>
      <c r="L49" s="599">
        <v>200.19</v>
      </c>
      <c r="M49" s="470">
        <f t="shared" si="0"/>
        <v>3.1299999999999955</v>
      </c>
      <c r="N49" s="470">
        <f t="shared" si="1"/>
        <v>9.3899999999999864</v>
      </c>
    </row>
    <row r="50" spans="1:14">
      <c r="A50" s="597" t="s">
        <v>388</v>
      </c>
      <c r="B50" s="595">
        <v>2</v>
      </c>
      <c r="C50" s="596">
        <v>3</v>
      </c>
      <c r="D50" s="596">
        <v>17</v>
      </c>
      <c r="E50" s="595" t="s">
        <v>60</v>
      </c>
      <c r="F50" s="595" t="s">
        <v>61</v>
      </c>
      <c r="G50" s="595" t="s">
        <v>25</v>
      </c>
      <c r="H50" s="596">
        <v>29</v>
      </c>
      <c r="I50" s="598">
        <v>65</v>
      </c>
      <c r="J50" s="598">
        <v>71.5</v>
      </c>
      <c r="K50" s="598">
        <v>79</v>
      </c>
      <c r="L50" s="599">
        <v>95</v>
      </c>
      <c r="M50" s="470">
        <f t="shared" si="0"/>
        <v>10</v>
      </c>
      <c r="N50" s="470">
        <f t="shared" si="1"/>
        <v>30</v>
      </c>
    </row>
    <row r="51" spans="1:14">
      <c r="A51" s="597" t="s">
        <v>390</v>
      </c>
      <c r="B51" s="595">
        <v>2</v>
      </c>
      <c r="C51" s="596">
        <v>4</v>
      </c>
      <c r="D51" s="596">
        <v>3</v>
      </c>
      <c r="E51" s="595" t="s">
        <v>60</v>
      </c>
      <c r="F51" s="595" t="s">
        <v>61</v>
      </c>
      <c r="G51" s="595" t="s">
        <v>31</v>
      </c>
      <c r="H51" s="596">
        <v>482</v>
      </c>
      <c r="I51" s="598">
        <v>143.80000000000001</v>
      </c>
      <c r="J51" s="598">
        <v>145.5</v>
      </c>
      <c r="K51" s="598">
        <v>152.47999999999999</v>
      </c>
      <c r="L51" s="599">
        <v>170.67</v>
      </c>
      <c r="M51" s="470">
        <f t="shared" si="0"/>
        <v>8.9566666666666581</v>
      </c>
      <c r="N51" s="470">
        <f t="shared" si="1"/>
        <v>26.869999999999976</v>
      </c>
    </row>
    <row r="52" spans="1:14">
      <c r="A52" s="597">
        <v>50860</v>
      </c>
      <c r="B52" s="595">
        <v>2</v>
      </c>
      <c r="C52" s="596">
        <v>4</v>
      </c>
      <c r="D52" s="596">
        <v>4</v>
      </c>
      <c r="E52" s="595" t="s">
        <v>60</v>
      </c>
      <c r="F52" s="595" t="s">
        <v>61</v>
      </c>
      <c r="G52" s="595" t="s">
        <v>31</v>
      </c>
      <c r="H52" s="596">
        <v>214</v>
      </c>
      <c r="I52" s="598">
        <v>36.700000000000003</v>
      </c>
      <c r="J52" s="598">
        <v>40.11</v>
      </c>
      <c r="K52" s="598">
        <v>52.33</v>
      </c>
      <c r="L52" s="599">
        <v>91.31</v>
      </c>
      <c r="M52" s="470">
        <f t="shared" si="0"/>
        <v>18.203333333333333</v>
      </c>
      <c r="N52" s="470">
        <f t="shared" si="1"/>
        <v>54.61</v>
      </c>
    </row>
    <row r="53" spans="1:14">
      <c r="A53" s="597">
        <v>50764</v>
      </c>
      <c r="B53" s="595">
        <v>2</v>
      </c>
      <c r="C53" s="596">
        <v>2</v>
      </c>
      <c r="D53" s="596">
        <v>5</v>
      </c>
      <c r="E53" s="595" t="s">
        <v>60</v>
      </c>
      <c r="F53" s="595" t="s">
        <v>71</v>
      </c>
      <c r="G53" s="595" t="s">
        <v>31</v>
      </c>
      <c r="H53" s="596">
        <v>175</v>
      </c>
      <c r="I53" s="598">
        <v>131.9</v>
      </c>
      <c r="J53" s="598">
        <v>135.9</v>
      </c>
      <c r="K53" s="598">
        <v>144.38999999999999</v>
      </c>
      <c r="L53" s="599">
        <v>156.88999999999999</v>
      </c>
      <c r="M53" s="470">
        <f t="shared" si="0"/>
        <v>8.329999999999993</v>
      </c>
      <c r="N53" s="470">
        <f t="shared" si="1"/>
        <v>24.989999999999981</v>
      </c>
    </row>
    <row r="54" spans="1:14">
      <c r="A54" s="597">
        <v>50747</v>
      </c>
      <c r="B54" s="595">
        <v>2</v>
      </c>
      <c r="C54" s="596">
        <v>3</v>
      </c>
      <c r="D54" s="596">
        <v>17</v>
      </c>
      <c r="E54" s="595" t="s">
        <v>60</v>
      </c>
      <c r="F54" s="595" t="s">
        <v>71</v>
      </c>
      <c r="G54" s="595" t="s">
        <v>25</v>
      </c>
      <c r="H54" s="596">
        <v>1</v>
      </c>
      <c r="I54" s="598">
        <v>206</v>
      </c>
      <c r="J54" s="598">
        <v>206</v>
      </c>
      <c r="K54" s="598">
        <v>207</v>
      </c>
      <c r="L54" s="599">
        <v>211</v>
      </c>
      <c r="M54" s="470">
        <f t="shared" si="0"/>
        <v>1.6666666666666667</v>
      </c>
      <c r="N54" s="470">
        <f t="shared" si="1"/>
        <v>5</v>
      </c>
    </row>
    <row r="55" spans="1:14">
      <c r="A55" s="597" t="s">
        <v>391</v>
      </c>
      <c r="B55" s="595">
        <v>2</v>
      </c>
      <c r="C55" s="596">
        <v>1</v>
      </c>
      <c r="D55" s="596">
        <v>5</v>
      </c>
      <c r="E55" s="595" t="s">
        <v>32</v>
      </c>
      <c r="F55" s="595" t="s">
        <v>33</v>
      </c>
      <c r="G55" s="595" t="s">
        <v>34</v>
      </c>
      <c r="H55" s="596">
        <v>468</v>
      </c>
      <c r="I55" s="598">
        <v>147.30000000000001</v>
      </c>
      <c r="J55" s="598">
        <v>147.4</v>
      </c>
      <c r="K55" s="598">
        <v>147.65</v>
      </c>
      <c r="L55" s="599">
        <v>149.05000000000001</v>
      </c>
      <c r="M55" s="470">
        <f t="shared" si="0"/>
        <v>0.58333333333333337</v>
      </c>
      <c r="N55" s="470">
        <f t="shared" si="1"/>
        <v>1.75</v>
      </c>
    </row>
    <row r="56" spans="1:14">
      <c r="A56" s="597">
        <v>50267</v>
      </c>
      <c r="B56" s="595">
        <v>2</v>
      </c>
      <c r="C56" s="596">
        <v>1</v>
      </c>
      <c r="D56" s="596">
        <v>13</v>
      </c>
      <c r="E56" s="595" t="s">
        <v>32</v>
      </c>
      <c r="F56" s="595" t="s">
        <v>33</v>
      </c>
      <c r="G56" s="595" t="s">
        <v>48</v>
      </c>
      <c r="H56" s="596">
        <v>442</v>
      </c>
      <c r="I56" s="598">
        <v>101.8</v>
      </c>
      <c r="J56" s="598">
        <v>106.6</v>
      </c>
      <c r="K56" s="598">
        <v>111.25</v>
      </c>
      <c r="L56" s="599">
        <v>117.05</v>
      </c>
      <c r="M56" s="470">
        <f t="shared" si="0"/>
        <v>5.083333333333333</v>
      </c>
      <c r="N56" s="470">
        <f t="shared" si="1"/>
        <v>15.25</v>
      </c>
    </row>
    <row r="57" spans="1:14">
      <c r="A57" s="597">
        <v>50462</v>
      </c>
      <c r="B57" s="595">
        <v>2</v>
      </c>
      <c r="C57" s="596">
        <v>1</v>
      </c>
      <c r="D57" s="596">
        <v>13</v>
      </c>
      <c r="E57" s="595" t="s">
        <v>32</v>
      </c>
      <c r="F57" s="595" t="s">
        <v>33</v>
      </c>
      <c r="G57" s="595" t="s">
        <v>34</v>
      </c>
      <c r="H57" s="596">
        <v>206</v>
      </c>
      <c r="I57" s="598">
        <v>99.3</v>
      </c>
      <c r="J57" s="598">
        <v>103.17</v>
      </c>
      <c r="K57" s="598">
        <v>104.83</v>
      </c>
      <c r="L57" s="599">
        <v>109.83</v>
      </c>
      <c r="M57" s="470">
        <f t="shared" si="0"/>
        <v>3.5100000000000002</v>
      </c>
      <c r="N57" s="470">
        <f t="shared" si="1"/>
        <v>10.530000000000001</v>
      </c>
    </row>
    <row r="58" spans="1:14">
      <c r="A58" s="597" t="s">
        <v>392</v>
      </c>
      <c r="B58" s="595">
        <v>2</v>
      </c>
      <c r="C58" s="596">
        <v>1</v>
      </c>
      <c r="D58" s="596">
        <v>13</v>
      </c>
      <c r="E58" s="595" t="s">
        <v>32</v>
      </c>
      <c r="F58" s="595" t="s">
        <v>33</v>
      </c>
      <c r="G58" s="595" t="s">
        <v>34</v>
      </c>
      <c r="H58" s="596">
        <v>21</v>
      </c>
      <c r="I58" s="598">
        <v>100.5</v>
      </c>
      <c r="J58" s="598">
        <v>105</v>
      </c>
      <c r="K58" s="598">
        <v>109.5</v>
      </c>
      <c r="L58" s="599">
        <v>119.75</v>
      </c>
      <c r="M58" s="470">
        <f t="shared" si="0"/>
        <v>6.416666666666667</v>
      </c>
      <c r="N58" s="470">
        <f t="shared" si="1"/>
        <v>19.25</v>
      </c>
    </row>
    <row r="59" spans="1:14">
      <c r="A59" s="597">
        <v>50184</v>
      </c>
      <c r="B59" s="595">
        <v>2</v>
      </c>
      <c r="C59" s="596">
        <v>1</v>
      </c>
      <c r="D59" s="596">
        <v>13</v>
      </c>
      <c r="E59" s="595" t="s">
        <v>32</v>
      </c>
      <c r="F59" s="595" t="s">
        <v>33</v>
      </c>
      <c r="G59" s="595" t="s">
        <v>31</v>
      </c>
      <c r="H59" s="596">
        <v>39</v>
      </c>
      <c r="I59" s="598">
        <v>97.5</v>
      </c>
      <c r="J59" s="598">
        <v>97.5</v>
      </c>
      <c r="K59" s="598">
        <v>97.5</v>
      </c>
      <c r="L59" s="599">
        <v>97.5</v>
      </c>
      <c r="M59" s="470">
        <f t="shared" si="0"/>
        <v>0</v>
      </c>
      <c r="N59" s="470">
        <f t="shared" si="1"/>
        <v>0</v>
      </c>
    </row>
    <row r="60" spans="1:14">
      <c r="A60" s="597">
        <v>50104</v>
      </c>
      <c r="B60" s="595">
        <v>2</v>
      </c>
      <c r="C60" s="596">
        <v>1</v>
      </c>
      <c r="D60" s="596">
        <v>13</v>
      </c>
      <c r="E60" s="595" t="s">
        <v>32</v>
      </c>
      <c r="F60" s="595" t="s">
        <v>33</v>
      </c>
      <c r="G60" s="595" t="s">
        <v>34</v>
      </c>
      <c r="H60" s="596">
        <v>22</v>
      </c>
      <c r="I60" s="598">
        <v>50</v>
      </c>
      <c r="J60" s="598">
        <v>56</v>
      </c>
      <c r="K60" s="598">
        <v>60</v>
      </c>
      <c r="L60" s="599">
        <v>73</v>
      </c>
      <c r="M60" s="470">
        <f t="shared" si="0"/>
        <v>7.666666666666667</v>
      </c>
      <c r="N60" s="470">
        <f t="shared" si="1"/>
        <v>23</v>
      </c>
    </row>
    <row r="61" spans="1:14">
      <c r="A61" s="597">
        <v>50563</v>
      </c>
      <c r="B61" s="595">
        <v>2</v>
      </c>
      <c r="C61" s="596">
        <v>3</v>
      </c>
      <c r="D61" s="596">
        <v>19</v>
      </c>
      <c r="E61" s="595" t="s">
        <v>32</v>
      </c>
      <c r="F61" s="595" t="s">
        <v>33</v>
      </c>
      <c r="G61" s="595" t="s">
        <v>34</v>
      </c>
      <c r="H61" s="596">
        <v>338</v>
      </c>
      <c r="I61" s="598">
        <v>82.9</v>
      </c>
      <c r="J61" s="598">
        <v>87.25</v>
      </c>
      <c r="K61" s="598">
        <v>91.65</v>
      </c>
      <c r="L61" s="599">
        <v>94.88</v>
      </c>
      <c r="M61" s="470">
        <f t="shared" si="0"/>
        <v>3.9933333333333301</v>
      </c>
      <c r="N61" s="470">
        <f t="shared" si="1"/>
        <v>11.97999999999999</v>
      </c>
    </row>
    <row r="62" spans="1:14">
      <c r="A62" s="597">
        <v>50819</v>
      </c>
      <c r="B62" s="595">
        <v>2</v>
      </c>
      <c r="C62" s="596">
        <v>4</v>
      </c>
      <c r="D62" s="596">
        <v>13</v>
      </c>
      <c r="E62" s="595" t="s">
        <v>32</v>
      </c>
      <c r="F62" s="595" t="s">
        <v>33</v>
      </c>
      <c r="G62" s="595" t="s">
        <v>68</v>
      </c>
      <c r="H62" s="596">
        <v>1285</v>
      </c>
      <c r="I62" s="598">
        <v>90.7</v>
      </c>
      <c r="J62" s="598">
        <v>97.99</v>
      </c>
      <c r="K62" s="598">
        <v>107.67</v>
      </c>
      <c r="L62" s="599">
        <v>123.6</v>
      </c>
      <c r="M62" s="470">
        <f t="shared" si="0"/>
        <v>10.966666666666663</v>
      </c>
      <c r="N62" s="470">
        <f t="shared" si="1"/>
        <v>32.899999999999991</v>
      </c>
    </row>
    <row r="63" spans="1:14">
      <c r="A63" s="597">
        <v>50827</v>
      </c>
      <c r="B63" s="595">
        <v>2</v>
      </c>
      <c r="C63" s="596">
        <v>4</v>
      </c>
      <c r="D63" s="596">
        <v>4</v>
      </c>
      <c r="E63" s="595" t="s">
        <v>129</v>
      </c>
      <c r="F63" s="595" t="s">
        <v>33</v>
      </c>
      <c r="G63" s="595" t="s">
        <v>31</v>
      </c>
      <c r="H63" s="596">
        <v>654</v>
      </c>
      <c r="I63" s="598">
        <v>25.3</v>
      </c>
      <c r="J63" s="598">
        <v>27.1</v>
      </c>
      <c r="K63" s="598">
        <v>30.33</v>
      </c>
      <c r="L63" s="599">
        <v>35.880000000000003</v>
      </c>
      <c r="M63" s="470">
        <f t="shared" si="0"/>
        <v>3.5266666666666673</v>
      </c>
      <c r="N63" s="470">
        <f t="shared" si="1"/>
        <v>10.580000000000002</v>
      </c>
    </row>
    <row r="64" spans="1:14">
      <c r="A64" s="597">
        <v>50851</v>
      </c>
      <c r="B64" s="595">
        <v>2</v>
      </c>
      <c r="C64" s="596">
        <v>4</v>
      </c>
      <c r="D64" s="596">
        <v>15</v>
      </c>
      <c r="E64" s="595" t="s">
        <v>153</v>
      </c>
      <c r="F64" s="595" t="s">
        <v>154</v>
      </c>
      <c r="G64" s="595" t="s">
        <v>155</v>
      </c>
      <c r="H64" s="596">
        <v>15</v>
      </c>
      <c r="I64" s="598">
        <v>28</v>
      </c>
      <c r="J64" s="598">
        <v>28</v>
      </c>
      <c r="K64" s="598">
        <v>35</v>
      </c>
      <c r="L64" s="599">
        <v>41.6</v>
      </c>
      <c r="M64" s="470">
        <f t="shared" si="0"/>
        <v>4.5333333333333341</v>
      </c>
      <c r="N64" s="470">
        <f t="shared" si="1"/>
        <v>13.600000000000001</v>
      </c>
    </row>
    <row r="65" spans="1:14">
      <c r="A65" s="597">
        <v>50632</v>
      </c>
      <c r="B65" s="595">
        <v>2</v>
      </c>
      <c r="C65" s="596">
        <v>2</v>
      </c>
      <c r="D65" s="596">
        <v>3</v>
      </c>
      <c r="E65" s="595" t="s">
        <v>66</v>
      </c>
      <c r="F65" s="595" t="s">
        <v>355</v>
      </c>
      <c r="G65" s="595" t="s">
        <v>68</v>
      </c>
      <c r="H65" s="596">
        <v>220</v>
      </c>
      <c r="I65" s="598">
        <v>47.9</v>
      </c>
      <c r="J65" s="598">
        <v>49.7</v>
      </c>
      <c r="K65" s="598">
        <v>50.85</v>
      </c>
      <c r="L65" s="599">
        <v>50.9</v>
      </c>
      <c r="M65" s="470">
        <f t="shared" si="0"/>
        <v>1</v>
      </c>
      <c r="N65" s="470">
        <f t="shared" si="1"/>
        <v>3</v>
      </c>
    </row>
    <row r="66" spans="1:14">
      <c r="A66" s="597">
        <v>50558</v>
      </c>
      <c r="B66" s="595">
        <v>2</v>
      </c>
      <c r="C66" s="596">
        <v>2</v>
      </c>
      <c r="D66" s="596">
        <v>3</v>
      </c>
      <c r="E66" s="595" t="s">
        <v>66</v>
      </c>
      <c r="F66" s="595" t="s">
        <v>67</v>
      </c>
      <c r="G66" s="595" t="s">
        <v>34</v>
      </c>
      <c r="H66" s="596">
        <v>227</v>
      </c>
      <c r="I66" s="598">
        <v>28.4</v>
      </c>
      <c r="J66" s="598">
        <v>26.56</v>
      </c>
      <c r="K66" s="598">
        <v>28.28</v>
      </c>
      <c r="L66" s="599">
        <v>29.78</v>
      </c>
      <c r="M66" s="470">
        <f t="shared" ref="M66:M129" si="2">((J66-I66)+(K66-J66)+(L66-K66))/3</f>
        <v>0.46000000000000085</v>
      </c>
      <c r="N66" s="470">
        <f t="shared" ref="N66:N129" si="3">L66-I66</f>
        <v>1.3800000000000026</v>
      </c>
    </row>
    <row r="67" spans="1:14">
      <c r="A67" s="597">
        <v>50323</v>
      </c>
      <c r="B67" s="595">
        <v>2</v>
      </c>
      <c r="C67" s="596">
        <v>7</v>
      </c>
      <c r="D67" s="596">
        <v>13</v>
      </c>
      <c r="E67" s="595" t="s">
        <v>66</v>
      </c>
      <c r="F67" s="595" t="s">
        <v>67</v>
      </c>
      <c r="G67" s="595" t="s">
        <v>31</v>
      </c>
      <c r="H67" s="596">
        <v>143</v>
      </c>
      <c r="I67" s="598">
        <v>25.3</v>
      </c>
      <c r="J67" s="598">
        <v>25.83</v>
      </c>
      <c r="K67" s="598">
        <v>27.33</v>
      </c>
      <c r="L67" s="599">
        <v>29</v>
      </c>
      <c r="M67" s="470">
        <f t="shared" si="2"/>
        <v>1.2333333333333332</v>
      </c>
      <c r="N67" s="470">
        <f t="shared" si="3"/>
        <v>3.6999999999999993</v>
      </c>
    </row>
    <row r="68" spans="1:14">
      <c r="A68" s="597">
        <v>50726</v>
      </c>
      <c r="B68" s="595">
        <v>2</v>
      </c>
      <c r="C68" s="596">
        <v>7</v>
      </c>
      <c r="D68" s="596">
        <v>13</v>
      </c>
      <c r="E68" s="595" t="s">
        <v>66</v>
      </c>
      <c r="F68" s="595" t="s">
        <v>67</v>
      </c>
      <c r="G68" s="595" t="s">
        <v>31</v>
      </c>
      <c r="H68" s="596">
        <v>166</v>
      </c>
      <c r="I68" s="598">
        <v>26.9</v>
      </c>
      <c r="J68" s="598">
        <v>27.69</v>
      </c>
      <c r="K68" s="598">
        <v>28.56</v>
      </c>
      <c r="L68" s="599">
        <v>29.38</v>
      </c>
      <c r="M68" s="470">
        <f t="shared" si="2"/>
        <v>0.82666666666666677</v>
      </c>
      <c r="N68" s="470">
        <f t="shared" si="3"/>
        <v>2.4800000000000004</v>
      </c>
    </row>
    <row r="69" spans="1:14">
      <c r="A69" s="597">
        <v>50087</v>
      </c>
      <c r="B69" s="595">
        <v>2</v>
      </c>
      <c r="C69" s="596">
        <v>7</v>
      </c>
      <c r="D69" s="596">
        <v>13</v>
      </c>
      <c r="E69" s="595" t="s">
        <v>66</v>
      </c>
      <c r="F69" s="595" t="s">
        <v>67</v>
      </c>
      <c r="G69" s="595" t="s">
        <v>34</v>
      </c>
      <c r="H69" s="596">
        <v>132</v>
      </c>
      <c r="I69" s="598">
        <v>35</v>
      </c>
      <c r="J69" s="598">
        <v>37.44</v>
      </c>
      <c r="K69" s="598">
        <v>39.200000000000003</v>
      </c>
      <c r="L69" s="599">
        <v>45.55</v>
      </c>
      <c r="M69" s="470">
        <f t="shared" si="2"/>
        <v>3.5166666666666657</v>
      </c>
      <c r="N69" s="470">
        <f t="shared" si="3"/>
        <v>10.549999999999997</v>
      </c>
    </row>
    <row r="70" spans="1:14">
      <c r="A70" s="597">
        <v>50724</v>
      </c>
      <c r="B70" s="595">
        <v>2</v>
      </c>
      <c r="C70" s="596">
        <v>7</v>
      </c>
      <c r="D70" s="596">
        <v>13</v>
      </c>
      <c r="E70" s="595" t="s">
        <v>66</v>
      </c>
      <c r="F70" s="595" t="s">
        <v>67</v>
      </c>
      <c r="G70" s="595" t="s">
        <v>31</v>
      </c>
      <c r="H70" s="596">
        <v>224</v>
      </c>
      <c r="I70" s="598">
        <v>34.200000000000003</v>
      </c>
      <c r="J70" s="598">
        <v>36</v>
      </c>
      <c r="K70" s="598">
        <v>36.979999999999997</v>
      </c>
      <c r="L70" s="599">
        <f>1.39+K70</f>
        <v>38.369999999999997</v>
      </c>
      <c r="M70" s="470">
        <f t="shared" si="2"/>
        <v>1.3899999999999981</v>
      </c>
      <c r="N70" s="470">
        <f t="shared" si="3"/>
        <v>4.1699999999999946</v>
      </c>
    </row>
    <row r="71" spans="1:14">
      <c r="A71" s="597">
        <v>50459</v>
      </c>
      <c r="B71" s="595">
        <v>2</v>
      </c>
      <c r="C71" s="596">
        <v>7</v>
      </c>
      <c r="D71" s="596">
        <v>17</v>
      </c>
      <c r="E71" s="595" t="s">
        <v>66</v>
      </c>
      <c r="F71" s="595" t="s">
        <v>67</v>
      </c>
      <c r="G71" s="595" t="s">
        <v>34</v>
      </c>
      <c r="H71" s="596">
        <v>126</v>
      </c>
      <c r="I71" s="598">
        <v>42</v>
      </c>
      <c r="J71" s="598">
        <v>44.08</v>
      </c>
      <c r="K71" s="598">
        <v>45.12</v>
      </c>
      <c r="L71" s="599">
        <v>46.73</v>
      </c>
      <c r="M71" s="470">
        <f t="shared" si="2"/>
        <v>1.5766666666666656</v>
      </c>
      <c r="N71" s="470">
        <f t="shared" si="3"/>
        <v>4.7299999999999969</v>
      </c>
    </row>
    <row r="72" spans="1:14">
      <c r="A72" s="597">
        <v>50602</v>
      </c>
      <c r="B72" s="595">
        <v>2</v>
      </c>
      <c r="C72" s="596">
        <v>7</v>
      </c>
      <c r="D72" s="596">
        <v>17</v>
      </c>
      <c r="E72" s="595" t="s">
        <v>66</v>
      </c>
      <c r="F72" s="595" t="s">
        <v>67</v>
      </c>
      <c r="G72" s="595" t="s">
        <v>34</v>
      </c>
      <c r="H72" s="596">
        <v>42</v>
      </c>
      <c r="I72" s="598">
        <v>29</v>
      </c>
      <c r="J72" s="598">
        <v>29</v>
      </c>
      <c r="K72" s="598">
        <v>30</v>
      </c>
      <c r="L72" s="599">
        <v>32.5</v>
      </c>
      <c r="M72" s="470">
        <f t="shared" si="2"/>
        <v>1.1666666666666667</v>
      </c>
      <c r="N72" s="470">
        <f t="shared" si="3"/>
        <v>3.5</v>
      </c>
    </row>
    <row r="73" spans="1:14">
      <c r="A73" s="597">
        <v>50859</v>
      </c>
      <c r="B73" s="595">
        <v>2</v>
      </c>
      <c r="C73" s="596">
        <v>3</v>
      </c>
      <c r="D73" s="596">
        <v>13</v>
      </c>
      <c r="E73" s="595" t="s">
        <v>105</v>
      </c>
      <c r="F73" s="595" t="s">
        <v>106</v>
      </c>
      <c r="G73" s="595" t="s">
        <v>25</v>
      </c>
      <c r="H73" s="596">
        <v>349</v>
      </c>
      <c r="I73" s="598">
        <v>113.2</v>
      </c>
      <c r="J73" s="598">
        <v>119.75</v>
      </c>
      <c r="K73" s="598">
        <v>128.5</v>
      </c>
      <c r="L73" s="599">
        <v>136</v>
      </c>
      <c r="M73" s="470">
        <f t="shared" si="2"/>
        <v>7.5999999999999988</v>
      </c>
      <c r="N73" s="470">
        <f t="shared" si="3"/>
        <v>22.799999999999997</v>
      </c>
    </row>
    <row r="74" spans="1:14">
      <c r="A74" s="597">
        <v>50735</v>
      </c>
      <c r="B74" s="595">
        <v>2</v>
      </c>
      <c r="C74" s="596">
        <v>3</v>
      </c>
      <c r="D74" s="596">
        <v>13</v>
      </c>
      <c r="E74" s="595" t="s">
        <v>105</v>
      </c>
      <c r="F74" s="595" t="s">
        <v>106</v>
      </c>
      <c r="G74" s="595" t="s">
        <v>25</v>
      </c>
      <c r="H74" s="596">
        <v>22</v>
      </c>
      <c r="I74" s="598">
        <v>74</v>
      </c>
      <c r="J74" s="598">
        <v>74</v>
      </c>
      <c r="K74" s="598">
        <v>77</v>
      </c>
      <c r="L74" s="599">
        <v>78</v>
      </c>
      <c r="M74" s="470">
        <f t="shared" si="2"/>
        <v>1.3333333333333333</v>
      </c>
      <c r="N74" s="470">
        <f t="shared" si="3"/>
        <v>4</v>
      </c>
    </row>
    <row r="75" spans="1:14">
      <c r="A75" s="597">
        <v>50756</v>
      </c>
      <c r="B75" s="595">
        <v>2</v>
      </c>
      <c r="C75" s="596">
        <v>3</v>
      </c>
      <c r="D75" s="596">
        <v>13</v>
      </c>
      <c r="E75" s="595" t="s">
        <v>105</v>
      </c>
      <c r="F75" s="595" t="s">
        <v>106</v>
      </c>
      <c r="G75" s="595" t="s">
        <v>25</v>
      </c>
      <c r="H75" s="596">
        <v>37</v>
      </c>
      <c r="I75" s="598">
        <v>105</v>
      </c>
      <c r="J75" s="598">
        <v>119</v>
      </c>
      <c r="K75" s="598">
        <v>124.5</v>
      </c>
      <c r="L75" s="599">
        <v>130.5</v>
      </c>
      <c r="M75" s="470">
        <f t="shared" si="2"/>
        <v>8.5</v>
      </c>
      <c r="N75" s="470">
        <f t="shared" si="3"/>
        <v>25.5</v>
      </c>
    </row>
    <row r="76" spans="1:14">
      <c r="A76" s="597">
        <v>50836</v>
      </c>
      <c r="B76" s="595">
        <v>2</v>
      </c>
      <c r="C76" s="596">
        <v>3</v>
      </c>
      <c r="D76" s="596">
        <v>13</v>
      </c>
      <c r="E76" s="595" t="s">
        <v>105</v>
      </c>
      <c r="F76" s="595" t="s">
        <v>106</v>
      </c>
      <c r="G76" s="595" t="s">
        <v>68</v>
      </c>
      <c r="H76" s="596">
        <v>172</v>
      </c>
      <c r="I76" s="598">
        <v>143.80000000000001</v>
      </c>
      <c r="J76" s="598">
        <v>147.75</v>
      </c>
      <c r="K76" s="598">
        <v>150.69</v>
      </c>
      <c r="L76" s="599">
        <f>3.39+K76</f>
        <v>154.07999999999998</v>
      </c>
      <c r="M76" s="470">
        <f t="shared" si="2"/>
        <v>3.4266666666666574</v>
      </c>
      <c r="N76" s="470">
        <f t="shared" si="3"/>
        <v>10.279999999999973</v>
      </c>
    </row>
    <row r="77" spans="1:14">
      <c r="A77" s="597">
        <v>50784</v>
      </c>
      <c r="B77" s="595">
        <v>2</v>
      </c>
      <c r="C77" s="596">
        <v>3</v>
      </c>
      <c r="D77" s="596">
        <v>6</v>
      </c>
      <c r="E77" s="595" t="s">
        <v>91</v>
      </c>
      <c r="F77" s="595" t="s">
        <v>92</v>
      </c>
      <c r="G77" s="595" t="s">
        <v>31</v>
      </c>
      <c r="H77" s="596">
        <v>32</v>
      </c>
      <c r="I77" s="598">
        <v>25</v>
      </c>
      <c r="J77" s="598">
        <v>28</v>
      </c>
      <c r="K77" s="598">
        <v>31.5</v>
      </c>
      <c r="L77" s="599">
        <v>34.75</v>
      </c>
      <c r="M77" s="470">
        <f t="shared" si="2"/>
        <v>3.25</v>
      </c>
      <c r="N77" s="470">
        <f t="shared" si="3"/>
        <v>9.75</v>
      </c>
    </row>
    <row r="78" spans="1:14">
      <c r="A78" s="597">
        <v>50635</v>
      </c>
      <c r="B78" s="595">
        <v>2</v>
      </c>
      <c r="C78" s="596">
        <v>7</v>
      </c>
      <c r="D78" s="596">
        <v>3</v>
      </c>
      <c r="E78" s="595" t="s">
        <v>208</v>
      </c>
      <c r="F78" s="595" t="s">
        <v>209</v>
      </c>
      <c r="G78" s="595" t="s">
        <v>68</v>
      </c>
      <c r="H78" s="596">
        <v>311</v>
      </c>
      <c r="I78" s="598">
        <v>50.3</v>
      </c>
      <c r="J78" s="598">
        <v>54.1</v>
      </c>
      <c r="K78" s="598">
        <v>57.65</v>
      </c>
      <c r="L78" s="599">
        <v>61.33</v>
      </c>
      <c r="M78" s="470">
        <f t="shared" si="2"/>
        <v>3.6766666666666672</v>
      </c>
      <c r="N78" s="470">
        <f t="shared" si="3"/>
        <v>11.030000000000001</v>
      </c>
    </row>
    <row r="79" spans="1:14">
      <c r="A79" s="597">
        <v>50617</v>
      </c>
      <c r="B79" s="595">
        <v>2</v>
      </c>
      <c r="C79" s="596">
        <v>7</v>
      </c>
      <c r="D79" s="596">
        <v>3</v>
      </c>
      <c r="E79" s="595" t="s">
        <v>208</v>
      </c>
      <c r="F79" s="595" t="s">
        <v>209</v>
      </c>
      <c r="G79" s="595" t="s">
        <v>34</v>
      </c>
      <c r="H79" s="596">
        <v>75</v>
      </c>
      <c r="I79" s="598">
        <v>58</v>
      </c>
      <c r="J79" s="598">
        <v>59</v>
      </c>
      <c r="K79" s="598">
        <v>61</v>
      </c>
      <c r="L79" s="599">
        <v>62.5</v>
      </c>
      <c r="M79" s="470">
        <f t="shared" si="2"/>
        <v>1.5</v>
      </c>
      <c r="N79" s="470">
        <f t="shared" si="3"/>
        <v>4.5</v>
      </c>
    </row>
    <row r="80" spans="1:14">
      <c r="A80" s="597" t="s">
        <v>393</v>
      </c>
      <c r="B80" s="595">
        <v>2</v>
      </c>
      <c r="C80" s="596">
        <v>1</v>
      </c>
      <c r="D80" s="596">
        <v>9</v>
      </c>
      <c r="E80" s="595" t="s">
        <v>37</v>
      </c>
      <c r="F80" s="595" t="s">
        <v>38</v>
      </c>
      <c r="G80" s="595" t="s">
        <v>34</v>
      </c>
      <c r="H80" s="596">
        <v>127</v>
      </c>
      <c r="I80" s="598">
        <v>113.5</v>
      </c>
      <c r="J80" s="598">
        <v>114.13</v>
      </c>
      <c r="K80" s="598">
        <v>114.81</v>
      </c>
      <c r="L80" s="599">
        <f>K80+0.66</f>
        <v>115.47</v>
      </c>
      <c r="M80" s="470">
        <f t="shared" si="2"/>
        <v>0.65666666666666629</v>
      </c>
      <c r="N80" s="470">
        <f t="shared" si="3"/>
        <v>1.9699999999999989</v>
      </c>
    </row>
    <row r="81" spans="1:14">
      <c r="A81" s="597" t="s">
        <v>396</v>
      </c>
      <c r="B81" s="595">
        <v>2</v>
      </c>
      <c r="C81" s="596">
        <v>5</v>
      </c>
      <c r="D81" s="596">
        <v>3</v>
      </c>
      <c r="E81" s="595" t="s">
        <v>37</v>
      </c>
      <c r="F81" s="595" t="s">
        <v>38</v>
      </c>
      <c r="G81" s="595" t="s">
        <v>31</v>
      </c>
      <c r="H81" s="596">
        <v>128</v>
      </c>
      <c r="I81" s="598">
        <v>119.3</v>
      </c>
      <c r="J81" s="598">
        <v>120</v>
      </c>
      <c r="K81" s="598">
        <v>121.06</v>
      </c>
      <c r="L81" s="599">
        <v>124.5</v>
      </c>
      <c r="M81" s="470">
        <f t="shared" si="2"/>
        <v>1.7333333333333343</v>
      </c>
      <c r="N81" s="470">
        <f t="shared" si="3"/>
        <v>5.2000000000000028</v>
      </c>
    </row>
    <row r="82" spans="1:14">
      <c r="A82" s="597">
        <v>50342</v>
      </c>
      <c r="B82" s="595">
        <v>2</v>
      </c>
      <c r="C82" s="596">
        <v>5</v>
      </c>
      <c r="D82" s="596">
        <v>13</v>
      </c>
      <c r="E82" s="595" t="s">
        <v>37</v>
      </c>
      <c r="F82" s="595" t="s">
        <v>38</v>
      </c>
      <c r="G82" s="595" t="s">
        <v>25</v>
      </c>
      <c r="H82" s="596">
        <v>3</v>
      </c>
      <c r="I82" s="598">
        <v>87</v>
      </c>
      <c r="J82" s="598">
        <v>89</v>
      </c>
      <c r="K82" s="598">
        <v>92</v>
      </c>
      <c r="L82" s="599">
        <v>111</v>
      </c>
      <c r="M82" s="470">
        <f t="shared" si="2"/>
        <v>8</v>
      </c>
      <c r="N82" s="470">
        <f t="shared" si="3"/>
        <v>24</v>
      </c>
    </row>
    <row r="83" spans="1:14">
      <c r="A83" s="597" t="s">
        <v>395</v>
      </c>
      <c r="B83" s="595">
        <v>2</v>
      </c>
      <c r="C83" s="596">
        <v>5</v>
      </c>
      <c r="D83" s="596">
        <v>13</v>
      </c>
      <c r="E83" s="595" t="s">
        <v>37</v>
      </c>
      <c r="F83" s="595" t="s">
        <v>38</v>
      </c>
      <c r="G83" s="595" t="s">
        <v>31</v>
      </c>
      <c r="H83" s="596">
        <v>131</v>
      </c>
      <c r="I83" s="598">
        <v>113.4</v>
      </c>
      <c r="J83" s="598">
        <v>113.7</v>
      </c>
      <c r="K83" s="598">
        <v>115.3</v>
      </c>
      <c r="L83" s="599">
        <v>119.7</v>
      </c>
      <c r="M83" s="470">
        <f t="shared" si="2"/>
        <v>2.0999999999999992</v>
      </c>
      <c r="N83" s="470">
        <f t="shared" si="3"/>
        <v>6.2999999999999972</v>
      </c>
    </row>
    <row r="84" spans="1:14">
      <c r="A84" s="597">
        <v>50694</v>
      </c>
      <c r="B84" s="595">
        <v>2</v>
      </c>
      <c r="C84" s="596">
        <v>5</v>
      </c>
      <c r="D84" s="596">
        <v>13</v>
      </c>
      <c r="E84" s="595" t="s">
        <v>37</v>
      </c>
      <c r="F84" s="595" t="s">
        <v>38</v>
      </c>
      <c r="G84" s="595" t="s">
        <v>25</v>
      </c>
      <c r="H84" s="596">
        <v>161</v>
      </c>
      <c r="I84" s="598">
        <v>93.3</v>
      </c>
      <c r="J84" s="598">
        <v>96.33</v>
      </c>
      <c r="K84" s="598">
        <v>96.67</v>
      </c>
      <c r="L84" s="599">
        <f>1.82+K84</f>
        <v>98.49</v>
      </c>
      <c r="M84" s="470">
        <f t="shared" si="2"/>
        <v>1.7299999999999993</v>
      </c>
      <c r="N84" s="470">
        <f t="shared" si="3"/>
        <v>5.1899999999999977</v>
      </c>
    </row>
    <row r="85" spans="1:14">
      <c r="A85" s="597">
        <v>50600</v>
      </c>
      <c r="B85" s="595">
        <v>2</v>
      </c>
      <c r="C85" s="596">
        <v>5</v>
      </c>
      <c r="D85" s="596">
        <v>13</v>
      </c>
      <c r="E85" s="595" t="s">
        <v>37</v>
      </c>
      <c r="F85" s="595" t="s">
        <v>38</v>
      </c>
      <c r="G85" s="595" t="s">
        <v>68</v>
      </c>
      <c r="H85" s="596">
        <v>36</v>
      </c>
      <c r="I85" s="598">
        <v>72</v>
      </c>
      <c r="J85" s="598">
        <v>72</v>
      </c>
      <c r="K85" s="598">
        <v>73</v>
      </c>
      <c r="L85" s="599">
        <v>75</v>
      </c>
      <c r="M85" s="470">
        <f t="shared" si="2"/>
        <v>1</v>
      </c>
      <c r="N85" s="470">
        <f t="shared" si="3"/>
        <v>3</v>
      </c>
    </row>
    <row r="86" spans="1:14">
      <c r="A86" s="597" t="s">
        <v>394</v>
      </c>
      <c r="B86" s="595">
        <v>2</v>
      </c>
      <c r="C86" s="596">
        <v>5</v>
      </c>
      <c r="D86" s="596">
        <v>13</v>
      </c>
      <c r="E86" s="595" t="s">
        <v>37</v>
      </c>
      <c r="F86" s="595" t="s">
        <v>38</v>
      </c>
      <c r="G86" s="595" t="s">
        <v>34</v>
      </c>
      <c r="H86" s="596">
        <v>14</v>
      </c>
      <c r="I86" s="598">
        <v>98</v>
      </c>
      <c r="J86" s="598">
        <v>99</v>
      </c>
      <c r="K86" s="598">
        <v>100</v>
      </c>
      <c r="L86" s="599">
        <v>105.5</v>
      </c>
      <c r="M86" s="470">
        <f t="shared" si="2"/>
        <v>2.5</v>
      </c>
      <c r="N86" s="470">
        <f t="shared" si="3"/>
        <v>7.5</v>
      </c>
    </row>
    <row r="87" spans="1:14">
      <c r="A87" s="597">
        <v>50696</v>
      </c>
      <c r="B87" s="595">
        <v>2</v>
      </c>
      <c r="C87" s="596">
        <v>5</v>
      </c>
      <c r="D87" s="596">
        <v>13</v>
      </c>
      <c r="E87" s="595" t="s">
        <v>37</v>
      </c>
      <c r="F87" s="595" t="s">
        <v>38</v>
      </c>
      <c r="G87" s="595" t="s">
        <v>68</v>
      </c>
      <c r="H87" s="596">
        <v>45</v>
      </c>
      <c r="I87" s="598">
        <v>100</v>
      </c>
      <c r="J87" s="598">
        <v>100</v>
      </c>
      <c r="K87" s="598">
        <v>100</v>
      </c>
      <c r="L87" s="599">
        <v>101</v>
      </c>
      <c r="M87" s="470">
        <f t="shared" si="2"/>
        <v>0.33333333333333331</v>
      </c>
      <c r="N87" s="470">
        <f t="shared" si="3"/>
        <v>1</v>
      </c>
    </row>
    <row r="88" spans="1:14">
      <c r="A88" s="597">
        <v>50622</v>
      </c>
      <c r="B88" s="595">
        <v>2</v>
      </c>
      <c r="C88" s="596">
        <v>6</v>
      </c>
      <c r="D88" s="596">
        <v>2</v>
      </c>
      <c r="E88" s="595" t="s">
        <v>37</v>
      </c>
      <c r="F88" s="595" t="s">
        <v>38</v>
      </c>
      <c r="G88" s="595" t="s">
        <v>34</v>
      </c>
      <c r="H88" s="596">
        <v>47</v>
      </c>
      <c r="I88" s="598">
        <v>55</v>
      </c>
      <c r="J88" s="598">
        <v>57</v>
      </c>
      <c r="K88" s="598">
        <v>62.9</v>
      </c>
      <c r="L88" s="599">
        <v>66</v>
      </c>
      <c r="M88" s="470">
        <f t="shared" si="2"/>
        <v>3.6666666666666665</v>
      </c>
      <c r="N88" s="470">
        <f t="shared" si="3"/>
        <v>11</v>
      </c>
    </row>
    <row r="89" spans="1:14">
      <c r="A89" s="597">
        <v>50826</v>
      </c>
      <c r="B89" s="595">
        <v>2</v>
      </c>
      <c r="C89" s="596">
        <v>8</v>
      </c>
      <c r="D89" s="596">
        <v>6</v>
      </c>
      <c r="E89" s="595" t="s">
        <v>37</v>
      </c>
      <c r="F89" s="595" t="s">
        <v>38</v>
      </c>
      <c r="G89" s="595" t="s">
        <v>31</v>
      </c>
      <c r="H89" s="596">
        <v>185</v>
      </c>
      <c r="I89" s="598">
        <v>80.7</v>
      </c>
      <c r="J89" s="598">
        <v>84.75</v>
      </c>
      <c r="K89" s="598">
        <v>89.6</v>
      </c>
      <c r="L89" s="599">
        <v>97.5</v>
      </c>
      <c r="M89" s="470">
        <f t="shared" si="2"/>
        <v>5.5999999999999988</v>
      </c>
      <c r="N89" s="470">
        <f t="shared" si="3"/>
        <v>16.799999999999997</v>
      </c>
    </row>
    <row r="90" spans="1:14">
      <c r="A90" s="597">
        <v>50716</v>
      </c>
      <c r="B90" s="595">
        <v>2</v>
      </c>
      <c r="C90" s="596">
        <v>4</v>
      </c>
      <c r="D90" s="596">
        <v>6</v>
      </c>
      <c r="E90" s="595" t="s">
        <v>132</v>
      </c>
      <c r="F90" s="595" t="s">
        <v>133</v>
      </c>
      <c r="G90" s="595" t="s">
        <v>109</v>
      </c>
      <c r="H90" s="596">
        <v>82</v>
      </c>
      <c r="I90" s="598">
        <v>4.5999999999999996</v>
      </c>
      <c r="J90" s="598">
        <v>5.83</v>
      </c>
      <c r="K90" s="598">
        <v>5.83</v>
      </c>
      <c r="L90" s="599">
        <v>7.63</v>
      </c>
      <c r="M90" s="470">
        <f t="shared" si="2"/>
        <v>1.01</v>
      </c>
      <c r="N90" s="470">
        <f t="shared" si="3"/>
        <v>3.0300000000000002</v>
      </c>
    </row>
    <row r="91" spans="1:14">
      <c r="A91" s="597">
        <v>50789</v>
      </c>
      <c r="B91" s="595">
        <v>2</v>
      </c>
      <c r="C91" s="596">
        <v>4</v>
      </c>
      <c r="D91" s="596">
        <v>6</v>
      </c>
      <c r="E91" s="595" t="s">
        <v>132</v>
      </c>
      <c r="F91" s="595" t="s">
        <v>133</v>
      </c>
      <c r="G91" s="595" t="s">
        <v>109</v>
      </c>
      <c r="H91" s="596">
        <v>327</v>
      </c>
      <c r="I91" s="598">
        <v>35.1</v>
      </c>
      <c r="J91" s="598">
        <v>35.6</v>
      </c>
      <c r="K91" s="598">
        <v>35.6</v>
      </c>
      <c r="L91" s="599">
        <v>35.6</v>
      </c>
      <c r="M91" s="470">
        <f t="shared" si="2"/>
        <v>0.16666666666666666</v>
      </c>
      <c r="N91" s="470">
        <f t="shared" si="3"/>
        <v>0.5</v>
      </c>
    </row>
    <row r="92" spans="1:14">
      <c r="A92" s="597">
        <v>50710</v>
      </c>
      <c r="B92" s="595">
        <v>2</v>
      </c>
      <c r="C92" s="596">
        <v>4</v>
      </c>
      <c r="D92" s="596">
        <v>6</v>
      </c>
      <c r="E92" s="595" t="s">
        <v>132</v>
      </c>
      <c r="F92" s="595" t="s">
        <v>133</v>
      </c>
      <c r="G92" s="595" t="s">
        <v>34</v>
      </c>
      <c r="H92" s="596">
        <v>15</v>
      </c>
      <c r="I92" s="598">
        <v>34</v>
      </c>
      <c r="J92" s="598">
        <v>35</v>
      </c>
      <c r="K92" s="598">
        <v>36.83</v>
      </c>
      <c r="L92" s="599">
        <v>37.049999999999997</v>
      </c>
      <c r="M92" s="470">
        <f t="shared" si="2"/>
        <v>1.0166666666666657</v>
      </c>
      <c r="N92" s="470">
        <f t="shared" si="3"/>
        <v>3.0499999999999972</v>
      </c>
    </row>
    <row r="93" spans="1:14">
      <c r="A93" s="597">
        <v>50454</v>
      </c>
      <c r="B93" s="595">
        <v>2</v>
      </c>
      <c r="C93" s="596">
        <v>8</v>
      </c>
      <c r="D93" s="596">
        <v>4</v>
      </c>
      <c r="E93" s="595" t="s">
        <v>132</v>
      </c>
      <c r="F93" s="595" t="s">
        <v>133</v>
      </c>
      <c r="G93" s="595" t="s">
        <v>68</v>
      </c>
      <c r="H93" s="596">
        <v>273</v>
      </c>
      <c r="I93" s="598">
        <v>10.199999999999999</v>
      </c>
      <c r="J93" s="598">
        <v>12.17</v>
      </c>
      <c r="K93" s="598">
        <v>14</v>
      </c>
      <c r="L93" s="599">
        <v>14.75</v>
      </c>
      <c r="M93" s="470">
        <f t="shared" si="2"/>
        <v>1.5166666666666668</v>
      </c>
      <c r="N93" s="470">
        <f t="shared" si="3"/>
        <v>4.5500000000000007</v>
      </c>
    </row>
    <row r="94" spans="1:14">
      <c r="A94" s="597">
        <v>50570</v>
      </c>
      <c r="B94" s="595">
        <v>2</v>
      </c>
      <c r="C94" s="596">
        <v>8</v>
      </c>
      <c r="D94" s="596">
        <v>4</v>
      </c>
      <c r="E94" s="595" t="s">
        <v>132</v>
      </c>
      <c r="F94" s="595" t="s">
        <v>133</v>
      </c>
      <c r="G94" s="595" t="s">
        <v>34</v>
      </c>
      <c r="H94" s="596">
        <v>226</v>
      </c>
      <c r="I94" s="598">
        <v>5.4</v>
      </c>
      <c r="J94" s="598">
        <v>7.15</v>
      </c>
      <c r="K94" s="598">
        <v>7.54</v>
      </c>
      <c r="L94" s="599">
        <v>9.31</v>
      </c>
      <c r="M94" s="470">
        <f t="shared" si="2"/>
        <v>1.3033333333333335</v>
      </c>
      <c r="N94" s="470">
        <f t="shared" si="3"/>
        <v>3.91</v>
      </c>
    </row>
    <row r="95" spans="1:14">
      <c r="A95" s="597">
        <v>50881</v>
      </c>
      <c r="B95" s="595">
        <v>2</v>
      </c>
      <c r="C95" s="596">
        <v>5</v>
      </c>
      <c r="D95" s="596">
        <v>8</v>
      </c>
      <c r="E95" s="595" t="s">
        <v>187</v>
      </c>
      <c r="F95" s="595" t="s">
        <v>188</v>
      </c>
      <c r="G95" s="595" t="s">
        <v>68</v>
      </c>
      <c r="H95" s="596">
        <v>738</v>
      </c>
      <c r="I95" s="598">
        <v>16.100000000000001</v>
      </c>
      <c r="J95" s="598">
        <v>18.95</v>
      </c>
      <c r="K95" s="598">
        <v>26.28</v>
      </c>
      <c r="L95" s="599">
        <v>35.54</v>
      </c>
      <c r="M95" s="470">
        <f t="shared" si="2"/>
        <v>6.4799999999999995</v>
      </c>
      <c r="N95" s="470">
        <f t="shared" si="3"/>
        <v>19.439999999999998</v>
      </c>
    </row>
    <row r="96" spans="1:14">
      <c r="A96" s="597">
        <v>50886</v>
      </c>
      <c r="B96" s="595">
        <v>2</v>
      </c>
      <c r="C96" s="596">
        <v>3</v>
      </c>
      <c r="D96" s="596">
        <v>8</v>
      </c>
      <c r="E96" s="595" t="s">
        <v>95</v>
      </c>
      <c r="F96" s="595" t="s">
        <v>96</v>
      </c>
      <c r="G96" s="595" t="s">
        <v>34</v>
      </c>
      <c r="H96" s="596">
        <v>289</v>
      </c>
      <c r="I96" s="598">
        <v>25</v>
      </c>
      <c r="J96" s="598">
        <v>25.9</v>
      </c>
      <c r="K96" s="598">
        <v>26.05</v>
      </c>
      <c r="L96" s="599">
        <v>27.88</v>
      </c>
      <c r="M96" s="470">
        <f t="shared" si="2"/>
        <v>0.95999999999999963</v>
      </c>
      <c r="N96" s="470">
        <f t="shared" si="3"/>
        <v>2.879999999999999</v>
      </c>
    </row>
    <row r="97" spans="1:14">
      <c r="A97" s="597">
        <v>50620</v>
      </c>
      <c r="B97" s="595">
        <v>2</v>
      </c>
      <c r="C97" s="596">
        <v>5</v>
      </c>
      <c r="D97" s="596">
        <v>1</v>
      </c>
      <c r="E97" s="595" t="s">
        <v>95</v>
      </c>
      <c r="F97" s="595" t="s">
        <v>96</v>
      </c>
      <c r="G97" s="595" t="s">
        <v>68</v>
      </c>
      <c r="H97" s="596">
        <v>260</v>
      </c>
      <c r="I97" s="598">
        <v>53.7</v>
      </c>
      <c r="J97" s="598">
        <v>57.17</v>
      </c>
      <c r="K97" s="598">
        <v>59.5</v>
      </c>
      <c r="L97" s="599">
        <v>68</v>
      </c>
      <c r="M97" s="470">
        <f t="shared" si="2"/>
        <v>4.7666666666666657</v>
      </c>
      <c r="N97" s="470">
        <f t="shared" si="3"/>
        <v>14.299999999999997</v>
      </c>
    </row>
    <row r="98" spans="1:14">
      <c r="A98" s="597">
        <v>50847</v>
      </c>
      <c r="B98" s="595">
        <v>2</v>
      </c>
      <c r="C98" s="596">
        <v>3</v>
      </c>
      <c r="D98" s="596">
        <v>14</v>
      </c>
      <c r="E98" s="595" t="s">
        <v>107</v>
      </c>
      <c r="F98" s="595" t="s">
        <v>108</v>
      </c>
      <c r="G98" s="595" t="s">
        <v>25</v>
      </c>
      <c r="H98" s="596">
        <v>371</v>
      </c>
      <c r="I98" s="598">
        <v>30.5</v>
      </c>
      <c r="J98" s="598">
        <v>33.35</v>
      </c>
      <c r="K98" s="598">
        <v>41.8</v>
      </c>
      <c r="L98" s="599">
        <v>46.6</v>
      </c>
      <c r="M98" s="470">
        <f t="shared" si="2"/>
        <v>5.3666666666666671</v>
      </c>
      <c r="N98" s="470">
        <f t="shared" si="3"/>
        <v>16.100000000000001</v>
      </c>
    </row>
    <row r="99" spans="1:14">
      <c r="A99" s="597">
        <v>50743</v>
      </c>
      <c r="B99" s="595">
        <v>2</v>
      </c>
      <c r="C99" s="596">
        <v>3</v>
      </c>
      <c r="D99" s="596">
        <v>14</v>
      </c>
      <c r="E99" s="595" t="s">
        <v>107</v>
      </c>
      <c r="F99" s="595" t="s">
        <v>108</v>
      </c>
      <c r="G99" s="595" t="s">
        <v>109</v>
      </c>
      <c r="H99" s="596">
        <v>88</v>
      </c>
      <c r="I99" s="598">
        <v>37</v>
      </c>
      <c r="J99" s="598">
        <v>38.17</v>
      </c>
      <c r="K99" s="598">
        <v>45</v>
      </c>
      <c r="L99" s="599">
        <v>49</v>
      </c>
      <c r="M99" s="470">
        <f t="shared" si="2"/>
        <v>4</v>
      </c>
      <c r="N99" s="470">
        <f t="shared" si="3"/>
        <v>12</v>
      </c>
    </row>
    <row r="100" spans="1:14">
      <c r="A100" s="597">
        <v>50862</v>
      </c>
      <c r="B100" s="595">
        <v>2</v>
      </c>
      <c r="C100" s="596">
        <v>4</v>
      </c>
      <c r="D100" s="596">
        <v>19</v>
      </c>
      <c r="E100" s="595" t="s">
        <v>107</v>
      </c>
      <c r="F100" s="595" t="s">
        <v>108</v>
      </c>
      <c r="G100" s="595" t="s">
        <v>31</v>
      </c>
      <c r="H100" s="596">
        <v>714</v>
      </c>
      <c r="I100" s="598">
        <v>35.799999999999997</v>
      </c>
      <c r="J100" s="598">
        <v>41.4</v>
      </c>
      <c r="K100" s="598">
        <v>53.05</v>
      </c>
      <c r="L100" s="599">
        <v>66.94</v>
      </c>
      <c r="M100" s="470">
        <f t="shared" si="2"/>
        <v>10.38</v>
      </c>
      <c r="N100" s="470">
        <f t="shared" si="3"/>
        <v>31.14</v>
      </c>
    </row>
    <row r="101" spans="1:14">
      <c r="A101" s="597">
        <v>50844</v>
      </c>
      <c r="B101" s="595">
        <v>2</v>
      </c>
      <c r="C101" s="596">
        <v>5</v>
      </c>
      <c r="D101" s="596">
        <v>7</v>
      </c>
      <c r="E101" s="595" t="s">
        <v>185</v>
      </c>
      <c r="F101" s="451" t="s">
        <v>186</v>
      </c>
      <c r="G101" s="595" t="s">
        <v>31</v>
      </c>
      <c r="H101" s="596">
        <v>515</v>
      </c>
      <c r="I101" s="598">
        <v>26.2</v>
      </c>
      <c r="J101" s="598">
        <v>27.41</v>
      </c>
      <c r="K101" s="598">
        <v>32.5</v>
      </c>
      <c r="L101" s="599">
        <v>52.69</v>
      </c>
      <c r="M101" s="470">
        <f t="shared" si="2"/>
        <v>8.83</v>
      </c>
      <c r="N101" s="470">
        <f t="shared" si="3"/>
        <v>26.49</v>
      </c>
    </row>
    <row r="102" spans="1:14">
      <c r="A102" s="597">
        <v>50843</v>
      </c>
      <c r="B102" s="595">
        <v>2</v>
      </c>
      <c r="C102" s="596">
        <v>4</v>
      </c>
      <c r="D102" s="596">
        <v>22</v>
      </c>
      <c r="E102" s="595" t="s">
        <v>179</v>
      </c>
      <c r="F102" s="451" t="s">
        <v>180</v>
      </c>
      <c r="G102" s="595" t="s">
        <v>31</v>
      </c>
      <c r="H102" s="596">
        <v>330</v>
      </c>
      <c r="I102" s="598">
        <v>21.5</v>
      </c>
      <c r="J102" s="598">
        <v>24.4</v>
      </c>
      <c r="K102" s="598">
        <v>34.6</v>
      </c>
      <c r="L102" s="599">
        <v>48.6</v>
      </c>
      <c r="M102" s="470">
        <f t="shared" si="2"/>
        <v>9.0333333333333332</v>
      </c>
      <c r="N102" s="470">
        <f t="shared" si="3"/>
        <v>27.1</v>
      </c>
    </row>
    <row r="103" spans="1:14">
      <c r="A103" s="597">
        <v>50662</v>
      </c>
      <c r="B103" s="595">
        <v>2</v>
      </c>
      <c r="C103" s="596">
        <v>7</v>
      </c>
      <c r="D103" s="596">
        <v>12</v>
      </c>
      <c r="E103" s="595" t="s">
        <v>226</v>
      </c>
      <c r="F103" s="451" t="s">
        <v>408</v>
      </c>
      <c r="G103" s="595" t="s">
        <v>34</v>
      </c>
      <c r="H103" s="596">
        <v>31</v>
      </c>
      <c r="I103" s="598">
        <v>31</v>
      </c>
      <c r="J103" s="598">
        <v>43</v>
      </c>
      <c r="K103" s="598">
        <v>60</v>
      </c>
      <c r="L103" s="599">
        <v>78</v>
      </c>
      <c r="M103" s="470">
        <f t="shared" si="2"/>
        <v>15.666666666666666</v>
      </c>
      <c r="N103" s="470">
        <f t="shared" si="3"/>
        <v>47</v>
      </c>
    </row>
    <row r="104" spans="1:14">
      <c r="A104" s="597">
        <v>50875</v>
      </c>
      <c r="B104" s="595">
        <v>2</v>
      </c>
      <c r="C104" s="596">
        <v>1</v>
      </c>
      <c r="D104" s="596">
        <v>14</v>
      </c>
      <c r="E104" s="595" t="s">
        <v>51</v>
      </c>
      <c r="F104" s="451" t="s">
        <v>419</v>
      </c>
      <c r="G104" s="595" t="s">
        <v>25</v>
      </c>
      <c r="H104" s="596">
        <v>348</v>
      </c>
      <c r="I104" s="598">
        <v>13</v>
      </c>
      <c r="J104" s="598">
        <v>13.35</v>
      </c>
      <c r="K104" s="598">
        <v>13.6</v>
      </c>
      <c r="L104" s="599">
        <v>14.9</v>
      </c>
      <c r="M104" s="470">
        <f t="shared" si="2"/>
        <v>0.63333333333333341</v>
      </c>
      <c r="N104" s="470">
        <f t="shared" si="3"/>
        <v>1.9000000000000004</v>
      </c>
    </row>
    <row r="105" spans="1:14">
      <c r="A105" s="597">
        <v>50723</v>
      </c>
      <c r="B105" s="595">
        <v>2</v>
      </c>
      <c r="C105" s="596">
        <v>3</v>
      </c>
      <c r="D105" s="596">
        <v>2</v>
      </c>
      <c r="E105" s="595" t="s">
        <v>81</v>
      </c>
      <c r="F105" s="451" t="s">
        <v>82</v>
      </c>
      <c r="G105" s="595" t="s">
        <v>25</v>
      </c>
      <c r="H105" s="596">
        <v>44</v>
      </c>
      <c r="I105" s="598">
        <v>32.5</v>
      </c>
      <c r="J105" s="598">
        <v>35</v>
      </c>
      <c r="K105" s="598">
        <v>43</v>
      </c>
      <c r="L105" s="599">
        <v>48.3</v>
      </c>
      <c r="M105" s="470">
        <f t="shared" si="2"/>
        <v>5.2666666666666657</v>
      </c>
      <c r="N105" s="470">
        <f t="shared" si="3"/>
        <v>15.799999999999997</v>
      </c>
    </row>
    <row r="106" spans="1:14">
      <c r="A106" s="597">
        <v>50518</v>
      </c>
      <c r="B106" s="595">
        <v>2</v>
      </c>
      <c r="C106" s="596">
        <v>3</v>
      </c>
      <c r="D106" s="596">
        <v>2</v>
      </c>
      <c r="E106" s="595" t="s">
        <v>81</v>
      </c>
      <c r="F106" s="595" t="s">
        <v>82</v>
      </c>
      <c r="G106" s="595" t="s">
        <v>34</v>
      </c>
      <c r="H106" s="596">
        <v>61</v>
      </c>
      <c r="I106" s="598">
        <v>49.3</v>
      </c>
      <c r="J106" s="598">
        <v>49.33</v>
      </c>
      <c r="K106" s="598">
        <v>50</v>
      </c>
      <c r="L106" s="599">
        <v>50.7</v>
      </c>
      <c r="M106" s="470">
        <f t="shared" si="2"/>
        <v>0.46666666666666856</v>
      </c>
      <c r="N106" s="470">
        <f t="shared" si="3"/>
        <v>1.4000000000000057</v>
      </c>
    </row>
    <row r="107" spans="1:14">
      <c r="A107" s="597">
        <v>50628</v>
      </c>
      <c r="B107" s="595">
        <v>2</v>
      </c>
      <c r="C107" s="596">
        <v>3</v>
      </c>
      <c r="D107" s="596">
        <v>2</v>
      </c>
      <c r="E107" s="595" t="s">
        <v>81</v>
      </c>
      <c r="F107" s="595" t="s">
        <v>82</v>
      </c>
      <c r="G107" s="595" t="s">
        <v>34</v>
      </c>
      <c r="H107" s="596">
        <v>28</v>
      </c>
      <c r="I107" s="598">
        <v>40</v>
      </c>
      <c r="J107" s="598">
        <v>42</v>
      </c>
      <c r="K107" s="598">
        <v>45</v>
      </c>
      <c r="L107" s="599">
        <v>47.5</v>
      </c>
      <c r="M107" s="470">
        <f t="shared" si="2"/>
        <v>2.5</v>
      </c>
      <c r="N107" s="470">
        <f t="shared" si="3"/>
        <v>7.5</v>
      </c>
    </row>
    <row r="108" spans="1:14">
      <c r="A108" s="597">
        <v>50520</v>
      </c>
      <c r="B108" s="595">
        <v>2</v>
      </c>
      <c r="C108" s="596">
        <v>3</v>
      </c>
      <c r="D108" s="596">
        <v>2</v>
      </c>
      <c r="E108" s="595" t="s">
        <v>81</v>
      </c>
      <c r="F108" s="595" t="s">
        <v>82</v>
      </c>
      <c r="G108" s="595" t="s">
        <v>34</v>
      </c>
      <c r="H108" s="596">
        <v>142</v>
      </c>
      <c r="I108" s="598">
        <v>35.299999999999997</v>
      </c>
      <c r="J108" s="598">
        <v>35.33</v>
      </c>
      <c r="K108" s="598">
        <v>37.119999999999997</v>
      </c>
      <c r="L108" s="599">
        <v>38.020000000000003</v>
      </c>
      <c r="M108" s="470">
        <f t="shared" si="2"/>
        <v>0.90666666666666862</v>
      </c>
      <c r="N108" s="470">
        <f t="shared" si="3"/>
        <v>2.720000000000006</v>
      </c>
    </row>
    <row r="109" spans="1:14">
      <c r="A109" s="597">
        <v>50555</v>
      </c>
      <c r="B109" s="595">
        <v>2</v>
      </c>
      <c r="C109" s="596">
        <v>7</v>
      </c>
      <c r="D109" s="596">
        <v>3</v>
      </c>
      <c r="E109" s="595" t="s">
        <v>81</v>
      </c>
      <c r="F109" s="595" t="s">
        <v>82</v>
      </c>
      <c r="G109" s="595" t="s">
        <v>34</v>
      </c>
      <c r="H109" s="596">
        <v>5</v>
      </c>
      <c r="I109" s="598">
        <v>40</v>
      </c>
      <c r="J109" s="598">
        <v>44</v>
      </c>
      <c r="K109" s="598">
        <v>47.5</v>
      </c>
      <c r="L109" s="599">
        <v>53</v>
      </c>
      <c r="M109" s="470">
        <f t="shared" si="2"/>
        <v>4.333333333333333</v>
      </c>
      <c r="N109" s="470">
        <f t="shared" si="3"/>
        <v>13</v>
      </c>
    </row>
    <row r="110" spans="1:14">
      <c r="A110" s="597">
        <v>50779</v>
      </c>
      <c r="B110" s="595">
        <v>2</v>
      </c>
      <c r="C110" s="596">
        <v>7</v>
      </c>
      <c r="D110" s="596">
        <v>18</v>
      </c>
      <c r="E110" s="595" t="s">
        <v>232</v>
      </c>
      <c r="F110" s="656" t="s">
        <v>384</v>
      </c>
      <c r="G110" s="595" t="s">
        <v>68</v>
      </c>
      <c r="H110" s="596">
        <v>91</v>
      </c>
      <c r="I110" s="598">
        <v>31.5</v>
      </c>
      <c r="J110" s="598">
        <v>35.880000000000003</v>
      </c>
      <c r="K110" s="598">
        <v>40.15</v>
      </c>
      <c r="L110" s="599">
        <v>42.83</v>
      </c>
      <c r="M110" s="470">
        <f t="shared" si="2"/>
        <v>3.776666666666666</v>
      </c>
      <c r="N110" s="470">
        <f t="shared" si="3"/>
        <v>11.329999999999998</v>
      </c>
    </row>
    <row r="111" spans="1:14">
      <c r="A111" s="597">
        <v>50832</v>
      </c>
      <c r="B111" s="595">
        <v>2</v>
      </c>
      <c r="C111" s="596">
        <v>3</v>
      </c>
      <c r="D111" s="596">
        <v>2</v>
      </c>
      <c r="E111" s="595" t="s">
        <v>85</v>
      </c>
      <c r="F111" s="595" t="s">
        <v>86</v>
      </c>
      <c r="G111" s="595" t="s">
        <v>68</v>
      </c>
      <c r="H111" s="596">
        <v>251</v>
      </c>
      <c r="I111" s="598">
        <v>51.3</v>
      </c>
      <c r="J111" s="598">
        <v>52.25</v>
      </c>
      <c r="K111" s="598">
        <v>57.95</v>
      </c>
      <c r="L111" s="599">
        <v>85</v>
      </c>
      <c r="M111" s="470">
        <f t="shared" si="2"/>
        <v>11.233333333333334</v>
      </c>
      <c r="N111" s="470">
        <f t="shared" si="3"/>
        <v>33.700000000000003</v>
      </c>
    </row>
    <row r="112" spans="1:14">
      <c r="A112" s="597">
        <v>50796</v>
      </c>
      <c r="B112" s="595">
        <v>2</v>
      </c>
      <c r="C112" s="596">
        <v>8</v>
      </c>
      <c r="D112" s="596">
        <v>8</v>
      </c>
      <c r="E112" s="595" t="s">
        <v>85</v>
      </c>
      <c r="F112" s="595" t="s">
        <v>86</v>
      </c>
      <c r="G112" s="595" t="s">
        <v>31</v>
      </c>
      <c r="H112" s="596">
        <v>256</v>
      </c>
      <c r="I112" s="598">
        <v>76.5</v>
      </c>
      <c r="J112" s="598">
        <v>82</v>
      </c>
      <c r="K112" s="598">
        <v>92.5</v>
      </c>
      <c r="L112" s="599">
        <v>105</v>
      </c>
      <c r="M112" s="470">
        <f t="shared" si="2"/>
        <v>9.5</v>
      </c>
      <c r="N112" s="470">
        <f t="shared" si="3"/>
        <v>28.5</v>
      </c>
    </row>
    <row r="113" spans="1:14">
      <c r="A113" s="597">
        <v>50837</v>
      </c>
      <c r="B113" s="595">
        <v>2</v>
      </c>
      <c r="C113" s="596">
        <v>5</v>
      </c>
      <c r="D113" s="596">
        <v>10</v>
      </c>
      <c r="E113" s="595" t="s">
        <v>191</v>
      </c>
      <c r="F113" s="595" t="s">
        <v>192</v>
      </c>
      <c r="G113" s="595" t="s">
        <v>68</v>
      </c>
      <c r="H113" s="596">
        <v>330</v>
      </c>
      <c r="I113" s="598">
        <v>132.6</v>
      </c>
      <c r="J113" s="598">
        <v>133.80000000000001</v>
      </c>
      <c r="K113" s="598">
        <v>135.6</v>
      </c>
      <c r="L113" s="599">
        <f>1.5+K113</f>
        <v>137.1</v>
      </c>
      <c r="M113" s="470">
        <f t="shared" si="2"/>
        <v>1.5</v>
      </c>
      <c r="N113" s="470">
        <f t="shared" si="3"/>
        <v>4.5</v>
      </c>
    </row>
    <row r="114" spans="1:14">
      <c r="A114" s="597">
        <v>50584</v>
      </c>
      <c r="B114" s="595">
        <v>2</v>
      </c>
      <c r="C114" s="596">
        <v>7</v>
      </c>
      <c r="D114" s="596">
        <v>4</v>
      </c>
      <c r="E114" s="595" t="s">
        <v>216</v>
      </c>
      <c r="F114" s="595" t="s">
        <v>412</v>
      </c>
      <c r="G114" s="595" t="s">
        <v>34</v>
      </c>
      <c r="H114" s="596">
        <v>92</v>
      </c>
      <c r="I114" s="598">
        <v>52.8</v>
      </c>
      <c r="J114" s="598">
        <v>54.13</v>
      </c>
      <c r="K114" s="598">
        <v>62.83</v>
      </c>
      <c r="L114" s="599">
        <v>65.83</v>
      </c>
      <c r="M114" s="470">
        <f t="shared" si="2"/>
        <v>4.3433333333333337</v>
      </c>
      <c r="N114" s="470">
        <f t="shared" si="3"/>
        <v>13.030000000000001</v>
      </c>
    </row>
    <row r="115" spans="1:14">
      <c r="A115" s="597">
        <v>50703</v>
      </c>
      <c r="B115" s="595">
        <v>2</v>
      </c>
      <c r="C115" s="596">
        <v>6</v>
      </c>
      <c r="D115" s="596">
        <v>1</v>
      </c>
      <c r="E115" s="595" t="s">
        <v>195</v>
      </c>
      <c r="F115" s="451" t="s">
        <v>196</v>
      </c>
      <c r="G115" s="595" t="s">
        <v>34</v>
      </c>
      <c r="H115" s="596">
        <v>190</v>
      </c>
      <c r="I115" s="598">
        <v>121.3</v>
      </c>
      <c r="J115" s="598">
        <v>124.21</v>
      </c>
      <c r="K115" s="598">
        <v>125.86</v>
      </c>
      <c r="L115" s="599">
        <v>135.21</v>
      </c>
      <c r="M115" s="470">
        <f t="shared" si="2"/>
        <v>4.6366666666666703</v>
      </c>
      <c r="N115" s="470">
        <f t="shared" si="3"/>
        <v>13.910000000000011</v>
      </c>
    </row>
    <row r="116" spans="1:14">
      <c r="A116" s="597">
        <v>50831</v>
      </c>
      <c r="B116" s="595">
        <v>2</v>
      </c>
      <c r="C116" s="596">
        <v>4</v>
      </c>
      <c r="D116" s="596">
        <v>18</v>
      </c>
      <c r="E116" s="595" t="s">
        <v>171</v>
      </c>
      <c r="F116" s="595" t="s">
        <v>172</v>
      </c>
      <c r="G116" s="595" t="s">
        <v>25</v>
      </c>
      <c r="H116" s="596">
        <v>249</v>
      </c>
      <c r="I116" s="598">
        <v>42.8</v>
      </c>
      <c r="J116" s="598">
        <v>44.45</v>
      </c>
      <c r="K116" s="598">
        <v>58.32</v>
      </c>
      <c r="L116" s="599">
        <v>66.17</v>
      </c>
      <c r="M116" s="470">
        <f t="shared" si="2"/>
        <v>7.7900000000000018</v>
      </c>
      <c r="N116" s="470">
        <f t="shared" si="3"/>
        <v>23.370000000000005</v>
      </c>
    </row>
    <row r="117" spans="1:14">
      <c r="A117" s="597">
        <v>50878</v>
      </c>
      <c r="B117" s="595">
        <v>2</v>
      </c>
      <c r="C117" s="596">
        <v>8</v>
      </c>
      <c r="D117" s="596">
        <v>7</v>
      </c>
      <c r="E117" s="595" t="s">
        <v>171</v>
      </c>
      <c r="F117" s="595" t="s">
        <v>172</v>
      </c>
      <c r="G117" s="595" t="s">
        <v>25</v>
      </c>
      <c r="H117" s="596">
        <v>396</v>
      </c>
      <c r="I117" s="598">
        <v>16</v>
      </c>
      <c r="J117" s="598">
        <v>19.670000000000002</v>
      </c>
      <c r="K117" s="598">
        <v>26.88</v>
      </c>
      <c r="L117" s="599">
        <v>43.67</v>
      </c>
      <c r="M117" s="470">
        <f t="shared" si="2"/>
        <v>9.2233333333333345</v>
      </c>
      <c r="N117" s="470">
        <f t="shared" si="3"/>
        <v>27.67</v>
      </c>
    </row>
    <row r="118" spans="1:14">
      <c r="A118" s="597">
        <v>10995</v>
      </c>
      <c r="B118" s="595">
        <v>2</v>
      </c>
      <c r="C118" s="596">
        <v>7</v>
      </c>
      <c r="D118" s="596">
        <v>12</v>
      </c>
      <c r="E118" s="595" t="s">
        <v>212</v>
      </c>
      <c r="F118" s="595" t="s">
        <v>213</v>
      </c>
      <c r="G118" s="595" t="s">
        <v>48</v>
      </c>
      <c r="H118" s="596">
        <v>170</v>
      </c>
      <c r="I118" s="598">
        <v>46.8</v>
      </c>
      <c r="J118" s="598">
        <v>51.08</v>
      </c>
      <c r="K118" s="598">
        <v>58.67</v>
      </c>
      <c r="L118" s="599">
        <v>66.92</v>
      </c>
      <c r="M118" s="470">
        <f t="shared" si="2"/>
        <v>6.7066666666666679</v>
      </c>
      <c r="N118" s="470">
        <f t="shared" si="3"/>
        <v>20.120000000000005</v>
      </c>
    </row>
    <row r="119" spans="1:14">
      <c r="A119" s="597">
        <v>50848</v>
      </c>
      <c r="B119" s="595">
        <v>2</v>
      </c>
      <c r="C119" s="596">
        <v>3</v>
      </c>
      <c r="D119" s="596">
        <v>9</v>
      </c>
      <c r="E119" s="595" t="s">
        <v>99</v>
      </c>
      <c r="F119" s="656" t="s">
        <v>406</v>
      </c>
      <c r="G119" s="595" t="s">
        <v>25</v>
      </c>
      <c r="H119" s="596">
        <v>217</v>
      </c>
      <c r="I119" s="598">
        <v>24.1</v>
      </c>
      <c r="J119" s="598">
        <v>27.13</v>
      </c>
      <c r="K119" s="598">
        <v>30.06</v>
      </c>
      <c r="L119" s="599">
        <v>38.340000000000003</v>
      </c>
      <c r="M119" s="470">
        <f t="shared" si="2"/>
        <v>4.746666666666667</v>
      </c>
      <c r="N119" s="470">
        <f t="shared" si="3"/>
        <v>14.240000000000002</v>
      </c>
    </row>
    <row r="120" spans="1:14">
      <c r="A120" s="597">
        <v>50824</v>
      </c>
      <c r="B120" s="595">
        <v>2</v>
      </c>
      <c r="C120" s="596">
        <v>8</v>
      </c>
      <c r="D120" s="596">
        <v>5</v>
      </c>
      <c r="E120" s="595" t="s">
        <v>142</v>
      </c>
      <c r="F120" s="595" t="s">
        <v>143</v>
      </c>
      <c r="G120" s="595" t="s">
        <v>31</v>
      </c>
      <c r="H120" s="596">
        <v>67</v>
      </c>
      <c r="I120" s="598">
        <v>59</v>
      </c>
      <c r="J120" s="598">
        <v>59</v>
      </c>
      <c r="K120" s="598">
        <v>61</v>
      </c>
      <c r="L120" s="599">
        <v>62</v>
      </c>
      <c r="M120" s="470">
        <f t="shared" si="2"/>
        <v>1</v>
      </c>
      <c r="N120" s="470">
        <f t="shared" si="3"/>
        <v>3</v>
      </c>
    </row>
    <row r="121" spans="1:14">
      <c r="A121" s="597">
        <v>50766</v>
      </c>
      <c r="B121" s="595">
        <v>2</v>
      </c>
      <c r="C121" s="596">
        <v>8</v>
      </c>
      <c r="D121" s="596">
        <v>5</v>
      </c>
      <c r="E121" s="595" t="s">
        <v>142</v>
      </c>
      <c r="F121" s="595" t="s">
        <v>143</v>
      </c>
      <c r="G121" s="595" t="s">
        <v>25</v>
      </c>
      <c r="H121" s="596">
        <v>26</v>
      </c>
      <c r="I121" s="598">
        <v>42</v>
      </c>
      <c r="J121" s="598">
        <v>52</v>
      </c>
      <c r="K121" s="598">
        <v>60</v>
      </c>
      <c r="L121" s="599">
        <v>69</v>
      </c>
      <c r="M121" s="470">
        <f t="shared" si="2"/>
        <v>9</v>
      </c>
      <c r="N121" s="470">
        <f t="shared" si="3"/>
        <v>27</v>
      </c>
    </row>
    <row r="122" spans="1:14">
      <c r="A122" s="597" t="s">
        <v>397</v>
      </c>
      <c r="B122" s="595">
        <v>2</v>
      </c>
      <c r="C122" s="596">
        <v>6</v>
      </c>
      <c r="D122" s="596">
        <v>4</v>
      </c>
      <c r="E122" s="595" t="s">
        <v>203</v>
      </c>
      <c r="F122" s="595" t="s">
        <v>204</v>
      </c>
      <c r="G122" s="595" t="s">
        <v>68</v>
      </c>
      <c r="H122" s="596">
        <v>580</v>
      </c>
      <c r="I122" s="598">
        <v>113.5</v>
      </c>
      <c r="J122" s="598">
        <v>118.8</v>
      </c>
      <c r="K122" s="598">
        <v>125.23</v>
      </c>
      <c r="L122" s="599">
        <v>127.55</v>
      </c>
      <c r="M122" s="470">
        <f t="shared" si="2"/>
        <v>4.6833333333333327</v>
      </c>
      <c r="N122" s="470">
        <f t="shared" si="3"/>
        <v>14.049999999999997</v>
      </c>
    </row>
    <row r="123" spans="1:14">
      <c r="A123" s="597" t="s">
        <v>398</v>
      </c>
      <c r="B123" s="595">
        <v>2</v>
      </c>
      <c r="C123" s="596">
        <v>6</v>
      </c>
      <c r="D123" s="596">
        <v>5</v>
      </c>
      <c r="E123" s="595" t="s">
        <v>203</v>
      </c>
      <c r="F123" s="595" t="s">
        <v>204</v>
      </c>
      <c r="G123" s="595" t="s">
        <v>68</v>
      </c>
      <c r="H123" s="596">
        <v>308</v>
      </c>
      <c r="I123" s="598">
        <v>122.4</v>
      </c>
      <c r="J123" s="598">
        <v>126.13</v>
      </c>
      <c r="K123" s="598">
        <v>130</v>
      </c>
      <c r="L123" s="599">
        <v>133.03</v>
      </c>
      <c r="M123" s="470">
        <f t="shared" si="2"/>
        <v>3.5433333333333317</v>
      </c>
      <c r="N123" s="470">
        <f t="shared" si="3"/>
        <v>10.629999999999995</v>
      </c>
    </row>
    <row r="124" spans="1:14">
      <c r="A124" s="597">
        <v>50841</v>
      </c>
      <c r="B124" s="595">
        <v>2</v>
      </c>
      <c r="C124" s="596">
        <v>8</v>
      </c>
      <c r="D124" s="596">
        <v>15</v>
      </c>
      <c r="E124" s="595" t="s">
        <v>203</v>
      </c>
      <c r="F124" s="595" t="s">
        <v>204</v>
      </c>
      <c r="G124" s="595" t="s">
        <v>31</v>
      </c>
      <c r="H124" s="596">
        <v>390</v>
      </c>
      <c r="I124" s="598">
        <v>100.2</v>
      </c>
      <c r="J124" s="598">
        <v>100.9</v>
      </c>
      <c r="K124" s="598">
        <v>102.9</v>
      </c>
      <c r="L124" s="599">
        <v>106.13</v>
      </c>
      <c r="M124" s="470">
        <f t="shared" si="2"/>
        <v>1.9766666666666641</v>
      </c>
      <c r="N124" s="470">
        <f t="shared" si="3"/>
        <v>5.9299999999999926</v>
      </c>
    </row>
    <row r="125" spans="1:14">
      <c r="A125" s="597">
        <v>50657</v>
      </c>
      <c r="B125" s="595">
        <v>2</v>
      </c>
      <c r="C125" s="596">
        <v>8</v>
      </c>
      <c r="D125" s="596">
        <v>15</v>
      </c>
      <c r="E125" s="595" t="s">
        <v>203</v>
      </c>
      <c r="F125" s="595" t="s">
        <v>204</v>
      </c>
      <c r="G125" s="595" t="s">
        <v>25</v>
      </c>
      <c r="H125" s="596">
        <v>8</v>
      </c>
      <c r="I125" s="598">
        <v>111</v>
      </c>
      <c r="J125" s="598">
        <v>112</v>
      </c>
      <c r="K125" s="598">
        <v>113</v>
      </c>
      <c r="L125" s="599">
        <v>113.5</v>
      </c>
      <c r="M125" s="470">
        <f t="shared" si="2"/>
        <v>0.83333333333333337</v>
      </c>
      <c r="N125" s="470">
        <f t="shared" si="3"/>
        <v>2.5</v>
      </c>
    </row>
    <row r="126" spans="1:14">
      <c r="A126" s="597">
        <v>50777</v>
      </c>
      <c r="B126" s="595">
        <v>2</v>
      </c>
      <c r="C126" s="596">
        <v>8</v>
      </c>
      <c r="D126" s="596">
        <v>15</v>
      </c>
      <c r="E126" s="595" t="s">
        <v>203</v>
      </c>
      <c r="F126" s="595" t="s">
        <v>204</v>
      </c>
      <c r="G126" s="595" t="s">
        <v>31</v>
      </c>
      <c r="H126" s="596">
        <v>9</v>
      </c>
      <c r="I126" s="598">
        <v>58</v>
      </c>
      <c r="J126" s="598">
        <v>70</v>
      </c>
      <c r="K126" s="598">
        <v>70.5</v>
      </c>
      <c r="L126" s="599">
        <v>73</v>
      </c>
      <c r="M126" s="470">
        <f t="shared" si="2"/>
        <v>5</v>
      </c>
      <c r="N126" s="470">
        <f t="shared" si="3"/>
        <v>15</v>
      </c>
    </row>
    <row r="127" spans="1:14">
      <c r="A127" s="597">
        <v>50799</v>
      </c>
      <c r="B127" s="595">
        <v>2</v>
      </c>
      <c r="C127" s="596">
        <v>8</v>
      </c>
      <c r="D127" s="596">
        <v>15</v>
      </c>
      <c r="E127" s="595" t="s">
        <v>203</v>
      </c>
      <c r="F127" s="595" t="s">
        <v>204</v>
      </c>
      <c r="G127" s="595" t="s">
        <v>31</v>
      </c>
      <c r="H127" s="596">
        <v>7</v>
      </c>
      <c r="I127" s="598">
        <v>88</v>
      </c>
      <c r="J127" s="598">
        <v>90</v>
      </c>
      <c r="K127" s="598">
        <v>92</v>
      </c>
      <c r="L127" s="599">
        <v>93.8</v>
      </c>
      <c r="M127" s="470">
        <f t="shared" si="2"/>
        <v>1.9333333333333325</v>
      </c>
      <c r="N127" s="470">
        <f t="shared" si="3"/>
        <v>5.7999999999999972</v>
      </c>
    </row>
    <row r="128" spans="1:14">
      <c r="A128" s="597">
        <v>50746</v>
      </c>
      <c r="B128" s="595">
        <v>2</v>
      </c>
      <c r="C128" s="596">
        <v>3</v>
      </c>
      <c r="D128" s="596">
        <v>9</v>
      </c>
      <c r="E128" s="595" t="s">
        <v>100</v>
      </c>
      <c r="F128" s="595" t="s">
        <v>101</v>
      </c>
      <c r="G128" s="595" t="s">
        <v>25</v>
      </c>
      <c r="H128" s="596">
        <v>53</v>
      </c>
      <c r="I128" s="598">
        <v>31.7</v>
      </c>
      <c r="J128" s="598">
        <v>32.67</v>
      </c>
      <c r="K128" s="598">
        <v>33</v>
      </c>
      <c r="L128" s="599">
        <v>36.67</v>
      </c>
      <c r="M128" s="470">
        <f t="shared" si="2"/>
        <v>1.6566666666666674</v>
      </c>
      <c r="N128" s="470">
        <f t="shared" si="3"/>
        <v>4.9700000000000024</v>
      </c>
    </row>
    <row r="129" spans="1:14">
      <c r="A129" s="597">
        <v>50804</v>
      </c>
      <c r="B129" s="595">
        <v>2</v>
      </c>
      <c r="C129" s="596">
        <v>3</v>
      </c>
      <c r="D129" s="596">
        <v>9</v>
      </c>
      <c r="E129" s="595" t="s">
        <v>100</v>
      </c>
      <c r="F129" s="595" t="s">
        <v>101</v>
      </c>
      <c r="G129" s="595" t="s">
        <v>31</v>
      </c>
      <c r="H129" s="596">
        <v>29</v>
      </c>
      <c r="I129" s="598">
        <v>42</v>
      </c>
      <c r="J129" s="598">
        <v>44</v>
      </c>
      <c r="K129" s="598">
        <v>49</v>
      </c>
      <c r="L129" s="599">
        <v>55</v>
      </c>
      <c r="M129" s="470">
        <f t="shared" si="2"/>
        <v>4.333333333333333</v>
      </c>
      <c r="N129" s="470">
        <f t="shared" si="3"/>
        <v>13</v>
      </c>
    </row>
    <row r="130" spans="1:14">
      <c r="A130" s="597">
        <v>50692</v>
      </c>
      <c r="B130" s="595">
        <v>2</v>
      </c>
      <c r="C130" s="596">
        <v>7</v>
      </c>
      <c r="D130" s="596">
        <v>6</v>
      </c>
      <c r="E130" s="595" t="s">
        <v>100</v>
      </c>
      <c r="F130" s="595" t="s">
        <v>101</v>
      </c>
      <c r="G130" s="595" t="s">
        <v>31</v>
      </c>
      <c r="H130" s="596">
        <v>462</v>
      </c>
      <c r="I130" s="598">
        <v>10.5</v>
      </c>
      <c r="J130" s="598">
        <v>11.95</v>
      </c>
      <c r="K130" s="598">
        <v>13.85</v>
      </c>
      <c r="L130" s="599">
        <v>20.440000000000001</v>
      </c>
      <c r="M130" s="470">
        <f t="shared" ref="M130:M193" si="4">((J130-I130)+(K130-J130)+(L130-K130))/3</f>
        <v>3.3133333333333339</v>
      </c>
      <c r="N130" s="470">
        <f t="shared" ref="N130:N193" si="5">L130-I130</f>
        <v>9.9400000000000013</v>
      </c>
    </row>
    <row r="131" spans="1:14">
      <c r="A131" s="597">
        <v>50776</v>
      </c>
      <c r="B131" s="595">
        <v>2</v>
      </c>
      <c r="C131" s="596">
        <v>4</v>
      </c>
      <c r="D131" s="596">
        <v>15</v>
      </c>
      <c r="E131" s="595" t="s">
        <v>151</v>
      </c>
      <c r="F131" s="595" t="s">
        <v>152</v>
      </c>
      <c r="G131" s="595" t="s">
        <v>144</v>
      </c>
      <c r="H131" s="596">
        <v>28</v>
      </c>
      <c r="I131" s="598">
        <v>28</v>
      </c>
      <c r="J131" s="598">
        <v>30</v>
      </c>
      <c r="K131" s="598">
        <v>33</v>
      </c>
      <c r="L131" s="599">
        <v>55.5</v>
      </c>
      <c r="M131" s="470">
        <f t="shared" si="4"/>
        <v>9.1666666666666661</v>
      </c>
      <c r="N131" s="470">
        <f t="shared" si="5"/>
        <v>27.5</v>
      </c>
    </row>
    <row r="132" spans="1:14">
      <c r="A132" s="597">
        <v>50658</v>
      </c>
      <c r="B132" s="595">
        <v>2</v>
      </c>
      <c r="C132" s="596">
        <v>3</v>
      </c>
      <c r="D132" s="596">
        <v>11</v>
      </c>
      <c r="E132" s="595" t="s">
        <v>102</v>
      </c>
      <c r="F132" s="595" t="s">
        <v>104</v>
      </c>
      <c r="G132" s="595" t="s">
        <v>68</v>
      </c>
      <c r="H132" s="596">
        <v>136</v>
      </c>
      <c r="I132" s="598">
        <v>75</v>
      </c>
      <c r="J132" s="598">
        <v>76</v>
      </c>
      <c r="K132" s="598">
        <v>78</v>
      </c>
      <c r="L132" s="599">
        <v>88.2</v>
      </c>
      <c r="M132" s="470">
        <f t="shared" si="4"/>
        <v>4.4000000000000012</v>
      </c>
      <c r="N132" s="470">
        <f t="shared" si="5"/>
        <v>13.200000000000003</v>
      </c>
    </row>
    <row r="133" spans="1:14">
      <c r="A133" s="597">
        <v>50821</v>
      </c>
      <c r="B133" s="595">
        <v>2</v>
      </c>
      <c r="C133" s="596">
        <v>3</v>
      </c>
      <c r="D133" s="596">
        <v>11</v>
      </c>
      <c r="E133" s="595" t="s">
        <v>102</v>
      </c>
      <c r="F133" s="595" t="s">
        <v>103</v>
      </c>
      <c r="G133" s="595" t="s">
        <v>31</v>
      </c>
      <c r="H133" s="596">
        <v>369</v>
      </c>
      <c r="I133" s="598">
        <v>61.4</v>
      </c>
      <c r="J133" s="598">
        <v>63</v>
      </c>
      <c r="K133" s="598">
        <v>66.099999999999994</v>
      </c>
      <c r="L133" s="599">
        <v>68.63</v>
      </c>
      <c r="M133" s="470">
        <f t="shared" si="4"/>
        <v>2.4099999999999988</v>
      </c>
      <c r="N133" s="470">
        <f t="shared" si="5"/>
        <v>7.2299999999999969</v>
      </c>
    </row>
    <row r="134" spans="1:14">
      <c r="A134" s="597">
        <v>50817</v>
      </c>
      <c r="B134" s="595">
        <v>2</v>
      </c>
      <c r="C134" s="596">
        <v>3</v>
      </c>
      <c r="D134" s="596">
        <v>12</v>
      </c>
      <c r="E134" s="595" t="s">
        <v>102</v>
      </c>
      <c r="F134" s="595" t="s">
        <v>103</v>
      </c>
      <c r="G134" s="595" t="s">
        <v>68</v>
      </c>
      <c r="H134" s="596">
        <v>1429</v>
      </c>
      <c r="I134" s="598">
        <v>56.5</v>
      </c>
      <c r="J134" s="598">
        <v>62.6</v>
      </c>
      <c r="K134" s="598">
        <v>68.73</v>
      </c>
      <c r="L134" s="599">
        <v>80.349999999999994</v>
      </c>
      <c r="M134" s="470">
        <f t="shared" si="4"/>
        <v>7.9499999999999984</v>
      </c>
      <c r="N134" s="470">
        <f t="shared" si="5"/>
        <v>23.849999999999994</v>
      </c>
    </row>
    <row r="135" spans="1:14">
      <c r="A135" s="597">
        <v>50882</v>
      </c>
      <c r="B135" s="595">
        <v>2</v>
      </c>
      <c r="C135" s="596">
        <v>5</v>
      </c>
      <c r="D135" s="596">
        <v>8</v>
      </c>
      <c r="E135" s="595" t="s">
        <v>102</v>
      </c>
      <c r="F135" s="595" t="s">
        <v>103</v>
      </c>
      <c r="G135" s="595" t="s">
        <v>68</v>
      </c>
      <c r="H135" s="596">
        <v>549</v>
      </c>
      <c r="I135" s="598">
        <v>21.3</v>
      </c>
      <c r="J135" s="598">
        <v>21.78</v>
      </c>
      <c r="K135" s="598">
        <v>23.42</v>
      </c>
      <c r="L135" s="599">
        <v>28.67</v>
      </c>
      <c r="M135" s="470">
        <f t="shared" si="4"/>
        <v>2.456666666666667</v>
      </c>
      <c r="N135" s="470">
        <f t="shared" si="5"/>
        <v>7.370000000000001</v>
      </c>
    </row>
    <row r="136" spans="1:14">
      <c r="A136" s="597">
        <v>50828</v>
      </c>
      <c r="B136" s="595">
        <v>2</v>
      </c>
      <c r="C136" s="596">
        <v>4</v>
      </c>
      <c r="D136" s="596">
        <v>10</v>
      </c>
      <c r="E136" s="595" t="s">
        <v>138</v>
      </c>
      <c r="F136" s="595" t="s">
        <v>139</v>
      </c>
      <c r="G136" s="595" t="s">
        <v>68</v>
      </c>
      <c r="H136" s="596">
        <v>954</v>
      </c>
      <c r="I136" s="598">
        <v>54</v>
      </c>
      <c r="J136" s="598">
        <v>58.35</v>
      </c>
      <c r="K136" s="598">
        <v>70.5</v>
      </c>
      <c r="L136" s="599">
        <v>80.94</v>
      </c>
      <c r="M136" s="470">
        <f t="shared" si="4"/>
        <v>8.9799999999999986</v>
      </c>
      <c r="N136" s="470">
        <f t="shared" si="5"/>
        <v>26.939999999999998</v>
      </c>
    </row>
    <row r="137" spans="1:14">
      <c r="A137" s="597">
        <v>50295</v>
      </c>
      <c r="B137" s="595">
        <v>2</v>
      </c>
      <c r="C137" s="596">
        <v>4</v>
      </c>
      <c r="D137" s="596">
        <v>10</v>
      </c>
      <c r="E137" s="595" t="s">
        <v>138</v>
      </c>
      <c r="F137" s="595" t="s">
        <v>139</v>
      </c>
      <c r="G137" s="595" t="s">
        <v>68</v>
      </c>
      <c r="H137" s="596">
        <v>11</v>
      </c>
      <c r="I137" s="598">
        <v>58.5</v>
      </c>
      <c r="J137" s="598">
        <v>60.5</v>
      </c>
      <c r="K137" s="598">
        <v>67.75</v>
      </c>
      <c r="L137" s="599">
        <v>79</v>
      </c>
      <c r="M137" s="470">
        <f t="shared" si="4"/>
        <v>6.833333333333333</v>
      </c>
      <c r="N137" s="470">
        <f t="shared" si="5"/>
        <v>20.5</v>
      </c>
    </row>
    <row r="138" spans="1:14">
      <c r="A138" s="597">
        <v>50750</v>
      </c>
      <c r="B138" s="595">
        <v>2</v>
      </c>
      <c r="C138" s="596">
        <v>4</v>
      </c>
      <c r="D138" s="596">
        <v>10</v>
      </c>
      <c r="E138" s="595" t="s">
        <v>138</v>
      </c>
      <c r="F138" s="595" t="s">
        <v>139</v>
      </c>
      <c r="G138" s="595" t="s">
        <v>25</v>
      </c>
      <c r="H138" s="596">
        <v>82</v>
      </c>
      <c r="I138" s="598">
        <v>55</v>
      </c>
      <c r="J138" s="598">
        <v>57.5</v>
      </c>
      <c r="K138" s="598">
        <v>70</v>
      </c>
      <c r="L138" s="599">
        <v>75</v>
      </c>
      <c r="M138" s="470">
        <f t="shared" si="4"/>
        <v>6.666666666666667</v>
      </c>
      <c r="N138" s="470">
        <f t="shared" si="5"/>
        <v>20</v>
      </c>
    </row>
    <row r="139" spans="1:14">
      <c r="A139" s="597">
        <v>50871</v>
      </c>
      <c r="B139" s="595">
        <v>2</v>
      </c>
      <c r="C139" s="596">
        <v>7</v>
      </c>
      <c r="D139" s="596">
        <v>9</v>
      </c>
      <c r="E139" s="595" t="s">
        <v>138</v>
      </c>
      <c r="F139" s="595" t="s">
        <v>139</v>
      </c>
      <c r="G139" s="595" t="s">
        <v>25</v>
      </c>
      <c r="H139" s="596">
        <v>433</v>
      </c>
      <c r="I139" s="598">
        <v>40.200000000000003</v>
      </c>
      <c r="J139" s="598">
        <v>47.86</v>
      </c>
      <c r="K139" s="598">
        <v>58.32</v>
      </c>
      <c r="L139" s="599">
        <v>69.349999999999994</v>
      </c>
      <c r="M139" s="470">
        <f t="shared" si="4"/>
        <v>9.7166666666666632</v>
      </c>
      <c r="N139" s="470">
        <f t="shared" si="5"/>
        <v>29.149999999999991</v>
      </c>
    </row>
    <row r="140" spans="1:14">
      <c r="A140" s="597">
        <v>50879</v>
      </c>
      <c r="B140" s="595">
        <v>2</v>
      </c>
      <c r="C140" s="596">
        <v>7</v>
      </c>
      <c r="D140" s="596">
        <v>16</v>
      </c>
      <c r="E140" s="595" t="s">
        <v>138</v>
      </c>
      <c r="F140" s="595" t="s">
        <v>139</v>
      </c>
      <c r="G140" s="595" t="s">
        <v>25</v>
      </c>
      <c r="H140" s="596">
        <v>477</v>
      </c>
      <c r="I140" s="598">
        <v>32</v>
      </c>
      <c r="J140" s="598">
        <v>34.03</v>
      </c>
      <c r="K140" s="598">
        <v>39.700000000000003</v>
      </c>
      <c r="L140" s="599">
        <v>49.05</v>
      </c>
      <c r="M140" s="470">
        <f t="shared" si="4"/>
        <v>5.6833333333333327</v>
      </c>
      <c r="N140" s="470">
        <f t="shared" si="5"/>
        <v>17.049999999999997</v>
      </c>
    </row>
    <row r="141" spans="1:14">
      <c r="A141" s="597">
        <v>50763</v>
      </c>
      <c r="B141" s="595">
        <v>2</v>
      </c>
      <c r="C141" s="596">
        <v>4</v>
      </c>
      <c r="D141" s="596">
        <v>10</v>
      </c>
      <c r="E141" s="595" t="s">
        <v>140</v>
      </c>
      <c r="F141" s="595" t="s">
        <v>407</v>
      </c>
      <c r="G141" s="595" t="s">
        <v>25</v>
      </c>
      <c r="H141" s="596">
        <v>19</v>
      </c>
      <c r="I141" s="598">
        <v>35</v>
      </c>
      <c r="J141" s="598">
        <v>35</v>
      </c>
      <c r="K141" s="598">
        <v>43.3</v>
      </c>
      <c r="L141" s="599">
        <v>50</v>
      </c>
      <c r="M141" s="470">
        <f t="shared" si="4"/>
        <v>5</v>
      </c>
      <c r="N141" s="470">
        <f t="shared" si="5"/>
        <v>15</v>
      </c>
    </row>
    <row r="142" spans="1:14">
      <c r="A142" s="597">
        <v>50638</v>
      </c>
      <c r="B142" s="595">
        <v>2</v>
      </c>
      <c r="C142" s="596">
        <v>4</v>
      </c>
      <c r="D142" s="596">
        <v>10</v>
      </c>
      <c r="E142" s="595" t="s">
        <v>140</v>
      </c>
      <c r="F142" s="451" t="s">
        <v>407</v>
      </c>
      <c r="G142" s="595" t="s">
        <v>68</v>
      </c>
      <c r="H142" s="596">
        <v>52</v>
      </c>
      <c r="I142" s="598">
        <v>63.3</v>
      </c>
      <c r="J142" s="598">
        <v>64</v>
      </c>
      <c r="K142" s="598">
        <v>68.66</v>
      </c>
      <c r="L142" s="599">
        <v>79.33</v>
      </c>
      <c r="M142" s="470">
        <f t="shared" si="4"/>
        <v>5.3433333333333337</v>
      </c>
      <c r="N142" s="470">
        <f t="shared" si="5"/>
        <v>16.03</v>
      </c>
    </row>
    <row r="143" spans="1:14">
      <c r="A143" s="597">
        <v>50736</v>
      </c>
      <c r="B143" s="595">
        <v>2</v>
      </c>
      <c r="C143" s="596">
        <v>2</v>
      </c>
      <c r="D143" s="596">
        <v>11</v>
      </c>
      <c r="E143" s="595" t="s">
        <v>74</v>
      </c>
      <c r="F143" s="451" t="s">
        <v>75</v>
      </c>
      <c r="G143" s="595" t="s">
        <v>25</v>
      </c>
      <c r="H143" s="596">
        <v>354</v>
      </c>
      <c r="I143" s="598">
        <v>113.6</v>
      </c>
      <c r="J143" s="598">
        <v>115.6</v>
      </c>
      <c r="K143" s="598">
        <v>117.5</v>
      </c>
      <c r="L143" s="599">
        <v>117.38</v>
      </c>
      <c r="M143" s="470">
        <f t="shared" si="4"/>
        <v>1.2600000000000005</v>
      </c>
      <c r="N143" s="470">
        <f t="shared" si="5"/>
        <v>3.7800000000000011</v>
      </c>
    </row>
    <row r="144" spans="1:14">
      <c r="A144" s="597">
        <v>50505</v>
      </c>
      <c r="B144" s="595">
        <v>2</v>
      </c>
      <c r="C144" s="596">
        <v>2</v>
      </c>
      <c r="D144" s="596">
        <v>11</v>
      </c>
      <c r="E144" s="595" t="s">
        <v>74</v>
      </c>
      <c r="F144" s="595" t="s">
        <v>75</v>
      </c>
      <c r="G144" s="595" t="s">
        <v>34</v>
      </c>
      <c r="H144" s="596">
        <v>15</v>
      </c>
      <c r="I144" s="598">
        <v>52</v>
      </c>
      <c r="J144" s="598">
        <v>52</v>
      </c>
      <c r="K144" s="598">
        <v>54</v>
      </c>
      <c r="L144" s="599">
        <v>58</v>
      </c>
      <c r="M144" s="470">
        <f t="shared" si="4"/>
        <v>2</v>
      </c>
      <c r="N144" s="470">
        <f t="shared" si="5"/>
        <v>6</v>
      </c>
    </row>
    <row r="145" spans="1:14">
      <c r="A145" s="597">
        <v>50887</v>
      </c>
      <c r="B145" s="595">
        <v>2</v>
      </c>
      <c r="C145" s="596">
        <v>3</v>
      </c>
      <c r="D145" s="596">
        <v>8</v>
      </c>
      <c r="E145" s="595" t="s">
        <v>74</v>
      </c>
      <c r="F145" s="595" t="s">
        <v>75</v>
      </c>
      <c r="G145" s="595" t="s">
        <v>34</v>
      </c>
      <c r="H145" s="596">
        <v>179</v>
      </c>
      <c r="I145" s="598">
        <v>14.9</v>
      </c>
      <c r="J145" s="598">
        <v>15</v>
      </c>
      <c r="K145" s="598">
        <v>15.83</v>
      </c>
      <c r="L145" s="599">
        <v>18.940000000000001</v>
      </c>
      <c r="M145" s="470">
        <f t="shared" si="4"/>
        <v>1.3466666666666669</v>
      </c>
      <c r="N145" s="470">
        <f t="shared" si="5"/>
        <v>4.0400000000000009</v>
      </c>
    </row>
    <row r="146" spans="1:14">
      <c r="A146" s="597">
        <v>50885</v>
      </c>
      <c r="B146" s="595">
        <v>2</v>
      </c>
      <c r="C146" s="596">
        <v>7</v>
      </c>
      <c r="D146" s="596">
        <v>11</v>
      </c>
      <c r="E146" s="595" t="s">
        <v>74</v>
      </c>
      <c r="F146" s="595" t="s">
        <v>75</v>
      </c>
      <c r="G146" s="595" t="s">
        <v>25</v>
      </c>
      <c r="H146" s="596">
        <v>222</v>
      </c>
      <c r="I146" s="598">
        <v>19.399999999999999</v>
      </c>
      <c r="J146" s="598">
        <v>19.95</v>
      </c>
      <c r="K146" s="598">
        <v>20.07</v>
      </c>
      <c r="L146" s="599">
        <v>23.4</v>
      </c>
      <c r="M146" s="470">
        <f t="shared" si="4"/>
        <v>1.3333333333333333</v>
      </c>
      <c r="N146" s="470">
        <f t="shared" si="5"/>
        <v>4</v>
      </c>
    </row>
    <row r="147" spans="1:14">
      <c r="A147" s="597" t="s">
        <v>400</v>
      </c>
      <c r="B147" s="595">
        <v>2</v>
      </c>
      <c r="C147" s="596">
        <v>4</v>
      </c>
      <c r="D147" s="596">
        <v>7</v>
      </c>
      <c r="E147" s="595" t="s">
        <v>134</v>
      </c>
      <c r="F147" s="595" t="s">
        <v>135</v>
      </c>
      <c r="G147" s="595" t="s">
        <v>25</v>
      </c>
      <c r="H147" s="596">
        <v>411</v>
      </c>
      <c r="I147" s="598">
        <v>31.9</v>
      </c>
      <c r="J147" s="598">
        <v>33</v>
      </c>
      <c r="K147" s="598">
        <v>33.35</v>
      </c>
      <c r="L147" s="599">
        <f>0.72+K147</f>
        <v>34.07</v>
      </c>
      <c r="M147" s="470">
        <f t="shared" si="4"/>
        <v>0.72333333333333394</v>
      </c>
      <c r="N147" s="470">
        <f t="shared" si="5"/>
        <v>2.1700000000000017</v>
      </c>
    </row>
    <row r="148" spans="1:14">
      <c r="A148" s="597" t="s">
        <v>399</v>
      </c>
      <c r="B148" s="595">
        <v>2</v>
      </c>
      <c r="C148" s="596">
        <v>8</v>
      </c>
      <c r="D148" s="596">
        <v>3</v>
      </c>
      <c r="E148" s="595" t="s">
        <v>134</v>
      </c>
      <c r="F148" s="595" t="s">
        <v>135</v>
      </c>
      <c r="G148" s="595" t="s">
        <v>25</v>
      </c>
      <c r="H148" s="596">
        <v>210</v>
      </c>
      <c r="I148" s="598">
        <v>31.4</v>
      </c>
      <c r="J148" s="598">
        <v>32</v>
      </c>
      <c r="K148" s="598">
        <v>32.56</v>
      </c>
      <c r="L148" s="599">
        <v>33.14</v>
      </c>
      <c r="M148" s="470">
        <f t="shared" si="4"/>
        <v>0.58000000000000063</v>
      </c>
      <c r="N148" s="470">
        <f t="shared" si="5"/>
        <v>1.740000000000002</v>
      </c>
    </row>
    <row r="149" spans="1:14">
      <c r="A149" s="597">
        <v>50142</v>
      </c>
      <c r="B149" s="595">
        <v>2</v>
      </c>
      <c r="C149" s="596">
        <v>8</v>
      </c>
      <c r="D149" s="596">
        <v>13</v>
      </c>
      <c r="E149" s="595" t="s">
        <v>134</v>
      </c>
      <c r="F149" s="595" t="s">
        <v>135</v>
      </c>
      <c r="G149" s="595" t="s">
        <v>25</v>
      </c>
      <c r="H149" s="596">
        <v>224</v>
      </c>
      <c r="I149" s="598">
        <v>54.3</v>
      </c>
      <c r="J149" s="598">
        <v>57</v>
      </c>
      <c r="K149" s="598">
        <v>60.83</v>
      </c>
      <c r="L149" s="599">
        <v>62</v>
      </c>
      <c r="M149" s="470">
        <f t="shared" si="4"/>
        <v>2.5666666666666678</v>
      </c>
      <c r="N149" s="470">
        <f t="shared" si="5"/>
        <v>7.7000000000000028</v>
      </c>
    </row>
    <row r="150" spans="1:14">
      <c r="A150" s="597">
        <v>50870</v>
      </c>
      <c r="B150" s="595">
        <v>2</v>
      </c>
      <c r="C150" s="596">
        <v>7</v>
      </c>
      <c r="D150" s="596">
        <v>9</v>
      </c>
      <c r="E150" s="595" t="s">
        <v>222</v>
      </c>
      <c r="F150" s="595" t="s">
        <v>223</v>
      </c>
      <c r="G150" s="595" t="s">
        <v>25</v>
      </c>
      <c r="H150" s="596">
        <v>93</v>
      </c>
      <c r="I150" s="598">
        <v>31.3</v>
      </c>
      <c r="J150" s="598">
        <v>31.25</v>
      </c>
      <c r="K150" s="598">
        <v>31.25</v>
      </c>
      <c r="L150" s="599">
        <v>34</v>
      </c>
      <c r="M150" s="470">
        <f t="shared" si="4"/>
        <v>0.8999999999999998</v>
      </c>
      <c r="N150" s="470">
        <f t="shared" si="5"/>
        <v>2.6999999999999993</v>
      </c>
    </row>
    <row r="151" spans="1:14">
      <c r="A151" s="597">
        <v>50761</v>
      </c>
      <c r="B151" s="595">
        <v>2</v>
      </c>
      <c r="C151" s="596">
        <v>4</v>
      </c>
      <c r="D151" s="596">
        <v>2</v>
      </c>
      <c r="E151" s="595" t="s">
        <v>124</v>
      </c>
      <c r="F151" s="595" t="s">
        <v>125</v>
      </c>
      <c r="G151" s="595" t="s">
        <v>31</v>
      </c>
      <c r="H151" s="596">
        <v>250</v>
      </c>
      <c r="I151" s="598">
        <v>47.1</v>
      </c>
      <c r="J151" s="598">
        <v>49.4</v>
      </c>
      <c r="K151" s="598">
        <v>50</v>
      </c>
      <c r="L151" s="599">
        <v>52.17</v>
      </c>
      <c r="M151" s="470">
        <f t="shared" si="4"/>
        <v>1.6900000000000002</v>
      </c>
      <c r="N151" s="470">
        <f t="shared" si="5"/>
        <v>5.07</v>
      </c>
    </row>
    <row r="152" spans="1:14">
      <c r="A152" s="597">
        <v>50113</v>
      </c>
      <c r="B152" s="595">
        <v>2</v>
      </c>
      <c r="C152" s="596">
        <v>4</v>
      </c>
      <c r="D152" s="596">
        <v>2</v>
      </c>
      <c r="E152" s="595" t="s">
        <v>124</v>
      </c>
      <c r="F152" s="595" t="s">
        <v>125</v>
      </c>
      <c r="G152" s="595" t="s">
        <v>25</v>
      </c>
      <c r="H152" s="596">
        <v>172</v>
      </c>
      <c r="I152" s="598">
        <v>58.6</v>
      </c>
      <c r="J152" s="598">
        <v>59.63</v>
      </c>
      <c r="K152" s="598">
        <v>59.63</v>
      </c>
      <c r="L152" s="599">
        <v>61.63</v>
      </c>
      <c r="M152" s="470">
        <f t="shared" si="4"/>
        <v>1.0100000000000005</v>
      </c>
      <c r="N152" s="470">
        <f t="shared" si="5"/>
        <v>3.0300000000000011</v>
      </c>
    </row>
    <row r="153" spans="1:14">
      <c r="A153" s="597">
        <v>50778</v>
      </c>
      <c r="B153" s="595">
        <v>2</v>
      </c>
      <c r="C153" s="596">
        <v>8</v>
      </c>
      <c r="D153" s="596">
        <v>2</v>
      </c>
      <c r="E153" s="595" t="s">
        <v>233</v>
      </c>
      <c r="F153" s="595" t="s">
        <v>234</v>
      </c>
      <c r="G153" s="595" t="s">
        <v>48</v>
      </c>
      <c r="H153" s="596">
        <v>118</v>
      </c>
      <c r="I153" s="598">
        <v>45</v>
      </c>
      <c r="J153" s="598">
        <v>48.5</v>
      </c>
      <c r="K153" s="598">
        <v>53.75</v>
      </c>
      <c r="L153" s="599">
        <v>60.5</v>
      </c>
      <c r="M153" s="470">
        <f t="shared" si="4"/>
        <v>5.166666666666667</v>
      </c>
      <c r="N153" s="470">
        <f t="shared" si="5"/>
        <v>15.5</v>
      </c>
    </row>
    <row r="154" spans="1:14">
      <c r="A154" s="597">
        <v>50587</v>
      </c>
      <c r="B154" s="595">
        <v>2</v>
      </c>
      <c r="C154" s="596">
        <v>8</v>
      </c>
      <c r="D154" s="596">
        <v>2</v>
      </c>
      <c r="E154" s="595" t="s">
        <v>233</v>
      </c>
      <c r="F154" s="595" t="s">
        <v>234</v>
      </c>
      <c r="G154" s="595" t="s">
        <v>34</v>
      </c>
      <c r="H154" s="596">
        <v>47</v>
      </c>
      <c r="I154" s="598">
        <v>51</v>
      </c>
      <c r="J154" s="598">
        <v>53</v>
      </c>
      <c r="K154" s="598">
        <v>54</v>
      </c>
      <c r="L154" s="599">
        <v>55.5</v>
      </c>
      <c r="M154" s="470">
        <f t="shared" si="4"/>
        <v>1.5</v>
      </c>
      <c r="N154" s="470">
        <f t="shared" si="5"/>
        <v>4.5</v>
      </c>
    </row>
    <row r="155" spans="1:14">
      <c r="A155" s="597">
        <v>50874</v>
      </c>
      <c r="B155" s="595">
        <v>2</v>
      </c>
      <c r="C155" s="596">
        <v>1</v>
      </c>
      <c r="D155" s="596">
        <v>14</v>
      </c>
      <c r="E155" s="595" t="s">
        <v>49</v>
      </c>
      <c r="F155" s="595" t="s">
        <v>50</v>
      </c>
      <c r="G155" s="595" t="s">
        <v>25</v>
      </c>
      <c r="H155" s="596">
        <v>282</v>
      </c>
      <c r="I155" s="598">
        <v>13</v>
      </c>
      <c r="J155" s="598">
        <v>14.39</v>
      </c>
      <c r="K155" s="598">
        <v>15</v>
      </c>
      <c r="L155" s="599">
        <v>18.059999999999999</v>
      </c>
      <c r="M155" s="470">
        <f t="shared" si="4"/>
        <v>1.6866666666666663</v>
      </c>
      <c r="N155" s="470">
        <f t="shared" si="5"/>
        <v>5.0599999999999987</v>
      </c>
    </row>
    <row r="156" spans="1:14">
      <c r="A156" s="597">
        <v>50838</v>
      </c>
      <c r="B156" s="595">
        <v>2</v>
      </c>
      <c r="C156" s="596">
        <v>5</v>
      </c>
      <c r="D156" s="596">
        <v>6</v>
      </c>
      <c r="E156" s="595" t="s">
        <v>49</v>
      </c>
      <c r="F156" s="595" t="s">
        <v>50</v>
      </c>
      <c r="G156" s="595" t="s">
        <v>68</v>
      </c>
      <c r="H156" s="596">
        <v>1374</v>
      </c>
      <c r="I156" s="598">
        <v>11.7</v>
      </c>
      <c r="J156" s="598">
        <v>12.75</v>
      </c>
      <c r="K156" s="598">
        <v>14.2</v>
      </c>
      <c r="L156" s="599">
        <v>15.69</v>
      </c>
      <c r="M156" s="470">
        <f t="shared" si="4"/>
        <v>1.33</v>
      </c>
      <c r="N156" s="470">
        <f t="shared" si="5"/>
        <v>3.99</v>
      </c>
    </row>
    <row r="157" spans="1:14">
      <c r="A157" s="597">
        <v>50566</v>
      </c>
      <c r="B157" s="595">
        <v>2</v>
      </c>
      <c r="C157" s="596">
        <v>5</v>
      </c>
      <c r="D157" s="596">
        <v>12</v>
      </c>
      <c r="E157" s="595" t="s">
        <v>49</v>
      </c>
      <c r="F157" s="595" t="s">
        <v>50</v>
      </c>
      <c r="G157" s="595" t="s">
        <v>31</v>
      </c>
      <c r="H157" s="596">
        <v>90</v>
      </c>
      <c r="I157" s="598">
        <v>21</v>
      </c>
      <c r="J157" s="598">
        <v>25</v>
      </c>
      <c r="K157" s="598">
        <v>28</v>
      </c>
      <c r="L157" s="599">
        <v>30</v>
      </c>
      <c r="M157" s="470">
        <f t="shared" si="4"/>
        <v>3</v>
      </c>
      <c r="N157" s="470">
        <f t="shared" si="5"/>
        <v>9</v>
      </c>
    </row>
    <row r="158" spans="1:14">
      <c r="A158" s="597">
        <v>50476</v>
      </c>
      <c r="B158" s="595">
        <v>2</v>
      </c>
      <c r="C158" s="596">
        <v>5</v>
      </c>
      <c r="D158" s="596">
        <v>12</v>
      </c>
      <c r="E158" s="595" t="s">
        <v>49</v>
      </c>
      <c r="F158" s="595" t="s">
        <v>50</v>
      </c>
      <c r="G158" s="595" t="s">
        <v>34</v>
      </c>
      <c r="H158" s="596">
        <v>192</v>
      </c>
      <c r="I158" s="598">
        <v>17.600000000000001</v>
      </c>
      <c r="J158" s="598">
        <v>19.059999999999999</v>
      </c>
      <c r="K158" s="598">
        <v>20.25</v>
      </c>
      <c r="L158" s="599">
        <v>20</v>
      </c>
      <c r="M158" s="470">
        <f t="shared" si="4"/>
        <v>0.79999999999999949</v>
      </c>
      <c r="N158" s="470">
        <f t="shared" si="5"/>
        <v>2.3999999999999986</v>
      </c>
    </row>
    <row r="159" spans="1:14">
      <c r="A159" s="597">
        <v>50633</v>
      </c>
      <c r="B159" s="595">
        <v>2</v>
      </c>
      <c r="C159" s="596">
        <v>5</v>
      </c>
      <c r="D159" s="596">
        <v>12</v>
      </c>
      <c r="E159" s="595" t="s">
        <v>49</v>
      </c>
      <c r="F159" s="595" t="s">
        <v>50</v>
      </c>
      <c r="G159" s="595" t="s">
        <v>68</v>
      </c>
      <c r="H159" s="596">
        <v>158</v>
      </c>
      <c r="I159" s="598">
        <v>14.3</v>
      </c>
      <c r="J159" s="598">
        <v>15.17</v>
      </c>
      <c r="K159" s="598">
        <v>15.83</v>
      </c>
      <c r="L159" s="599">
        <v>17</v>
      </c>
      <c r="M159" s="470">
        <f t="shared" si="4"/>
        <v>0.8999999999999998</v>
      </c>
      <c r="N159" s="470">
        <f t="shared" si="5"/>
        <v>2.6999999999999993</v>
      </c>
    </row>
    <row r="160" spans="1:14">
      <c r="A160" s="597">
        <v>50634</v>
      </c>
      <c r="B160" s="595">
        <v>2</v>
      </c>
      <c r="C160" s="596">
        <v>5</v>
      </c>
      <c r="D160" s="596">
        <v>12</v>
      </c>
      <c r="E160" s="595" t="s">
        <v>49</v>
      </c>
      <c r="F160" s="595" t="s">
        <v>194</v>
      </c>
      <c r="G160" s="595" t="s">
        <v>34</v>
      </c>
      <c r="H160" s="596">
        <v>74</v>
      </c>
      <c r="I160" s="598">
        <v>10.5</v>
      </c>
      <c r="J160" s="598">
        <v>13.5</v>
      </c>
      <c r="K160" s="598">
        <v>13.51</v>
      </c>
      <c r="L160" s="599">
        <v>13.52</v>
      </c>
      <c r="M160" s="470">
        <f t="shared" si="4"/>
        <v>1.0066666666666666</v>
      </c>
      <c r="N160" s="470">
        <f t="shared" si="5"/>
        <v>3.0199999999999996</v>
      </c>
    </row>
    <row r="161" spans="1:14">
      <c r="A161" s="597">
        <v>50795</v>
      </c>
      <c r="B161" s="595">
        <v>2</v>
      </c>
      <c r="C161" s="596">
        <v>1</v>
      </c>
      <c r="D161" s="596">
        <v>11</v>
      </c>
      <c r="E161" s="595" t="s">
        <v>44</v>
      </c>
      <c r="F161" s="595" t="s">
        <v>45</v>
      </c>
      <c r="G161" s="595" t="s">
        <v>31</v>
      </c>
      <c r="H161" s="596">
        <v>754</v>
      </c>
      <c r="I161" s="598">
        <v>221.9</v>
      </c>
      <c r="J161" s="598">
        <v>226.4</v>
      </c>
      <c r="K161" s="598">
        <v>243.28</v>
      </c>
      <c r="L161" s="599">
        <v>250.81</v>
      </c>
      <c r="M161" s="470">
        <f t="shared" si="4"/>
        <v>9.6366666666666649</v>
      </c>
      <c r="N161" s="470">
        <f t="shared" si="5"/>
        <v>28.909999999999997</v>
      </c>
    </row>
    <row r="162" spans="1:14">
      <c r="A162" s="597">
        <v>50867</v>
      </c>
      <c r="B162" s="595">
        <v>2</v>
      </c>
      <c r="C162" s="596">
        <v>4</v>
      </c>
      <c r="D162" s="596">
        <v>20</v>
      </c>
      <c r="E162" s="595" t="s">
        <v>175</v>
      </c>
      <c r="F162" s="595" t="s">
        <v>176</v>
      </c>
      <c r="G162" s="595" t="s">
        <v>31</v>
      </c>
      <c r="H162" s="596">
        <v>303</v>
      </c>
      <c r="I162" s="598">
        <v>12.3</v>
      </c>
      <c r="J162" s="598">
        <v>14.56</v>
      </c>
      <c r="K162" s="598">
        <v>18.059999999999999</v>
      </c>
      <c r="L162" s="599">
        <v>23.25</v>
      </c>
      <c r="M162" s="470">
        <f t="shared" si="4"/>
        <v>3.65</v>
      </c>
      <c r="N162" s="470">
        <f t="shared" si="5"/>
        <v>10.95</v>
      </c>
    </row>
    <row r="163" spans="1:14">
      <c r="A163" s="597">
        <v>50782</v>
      </c>
      <c r="B163" s="595">
        <v>2</v>
      </c>
      <c r="C163" s="596">
        <v>5</v>
      </c>
      <c r="D163" s="596">
        <v>1</v>
      </c>
      <c r="E163" s="595" t="s">
        <v>181</v>
      </c>
      <c r="F163" s="595" t="s">
        <v>182</v>
      </c>
      <c r="G163" s="595" t="s">
        <v>31</v>
      </c>
      <c r="H163" s="596">
        <v>162</v>
      </c>
      <c r="I163" s="598">
        <v>40</v>
      </c>
      <c r="J163" s="598">
        <v>41.5</v>
      </c>
      <c r="K163" s="598">
        <v>41.7</v>
      </c>
      <c r="L163" s="599">
        <v>41.9</v>
      </c>
      <c r="M163" s="470">
        <f t="shared" si="4"/>
        <v>0.63333333333333286</v>
      </c>
      <c r="N163" s="470">
        <f t="shared" si="5"/>
        <v>1.8999999999999986</v>
      </c>
    </row>
    <row r="164" spans="1:14">
      <c r="A164" s="597">
        <v>50805</v>
      </c>
      <c r="B164" s="595">
        <v>2</v>
      </c>
      <c r="C164" s="596">
        <v>4</v>
      </c>
      <c r="D164" s="596">
        <v>15</v>
      </c>
      <c r="E164" s="595" t="s">
        <v>156</v>
      </c>
      <c r="F164" s="595" t="s">
        <v>157</v>
      </c>
      <c r="G164" s="595" t="s">
        <v>31</v>
      </c>
      <c r="H164" s="596">
        <v>15</v>
      </c>
      <c r="I164" s="598">
        <v>40</v>
      </c>
      <c r="J164" s="598">
        <v>40</v>
      </c>
      <c r="K164" s="598">
        <v>40</v>
      </c>
      <c r="L164" s="599">
        <v>40</v>
      </c>
      <c r="M164" s="470">
        <f t="shared" si="4"/>
        <v>0</v>
      </c>
      <c r="N164" s="470">
        <f t="shared" si="5"/>
        <v>0</v>
      </c>
    </row>
    <row r="165" spans="1:14">
      <c r="A165" s="597">
        <v>50759</v>
      </c>
      <c r="B165" s="595">
        <v>2</v>
      </c>
      <c r="C165" s="596">
        <v>1</v>
      </c>
      <c r="D165" s="596">
        <v>3</v>
      </c>
      <c r="E165" s="595" t="s">
        <v>29</v>
      </c>
      <c r="F165" s="595" t="s">
        <v>30</v>
      </c>
      <c r="G165" s="595" t="s">
        <v>31</v>
      </c>
      <c r="H165" s="596">
        <v>232</v>
      </c>
      <c r="I165" s="598">
        <v>21.9</v>
      </c>
      <c r="J165" s="598">
        <v>22</v>
      </c>
      <c r="K165" s="598">
        <v>23.95</v>
      </c>
      <c r="L165" s="599">
        <v>28</v>
      </c>
      <c r="M165" s="470">
        <f t="shared" si="4"/>
        <v>2.0333333333333337</v>
      </c>
      <c r="N165" s="470">
        <f t="shared" si="5"/>
        <v>6.1000000000000014</v>
      </c>
    </row>
    <row r="166" spans="1:14">
      <c r="A166" s="597">
        <v>50752</v>
      </c>
      <c r="B166" s="595">
        <v>2</v>
      </c>
      <c r="C166" s="596">
        <v>2</v>
      </c>
      <c r="D166" s="596">
        <v>2</v>
      </c>
      <c r="E166" s="595" t="s">
        <v>62</v>
      </c>
      <c r="F166" s="595" t="s">
        <v>63</v>
      </c>
      <c r="G166" s="595" t="s">
        <v>34</v>
      </c>
      <c r="H166" s="596">
        <v>89</v>
      </c>
      <c r="I166" s="598">
        <v>7.8</v>
      </c>
      <c r="J166" s="598">
        <v>9.25</v>
      </c>
      <c r="K166" s="598">
        <v>9.5</v>
      </c>
      <c r="L166" s="599">
        <v>12</v>
      </c>
      <c r="M166" s="470">
        <f t="shared" si="4"/>
        <v>1.4000000000000001</v>
      </c>
      <c r="N166" s="470">
        <f t="shared" si="5"/>
        <v>4.2</v>
      </c>
    </row>
    <row r="167" spans="1:14">
      <c r="A167" s="597">
        <v>50188</v>
      </c>
      <c r="B167" s="595">
        <v>2</v>
      </c>
      <c r="C167" s="596">
        <v>2</v>
      </c>
      <c r="D167" s="596">
        <v>2</v>
      </c>
      <c r="E167" s="595" t="s">
        <v>62</v>
      </c>
      <c r="F167" s="595" t="s">
        <v>361</v>
      </c>
      <c r="G167" s="595" t="s">
        <v>25</v>
      </c>
      <c r="H167" s="596">
        <v>24</v>
      </c>
      <c r="I167" s="598">
        <v>69</v>
      </c>
      <c r="J167" s="598">
        <v>69</v>
      </c>
      <c r="K167" s="598">
        <v>72</v>
      </c>
      <c r="L167" s="599">
        <v>73</v>
      </c>
      <c r="M167" s="470">
        <f t="shared" si="4"/>
        <v>1.3333333333333333</v>
      </c>
      <c r="N167" s="470">
        <f t="shared" si="5"/>
        <v>4</v>
      </c>
    </row>
    <row r="168" spans="1:14">
      <c r="A168" s="597">
        <v>50596</v>
      </c>
      <c r="B168" s="595">
        <v>2</v>
      </c>
      <c r="C168" s="596">
        <v>4</v>
      </c>
      <c r="D168" s="596">
        <v>17</v>
      </c>
      <c r="E168" s="595" t="s">
        <v>169</v>
      </c>
      <c r="F168" s="595" t="s">
        <v>170</v>
      </c>
      <c r="G168" s="595" t="s">
        <v>34</v>
      </c>
      <c r="H168" s="596">
        <v>110</v>
      </c>
      <c r="I168" s="598">
        <v>95.3</v>
      </c>
      <c r="J168" s="598">
        <v>102.92</v>
      </c>
      <c r="K168" s="598">
        <v>119.75</v>
      </c>
      <c r="L168" s="599">
        <v>122.25</v>
      </c>
      <c r="M168" s="470">
        <f t="shared" si="4"/>
        <v>8.9833333333333343</v>
      </c>
      <c r="N168" s="470">
        <f t="shared" si="5"/>
        <v>26.950000000000003</v>
      </c>
    </row>
    <row r="169" spans="1:14">
      <c r="A169" s="597">
        <v>50571</v>
      </c>
      <c r="B169" s="595">
        <v>2</v>
      </c>
      <c r="C169" s="596">
        <v>4</v>
      </c>
      <c r="D169" s="596">
        <v>17</v>
      </c>
      <c r="E169" s="595" t="s">
        <v>169</v>
      </c>
      <c r="F169" s="595" t="s">
        <v>170</v>
      </c>
      <c r="G169" s="595" t="s">
        <v>34</v>
      </c>
      <c r="H169" s="596">
        <v>223</v>
      </c>
      <c r="I169" s="598">
        <v>114.3</v>
      </c>
      <c r="J169" s="598">
        <v>117.5</v>
      </c>
      <c r="K169" s="598">
        <v>134.44</v>
      </c>
      <c r="L169" s="599">
        <v>134.44999999999999</v>
      </c>
      <c r="M169" s="470">
        <f t="shared" si="4"/>
        <v>6.7166666666666641</v>
      </c>
      <c r="N169" s="470">
        <f t="shared" si="5"/>
        <v>20.149999999999991</v>
      </c>
    </row>
    <row r="170" spans="1:14">
      <c r="A170" s="597">
        <v>50883</v>
      </c>
      <c r="B170" s="595">
        <v>2</v>
      </c>
      <c r="C170" s="596">
        <v>8</v>
      </c>
      <c r="D170" s="596">
        <v>10</v>
      </c>
      <c r="E170" s="595" t="s">
        <v>169</v>
      </c>
      <c r="F170" s="595" t="s">
        <v>170</v>
      </c>
      <c r="G170" s="595" t="s">
        <v>25</v>
      </c>
      <c r="H170" s="596">
        <v>158</v>
      </c>
      <c r="I170" s="598">
        <v>17.3</v>
      </c>
      <c r="J170" s="598">
        <v>22.13</v>
      </c>
      <c r="K170" s="598">
        <v>32.5</v>
      </c>
      <c r="L170" s="599">
        <v>47.94</v>
      </c>
      <c r="M170" s="470">
        <f t="shared" si="4"/>
        <v>10.213333333333333</v>
      </c>
      <c r="N170" s="470">
        <f t="shared" si="5"/>
        <v>30.639999999999997</v>
      </c>
    </row>
    <row r="171" spans="1:14">
      <c r="A171" s="597">
        <v>50580</v>
      </c>
      <c r="B171" s="595">
        <v>2</v>
      </c>
      <c r="C171" s="596">
        <v>7</v>
      </c>
      <c r="D171" s="596">
        <v>4</v>
      </c>
      <c r="E171" s="595" t="s">
        <v>214</v>
      </c>
      <c r="F171" s="595" t="s">
        <v>215</v>
      </c>
      <c r="G171" s="595" t="s">
        <v>34</v>
      </c>
      <c r="H171" s="596">
        <v>25</v>
      </c>
      <c r="I171" s="598">
        <v>130</v>
      </c>
      <c r="J171" s="598">
        <v>137.5</v>
      </c>
      <c r="K171" s="598">
        <v>139.5</v>
      </c>
      <c r="L171" s="599">
        <v>144.25</v>
      </c>
      <c r="M171" s="470">
        <f t="shared" si="4"/>
        <v>4.75</v>
      </c>
      <c r="N171" s="470">
        <f t="shared" si="5"/>
        <v>14.25</v>
      </c>
    </row>
    <row r="172" spans="1:14">
      <c r="A172" s="597">
        <v>50732</v>
      </c>
      <c r="B172" s="595">
        <v>2</v>
      </c>
      <c r="C172" s="596">
        <v>3</v>
      </c>
      <c r="D172" s="596">
        <v>22</v>
      </c>
      <c r="E172" s="595" t="s">
        <v>122</v>
      </c>
      <c r="F172" s="595" t="s">
        <v>123</v>
      </c>
      <c r="G172" s="595" t="s">
        <v>34</v>
      </c>
      <c r="H172" s="596">
        <v>274</v>
      </c>
      <c r="I172" s="598">
        <v>97.5</v>
      </c>
      <c r="J172" s="598">
        <v>115.65</v>
      </c>
      <c r="K172" s="598">
        <v>121.2</v>
      </c>
      <c r="L172" s="599">
        <v>124.8</v>
      </c>
      <c r="M172" s="470">
        <f t="shared" si="4"/>
        <v>9.1</v>
      </c>
      <c r="N172" s="470">
        <f t="shared" si="5"/>
        <v>27.299999999999997</v>
      </c>
    </row>
    <row r="173" spans="1:14">
      <c r="A173" s="597">
        <v>50545</v>
      </c>
      <c r="B173" s="595">
        <v>2</v>
      </c>
      <c r="C173" s="596">
        <v>3</v>
      </c>
      <c r="D173" s="596">
        <v>22</v>
      </c>
      <c r="E173" s="595" t="s">
        <v>122</v>
      </c>
      <c r="F173" s="595" t="s">
        <v>123</v>
      </c>
      <c r="G173" s="595" t="s">
        <v>34</v>
      </c>
      <c r="H173" s="596">
        <v>13</v>
      </c>
      <c r="I173" s="598">
        <v>62.7</v>
      </c>
      <c r="J173" s="598">
        <v>65</v>
      </c>
      <c r="K173" s="598">
        <v>72.8</v>
      </c>
      <c r="L173" s="599">
        <v>80.400000000000006</v>
      </c>
      <c r="M173" s="470">
        <f t="shared" si="4"/>
        <v>5.9000000000000012</v>
      </c>
      <c r="N173" s="470">
        <f t="shared" si="5"/>
        <v>17.700000000000003</v>
      </c>
    </row>
    <row r="174" spans="1:14">
      <c r="A174" s="597">
        <v>50833</v>
      </c>
      <c r="B174" s="595">
        <v>2</v>
      </c>
      <c r="C174" s="596">
        <v>3</v>
      </c>
      <c r="D174" s="596">
        <v>22</v>
      </c>
      <c r="E174" s="595" t="s">
        <v>122</v>
      </c>
      <c r="F174" s="595" t="s">
        <v>123</v>
      </c>
      <c r="G174" s="595" t="s">
        <v>25</v>
      </c>
      <c r="H174" s="596">
        <v>204</v>
      </c>
      <c r="I174" s="598">
        <v>44.9</v>
      </c>
      <c r="J174" s="598">
        <v>47</v>
      </c>
      <c r="K174" s="598">
        <v>66.44</v>
      </c>
      <c r="L174" s="599">
        <v>77.38</v>
      </c>
      <c r="M174" s="470">
        <f t="shared" si="4"/>
        <v>10.826666666666666</v>
      </c>
      <c r="N174" s="470">
        <f t="shared" si="5"/>
        <v>32.479999999999997</v>
      </c>
    </row>
    <row r="175" spans="1:14">
      <c r="A175" s="597">
        <v>50725</v>
      </c>
      <c r="B175" s="595">
        <v>2</v>
      </c>
      <c r="C175" s="596">
        <v>3</v>
      </c>
      <c r="D175" s="596">
        <v>22</v>
      </c>
      <c r="E175" s="595" t="s">
        <v>122</v>
      </c>
      <c r="F175" s="595" t="s">
        <v>123</v>
      </c>
      <c r="G175" s="595" t="s">
        <v>25</v>
      </c>
      <c r="H175" s="596">
        <v>62</v>
      </c>
      <c r="I175" s="598">
        <v>149.69999999999999</v>
      </c>
      <c r="J175" s="598">
        <v>163.33000000000001</v>
      </c>
      <c r="K175" s="598">
        <v>163.66999999999999</v>
      </c>
      <c r="L175" s="599">
        <v>172.63</v>
      </c>
      <c r="M175" s="470">
        <f t="shared" si="4"/>
        <v>7.6433333333333353</v>
      </c>
      <c r="N175" s="470">
        <f t="shared" si="5"/>
        <v>22.930000000000007</v>
      </c>
    </row>
    <row r="176" spans="1:14">
      <c r="A176" s="597">
        <v>50888</v>
      </c>
      <c r="B176" s="595">
        <v>2</v>
      </c>
      <c r="C176" s="596">
        <v>7</v>
      </c>
      <c r="D176" s="596">
        <v>16</v>
      </c>
      <c r="E176" s="595" t="s">
        <v>122</v>
      </c>
      <c r="F176" s="595" t="s">
        <v>123</v>
      </c>
      <c r="G176" s="595" t="s">
        <v>25</v>
      </c>
      <c r="H176" s="596">
        <v>135</v>
      </c>
      <c r="I176" s="598">
        <v>12.2</v>
      </c>
      <c r="J176" s="598">
        <v>12.43</v>
      </c>
      <c r="K176" s="598">
        <v>16.75</v>
      </c>
      <c r="L176" s="599">
        <v>23.17</v>
      </c>
      <c r="M176" s="470">
        <f t="shared" si="4"/>
        <v>3.6566666666666676</v>
      </c>
      <c r="N176" s="470">
        <f t="shared" si="5"/>
        <v>10.970000000000002</v>
      </c>
    </row>
    <row r="177" spans="1:14">
      <c r="A177" s="597">
        <v>50547</v>
      </c>
      <c r="B177" s="595">
        <v>2</v>
      </c>
      <c r="C177" s="596">
        <v>7</v>
      </c>
      <c r="D177" s="596">
        <v>4</v>
      </c>
      <c r="E177" s="595" t="s">
        <v>218</v>
      </c>
      <c r="F177" s="595" t="s">
        <v>219</v>
      </c>
      <c r="G177" s="595" t="s">
        <v>34</v>
      </c>
      <c r="H177" s="596">
        <v>73</v>
      </c>
      <c r="I177" s="598">
        <v>57.3</v>
      </c>
      <c r="J177" s="598">
        <v>61.17</v>
      </c>
      <c r="K177" s="598">
        <v>64.17</v>
      </c>
      <c r="L177" s="599">
        <v>73.17</v>
      </c>
      <c r="M177" s="470">
        <f t="shared" si="4"/>
        <v>5.2900000000000018</v>
      </c>
      <c r="N177" s="470">
        <f t="shared" si="5"/>
        <v>15.870000000000005</v>
      </c>
    </row>
    <row r="178" spans="1:14">
      <c r="A178" s="597">
        <v>50389</v>
      </c>
      <c r="B178" s="595">
        <v>2</v>
      </c>
      <c r="C178" s="596">
        <v>7</v>
      </c>
      <c r="D178" s="596">
        <v>4</v>
      </c>
      <c r="E178" s="595" t="s">
        <v>218</v>
      </c>
      <c r="F178" s="595" t="s">
        <v>219</v>
      </c>
      <c r="G178" s="595" t="s">
        <v>25</v>
      </c>
      <c r="H178" s="596">
        <v>14</v>
      </c>
      <c r="I178" s="598">
        <v>162</v>
      </c>
      <c r="J178" s="598">
        <v>162</v>
      </c>
      <c r="K178" s="598">
        <v>182</v>
      </c>
      <c r="L178" s="599">
        <v>183</v>
      </c>
      <c r="M178" s="470">
        <f t="shared" si="4"/>
        <v>7</v>
      </c>
      <c r="N178" s="470">
        <f t="shared" si="5"/>
        <v>21</v>
      </c>
    </row>
    <row r="179" spans="1:14">
      <c r="A179" s="597">
        <v>50676</v>
      </c>
      <c r="B179" s="595">
        <v>2</v>
      </c>
      <c r="C179" s="596">
        <v>7</v>
      </c>
      <c r="D179" s="596">
        <v>4</v>
      </c>
      <c r="E179" s="595" t="s">
        <v>218</v>
      </c>
      <c r="F179" s="595" t="s">
        <v>219</v>
      </c>
      <c r="G179" s="595" t="s">
        <v>25</v>
      </c>
      <c r="H179" s="596">
        <v>3</v>
      </c>
      <c r="I179" s="598">
        <v>208</v>
      </c>
      <c r="J179" s="598">
        <v>210</v>
      </c>
      <c r="K179" s="598">
        <v>233</v>
      </c>
      <c r="L179" s="599">
        <v>268</v>
      </c>
      <c r="M179" s="470">
        <f t="shared" si="4"/>
        <v>20</v>
      </c>
      <c r="N179" s="470">
        <f t="shared" si="5"/>
        <v>60</v>
      </c>
    </row>
    <row r="180" spans="1:14">
      <c r="A180" s="597">
        <v>50884</v>
      </c>
      <c r="B180" s="595">
        <v>2</v>
      </c>
      <c r="C180" s="596">
        <v>8</v>
      </c>
      <c r="D180" s="596">
        <v>10</v>
      </c>
      <c r="E180" s="595" t="s">
        <v>218</v>
      </c>
      <c r="F180" s="595" t="s">
        <v>219</v>
      </c>
      <c r="G180" s="595" t="s">
        <v>25</v>
      </c>
      <c r="H180" s="596">
        <v>262</v>
      </c>
      <c r="I180" s="598">
        <v>10.5</v>
      </c>
      <c r="J180" s="598">
        <v>12.06</v>
      </c>
      <c r="K180" s="598">
        <v>16.440000000000001</v>
      </c>
      <c r="L180" s="599">
        <v>21.88</v>
      </c>
      <c r="M180" s="470">
        <f t="shared" si="4"/>
        <v>3.793333333333333</v>
      </c>
      <c r="N180" s="470">
        <f t="shared" si="5"/>
        <v>11.379999999999999</v>
      </c>
    </row>
    <row r="181" spans="1:14">
      <c r="A181" s="597">
        <v>50745</v>
      </c>
      <c r="B181" s="595">
        <v>2</v>
      </c>
      <c r="C181" s="596">
        <v>3</v>
      </c>
      <c r="D181" s="596">
        <v>21</v>
      </c>
      <c r="E181" s="595" t="s">
        <v>120</v>
      </c>
      <c r="F181" s="595" t="s">
        <v>121</v>
      </c>
      <c r="G181" s="595" t="s">
        <v>25</v>
      </c>
      <c r="H181" s="596">
        <v>131</v>
      </c>
      <c r="I181" s="598">
        <v>99.3</v>
      </c>
      <c r="J181" s="598">
        <v>108.33</v>
      </c>
      <c r="K181" s="598">
        <v>110.17</v>
      </c>
      <c r="L181" s="599">
        <v>111.6</v>
      </c>
      <c r="M181" s="470">
        <f t="shared" si="4"/>
        <v>4.0999999999999988</v>
      </c>
      <c r="N181" s="470">
        <f t="shared" si="5"/>
        <v>12.299999999999997</v>
      </c>
    </row>
    <row r="182" spans="1:14">
      <c r="A182" s="597">
        <v>50718</v>
      </c>
      <c r="B182" s="595">
        <v>2</v>
      </c>
      <c r="C182" s="596">
        <v>3</v>
      </c>
      <c r="D182" s="596">
        <v>21</v>
      </c>
      <c r="E182" s="595" t="s">
        <v>120</v>
      </c>
      <c r="F182" s="451" t="s">
        <v>121</v>
      </c>
      <c r="G182" s="595" t="s">
        <v>31</v>
      </c>
      <c r="H182" s="596">
        <v>168</v>
      </c>
      <c r="I182" s="598">
        <v>79.400000000000006</v>
      </c>
      <c r="J182" s="598">
        <v>81.13</v>
      </c>
      <c r="K182" s="598">
        <v>84</v>
      </c>
      <c r="L182" s="599">
        <f>2.3+K182</f>
        <v>86.3</v>
      </c>
      <c r="M182" s="470">
        <f t="shared" si="4"/>
        <v>2.2999999999999972</v>
      </c>
      <c r="N182" s="470">
        <f t="shared" si="5"/>
        <v>6.8999999999999915</v>
      </c>
    </row>
    <row r="183" spans="1:14">
      <c r="A183" s="597">
        <v>50681</v>
      </c>
      <c r="B183" s="595">
        <v>2</v>
      </c>
      <c r="C183" s="596">
        <v>3</v>
      </c>
      <c r="D183" s="596">
        <v>21</v>
      </c>
      <c r="E183" s="595" t="s">
        <v>120</v>
      </c>
      <c r="F183" s="595" t="s">
        <v>121</v>
      </c>
      <c r="G183" s="595" t="s">
        <v>25</v>
      </c>
      <c r="H183" s="596">
        <v>9</v>
      </c>
      <c r="I183" s="598">
        <v>70</v>
      </c>
      <c r="J183" s="598">
        <v>70</v>
      </c>
      <c r="K183" s="598">
        <v>83</v>
      </c>
      <c r="L183" s="599">
        <v>83</v>
      </c>
      <c r="M183" s="470">
        <f t="shared" si="4"/>
        <v>4.333333333333333</v>
      </c>
      <c r="N183" s="470">
        <f t="shared" si="5"/>
        <v>13</v>
      </c>
    </row>
    <row r="184" spans="1:14">
      <c r="A184" s="597">
        <v>50808</v>
      </c>
      <c r="B184" s="595">
        <v>2</v>
      </c>
      <c r="C184" s="596">
        <v>5</v>
      </c>
      <c r="D184" s="596">
        <v>5</v>
      </c>
      <c r="E184" s="595" t="s">
        <v>183</v>
      </c>
      <c r="F184" s="595" t="s">
        <v>430</v>
      </c>
      <c r="G184" s="595" t="s">
        <v>31</v>
      </c>
      <c r="H184" s="596">
        <v>363</v>
      </c>
      <c r="I184" s="598">
        <v>74.099999999999994</v>
      </c>
      <c r="J184" s="598">
        <v>74.58</v>
      </c>
      <c r="K184" s="598">
        <v>79.180000000000007</v>
      </c>
      <c r="L184" s="599">
        <v>85.54</v>
      </c>
      <c r="M184" s="470">
        <f t="shared" si="4"/>
        <v>3.8133333333333375</v>
      </c>
      <c r="N184" s="470">
        <f t="shared" si="5"/>
        <v>11.440000000000012</v>
      </c>
    </row>
    <row r="185" spans="1:14">
      <c r="A185" s="597">
        <v>50774</v>
      </c>
      <c r="B185" s="595">
        <v>2</v>
      </c>
      <c r="C185" s="596">
        <v>5</v>
      </c>
      <c r="D185" s="596">
        <v>5</v>
      </c>
      <c r="E185" s="595" t="s">
        <v>183</v>
      </c>
      <c r="F185" s="595" t="s">
        <v>430</v>
      </c>
      <c r="G185" s="595" t="s">
        <v>25</v>
      </c>
      <c r="H185" s="596">
        <v>2</v>
      </c>
      <c r="I185" s="598">
        <v>114.5</v>
      </c>
      <c r="J185" s="598">
        <v>115.04</v>
      </c>
      <c r="K185" s="598">
        <v>116.5</v>
      </c>
      <c r="L185" s="599">
        <v>119.25</v>
      </c>
      <c r="M185" s="470">
        <f t="shared" si="4"/>
        <v>1.5833333333333333</v>
      </c>
      <c r="N185" s="470">
        <f t="shared" si="5"/>
        <v>4.75</v>
      </c>
    </row>
    <row r="186" spans="1:14">
      <c r="A186" s="597">
        <v>50865</v>
      </c>
      <c r="B186" s="595">
        <v>2</v>
      </c>
      <c r="C186" s="596">
        <v>4</v>
      </c>
      <c r="D186" s="596">
        <v>16</v>
      </c>
      <c r="E186" s="595" t="s">
        <v>167</v>
      </c>
      <c r="F186" s="595" t="s">
        <v>168</v>
      </c>
      <c r="G186" s="595" t="s">
        <v>31</v>
      </c>
      <c r="H186" s="596">
        <v>628</v>
      </c>
      <c r="I186" s="598">
        <v>30.4</v>
      </c>
      <c r="J186" s="598">
        <v>33.9</v>
      </c>
      <c r="K186" s="598">
        <v>43.65</v>
      </c>
      <c r="L186" s="599">
        <v>54.2</v>
      </c>
      <c r="M186" s="470">
        <f t="shared" si="4"/>
        <v>7.9333333333333345</v>
      </c>
      <c r="N186" s="470">
        <f t="shared" si="5"/>
        <v>23.800000000000004</v>
      </c>
    </row>
    <row r="187" spans="1:14">
      <c r="A187" s="597">
        <v>50744</v>
      </c>
      <c r="B187" s="595">
        <v>2</v>
      </c>
      <c r="C187" s="596">
        <v>6</v>
      </c>
      <c r="D187" s="596">
        <v>5</v>
      </c>
      <c r="E187" s="595" t="s">
        <v>167</v>
      </c>
      <c r="F187" s="595" t="s">
        <v>168</v>
      </c>
      <c r="G187" s="595" t="s">
        <v>25</v>
      </c>
      <c r="H187" s="596">
        <v>1</v>
      </c>
      <c r="I187" s="598">
        <v>45</v>
      </c>
      <c r="J187" s="598">
        <v>47</v>
      </c>
      <c r="K187" s="598">
        <v>50</v>
      </c>
      <c r="L187" s="599">
        <v>52</v>
      </c>
      <c r="M187" s="470">
        <f t="shared" si="4"/>
        <v>2.3333333333333335</v>
      </c>
      <c r="N187" s="470">
        <f t="shared" si="5"/>
        <v>7</v>
      </c>
    </row>
    <row r="188" spans="1:14">
      <c r="A188" s="597">
        <v>50854</v>
      </c>
      <c r="B188" s="595">
        <v>2</v>
      </c>
      <c r="C188" s="596">
        <v>3</v>
      </c>
      <c r="D188" s="596">
        <v>5</v>
      </c>
      <c r="E188" s="595" t="s">
        <v>89</v>
      </c>
      <c r="F188" s="595" t="s">
        <v>90</v>
      </c>
      <c r="G188" s="595" t="s">
        <v>34</v>
      </c>
      <c r="H188" s="596">
        <v>179</v>
      </c>
      <c r="I188" s="598">
        <v>27.4</v>
      </c>
      <c r="J188" s="598">
        <v>29.25</v>
      </c>
      <c r="K188" s="598">
        <v>37.130000000000003</v>
      </c>
      <c r="L188" s="599">
        <v>64.31</v>
      </c>
      <c r="M188" s="470">
        <f t="shared" si="4"/>
        <v>12.303333333333335</v>
      </c>
      <c r="N188" s="470">
        <f t="shared" si="5"/>
        <v>36.910000000000004</v>
      </c>
    </row>
    <row r="189" spans="1:14">
      <c r="A189" s="597">
        <v>50846</v>
      </c>
      <c r="B189" s="595">
        <v>2</v>
      </c>
      <c r="C189" s="596">
        <v>3</v>
      </c>
      <c r="D189" s="596">
        <v>5</v>
      </c>
      <c r="E189" s="595" t="s">
        <v>89</v>
      </c>
      <c r="F189" s="595" t="s">
        <v>90</v>
      </c>
      <c r="G189" s="595" t="s">
        <v>25</v>
      </c>
      <c r="H189" s="596">
        <v>114</v>
      </c>
      <c r="I189" s="598">
        <v>41.2</v>
      </c>
      <c r="J189" s="598">
        <v>46.83</v>
      </c>
      <c r="K189" s="598">
        <v>52</v>
      </c>
      <c r="L189" s="599">
        <v>91.42</v>
      </c>
      <c r="M189" s="470">
        <f t="shared" si="4"/>
        <v>16.739999999999998</v>
      </c>
      <c r="N189" s="470">
        <f t="shared" si="5"/>
        <v>50.22</v>
      </c>
    </row>
    <row r="190" spans="1:14">
      <c r="A190" s="597">
        <v>50530</v>
      </c>
      <c r="B190" s="595">
        <v>2</v>
      </c>
      <c r="C190" s="596">
        <v>1</v>
      </c>
      <c r="D190" s="596">
        <v>9</v>
      </c>
      <c r="E190" s="595" t="s">
        <v>39</v>
      </c>
      <c r="F190" s="595" t="s">
        <v>363</v>
      </c>
      <c r="G190" s="595" t="s">
        <v>25</v>
      </c>
      <c r="H190" s="596">
        <v>48</v>
      </c>
      <c r="I190" s="598">
        <v>210</v>
      </c>
      <c r="J190" s="598">
        <v>211.33</v>
      </c>
      <c r="K190" s="598">
        <v>212</v>
      </c>
      <c r="L190" s="599">
        <v>212</v>
      </c>
      <c r="M190" s="470">
        <f t="shared" si="4"/>
        <v>0.66666666666666663</v>
      </c>
      <c r="N190" s="470">
        <f t="shared" si="5"/>
        <v>2</v>
      </c>
    </row>
    <row r="191" spans="1:14">
      <c r="A191" s="597">
        <v>50751</v>
      </c>
      <c r="B191" s="595">
        <v>2</v>
      </c>
      <c r="C191" s="596">
        <v>8</v>
      </c>
      <c r="D191" s="596">
        <v>11</v>
      </c>
      <c r="E191" s="595" t="s">
        <v>237</v>
      </c>
      <c r="F191" s="595" t="s">
        <v>238</v>
      </c>
      <c r="G191" s="595" t="s">
        <v>25</v>
      </c>
      <c r="H191" s="596">
        <v>239</v>
      </c>
      <c r="I191" s="598">
        <v>73.3</v>
      </c>
      <c r="J191" s="598">
        <v>75.709999999999994</v>
      </c>
      <c r="K191" s="598">
        <v>78.17</v>
      </c>
      <c r="L191" s="599">
        <v>91</v>
      </c>
      <c r="M191" s="470">
        <f t="shared" si="4"/>
        <v>5.9000000000000012</v>
      </c>
      <c r="N191" s="470">
        <f t="shared" si="5"/>
        <v>17.700000000000003</v>
      </c>
    </row>
    <row r="192" spans="1:14">
      <c r="A192" s="597">
        <v>50737</v>
      </c>
      <c r="B192" s="595">
        <v>2</v>
      </c>
      <c r="C192" s="596">
        <v>8</v>
      </c>
      <c r="D192" s="596">
        <v>11</v>
      </c>
      <c r="E192" s="595" t="s">
        <v>237</v>
      </c>
      <c r="F192" s="595" t="s">
        <v>238</v>
      </c>
      <c r="G192" s="595" t="s">
        <v>68</v>
      </c>
      <c r="H192" s="596">
        <v>31</v>
      </c>
      <c r="I192" s="598">
        <v>32</v>
      </c>
      <c r="J192" s="598">
        <v>32</v>
      </c>
      <c r="K192" s="598">
        <v>32</v>
      </c>
      <c r="L192" s="599">
        <v>33</v>
      </c>
      <c r="M192" s="470">
        <f t="shared" si="4"/>
        <v>0.33333333333333331</v>
      </c>
      <c r="N192" s="470">
        <f t="shared" si="5"/>
        <v>1</v>
      </c>
    </row>
    <row r="193" spans="1:14">
      <c r="A193" s="597">
        <v>50738</v>
      </c>
      <c r="B193" s="595">
        <v>2</v>
      </c>
      <c r="C193" s="596">
        <v>8</v>
      </c>
      <c r="D193" s="596">
        <v>11</v>
      </c>
      <c r="E193" s="595" t="s">
        <v>237</v>
      </c>
      <c r="F193" s="595" t="s">
        <v>238</v>
      </c>
      <c r="G193" s="595" t="s">
        <v>34</v>
      </c>
      <c r="H193" s="596">
        <v>54</v>
      </c>
      <c r="I193" s="598">
        <v>33</v>
      </c>
      <c r="J193" s="598">
        <v>35.5</v>
      </c>
      <c r="K193" s="598">
        <v>36</v>
      </c>
      <c r="L193" s="599">
        <v>37.25</v>
      </c>
      <c r="M193" s="470">
        <f t="shared" si="4"/>
        <v>1.4166666666666667</v>
      </c>
      <c r="N193" s="470">
        <f t="shared" si="5"/>
        <v>4.25</v>
      </c>
    </row>
    <row r="194" spans="1:14">
      <c r="A194" s="597">
        <v>50644</v>
      </c>
      <c r="B194" s="595">
        <v>2</v>
      </c>
      <c r="C194" s="596">
        <v>8</v>
      </c>
      <c r="D194" s="596">
        <v>11</v>
      </c>
      <c r="E194" s="595" t="s">
        <v>237</v>
      </c>
      <c r="F194" s="595" t="s">
        <v>238</v>
      </c>
      <c r="G194" s="595" t="s">
        <v>68</v>
      </c>
      <c r="H194" s="596">
        <v>14</v>
      </c>
      <c r="I194" s="598">
        <v>29</v>
      </c>
      <c r="J194" s="598">
        <v>29.2</v>
      </c>
      <c r="K194" s="598">
        <v>29.5</v>
      </c>
      <c r="L194" s="599">
        <v>29.7</v>
      </c>
      <c r="M194" s="470">
        <f t="shared" ref="M194:M219" si="6">((J194-I194)+(K194-J194)+(L194-K194))/3</f>
        <v>0.23333333333333309</v>
      </c>
      <c r="N194" s="470">
        <f t="shared" ref="N194:N219" si="7">L194-I194</f>
        <v>0.69999999999999929</v>
      </c>
    </row>
    <row r="195" spans="1:14">
      <c r="A195" s="597">
        <v>50603</v>
      </c>
      <c r="B195" s="595">
        <v>2</v>
      </c>
      <c r="C195" s="596">
        <v>6</v>
      </c>
      <c r="D195" s="596">
        <v>3</v>
      </c>
      <c r="E195" s="595" t="s">
        <v>199</v>
      </c>
      <c r="F195" s="595" t="s">
        <v>200</v>
      </c>
      <c r="G195" s="595" t="s">
        <v>34</v>
      </c>
      <c r="H195" s="596">
        <v>32</v>
      </c>
      <c r="I195" s="598">
        <v>53</v>
      </c>
      <c r="J195" s="598">
        <v>63.5</v>
      </c>
      <c r="K195" s="598">
        <v>64.5</v>
      </c>
      <c r="L195" s="599">
        <v>65.5</v>
      </c>
      <c r="M195" s="470">
        <f t="shared" si="6"/>
        <v>4.166666666666667</v>
      </c>
      <c r="N195" s="470">
        <f t="shared" si="7"/>
        <v>12.5</v>
      </c>
    </row>
    <row r="196" spans="1:14">
      <c r="A196" s="597">
        <v>50869</v>
      </c>
      <c r="B196" s="595">
        <v>2</v>
      </c>
      <c r="C196" s="595">
        <v>7</v>
      </c>
      <c r="D196" s="595">
        <v>7</v>
      </c>
      <c r="E196" s="595" t="s">
        <v>97</v>
      </c>
      <c r="F196" s="453" t="s">
        <v>409</v>
      </c>
      <c r="G196" s="595" t="s">
        <v>25</v>
      </c>
      <c r="H196" s="596">
        <v>214</v>
      </c>
      <c r="I196" s="598">
        <v>11</v>
      </c>
      <c r="J196" s="598">
        <v>12.38</v>
      </c>
      <c r="K196" s="598">
        <v>13.9</v>
      </c>
      <c r="L196" s="599">
        <v>21.13</v>
      </c>
      <c r="M196" s="470">
        <f t="shared" si="6"/>
        <v>3.3766666666666665</v>
      </c>
      <c r="N196" s="470">
        <f t="shared" si="7"/>
        <v>10.129999999999999</v>
      </c>
    </row>
    <row r="197" spans="1:14">
      <c r="A197" s="597">
        <v>50845</v>
      </c>
      <c r="B197" s="595">
        <v>2</v>
      </c>
      <c r="C197" s="596">
        <v>3</v>
      </c>
      <c r="D197" s="596">
        <v>9</v>
      </c>
      <c r="E197" s="595" t="s">
        <v>97</v>
      </c>
      <c r="F197" s="595" t="s">
        <v>98</v>
      </c>
      <c r="G197" s="595" t="s">
        <v>68</v>
      </c>
      <c r="H197" s="596">
        <v>459</v>
      </c>
      <c r="I197" s="598">
        <v>16.3</v>
      </c>
      <c r="J197" s="598">
        <v>19.37</v>
      </c>
      <c r="K197" s="598">
        <v>22.22</v>
      </c>
      <c r="L197" s="599">
        <v>25.9</v>
      </c>
      <c r="M197" s="470">
        <f t="shared" si="6"/>
        <v>3.1999999999999993</v>
      </c>
      <c r="N197" s="470">
        <f t="shared" si="7"/>
        <v>9.5999999999999979</v>
      </c>
    </row>
    <row r="198" spans="1:14">
      <c r="A198" s="597">
        <v>50872</v>
      </c>
      <c r="B198" s="595">
        <v>2</v>
      </c>
      <c r="C198" s="595">
        <v>7</v>
      </c>
      <c r="D198" s="595">
        <v>11</v>
      </c>
      <c r="E198" s="595" t="s">
        <v>224</v>
      </c>
      <c r="F198" s="595" t="s">
        <v>225</v>
      </c>
      <c r="G198" s="595" t="s">
        <v>25</v>
      </c>
      <c r="H198" s="596">
        <v>200</v>
      </c>
      <c r="I198" s="598">
        <v>27</v>
      </c>
      <c r="J198" s="598">
        <v>36.5</v>
      </c>
      <c r="K198" s="598">
        <v>49</v>
      </c>
      <c r="L198" s="599">
        <v>60</v>
      </c>
      <c r="M198" s="470">
        <f t="shared" si="6"/>
        <v>11</v>
      </c>
      <c r="N198" s="470">
        <f t="shared" si="7"/>
        <v>33</v>
      </c>
    </row>
    <row r="199" spans="1:14">
      <c r="A199" s="597">
        <v>50801</v>
      </c>
      <c r="B199" s="595">
        <v>2</v>
      </c>
      <c r="C199" s="596">
        <v>3</v>
      </c>
      <c r="D199" s="596">
        <v>1</v>
      </c>
      <c r="E199" s="595" t="s">
        <v>78</v>
      </c>
      <c r="F199" s="595" t="s">
        <v>79</v>
      </c>
      <c r="G199" s="595" t="s">
        <v>31</v>
      </c>
      <c r="H199" s="596">
        <v>371</v>
      </c>
      <c r="I199" s="598">
        <v>84.9</v>
      </c>
      <c r="J199" s="598">
        <v>86.6</v>
      </c>
      <c r="K199" s="598">
        <v>87.85</v>
      </c>
      <c r="L199" s="599">
        <v>88.86</v>
      </c>
      <c r="M199" s="470">
        <f t="shared" si="6"/>
        <v>1.3199999999999978</v>
      </c>
      <c r="N199" s="470">
        <f t="shared" si="7"/>
        <v>3.9599999999999937</v>
      </c>
    </row>
    <row r="200" spans="1:14">
      <c r="A200" s="597">
        <v>50814</v>
      </c>
      <c r="B200" s="595">
        <v>2</v>
      </c>
      <c r="C200" s="596">
        <v>3</v>
      </c>
      <c r="D200" s="596">
        <v>1</v>
      </c>
      <c r="E200" s="595" t="s">
        <v>78</v>
      </c>
      <c r="F200" s="595" t="s">
        <v>79</v>
      </c>
      <c r="G200" s="595" t="s">
        <v>68</v>
      </c>
      <c r="H200" s="596">
        <v>218</v>
      </c>
      <c r="I200" s="598">
        <v>93.5</v>
      </c>
      <c r="J200" s="598">
        <v>101.94</v>
      </c>
      <c r="K200" s="598">
        <v>111.63</v>
      </c>
      <c r="L200" s="599">
        <f>13.28+K200</f>
        <v>124.91</v>
      </c>
      <c r="M200" s="470">
        <f t="shared" si="6"/>
        <v>10.469999999999999</v>
      </c>
      <c r="N200" s="470">
        <f t="shared" si="7"/>
        <v>31.409999999999997</v>
      </c>
    </row>
    <row r="201" spans="1:14">
      <c r="A201" s="597">
        <v>50741</v>
      </c>
      <c r="B201" s="595">
        <v>2</v>
      </c>
      <c r="C201" s="596">
        <v>3</v>
      </c>
      <c r="D201" s="596">
        <v>1</v>
      </c>
      <c r="E201" s="595" t="s">
        <v>78</v>
      </c>
      <c r="F201" s="595" t="s">
        <v>79</v>
      </c>
      <c r="G201" s="595" t="s">
        <v>25</v>
      </c>
      <c r="H201" s="596">
        <v>55</v>
      </c>
      <c r="I201" s="598">
        <v>60.7</v>
      </c>
      <c r="J201" s="598">
        <v>99</v>
      </c>
      <c r="K201" s="598">
        <v>99.83</v>
      </c>
      <c r="L201" s="599">
        <v>119.4</v>
      </c>
      <c r="M201" s="470">
        <f t="shared" si="6"/>
        <v>19.566666666666666</v>
      </c>
      <c r="N201" s="470">
        <f t="shared" si="7"/>
        <v>58.7</v>
      </c>
    </row>
    <row r="202" spans="1:14">
      <c r="A202" s="597">
        <v>50791</v>
      </c>
      <c r="B202" s="595">
        <v>2</v>
      </c>
      <c r="C202" s="596">
        <v>3</v>
      </c>
      <c r="D202" s="596">
        <v>1</v>
      </c>
      <c r="E202" s="595" t="s">
        <v>78</v>
      </c>
      <c r="F202" s="595" t="s">
        <v>79</v>
      </c>
      <c r="G202" s="595" t="s">
        <v>31</v>
      </c>
      <c r="H202" s="596">
        <v>49</v>
      </c>
      <c r="I202" s="598">
        <v>46.5</v>
      </c>
      <c r="J202" s="598">
        <v>54.5</v>
      </c>
      <c r="K202" s="598">
        <v>55</v>
      </c>
      <c r="L202" s="599">
        <v>70</v>
      </c>
      <c r="M202" s="470">
        <f t="shared" si="6"/>
        <v>7.833333333333333</v>
      </c>
      <c r="N202" s="470">
        <f t="shared" si="7"/>
        <v>23.5</v>
      </c>
    </row>
    <row r="203" spans="1:14">
      <c r="A203" s="597">
        <v>50850</v>
      </c>
      <c r="B203" s="595">
        <v>2</v>
      </c>
      <c r="C203" s="596">
        <v>3</v>
      </c>
      <c r="D203" s="596">
        <v>1</v>
      </c>
      <c r="E203" s="595" t="s">
        <v>78</v>
      </c>
      <c r="F203" s="595" t="s">
        <v>79</v>
      </c>
      <c r="G203" s="595" t="s">
        <v>34</v>
      </c>
      <c r="H203" s="596">
        <v>46</v>
      </c>
      <c r="I203" s="598">
        <v>98.5</v>
      </c>
      <c r="J203" s="598">
        <v>106.5</v>
      </c>
      <c r="K203" s="598">
        <v>113.75</v>
      </c>
      <c r="L203" s="599">
        <v>121.45</v>
      </c>
      <c r="M203" s="470">
        <f t="shared" si="6"/>
        <v>7.6500000000000012</v>
      </c>
      <c r="N203" s="470">
        <f t="shared" si="7"/>
        <v>22.950000000000003</v>
      </c>
    </row>
    <row r="204" spans="1:14">
      <c r="A204" s="597">
        <v>50678</v>
      </c>
      <c r="B204" s="595">
        <v>2</v>
      </c>
      <c r="C204" s="596">
        <v>4</v>
      </c>
      <c r="D204" s="596">
        <v>20</v>
      </c>
      <c r="E204" s="595" t="s">
        <v>173</v>
      </c>
      <c r="F204" s="595" t="s">
        <v>174</v>
      </c>
      <c r="G204" s="595" t="s">
        <v>25</v>
      </c>
      <c r="H204" s="596">
        <v>4</v>
      </c>
      <c r="I204" s="598">
        <v>23</v>
      </c>
      <c r="J204" s="598">
        <v>24</v>
      </c>
      <c r="K204" s="598">
        <v>24</v>
      </c>
      <c r="L204" s="599">
        <v>25</v>
      </c>
      <c r="M204" s="470">
        <f t="shared" si="6"/>
        <v>0.66666666666666663</v>
      </c>
      <c r="N204" s="470">
        <f t="shared" si="7"/>
        <v>2</v>
      </c>
    </row>
    <row r="205" spans="1:14">
      <c r="A205" s="597">
        <v>50825</v>
      </c>
      <c r="B205" s="595">
        <v>2</v>
      </c>
      <c r="C205" s="596">
        <v>8</v>
      </c>
      <c r="D205" s="596">
        <v>6</v>
      </c>
      <c r="E205" s="595" t="s">
        <v>173</v>
      </c>
      <c r="F205" s="595" t="s">
        <v>174</v>
      </c>
      <c r="G205" s="595" t="s">
        <v>31</v>
      </c>
      <c r="H205" s="596">
        <v>132</v>
      </c>
      <c r="I205" s="598">
        <v>53.3</v>
      </c>
      <c r="J205" s="598">
        <v>53.67</v>
      </c>
      <c r="K205" s="598">
        <v>55.75</v>
      </c>
      <c r="L205" s="599">
        <v>59</v>
      </c>
      <c r="M205" s="470">
        <f t="shared" si="6"/>
        <v>1.900000000000001</v>
      </c>
      <c r="N205" s="470">
        <f t="shared" si="7"/>
        <v>5.7000000000000028</v>
      </c>
    </row>
    <row r="206" spans="1:14">
      <c r="A206" s="597">
        <v>50797</v>
      </c>
      <c r="B206" s="595">
        <v>2</v>
      </c>
      <c r="C206" s="596">
        <v>1</v>
      </c>
      <c r="D206" s="596">
        <v>16</v>
      </c>
      <c r="E206" s="595" t="s">
        <v>58</v>
      </c>
      <c r="F206" s="595" t="s">
        <v>59</v>
      </c>
      <c r="G206" s="595" t="s">
        <v>31</v>
      </c>
      <c r="H206" s="596">
        <v>311</v>
      </c>
      <c r="I206" s="598">
        <v>179.8</v>
      </c>
      <c r="J206" s="598">
        <v>184.5</v>
      </c>
      <c r="K206" s="598">
        <v>189.4</v>
      </c>
      <c r="L206" s="599">
        <v>200.2</v>
      </c>
      <c r="M206" s="470">
        <f t="shared" si="6"/>
        <v>6.7999999999999927</v>
      </c>
      <c r="N206" s="470">
        <f t="shared" si="7"/>
        <v>20.399999999999977</v>
      </c>
    </row>
    <row r="207" spans="1:14">
      <c r="A207" s="597">
        <v>50816</v>
      </c>
      <c r="B207" s="595">
        <v>2</v>
      </c>
      <c r="C207" s="596">
        <v>3</v>
      </c>
      <c r="D207" s="596">
        <v>6</v>
      </c>
      <c r="E207" s="595" t="s">
        <v>58</v>
      </c>
      <c r="F207" s="595" t="s">
        <v>59</v>
      </c>
      <c r="G207" s="595" t="s">
        <v>68</v>
      </c>
      <c r="H207" s="596">
        <v>983</v>
      </c>
      <c r="I207" s="598">
        <v>80.5</v>
      </c>
      <c r="J207" s="598">
        <v>81.5</v>
      </c>
      <c r="K207" s="598">
        <v>87.1</v>
      </c>
      <c r="L207" s="599">
        <v>93.22</v>
      </c>
      <c r="M207" s="470">
        <f t="shared" si="6"/>
        <v>4.2399999999999993</v>
      </c>
      <c r="N207" s="470">
        <f t="shared" si="7"/>
        <v>12.719999999999999</v>
      </c>
    </row>
    <row r="208" spans="1:14">
      <c r="A208" s="597">
        <v>50773</v>
      </c>
      <c r="B208" s="595">
        <v>2</v>
      </c>
      <c r="C208" s="596">
        <v>3</v>
      </c>
      <c r="D208" s="596">
        <v>6</v>
      </c>
      <c r="E208" s="595" t="s">
        <v>58</v>
      </c>
      <c r="F208" s="595" t="s">
        <v>59</v>
      </c>
      <c r="G208" s="595" t="s">
        <v>34</v>
      </c>
      <c r="H208" s="596">
        <v>13</v>
      </c>
      <c r="I208" s="598">
        <v>46</v>
      </c>
      <c r="J208" s="598">
        <v>48</v>
      </c>
      <c r="K208" s="598">
        <v>50</v>
      </c>
      <c r="L208" s="599">
        <v>58</v>
      </c>
      <c r="M208" s="470">
        <f t="shared" si="6"/>
        <v>4</v>
      </c>
      <c r="N208" s="470">
        <f t="shared" si="7"/>
        <v>12</v>
      </c>
    </row>
    <row r="209" spans="1:14">
      <c r="A209" s="597">
        <v>50868</v>
      </c>
      <c r="B209" s="595">
        <v>2</v>
      </c>
      <c r="C209" s="596">
        <v>7</v>
      </c>
      <c r="D209" s="596">
        <v>7</v>
      </c>
      <c r="E209" s="595" t="s">
        <v>58</v>
      </c>
      <c r="F209" s="595" t="s">
        <v>59</v>
      </c>
      <c r="G209" s="595" t="s">
        <v>25</v>
      </c>
      <c r="H209" s="596">
        <v>416</v>
      </c>
      <c r="I209" s="598">
        <v>68.8</v>
      </c>
      <c r="J209" s="598">
        <v>73.5</v>
      </c>
      <c r="K209" s="598">
        <v>87.19</v>
      </c>
      <c r="L209" s="599">
        <v>127.8</v>
      </c>
      <c r="M209" s="470">
        <f t="shared" si="6"/>
        <v>19.666666666666668</v>
      </c>
      <c r="N209" s="470">
        <f t="shared" si="7"/>
        <v>59</v>
      </c>
    </row>
    <row r="210" spans="1:14">
      <c r="A210" s="597">
        <v>50839</v>
      </c>
      <c r="B210" s="595">
        <v>2</v>
      </c>
      <c r="C210" s="596">
        <v>8</v>
      </c>
      <c r="D210" s="596">
        <v>6</v>
      </c>
      <c r="E210" s="595" t="s">
        <v>58</v>
      </c>
      <c r="F210" s="595" t="s">
        <v>59</v>
      </c>
      <c r="G210" s="595" t="s">
        <v>31</v>
      </c>
      <c r="H210" s="596">
        <v>215</v>
      </c>
      <c r="I210" s="598">
        <v>69.8</v>
      </c>
      <c r="J210" s="598">
        <v>73.33</v>
      </c>
      <c r="K210" s="598">
        <v>87.5</v>
      </c>
      <c r="L210" s="599">
        <v>93.83</v>
      </c>
      <c r="M210" s="470">
        <f t="shared" si="6"/>
        <v>8.01</v>
      </c>
      <c r="N210" s="470">
        <f t="shared" si="7"/>
        <v>24.03</v>
      </c>
    </row>
    <row r="211" spans="1:14">
      <c r="A211" s="597">
        <v>50861</v>
      </c>
      <c r="B211" s="595">
        <v>2</v>
      </c>
      <c r="C211" s="596">
        <v>4</v>
      </c>
      <c r="D211" s="596">
        <v>21</v>
      </c>
      <c r="E211" s="595" t="s">
        <v>177</v>
      </c>
      <c r="F211" s="595" t="s">
        <v>178</v>
      </c>
      <c r="G211" s="595" t="s">
        <v>31</v>
      </c>
      <c r="H211" s="596">
        <v>714</v>
      </c>
      <c r="I211" s="598">
        <v>30.5</v>
      </c>
      <c r="J211" s="598">
        <v>35.200000000000003</v>
      </c>
      <c r="K211" s="598">
        <v>43.22</v>
      </c>
      <c r="L211" s="599">
        <v>57.7</v>
      </c>
      <c r="M211" s="470">
        <f t="shared" si="6"/>
        <v>9.0666666666666682</v>
      </c>
      <c r="N211" s="470">
        <f t="shared" si="7"/>
        <v>27.200000000000003</v>
      </c>
    </row>
    <row r="212" spans="1:14">
      <c r="A212" s="597">
        <v>50852</v>
      </c>
      <c r="B212" s="595">
        <v>2</v>
      </c>
      <c r="C212" s="596">
        <v>7</v>
      </c>
      <c r="D212" s="596">
        <v>1</v>
      </c>
      <c r="E212" s="595" t="s">
        <v>177</v>
      </c>
      <c r="F212" s="595" t="s">
        <v>178</v>
      </c>
      <c r="G212" s="595" t="s">
        <v>68</v>
      </c>
      <c r="H212" s="596">
        <v>256</v>
      </c>
      <c r="I212" s="598">
        <v>36.799999999999997</v>
      </c>
      <c r="J212" s="598">
        <v>41.19</v>
      </c>
      <c r="K212" s="598">
        <v>49.96</v>
      </c>
      <c r="L212" s="599">
        <v>59.13</v>
      </c>
      <c r="M212" s="470">
        <f t="shared" si="6"/>
        <v>7.4433333333333351</v>
      </c>
      <c r="N212" s="470">
        <f t="shared" si="7"/>
        <v>22.330000000000005</v>
      </c>
    </row>
    <row r="213" spans="1:14">
      <c r="A213" s="597">
        <v>50849</v>
      </c>
      <c r="B213" s="595">
        <v>2</v>
      </c>
      <c r="C213" s="596">
        <v>4</v>
      </c>
      <c r="D213" s="596">
        <v>15</v>
      </c>
      <c r="E213" s="595" t="s">
        <v>158</v>
      </c>
      <c r="F213" s="451" t="s">
        <v>410</v>
      </c>
      <c r="G213" s="595" t="s">
        <v>31</v>
      </c>
      <c r="H213" s="596">
        <v>27</v>
      </c>
      <c r="I213" s="598">
        <v>33</v>
      </c>
      <c r="J213" s="598">
        <v>36.5</v>
      </c>
      <c r="K213" s="598">
        <v>41.5</v>
      </c>
      <c r="L213" s="599">
        <v>51.5</v>
      </c>
      <c r="M213" s="470">
        <f t="shared" si="6"/>
        <v>6.166666666666667</v>
      </c>
      <c r="N213" s="470">
        <f t="shared" si="7"/>
        <v>18.5</v>
      </c>
    </row>
    <row r="214" spans="1:14">
      <c r="A214" s="597">
        <v>50426</v>
      </c>
      <c r="B214" s="595">
        <v>2</v>
      </c>
      <c r="C214" s="596">
        <v>2</v>
      </c>
      <c r="D214" s="596">
        <v>8</v>
      </c>
      <c r="E214" s="595" t="s">
        <v>72</v>
      </c>
      <c r="F214" s="451" t="s">
        <v>411</v>
      </c>
      <c r="G214" s="595" t="s">
        <v>34</v>
      </c>
      <c r="H214" s="596">
        <v>320</v>
      </c>
      <c r="I214" s="598">
        <v>21.6</v>
      </c>
      <c r="J214" s="598">
        <v>23.78</v>
      </c>
      <c r="K214" s="598">
        <v>28.25</v>
      </c>
      <c r="L214" s="599">
        <v>28.3</v>
      </c>
      <c r="M214" s="470">
        <f t="shared" si="6"/>
        <v>2.2333333333333329</v>
      </c>
      <c r="N214" s="470">
        <f t="shared" si="7"/>
        <v>6.6999999999999993</v>
      </c>
    </row>
    <row r="215" spans="1:14">
      <c r="A215" s="597">
        <v>50760</v>
      </c>
      <c r="B215" s="595">
        <v>2</v>
      </c>
      <c r="C215" s="596">
        <v>2</v>
      </c>
      <c r="D215" s="596">
        <v>8</v>
      </c>
      <c r="E215" s="595" t="s">
        <v>72</v>
      </c>
      <c r="F215" s="451" t="s">
        <v>411</v>
      </c>
      <c r="G215" s="595" t="s">
        <v>34</v>
      </c>
      <c r="H215" s="596">
        <v>140</v>
      </c>
      <c r="I215" s="598">
        <v>46.3</v>
      </c>
      <c r="J215" s="598">
        <v>47</v>
      </c>
      <c r="K215" s="598">
        <v>47.5</v>
      </c>
      <c r="L215" s="599">
        <v>48.83</v>
      </c>
      <c r="M215" s="470">
        <f t="shared" si="6"/>
        <v>0.84333333333333371</v>
      </c>
      <c r="N215" s="470">
        <f t="shared" si="7"/>
        <v>2.5300000000000011</v>
      </c>
    </row>
    <row r="216" spans="1:14">
      <c r="A216" s="597">
        <v>50706</v>
      </c>
      <c r="B216" s="595">
        <v>2</v>
      </c>
      <c r="C216" s="596">
        <v>2</v>
      </c>
      <c r="D216" s="596">
        <v>18</v>
      </c>
      <c r="E216" s="595" t="s">
        <v>72</v>
      </c>
      <c r="F216" s="451" t="s">
        <v>411</v>
      </c>
      <c r="G216" s="595" t="s">
        <v>25</v>
      </c>
      <c r="H216" s="596">
        <v>71</v>
      </c>
      <c r="I216" s="598">
        <v>22</v>
      </c>
      <c r="J216" s="598">
        <v>24.33</v>
      </c>
      <c r="K216" s="598">
        <v>26.33</v>
      </c>
      <c r="L216" s="599">
        <v>26.33</v>
      </c>
      <c r="M216" s="470">
        <f t="shared" si="6"/>
        <v>1.4433333333333327</v>
      </c>
      <c r="N216" s="470">
        <f t="shared" si="7"/>
        <v>4.3299999999999983</v>
      </c>
    </row>
    <row r="217" spans="1:14">
      <c r="A217" s="597">
        <v>50618</v>
      </c>
      <c r="B217" s="595">
        <v>2</v>
      </c>
      <c r="C217" s="596">
        <v>3</v>
      </c>
      <c r="D217" s="596">
        <v>3</v>
      </c>
      <c r="E217" s="595" t="s">
        <v>72</v>
      </c>
      <c r="F217" s="451" t="s">
        <v>411</v>
      </c>
      <c r="G217" s="595" t="s">
        <v>68</v>
      </c>
      <c r="H217" s="596">
        <v>96</v>
      </c>
      <c r="I217" s="598">
        <v>14.5</v>
      </c>
      <c r="J217" s="598">
        <v>15.5</v>
      </c>
      <c r="K217" s="598">
        <v>16.420000000000002</v>
      </c>
      <c r="L217" s="599">
        <v>22.33</v>
      </c>
      <c r="M217" s="470">
        <f t="shared" si="6"/>
        <v>2.6099999999999994</v>
      </c>
      <c r="N217" s="470">
        <f t="shared" si="7"/>
        <v>7.8299999999999983</v>
      </c>
    </row>
    <row r="218" spans="1:14">
      <c r="A218" s="597">
        <v>50803</v>
      </c>
      <c r="B218" s="595">
        <v>2</v>
      </c>
      <c r="C218" s="596">
        <v>3</v>
      </c>
      <c r="D218" s="596">
        <v>4</v>
      </c>
      <c r="E218" s="595" t="s">
        <v>72</v>
      </c>
      <c r="F218" s="451" t="s">
        <v>411</v>
      </c>
      <c r="G218" s="595" t="s">
        <v>31</v>
      </c>
      <c r="H218" s="596">
        <v>486</v>
      </c>
      <c r="I218" s="598">
        <v>28.6</v>
      </c>
      <c r="J218" s="598">
        <v>30.69</v>
      </c>
      <c r="K218" s="598">
        <v>32.549999999999997</v>
      </c>
      <c r="L218" s="599">
        <v>39.57</v>
      </c>
      <c r="M218" s="470">
        <f t="shared" si="6"/>
        <v>3.6566666666666663</v>
      </c>
      <c r="N218" s="470">
        <f t="shared" si="7"/>
        <v>10.969999999999999</v>
      </c>
    </row>
    <row r="219" spans="1:14">
      <c r="A219" s="597">
        <v>50604</v>
      </c>
      <c r="B219" s="595">
        <v>2</v>
      </c>
      <c r="C219" s="596">
        <v>3</v>
      </c>
      <c r="D219" s="596">
        <v>7</v>
      </c>
      <c r="E219" s="595" t="s">
        <v>93</v>
      </c>
      <c r="F219" s="595" t="s">
        <v>94</v>
      </c>
      <c r="G219" s="595" t="s">
        <v>34</v>
      </c>
      <c r="H219" s="596">
        <v>350</v>
      </c>
      <c r="I219" s="598">
        <v>94.8</v>
      </c>
      <c r="J219" s="598">
        <v>97</v>
      </c>
      <c r="K219" s="598">
        <v>102.3</v>
      </c>
      <c r="L219" s="599">
        <v>107</v>
      </c>
      <c r="M219" s="470">
        <f t="shared" si="6"/>
        <v>4.0666666666666673</v>
      </c>
      <c r="N219" s="470">
        <f t="shared" si="7"/>
        <v>12.200000000000003</v>
      </c>
    </row>
    <row r="220" spans="1:14">
      <c r="I220" s="424"/>
      <c r="J220" s="424"/>
      <c r="K220" s="594"/>
      <c r="L220" s="424"/>
    </row>
    <row r="221" spans="1:14">
      <c r="I221" s="424"/>
      <c r="J221" s="424"/>
      <c r="K221" s="424"/>
      <c r="L221" s="424"/>
    </row>
    <row r="222" spans="1:14">
      <c r="I222" s="424"/>
      <c r="J222" s="424"/>
      <c r="K222" s="424"/>
      <c r="L222" s="424"/>
    </row>
    <row r="223" spans="1:14">
      <c r="I223" s="424"/>
      <c r="J223" s="424"/>
      <c r="K223" s="424"/>
      <c r="L223" s="424"/>
    </row>
    <row r="224" spans="1:14">
      <c r="I224" s="424"/>
      <c r="J224" s="424"/>
      <c r="K224" s="424"/>
      <c r="L224" s="424"/>
    </row>
    <row r="225" spans="9:12">
      <c r="I225" s="424"/>
      <c r="J225" s="424"/>
      <c r="K225" s="424"/>
      <c r="L225" s="424"/>
    </row>
    <row r="226" spans="9:12">
      <c r="I226" s="424"/>
      <c r="J226" s="424"/>
      <c r="K226" s="424"/>
      <c r="L226" s="424"/>
    </row>
    <row r="227" spans="9:12">
      <c r="I227" s="424"/>
      <c r="J227" s="424"/>
      <c r="K227" s="424"/>
      <c r="L227" s="424"/>
    </row>
    <row r="228" spans="9:12">
      <c r="I228" s="424"/>
      <c r="J228" s="424"/>
      <c r="K228" s="424"/>
      <c r="L228" s="424"/>
    </row>
    <row r="229" spans="9:12">
      <c r="I229" s="424"/>
      <c r="J229" s="424"/>
      <c r="K229" s="424"/>
      <c r="L229" s="424"/>
    </row>
    <row r="230" spans="9:12">
      <c r="I230" s="424"/>
      <c r="J230" s="424"/>
      <c r="K230" s="424"/>
      <c r="L230" s="424"/>
    </row>
    <row r="231" spans="9:12">
      <c r="I231" s="424"/>
      <c r="J231" s="424"/>
      <c r="K231" s="424"/>
      <c r="L231" s="424"/>
    </row>
    <row r="232" spans="9:12">
      <c r="I232" s="424"/>
      <c r="J232" s="424"/>
      <c r="K232" s="424"/>
      <c r="L232" s="424"/>
    </row>
    <row r="233" spans="9:12">
      <c r="I233" s="424"/>
      <c r="J233" s="424"/>
      <c r="K233" s="424"/>
      <c r="L233" s="424"/>
    </row>
    <row r="234" spans="9:12">
      <c r="I234" s="424"/>
      <c r="J234" s="424"/>
      <c r="K234" s="424"/>
      <c r="L234" s="424"/>
    </row>
    <row r="235" spans="9:12">
      <c r="I235" s="424"/>
      <c r="J235" s="424"/>
      <c r="K235" s="424"/>
      <c r="L235" s="424"/>
    </row>
    <row r="236" spans="9:12">
      <c r="I236" s="424"/>
      <c r="J236" s="424"/>
      <c r="K236" s="424"/>
      <c r="L236" s="424"/>
    </row>
    <row r="237" spans="9:12">
      <c r="I237" s="424"/>
      <c r="J237" s="424"/>
      <c r="K237" s="424"/>
      <c r="L237" s="424"/>
    </row>
    <row r="238" spans="9:12">
      <c r="I238" s="424"/>
      <c r="J238" s="424"/>
      <c r="K238" s="424"/>
      <c r="L238" s="424"/>
    </row>
    <row r="239" spans="9:12">
      <c r="I239" s="424"/>
      <c r="J239" s="424"/>
      <c r="K239" s="424"/>
      <c r="L239" s="424"/>
    </row>
    <row r="240" spans="9:12">
      <c r="I240" s="424"/>
      <c r="J240" s="424"/>
      <c r="K240" s="424"/>
      <c r="L240" s="424"/>
    </row>
    <row r="241" spans="9:12">
      <c r="I241" s="424"/>
      <c r="J241" s="424"/>
      <c r="K241" s="424"/>
      <c r="L241" s="424"/>
    </row>
    <row r="242" spans="9:12">
      <c r="I242" s="424"/>
      <c r="J242" s="424"/>
      <c r="K242" s="424"/>
      <c r="L242" s="424"/>
    </row>
    <row r="243" spans="9:12">
      <c r="I243" s="424"/>
      <c r="J243" s="424"/>
      <c r="K243" s="424"/>
      <c r="L243" s="424"/>
    </row>
    <row r="244" spans="9:12">
      <c r="I244" s="424"/>
      <c r="J244" s="424"/>
      <c r="K244" s="424"/>
      <c r="L244" s="424"/>
    </row>
    <row r="245" spans="9:12">
      <c r="I245" s="424"/>
      <c r="J245" s="424"/>
      <c r="K245" s="424"/>
      <c r="L245" s="424"/>
    </row>
    <row r="246" spans="9:12">
      <c r="I246" s="424"/>
      <c r="J246" s="424"/>
      <c r="K246" s="424"/>
      <c r="L246" s="424"/>
    </row>
    <row r="247" spans="9:12">
      <c r="I247" s="424"/>
      <c r="J247" s="424"/>
      <c r="K247" s="424"/>
      <c r="L247" s="424"/>
    </row>
    <row r="248" spans="9:12">
      <c r="I248" s="424"/>
      <c r="J248" s="424"/>
      <c r="K248" s="424"/>
      <c r="L248" s="424"/>
    </row>
    <row r="249" spans="9:12">
      <c r="I249" s="424"/>
      <c r="J249" s="424"/>
      <c r="K249" s="424"/>
      <c r="L249" s="424"/>
    </row>
    <row r="250" spans="9:12">
      <c r="I250" s="424"/>
      <c r="J250" s="424"/>
      <c r="K250" s="424"/>
      <c r="L250" s="424"/>
    </row>
    <row r="251" spans="9:12">
      <c r="I251" s="424"/>
      <c r="J251" s="424"/>
      <c r="K251" s="424"/>
      <c r="L251" s="424"/>
    </row>
    <row r="252" spans="9:12">
      <c r="I252" s="424"/>
      <c r="J252" s="424"/>
      <c r="K252" s="424"/>
      <c r="L252" s="424"/>
    </row>
    <row r="253" spans="9:12">
      <c r="I253" s="424"/>
      <c r="J253" s="424"/>
      <c r="K253" s="424"/>
      <c r="L253" s="424"/>
    </row>
    <row r="254" spans="9:12">
      <c r="I254" s="424"/>
      <c r="J254" s="424"/>
      <c r="K254" s="424"/>
      <c r="L254" s="424"/>
    </row>
    <row r="255" spans="9:12">
      <c r="I255" s="424"/>
      <c r="J255" s="424"/>
      <c r="K255" s="424"/>
      <c r="L255" s="424"/>
    </row>
    <row r="256" spans="9:12">
      <c r="I256" s="424"/>
      <c r="J256" s="424"/>
      <c r="K256" s="424"/>
      <c r="L256" s="424"/>
    </row>
    <row r="257" spans="9:12">
      <c r="I257" s="424"/>
      <c r="J257" s="424"/>
      <c r="K257" s="424"/>
      <c r="L257" s="424"/>
    </row>
    <row r="258" spans="9:12">
      <c r="I258" s="424"/>
      <c r="J258" s="424"/>
      <c r="K258" s="424"/>
      <c r="L258" s="424"/>
    </row>
    <row r="259" spans="9:12">
      <c r="I259" s="424"/>
      <c r="J259" s="424"/>
      <c r="K259" s="424"/>
      <c r="L259" s="424"/>
    </row>
    <row r="260" spans="9:12">
      <c r="I260" s="424"/>
      <c r="J260" s="424"/>
      <c r="K260" s="424"/>
      <c r="L260" s="424"/>
    </row>
    <row r="261" spans="9:12">
      <c r="I261" s="424"/>
      <c r="J261" s="424"/>
      <c r="K261" s="424"/>
      <c r="L261" s="424"/>
    </row>
    <row r="262" spans="9:12">
      <c r="I262" s="424"/>
      <c r="J262" s="424"/>
      <c r="K262" s="424"/>
      <c r="L262" s="424"/>
    </row>
    <row r="263" spans="9:12">
      <c r="I263" s="424"/>
      <c r="J263" s="424"/>
      <c r="K263" s="424"/>
      <c r="L263" s="424"/>
    </row>
    <row r="264" spans="9:12">
      <c r="I264" s="424"/>
      <c r="J264" s="424"/>
      <c r="K264" s="424"/>
      <c r="L264" s="424"/>
    </row>
    <row r="265" spans="9:12">
      <c r="I265" s="424"/>
      <c r="J265" s="424"/>
      <c r="K265" s="424"/>
      <c r="L265" s="424"/>
    </row>
    <row r="266" spans="9:12">
      <c r="I266" s="424"/>
      <c r="J266" s="424"/>
      <c r="K266" s="424"/>
      <c r="L266" s="424"/>
    </row>
    <row r="267" spans="9:12">
      <c r="I267" s="424"/>
      <c r="J267" s="424"/>
      <c r="K267" s="424"/>
      <c r="L267" s="424"/>
    </row>
    <row r="268" spans="9:12">
      <c r="I268" s="424"/>
      <c r="J268" s="424"/>
      <c r="K268" s="424"/>
      <c r="L268" s="424"/>
    </row>
    <row r="269" spans="9:12">
      <c r="I269" s="424"/>
      <c r="J269" s="424"/>
      <c r="K269" s="424"/>
      <c r="L269" s="424"/>
    </row>
    <row r="270" spans="9:12">
      <c r="I270" s="424"/>
      <c r="J270" s="424"/>
      <c r="K270" s="424"/>
      <c r="L270" s="424"/>
    </row>
    <row r="271" spans="9:12">
      <c r="I271" s="424"/>
      <c r="J271" s="424"/>
      <c r="K271" s="424"/>
      <c r="L271" s="424"/>
    </row>
    <row r="272" spans="9:12">
      <c r="I272" s="424"/>
      <c r="J272" s="424"/>
      <c r="K272" s="424"/>
      <c r="L272" s="424"/>
    </row>
    <row r="273" spans="9:12">
      <c r="I273" s="424"/>
      <c r="J273" s="424"/>
      <c r="K273" s="424"/>
      <c r="L273" s="424"/>
    </row>
    <row r="274" spans="9:12">
      <c r="I274" s="424"/>
      <c r="J274" s="424"/>
      <c r="K274" s="424"/>
      <c r="L274" s="424"/>
    </row>
    <row r="275" spans="9:12">
      <c r="I275" s="424"/>
      <c r="J275" s="424"/>
      <c r="K275" s="424"/>
      <c r="L275" s="424"/>
    </row>
    <row r="276" spans="9:12">
      <c r="I276" s="424"/>
      <c r="J276" s="424"/>
      <c r="K276" s="424"/>
      <c r="L276" s="424"/>
    </row>
    <row r="277" spans="9:12">
      <c r="I277" s="424"/>
      <c r="J277" s="424"/>
      <c r="K277" s="424"/>
      <c r="L277" s="424"/>
    </row>
    <row r="278" spans="9:12">
      <c r="I278" s="424"/>
      <c r="J278" s="424"/>
      <c r="K278" s="424"/>
      <c r="L278" s="424"/>
    </row>
    <row r="279" spans="9:12">
      <c r="I279" s="424"/>
      <c r="J279" s="424"/>
      <c r="K279" s="424"/>
      <c r="L279" s="424"/>
    </row>
    <row r="280" spans="9:12">
      <c r="I280" s="424"/>
      <c r="J280" s="424"/>
      <c r="K280" s="424"/>
      <c r="L280" s="424"/>
    </row>
    <row r="281" spans="9:12">
      <c r="I281" s="424"/>
      <c r="J281" s="424"/>
      <c r="K281" s="424"/>
      <c r="L281" s="424"/>
    </row>
    <row r="282" spans="9:12">
      <c r="I282" s="424"/>
      <c r="J282" s="424"/>
      <c r="K282" s="424"/>
      <c r="L282" s="424"/>
    </row>
    <row r="283" spans="9:12">
      <c r="I283" s="424"/>
      <c r="J283" s="424"/>
      <c r="K283" s="424"/>
      <c r="L283" s="424"/>
    </row>
    <row r="284" spans="9:12">
      <c r="I284" s="424"/>
      <c r="J284" s="424"/>
      <c r="K284" s="424"/>
      <c r="L284" s="424"/>
    </row>
    <row r="285" spans="9:12">
      <c r="I285" s="424"/>
      <c r="J285" s="424"/>
      <c r="K285" s="424"/>
      <c r="L285" s="424"/>
    </row>
    <row r="286" spans="9:12">
      <c r="I286" s="424"/>
      <c r="J286" s="424"/>
      <c r="K286" s="424"/>
      <c r="L286" s="424"/>
    </row>
    <row r="287" spans="9:12">
      <c r="I287" s="424"/>
      <c r="J287" s="424"/>
      <c r="K287" s="424"/>
      <c r="L287" s="424"/>
    </row>
    <row r="288" spans="9:12">
      <c r="I288" s="424"/>
      <c r="J288" s="424"/>
      <c r="K288" s="424"/>
      <c r="L288" s="424"/>
    </row>
    <row r="289" spans="9:12">
      <c r="I289" s="424"/>
      <c r="J289" s="424"/>
      <c r="K289" s="424"/>
      <c r="L289" s="424"/>
    </row>
    <row r="290" spans="9:12">
      <c r="I290" s="424"/>
      <c r="J290" s="424"/>
      <c r="K290" s="424"/>
      <c r="L290" s="424"/>
    </row>
    <row r="291" spans="9:12">
      <c r="I291" s="424"/>
      <c r="J291" s="424"/>
      <c r="K291" s="424"/>
      <c r="L291" s="424"/>
    </row>
    <row r="292" spans="9:12">
      <c r="I292" s="424"/>
      <c r="J292" s="424"/>
      <c r="K292" s="424"/>
      <c r="L292" s="424"/>
    </row>
    <row r="293" spans="9:12">
      <c r="I293" s="424"/>
      <c r="J293" s="424"/>
      <c r="K293" s="424"/>
      <c r="L293" s="424"/>
    </row>
    <row r="294" spans="9:12">
      <c r="I294" s="424"/>
      <c r="J294" s="424"/>
      <c r="K294" s="424"/>
      <c r="L294" s="424"/>
    </row>
    <row r="295" spans="9:12">
      <c r="I295" s="424"/>
      <c r="J295" s="424"/>
      <c r="K295" s="424"/>
      <c r="L295" s="424"/>
    </row>
    <row r="296" spans="9:12">
      <c r="I296" s="424"/>
      <c r="J296" s="424"/>
      <c r="K296" s="424"/>
      <c r="L296" s="424"/>
    </row>
    <row r="297" spans="9:12">
      <c r="I297" s="424"/>
      <c r="J297" s="424"/>
      <c r="K297" s="424"/>
      <c r="L297" s="424"/>
    </row>
    <row r="298" spans="9:12">
      <c r="I298" s="424"/>
      <c r="J298" s="424"/>
      <c r="K298" s="424"/>
      <c r="L298" s="424"/>
    </row>
    <row r="299" spans="9:12">
      <c r="I299" s="424"/>
      <c r="J299" s="424"/>
      <c r="K299" s="424"/>
      <c r="L299" s="424"/>
    </row>
    <row r="300" spans="9:12">
      <c r="I300" s="424"/>
      <c r="J300" s="424"/>
      <c r="K300" s="424"/>
      <c r="L300" s="424"/>
    </row>
    <row r="301" spans="9:12">
      <c r="I301" s="424"/>
      <c r="J301" s="424"/>
      <c r="K301" s="424"/>
      <c r="L301" s="424"/>
    </row>
    <row r="302" spans="9:12">
      <c r="I302" s="424"/>
      <c r="J302" s="424"/>
      <c r="K302" s="424"/>
      <c r="L302" s="424"/>
    </row>
    <row r="303" spans="9:12">
      <c r="I303" s="424"/>
      <c r="J303" s="424"/>
      <c r="K303" s="424"/>
      <c r="L303" s="424"/>
    </row>
    <row r="304" spans="9:12">
      <c r="I304" s="424"/>
      <c r="J304" s="424"/>
      <c r="K304" s="424"/>
      <c r="L304" s="424"/>
    </row>
    <row r="305" spans="9:12">
      <c r="I305" s="424"/>
      <c r="J305" s="424"/>
      <c r="K305" s="424"/>
      <c r="L305" s="424"/>
    </row>
    <row r="306" spans="9:12">
      <c r="I306" s="424"/>
      <c r="J306" s="424"/>
      <c r="K306" s="424"/>
      <c r="L306" s="424"/>
    </row>
    <row r="307" spans="9:12">
      <c r="I307" s="424"/>
      <c r="J307" s="424"/>
      <c r="K307" s="424"/>
      <c r="L307" s="424"/>
    </row>
    <row r="308" spans="9:12">
      <c r="I308" s="424"/>
      <c r="J308" s="424"/>
      <c r="K308" s="424"/>
      <c r="L308" s="424"/>
    </row>
    <row r="309" spans="9:12">
      <c r="I309" s="424"/>
      <c r="J309" s="424"/>
      <c r="K309" s="424"/>
      <c r="L309" s="424"/>
    </row>
    <row r="310" spans="9:12">
      <c r="I310" s="424"/>
      <c r="J310" s="424"/>
      <c r="K310" s="424"/>
      <c r="L310" s="424"/>
    </row>
    <row r="311" spans="9:12">
      <c r="I311" s="424"/>
      <c r="J311" s="424"/>
      <c r="K311" s="424"/>
      <c r="L311" s="424"/>
    </row>
    <row r="312" spans="9:12">
      <c r="I312" s="424"/>
      <c r="J312" s="424"/>
      <c r="K312" s="424"/>
      <c r="L312" s="424"/>
    </row>
    <row r="313" spans="9:12">
      <c r="I313" s="424"/>
      <c r="J313" s="424"/>
      <c r="K313" s="424"/>
      <c r="L313" s="424"/>
    </row>
    <row r="314" spans="9:12">
      <c r="I314" s="424"/>
      <c r="J314" s="424"/>
      <c r="K314" s="424"/>
      <c r="L314" s="424"/>
    </row>
    <row r="315" spans="9:12">
      <c r="I315" s="424"/>
      <c r="J315" s="424"/>
      <c r="K315" s="424"/>
      <c r="L315" s="424"/>
    </row>
    <row r="316" spans="9:12">
      <c r="I316" s="424"/>
      <c r="J316" s="424"/>
      <c r="K316" s="424"/>
      <c r="L316" s="424"/>
    </row>
    <row r="317" spans="9:12">
      <c r="I317" s="424"/>
      <c r="J317" s="424"/>
      <c r="K317" s="424"/>
      <c r="L317" s="424"/>
    </row>
    <row r="318" spans="9:12">
      <c r="I318" s="424"/>
      <c r="J318" s="424"/>
      <c r="K318" s="424"/>
      <c r="L318" s="424"/>
    </row>
    <row r="319" spans="9:12">
      <c r="I319" s="424"/>
      <c r="J319" s="424"/>
      <c r="K319" s="424"/>
      <c r="L319" s="424"/>
    </row>
    <row r="320" spans="9:12">
      <c r="I320" s="424"/>
      <c r="J320" s="424"/>
      <c r="K320" s="424"/>
      <c r="L320" s="424"/>
    </row>
    <row r="321" spans="9:12">
      <c r="I321" s="424"/>
      <c r="J321" s="424"/>
      <c r="K321" s="424"/>
      <c r="L321" s="424"/>
    </row>
    <row r="322" spans="9:12">
      <c r="I322" s="424"/>
      <c r="J322" s="424"/>
      <c r="K322" s="424"/>
      <c r="L322" s="424"/>
    </row>
    <row r="323" spans="9:12">
      <c r="I323" s="424"/>
      <c r="J323" s="424"/>
      <c r="K323" s="424"/>
      <c r="L323" s="424"/>
    </row>
    <row r="324" spans="9:12">
      <c r="I324" s="424"/>
      <c r="J324" s="424"/>
      <c r="K324" s="424"/>
      <c r="L324" s="424"/>
    </row>
    <row r="325" spans="9:12">
      <c r="I325" s="424"/>
      <c r="J325" s="424"/>
      <c r="K325" s="424"/>
      <c r="L325" s="424"/>
    </row>
    <row r="326" spans="9:12">
      <c r="I326" s="424"/>
      <c r="J326" s="424"/>
      <c r="K326" s="424"/>
      <c r="L326" s="424"/>
    </row>
    <row r="327" spans="9:12">
      <c r="I327" s="424"/>
      <c r="J327" s="424"/>
      <c r="K327" s="424"/>
      <c r="L327" s="424"/>
    </row>
    <row r="328" spans="9:12">
      <c r="I328" s="424"/>
      <c r="J328" s="424"/>
      <c r="K328" s="424"/>
      <c r="L328" s="424"/>
    </row>
    <row r="329" spans="9:12">
      <c r="I329" s="424"/>
      <c r="J329" s="424"/>
      <c r="K329" s="424"/>
      <c r="L329" s="424"/>
    </row>
    <row r="330" spans="9:12">
      <c r="I330" s="424"/>
      <c r="J330" s="424"/>
      <c r="K330" s="424"/>
      <c r="L330" s="424"/>
    </row>
    <row r="331" spans="9:12">
      <c r="I331" s="424"/>
      <c r="J331" s="424"/>
      <c r="K331" s="424"/>
      <c r="L331" s="424"/>
    </row>
    <row r="332" spans="9:12">
      <c r="I332" s="424"/>
      <c r="J332" s="424"/>
      <c r="K332" s="424"/>
      <c r="L332" s="424"/>
    </row>
    <row r="333" spans="9:12">
      <c r="I333" s="424"/>
      <c r="J333" s="424"/>
      <c r="K333" s="424"/>
      <c r="L333" s="424"/>
    </row>
    <row r="334" spans="9:12">
      <c r="I334" s="424"/>
      <c r="J334" s="424"/>
      <c r="K334" s="424"/>
      <c r="L334" s="424"/>
    </row>
    <row r="335" spans="9:12">
      <c r="I335" s="424"/>
      <c r="J335" s="424"/>
      <c r="K335" s="424"/>
      <c r="L335" s="424"/>
    </row>
    <row r="336" spans="9:12">
      <c r="I336" s="424"/>
      <c r="J336" s="424"/>
      <c r="K336" s="424"/>
      <c r="L336" s="424"/>
    </row>
    <row r="337" spans="9:12">
      <c r="I337" s="424"/>
      <c r="J337" s="424"/>
      <c r="K337" s="424"/>
      <c r="L337" s="424"/>
    </row>
    <row r="338" spans="9:12">
      <c r="I338" s="424"/>
      <c r="J338" s="424"/>
      <c r="K338" s="424"/>
      <c r="L338" s="424"/>
    </row>
    <row r="339" spans="9:12">
      <c r="I339" s="424"/>
      <c r="J339" s="424"/>
      <c r="K339" s="424"/>
      <c r="L339" s="424"/>
    </row>
    <row r="340" spans="9:12">
      <c r="I340" s="424"/>
      <c r="J340" s="424"/>
      <c r="K340" s="424"/>
      <c r="L340" s="424"/>
    </row>
    <row r="341" spans="9:12">
      <c r="I341" s="424"/>
      <c r="J341" s="424"/>
      <c r="K341" s="424"/>
      <c r="L341" s="424"/>
    </row>
    <row r="342" spans="9:12">
      <c r="I342" s="424"/>
      <c r="J342" s="424"/>
      <c r="K342" s="424"/>
      <c r="L342" s="424"/>
    </row>
    <row r="343" spans="9:12">
      <c r="I343" s="424"/>
      <c r="J343" s="424"/>
      <c r="K343" s="424"/>
      <c r="L343" s="424"/>
    </row>
    <row r="344" spans="9:12">
      <c r="I344" s="424"/>
      <c r="J344" s="424"/>
      <c r="K344" s="424"/>
      <c r="L344" s="424"/>
    </row>
    <row r="345" spans="9:12">
      <c r="I345" s="424"/>
      <c r="J345" s="424"/>
      <c r="K345" s="424"/>
      <c r="L345" s="424"/>
    </row>
    <row r="346" spans="9:12">
      <c r="I346" s="424"/>
      <c r="J346" s="424"/>
      <c r="K346" s="424"/>
      <c r="L346" s="424"/>
    </row>
    <row r="347" spans="9:12">
      <c r="I347" s="424"/>
      <c r="J347" s="424"/>
      <c r="K347" s="424"/>
      <c r="L347" s="424"/>
    </row>
    <row r="348" spans="9:12">
      <c r="I348" s="424"/>
      <c r="J348" s="424"/>
      <c r="K348" s="424"/>
      <c r="L348" s="424"/>
    </row>
    <row r="349" spans="9:12">
      <c r="I349" s="424"/>
      <c r="J349" s="424"/>
      <c r="K349" s="424"/>
      <c r="L349" s="424"/>
    </row>
    <row r="350" spans="9:12">
      <c r="I350" s="424"/>
      <c r="J350" s="424"/>
      <c r="K350" s="424"/>
      <c r="L350" s="424"/>
    </row>
    <row r="351" spans="9:12">
      <c r="I351" s="424"/>
      <c r="J351" s="424"/>
      <c r="K351" s="424"/>
      <c r="L351" s="424"/>
    </row>
    <row r="352" spans="9:12">
      <c r="I352" s="424"/>
      <c r="J352" s="424"/>
      <c r="K352" s="424"/>
      <c r="L352" s="424"/>
    </row>
    <row r="353" spans="9:12">
      <c r="I353" s="424"/>
      <c r="J353" s="424"/>
      <c r="K353" s="424"/>
      <c r="L353" s="424"/>
    </row>
    <row r="354" spans="9:12">
      <c r="I354" s="424"/>
      <c r="J354" s="424"/>
      <c r="K354" s="424"/>
      <c r="L354" s="424"/>
    </row>
    <row r="355" spans="9:12">
      <c r="I355" s="424"/>
      <c r="J355" s="424"/>
      <c r="K355" s="424"/>
      <c r="L355" s="424"/>
    </row>
    <row r="356" spans="9:12">
      <c r="I356" s="424"/>
      <c r="J356" s="424"/>
      <c r="K356" s="424"/>
      <c r="L356" s="424"/>
    </row>
    <row r="357" spans="9:12">
      <c r="I357" s="424"/>
      <c r="J357" s="424"/>
      <c r="K357" s="424"/>
      <c r="L357" s="424"/>
    </row>
    <row r="358" spans="9:12">
      <c r="I358" s="424"/>
      <c r="J358" s="424"/>
      <c r="K358" s="424"/>
      <c r="L358" s="424"/>
    </row>
    <row r="359" spans="9:12">
      <c r="I359" s="424"/>
      <c r="J359" s="424"/>
      <c r="K359" s="424"/>
      <c r="L359" s="424"/>
    </row>
    <row r="360" spans="9:12">
      <c r="I360" s="424"/>
      <c r="J360" s="424"/>
      <c r="K360" s="424"/>
      <c r="L360" s="424"/>
    </row>
    <row r="361" spans="9:12">
      <c r="I361" s="424"/>
      <c r="J361" s="424"/>
      <c r="K361" s="424"/>
      <c r="L361" s="424"/>
    </row>
    <row r="362" spans="9:12">
      <c r="I362" s="424"/>
      <c r="J362" s="424"/>
      <c r="K362" s="424"/>
      <c r="L362" s="424"/>
    </row>
    <row r="363" spans="9:12">
      <c r="I363" s="424"/>
      <c r="J363" s="424"/>
      <c r="K363" s="424"/>
      <c r="L363" s="424"/>
    </row>
    <row r="364" spans="9:12">
      <c r="I364" s="424"/>
      <c r="J364" s="424"/>
      <c r="K364" s="424"/>
      <c r="L364" s="424"/>
    </row>
    <row r="365" spans="9:12">
      <c r="I365" s="424"/>
      <c r="J365" s="424"/>
      <c r="K365" s="424"/>
      <c r="L365" s="424"/>
    </row>
    <row r="366" spans="9:12">
      <c r="I366" s="424"/>
      <c r="J366" s="424"/>
      <c r="K366" s="424"/>
      <c r="L366" s="424"/>
    </row>
    <row r="367" spans="9:12">
      <c r="I367" s="424"/>
      <c r="J367" s="424"/>
      <c r="K367" s="424"/>
      <c r="L367" s="424"/>
    </row>
    <row r="368" spans="9:12">
      <c r="I368" s="424"/>
      <c r="J368" s="424"/>
      <c r="K368" s="424"/>
      <c r="L368" s="424"/>
    </row>
    <row r="369" spans="9:12">
      <c r="I369" s="424"/>
      <c r="J369" s="424"/>
      <c r="K369" s="424"/>
      <c r="L369" s="424"/>
    </row>
    <row r="370" spans="9:12">
      <c r="I370" s="424"/>
      <c r="J370" s="424"/>
      <c r="K370" s="424"/>
      <c r="L370" s="424"/>
    </row>
    <row r="371" spans="9:12">
      <c r="I371" s="424"/>
      <c r="J371" s="424"/>
      <c r="K371" s="424"/>
      <c r="L371" s="424"/>
    </row>
    <row r="372" spans="9:12">
      <c r="I372" s="424"/>
      <c r="J372" s="424"/>
      <c r="K372" s="424"/>
      <c r="L372" s="424"/>
    </row>
    <row r="373" spans="9:12">
      <c r="I373" s="424"/>
      <c r="J373" s="424"/>
      <c r="K373" s="424"/>
      <c r="L373" s="424"/>
    </row>
    <row r="374" spans="9:12">
      <c r="I374" s="424"/>
      <c r="J374" s="424"/>
      <c r="K374" s="424"/>
      <c r="L374" s="424"/>
    </row>
    <row r="375" spans="9:12">
      <c r="I375" s="424"/>
      <c r="J375" s="424"/>
      <c r="K375" s="424"/>
      <c r="L375" s="424"/>
    </row>
    <row r="376" spans="9:12">
      <c r="I376" s="424"/>
      <c r="J376" s="424"/>
      <c r="K376" s="424"/>
      <c r="L376" s="424"/>
    </row>
    <row r="377" spans="9:12">
      <c r="I377" s="424"/>
      <c r="J377" s="424"/>
      <c r="K377" s="424"/>
      <c r="L377" s="424"/>
    </row>
    <row r="378" spans="9:12">
      <c r="I378" s="424"/>
      <c r="J378" s="424"/>
      <c r="K378" s="424"/>
      <c r="L378" s="424"/>
    </row>
    <row r="379" spans="9:12">
      <c r="I379" s="424"/>
      <c r="J379" s="424"/>
      <c r="K379" s="424"/>
      <c r="L379" s="424"/>
    </row>
    <row r="380" spans="9:12">
      <c r="I380" s="424"/>
      <c r="J380" s="424"/>
      <c r="K380" s="424"/>
      <c r="L380" s="424"/>
    </row>
    <row r="381" spans="9:12">
      <c r="I381" s="424"/>
      <c r="J381" s="424"/>
      <c r="K381" s="424"/>
      <c r="L381" s="424"/>
    </row>
    <row r="382" spans="9:12">
      <c r="I382" s="424"/>
      <c r="J382" s="424"/>
      <c r="K382" s="424"/>
      <c r="L382" s="424"/>
    </row>
    <row r="383" spans="9:12">
      <c r="I383" s="424"/>
      <c r="J383" s="424"/>
      <c r="K383" s="424"/>
      <c r="L383" s="424"/>
    </row>
    <row r="384" spans="9:12">
      <c r="I384" s="424"/>
      <c r="J384" s="424"/>
      <c r="K384" s="424"/>
      <c r="L384" s="424"/>
    </row>
    <row r="385" spans="9:12">
      <c r="I385" s="424"/>
      <c r="J385" s="424"/>
      <c r="K385" s="424"/>
      <c r="L385" s="424"/>
    </row>
    <row r="386" spans="9:12">
      <c r="I386" s="424"/>
      <c r="J386" s="424"/>
      <c r="K386" s="424"/>
      <c r="L386" s="424"/>
    </row>
    <row r="387" spans="9:12">
      <c r="I387" s="424"/>
      <c r="J387" s="424"/>
      <c r="K387" s="424"/>
      <c r="L387" s="424"/>
    </row>
    <row r="388" spans="9:12">
      <c r="I388" s="424"/>
      <c r="J388" s="424"/>
      <c r="K388" s="424"/>
      <c r="L388" s="424"/>
    </row>
    <row r="389" spans="9:12">
      <c r="I389" s="424"/>
      <c r="J389" s="424"/>
      <c r="K389" s="424"/>
      <c r="L389" s="424"/>
    </row>
    <row r="390" spans="9:12">
      <c r="I390" s="424"/>
      <c r="J390" s="424"/>
      <c r="K390" s="424"/>
      <c r="L390" s="424"/>
    </row>
    <row r="391" spans="9:12">
      <c r="I391" s="424"/>
      <c r="J391" s="424"/>
      <c r="K391" s="424"/>
      <c r="L391" s="424"/>
    </row>
    <row r="392" spans="9:12">
      <c r="I392" s="424"/>
      <c r="J392" s="424"/>
      <c r="K392" s="424"/>
      <c r="L392" s="424"/>
    </row>
    <row r="393" spans="9:12">
      <c r="I393" s="424"/>
      <c r="J393" s="424"/>
      <c r="K393" s="424"/>
      <c r="L393" s="424"/>
    </row>
    <row r="394" spans="9:12">
      <c r="I394" s="424"/>
      <c r="J394" s="424"/>
      <c r="K394" s="424"/>
      <c r="L394" s="424"/>
    </row>
    <row r="395" spans="9:12">
      <c r="I395" s="424"/>
      <c r="J395" s="424"/>
      <c r="K395" s="424"/>
      <c r="L395" s="424"/>
    </row>
    <row r="396" spans="9:12">
      <c r="I396" s="424"/>
      <c r="J396" s="424"/>
      <c r="K396" s="424"/>
      <c r="L396" s="424"/>
    </row>
    <row r="397" spans="9:12">
      <c r="I397" s="424"/>
      <c r="J397" s="424"/>
      <c r="K397" s="424"/>
      <c r="L397" s="424"/>
    </row>
    <row r="398" spans="9:12">
      <c r="I398" s="424"/>
      <c r="J398" s="424"/>
      <c r="K398" s="424"/>
      <c r="L398" s="424"/>
    </row>
    <row r="399" spans="9:12">
      <c r="I399" s="424"/>
      <c r="J399" s="424"/>
      <c r="K399" s="424"/>
      <c r="L399" s="424"/>
    </row>
    <row r="400" spans="9:12">
      <c r="I400" s="424"/>
      <c r="J400" s="424"/>
      <c r="K400" s="424"/>
      <c r="L400" s="424"/>
    </row>
    <row r="401" spans="9:12">
      <c r="I401" s="424"/>
      <c r="J401" s="424"/>
      <c r="K401" s="424"/>
      <c r="L401" s="424"/>
    </row>
    <row r="402" spans="9:12">
      <c r="I402" s="424"/>
      <c r="J402" s="424"/>
      <c r="K402" s="424"/>
      <c r="L402" s="424"/>
    </row>
    <row r="403" spans="9:12">
      <c r="I403" s="424"/>
      <c r="J403" s="424"/>
      <c r="K403" s="424"/>
      <c r="L403" s="424"/>
    </row>
    <row r="404" spans="9:12">
      <c r="I404" s="424"/>
      <c r="J404" s="424"/>
      <c r="K404" s="424"/>
      <c r="L404" s="424"/>
    </row>
    <row r="405" spans="9:12">
      <c r="I405" s="424"/>
      <c r="J405" s="424"/>
      <c r="K405" s="424"/>
      <c r="L405" s="424"/>
    </row>
    <row r="406" spans="9:12">
      <c r="I406" s="424"/>
      <c r="J406" s="424"/>
      <c r="K406" s="424"/>
      <c r="L406" s="424"/>
    </row>
    <row r="407" spans="9:12">
      <c r="I407" s="424"/>
      <c r="J407" s="424"/>
      <c r="K407" s="424"/>
      <c r="L407" s="424"/>
    </row>
    <row r="408" spans="9:12">
      <c r="I408" s="424"/>
      <c r="J408" s="424"/>
      <c r="K408" s="424"/>
      <c r="L408" s="424"/>
    </row>
    <row r="409" spans="9:12">
      <c r="I409" s="424"/>
      <c r="J409" s="424"/>
      <c r="K409" s="424"/>
      <c r="L409" s="424"/>
    </row>
    <row r="410" spans="9:12">
      <c r="I410" s="424"/>
      <c r="J410" s="424"/>
      <c r="K410" s="424"/>
      <c r="L410" s="424"/>
    </row>
    <row r="411" spans="9:12">
      <c r="I411" s="424"/>
      <c r="J411" s="424"/>
      <c r="K411" s="424"/>
      <c r="L411" s="424"/>
    </row>
    <row r="412" spans="9:12">
      <c r="I412" s="424"/>
      <c r="J412" s="424"/>
      <c r="K412" s="424"/>
      <c r="L412" s="424"/>
    </row>
    <row r="413" spans="9:12">
      <c r="I413" s="424"/>
      <c r="J413" s="424"/>
      <c r="K413" s="424"/>
      <c r="L413" s="424"/>
    </row>
    <row r="414" spans="9:12">
      <c r="I414" s="424"/>
      <c r="J414" s="424"/>
      <c r="K414" s="424"/>
      <c r="L414" s="424"/>
    </row>
    <row r="415" spans="9:12">
      <c r="I415" s="424"/>
      <c r="J415" s="424"/>
      <c r="K415" s="424"/>
      <c r="L415" s="424"/>
    </row>
    <row r="416" spans="9:12">
      <c r="I416" s="424"/>
      <c r="J416" s="424"/>
      <c r="K416" s="424"/>
      <c r="L416" s="424"/>
    </row>
    <row r="417" spans="9:12">
      <c r="I417" s="424"/>
      <c r="J417" s="424"/>
      <c r="K417" s="424"/>
      <c r="L417" s="424"/>
    </row>
    <row r="418" spans="9:12">
      <c r="I418" s="424"/>
      <c r="J418" s="424"/>
      <c r="K418" s="424"/>
      <c r="L418" s="424"/>
    </row>
    <row r="419" spans="9:12">
      <c r="I419" s="424"/>
      <c r="J419" s="424"/>
      <c r="K419" s="424"/>
      <c r="L419" s="424"/>
    </row>
    <row r="420" spans="9:12">
      <c r="I420" s="424"/>
      <c r="J420" s="424"/>
      <c r="K420" s="424"/>
      <c r="L420" s="424"/>
    </row>
    <row r="421" spans="9:12">
      <c r="I421" s="424"/>
      <c r="J421" s="424"/>
      <c r="K421" s="424"/>
      <c r="L421" s="424"/>
    </row>
    <row r="422" spans="9:12">
      <c r="I422" s="424"/>
      <c r="J422" s="424"/>
      <c r="K422" s="424"/>
      <c r="L422" s="424"/>
    </row>
    <row r="423" spans="9:12">
      <c r="I423" s="424"/>
      <c r="J423" s="424"/>
      <c r="K423" s="424"/>
      <c r="L423" s="424"/>
    </row>
    <row r="424" spans="9:12">
      <c r="I424" s="424"/>
      <c r="J424" s="424"/>
      <c r="K424" s="424"/>
      <c r="L424" s="424"/>
    </row>
    <row r="425" spans="9:12">
      <c r="I425" s="424"/>
      <c r="J425" s="424"/>
      <c r="K425" s="424"/>
      <c r="L425" s="424"/>
    </row>
    <row r="426" spans="9:12">
      <c r="I426" s="424"/>
      <c r="J426" s="424"/>
      <c r="K426" s="424"/>
      <c r="L426" s="424"/>
    </row>
    <row r="427" spans="9:12">
      <c r="I427" s="424"/>
      <c r="J427" s="424"/>
      <c r="K427" s="424"/>
      <c r="L427" s="424"/>
    </row>
    <row r="428" spans="9:12">
      <c r="I428" s="424"/>
      <c r="J428" s="424"/>
      <c r="K428" s="424"/>
      <c r="L428" s="424"/>
    </row>
    <row r="429" spans="9:12">
      <c r="I429" s="424"/>
      <c r="J429" s="424"/>
      <c r="K429" s="424"/>
      <c r="L429" s="424"/>
    </row>
    <row r="430" spans="9:12">
      <c r="I430" s="424"/>
      <c r="J430" s="424"/>
      <c r="K430" s="424"/>
      <c r="L430" s="424"/>
    </row>
    <row r="431" spans="9:12">
      <c r="I431" s="424"/>
      <c r="J431" s="424"/>
      <c r="K431" s="424"/>
      <c r="L431" s="424"/>
    </row>
    <row r="432" spans="9:12">
      <c r="I432" s="424"/>
      <c r="J432" s="424"/>
      <c r="K432" s="424"/>
      <c r="L432" s="424"/>
    </row>
    <row r="433" spans="9:12">
      <c r="I433" s="424"/>
      <c r="J433" s="424"/>
      <c r="K433" s="424"/>
      <c r="L433" s="424"/>
    </row>
    <row r="434" spans="9:12">
      <c r="I434" s="424"/>
      <c r="J434" s="424"/>
      <c r="K434" s="424"/>
      <c r="L434" s="424"/>
    </row>
    <row r="435" spans="9:12">
      <c r="I435" s="424"/>
      <c r="J435" s="424"/>
      <c r="K435" s="424"/>
      <c r="L435" s="424"/>
    </row>
    <row r="436" spans="9:12">
      <c r="I436" s="424"/>
      <c r="J436" s="424"/>
      <c r="K436" s="424"/>
      <c r="L436" s="424"/>
    </row>
    <row r="437" spans="9:12">
      <c r="I437" s="424"/>
      <c r="J437" s="424"/>
      <c r="K437" s="424"/>
      <c r="L437" s="424"/>
    </row>
    <row r="438" spans="9:12">
      <c r="I438" s="424"/>
      <c r="J438" s="424"/>
      <c r="K438" s="424"/>
      <c r="L438" s="424"/>
    </row>
    <row r="439" spans="9:12">
      <c r="I439" s="424"/>
      <c r="J439" s="424"/>
      <c r="K439" s="424"/>
      <c r="L439" s="424"/>
    </row>
    <row r="440" spans="9:12">
      <c r="I440" s="424"/>
      <c r="J440" s="424"/>
      <c r="K440" s="424"/>
      <c r="L440" s="424"/>
    </row>
    <row r="441" spans="9:12">
      <c r="I441" s="424"/>
      <c r="J441" s="424"/>
      <c r="K441" s="424"/>
      <c r="L441" s="424"/>
    </row>
    <row r="442" spans="9:12">
      <c r="I442" s="424"/>
      <c r="J442" s="424"/>
      <c r="K442" s="424"/>
      <c r="L442" s="424"/>
    </row>
    <row r="443" spans="9:12">
      <c r="I443" s="424"/>
      <c r="J443" s="424"/>
      <c r="K443" s="424"/>
      <c r="L443" s="424"/>
    </row>
    <row r="444" spans="9:12">
      <c r="I444" s="424"/>
      <c r="J444" s="424"/>
      <c r="K444" s="424"/>
      <c r="L444" s="424"/>
    </row>
    <row r="445" spans="9:12">
      <c r="I445" s="424"/>
      <c r="J445" s="424"/>
      <c r="K445" s="424"/>
      <c r="L445" s="424"/>
    </row>
    <row r="446" spans="9:12">
      <c r="I446" s="424"/>
      <c r="J446" s="424"/>
      <c r="K446" s="424"/>
      <c r="L446" s="424"/>
    </row>
    <row r="447" spans="9:12">
      <c r="I447" s="424"/>
      <c r="J447" s="424"/>
      <c r="K447" s="424"/>
      <c r="L447" s="424"/>
    </row>
    <row r="448" spans="9:12">
      <c r="I448" s="424"/>
      <c r="J448" s="424"/>
      <c r="K448" s="424"/>
      <c r="L448" s="424"/>
    </row>
    <row r="449" spans="9:12">
      <c r="I449" s="424"/>
      <c r="J449" s="424"/>
      <c r="K449" s="424"/>
      <c r="L449" s="424"/>
    </row>
    <row r="450" spans="9:12">
      <c r="I450" s="424"/>
      <c r="J450" s="424"/>
      <c r="K450" s="424"/>
      <c r="L450" s="424"/>
    </row>
    <row r="451" spans="9:12">
      <c r="I451" s="424"/>
      <c r="J451" s="424"/>
      <c r="K451" s="424"/>
      <c r="L451" s="424"/>
    </row>
    <row r="452" spans="9:12">
      <c r="I452" s="424"/>
      <c r="J452" s="424"/>
      <c r="K452" s="424"/>
      <c r="L452" s="424"/>
    </row>
    <row r="453" spans="9:12">
      <c r="I453" s="424"/>
      <c r="J453" s="424"/>
      <c r="K453" s="424"/>
      <c r="L453" s="424"/>
    </row>
    <row r="454" spans="9:12">
      <c r="I454" s="424"/>
      <c r="J454" s="424"/>
      <c r="K454" s="424"/>
      <c r="L454" s="424"/>
    </row>
    <row r="455" spans="9:12">
      <c r="I455" s="424"/>
      <c r="J455" s="424"/>
      <c r="K455" s="424"/>
      <c r="L455" s="424"/>
    </row>
    <row r="456" spans="9:12">
      <c r="I456" s="424"/>
      <c r="J456" s="424"/>
      <c r="K456" s="424"/>
      <c r="L456" s="424"/>
    </row>
    <row r="457" spans="9:12">
      <c r="I457" s="424"/>
      <c r="J457" s="424"/>
      <c r="K457" s="424"/>
      <c r="L457" s="424"/>
    </row>
    <row r="458" spans="9:12">
      <c r="I458" s="424"/>
      <c r="J458" s="424"/>
      <c r="K458" s="424"/>
      <c r="L458" s="424"/>
    </row>
    <row r="459" spans="9:12">
      <c r="I459" s="424"/>
      <c r="J459" s="424"/>
      <c r="K459" s="424"/>
      <c r="L459" s="424"/>
    </row>
    <row r="460" spans="9:12">
      <c r="I460" s="424"/>
      <c r="J460" s="424"/>
      <c r="K460" s="424"/>
      <c r="L460" s="424"/>
    </row>
    <row r="461" spans="9:12">
      <c r="I461" s="424"/>
      <c r="J461" s="424"/>
      <c r="K461" s="424"/>
      <c r="L461" s="424"/>
    </row>
    <row r="462" spans="9:12">
      <c r="I462" s="424"/>
      <c r="J462" s="424"/>
      <c r="K462" s="424"/>
      <c r="L462" s="424"/>
    </row>
    <row r="463" spans="9:12">
      <c r="I463" s="424"/>
      <c r="J463" s="424"/>
      <c r="K463" s="424"/>
      <c r="L463" s="424"/>
    </row>
    <row r="464" spans="9:12">
      <c r="I464" s="424"/>
      <c r="J464" s="424"/>
      <c r="K464" s="424"/>
      <c r="L464" s="424"/>
    </row>
    <row r="465" spans="9:12">
      <c r="I465" s="424"/>
      <c r="J465" s="424"/>
      <c r="K465" s="424"/>
      <c r="L465" s="424"/>
    </row>
    <row r="466" spans="9:12">
      <c r="I466" s="424"/>
      <c r="J466" s="424"/>
      <c r="K466" s="424"/>
      <c r="L466" s="424"/>
    </row>
    <row r="467" spans="9:12">
      <c r="I467" s="424"/>
      <c r="J467" s="424"/>
      <c r="K467" s="424"/>
      <c r="L467" s="424"/>
    </row>
    <row r="468" spans="9:12">
      <c r="I468" s="424"/>
      <c r="J468" s="424"/>
      <c r="K468" s="424"/>
      <c r="L468" s="424"/>
    </row>
    <row r="469" spans="9:12">
      <c r="I469" s="424"/>
      <c r="J469" s="424"/>
      <c r="K469" s="424"/>
      <c r="L469" s="424"/>
    </row>
    <row r="470" spans="9:12">
      <c r="I470" s="424"/>
      <c r="J470" s="424"/>
      <c r="K470" s="424"/>
      <c r="L470" s="424"/>
    </row>
    <row r="471" spans="9:12">
      <c r="I471" s="424"/>
      <c r="J471" s="424"/>
      <c r="K471" s="424"/>
      <c r="L471" s="424"/>
    </row>
    <row r="472" spans="9:12">
      <c r="I472" s="424"/>
      <c r="J472" s="424"/>
      <c r="K472" s="424"/>
      <c r="L472" s="424"/>
    </row>
    <row r="473" spans="9:12">
      <c r="I473" s="424"/>
      <c r="J473" s="424"/>
      <c r="K473" s="424"/>
      <c r="L473" s="424"/>
    </row>
    <row r="474" spans="9:12">
      <c r="I474" s="424"/>
      <c r="J474" s="424"/>
      <c r="K474" s="424"/>
      <c r="L474" s="424"/>
    </row>
    <row r="475" spans="9:12">
      <c r="I475" s="424"/>
      <c r="J475" s="424"/>
      <c r="K475" s="424"/>
      <c r="L475" s="424"/>
    </row>
    <row r="476" spans="9:12">
      <c r="I476" s="424"/>
      <c r="J476" s="424"/>
      <c r="K476" s="424"/>
      <c r="L476" s="424"/>
    </row>
    <row r="477" spans="9:12">
      <c r="I477" s="424"/>
      <c r="J477" s="424"/>
      <c r="K477" s="424"/>
      <c r="L477" s="424"/>
    </row>
    <row r="478" spans="9:12">
      <c r="I478" s="424"/>
      <c r="J478" s="424"/>
      <c r="K478" s="424"/>
      <c r="L478" s="424"/>
    </row>
    <row r="479" spans="9:12">
      <c r="I479" s="424"/>
      <c r="J479" s="424"/>
      <c r="K479" s="424"/>
      <c r="L479" s="424"/>
    </row>
    <row r="480" spans="9:12">
      <c r="I480" s="424"/>
      <c r="J480" s="424"/>
      <c r="K480" s="424"/>
      <c r="L480" s="424"/>
    </row>
    <row r="481" spans="9:12">
      <c r="I481" s="424"/>
      <c r="J481" s="424"/>
      <c r="K481" s="424"/>
      <c r="L481" s="424"/>
    </row>
    <row r="482" spans="9:12">
      <c r="I482" s="424"/>
      <c r="J482" s="424"/>
      <c r="K482" s="424"/>
      <c r="L482" s="424"/>
    </row>
    <row r="483" spans="9:12">
      <c r="I483" s="424"/>
      <c r="J483" s="424"/>
      <c r="K483" s="424"/>
      <c r="L483" s="424"/>
    </row>
    <row r="484" spans="9:12">
      <c r="I484" s="424"/>
      <c r="J484" s="424"/>
      <c r="K484" s="424"/>
      <c r="L484" s="424"/>
    </row>
    <row r="485" spans="9:12">
      <c r="I485" s="424"/>
      <c r="J485" s="424"/>
      <c r="K485" s="424"/>
      <c r="L485" s="424"/>
    </row>
    <row r="486" spans="9:12">
      <c r="I486" s="424"/>
      <c r="J486" s="424"/>
      <c r="K486" s="424"/>
      <c r="L486" s="424"/>
    </row>
    <row r="487" spans="9:12">
      <c r="I487" s="424"/>
      <c r="J487" s="424"/>
      <c r="K487" s="424"/>
      <c r="L487" s="424"/>
    </row>
    <row r="488" spans="9:12">
      <c r="I488" s="424"/>
      <c r="J488" s="424"/>
      <c r="K488" s="424"/>
      <c r="L488" s="424"/>
    </row>
    <row r="489" spans="9:12">
      <c r="I489" s="424"/>
      <c r="J489" s="424"/>
      <c r="K489" s="424"/>
      <c r="L489" s="424"/>
    </row>
    <row r="490" spans="9:12">
      <c r="I490" s="424"/>
      <c r="J490" s="424"/>
      <c r="K490" s="424"/>
      <c r="L490" s="424"/>
    </row>
    <row r="491" spans="9:12">
      <c r="I491" s="424"/>
      <c r="J491" s="424"/>
      <c r="K491" s="424"/>
      <c r="L491" s="424"/>
    </row>
    <row r="492" spans="9:12">
      <c r="I492" s="424"/>
      <c r="J492" s="424"/>
      <c r="K492" s="424"/>
      <c r="L492" s="424"/>
    </row>
    <row r="493" spans="9:12">
      <c r="I493" s="424"/>
      <c r="J493" s="424"/>
      <c r="K493" s="424"/>
      <c r="L493" s="424"/>
    </row>
    <row r="494" spans="9:12">
      <c r="I494" s="424"/>
      <c r="J494" s="424"/>
      <c r="K494" s="424"/>
      <c r="L494" s="424"/>
    </row>
    <row r="495" spans="9:12">
      <c r="I495" s="424"/>
      <c r="J495" s="424"/>
      <c r="K495" s="424"/>
      <c r="L495" s="424"/>
    </row>
    <row r="496" spans="9:12">
      <c r="I496" s="424"/>
      <c r="J496" s="424"/>
      <c r="K496" s="424"/>
      <c r="L496" s="424"/>
    </row>
    <row r="497" spans="9:12">
      <c r="I497" s="424"/>
      <c r="J497" s="424"/>
      <c r="K497" s="424"/>
      <c r="L497" s="424"/>
    </row>
    <row r="498" spans="9:12">
      <c r="I498" s="424"/>
      <c r="J498" s="424"/>
      <c r="K498" s="424"/>
      <c r="L498" s="424"/>
    </row>
    <row r="499" spans="9:12">
      <c r="I499" s="424"/>
      <c r="J499" s="424"/>
      <c r="K499" s="424"/>
      <c r="L499" s="424"/>
    </row>
    <row r="500" spans="9:12">
      <c r="I500" s="424"/>
      <c r="J500" s="424"/>
      <c r="K500" s="424"/>
      <c r="L500" s="424"/>
    </row>
    <row r="501" spans="9:12">
      <c r="I501" s="424"/>
      <c r="J501" s="424"/>
      <c r="K501" s="424"/>
      <c r="L501" s="424"/>
    </row>
    <row r="502" spans="9:12">
      <c r="I502" s="424"/>
      <c r="J502" s="424"/>
      <c r="K502" s="424"/>
      <c r="L502" s="424"/>
    </row>
    <row r="503" spans="9:12">
      <c r="I503" s="424"/>
      <c r="J503" s="424"/>
      <c r="K503" s="424"/>
      <c r="L503" s="424"/>
    </row>
    <row r="504" spans="9:12">
      <c r="I504" s="424"/>
      <c r="J504" s="424"/>
      <c r="K504" s="424"/>
      <c r="L504" s="424"/>
    </row>
    <row r="505" spans="9:12">
      <c r="I505" s="424"/>
      <c r="J505" s="424"/>
      <c r="K505" s="424"/>
      <c r="L505" s="424"/>
    </row>
    <row r="506" spans="9:12">
      <c r="I506" s="424"/>
      <c r="J506" s="424"/>
      <c r="K506" s="424"/>
      <c r="L506" s="424"/>
    </row>
    <row r="507" spans="9:12">
      <c r="I507" s="424"/>
      <c r="J507" s="424"/>
      <c r="K507" s="424"/>
      <c r="L507" s="424"/>
    </row>
    <row r="508" spans="9:12">
      <c r="I508" s="424"/>
      <c r="J508" s="424"/>
      <c r="K508" s="424"/>
      <c r="L508" s="424"/>
    </row>
    <row r="509" spans="9:12">
      <c r="I509" s="424"/>
      <c r="J509" s="424"/>
      <c r="K509" s="424"/>
      <c r="L509" s="424"/>
    </row>
    <row r="510" spans="9:12">
      <c r="I510" s="424"/>
      <c r="J510" s="424"/>
      <c r="K510" s="424"/>
      <c r="L510" s="424"/>
    </row>
    <row r="511" spans="9:12">
      <c r="I511" s="424"/>
      <c r="J511" s="424"/>
      <c r="K511" s="424"/>
      <c r="L511" s="424"/>
    </row>
    <row r="512" spans="9:12">
      <c r="I512" s="424"/>
      <c r="J512" s="424"/>
      <c r="K512" s="424"/>
      <c r="L512" s="424"/>
    </row>
    <row r="513" spans="9:12">
      <c r="I513" s="424"/>
      <c r="J513" s="424"/>
      <c r="K513" s="424"/>
      <c r="L513" s="424"/>
    </row>
    <row r="514" spans="9:12">
      <c r="I514" s="424"/>
      <c r="J514" s="424"/>
      <c r="K514" s="424"/>
      <c r="L514" s="424"/>
    </row>
    <row r="515" spans="9:12">
      <c r="I515" s="424"/>
      <c r="J515" s="424"/>
      <c r="K515" s="424"/>
      <c r="L515" s="424"/>
    </row>
    <row r="516" spans="9:12">
      <c r="I516" s="424"/>
      <c r="J516" s="424"/>
      <c r="K516" s="424"/>
      <c r="L516" s="424"/>
    </row>
    <row r="517" spans="9:12">
      <c r="I517" s="424"/>
      <c r="J517" s="424"/>
      <c r="K517" s="424"/>
      <c r="L517" s="424"/>
    </row>
    <row r="518" spans="9:12">
      <c r="I518" s="424"/>
      <c r="J518" s="424"/>
      <c r="K518" s="424"/>
      <c r="L518" s="424"/>
    </row>
    <row r="519" spans="9:12">
      <c r="I519" s="424"/>
      <c r="J519" s="424"/>
      <c r="K519" s="424"/>
      <c r="L519" s="424"/>
    </row>
    <row r="520" spans="9:12">
      <c r="I520" s="424"/>
      <c r="J520" s="424"/>
      <c r="K520" s="424"/>
      <c r="L520" s="424"/>
    </row>
    <row r="521" spans="9:12">
      <c r="I521" s="424"/>
      <c r="J521" s="424"/>
      <c r="K521" s="424"/>
      <c r="L521" s="424"/>
    </row>
    <row r="522" spans="9:12">
      <c r="I522" s="424"/>
      <c r="J522" s="424"/>
      <c r="K522" s="424"/>
      <c r="L522" s="424"/>
    </row>
    <row r="523" spans="9:12">
      <c r="I523" s="424"/>
      <c r="J523" s="424"/>
      <c r="K523" s="424"/>
      <c r="L523" s="424"/>
    </row>
    <row r="524" spans="9:12">
      <c r="I524" s="424"/>
      <c r="J524" s="424"/>
      <c r="K524" s="424"/>
      <c r="L524" s="424"/>
    </row>
    <row r="525" spans="9:12">
      <c r="I525" s="424"/>
      <c r="J525" s="424"/>
      <c r="K525" s="424"/>
      <c r="L525" s="424"/>
    </row>
    <row r="526" spans="9:12">
      <c r="I526" s="424"/>
      <c r="J526" s="424"/>
      <c r="K526" s="424"/>
      <c r="L526" s="424"/>
    </row>
    <row r="527" spans="9:12">
      <c r="I527" s="424"/>
      <c r="J527" s="424"/>
      <c r="K527" s="424"/>
      <c r="L527" s="424"/>
    </row>
    <row r="528" spans="9:12">
      <c r="I528" s="424"/>
      <c r="J528" s="424"/>
      <c r="K528" s="424"/>
      <c r="L528" s="424"/>
    </row>
    <row r="529" spans="9:12">
      <c r="I529" s="424"/>
      <c r="J529" s="424"/>
      <c r="K529" s="424"/>
      <c r="L529" s="424"/>
    </row>
    <row r="530" spans="9:12">
      <c r="I530" s="424"/>
      <c r="J530" s="424"/>
      <c r="K530" s="424"/>
      <c r="L530" s="424"/>
    </row>
    <row r="531" spans="9:12">
      <c r="I531" s="424"/>
      <c r="J531" s="424"/>
      <c r="K531" s="424"/>
      <c r="L531" s="424"/>
    </row>
    <row r="532" spans="9:12">
      <c r="I532" s="424"/>
      <c r="J532" s="424"/>
      <c r="K532" s="424"/>
      <c r="L532" s="424"/>
    </row>
    <row r="533" spans="9:12">
      <c r="I533" s="424"/>
      <c r="J533" s="424"/>
      <c r="K533" s="424"/>
      <c r="L533" s="424"/>
    </row>
    <row r="534" spans="9:12">
      <c r="I534" s="424"/>
      <c r="J534" s="424"/>
      <c r="K534" s="424"/>
      <c r="L534" s="424"/>
    </row>
    <row r="535" spans="9:12">
      <c r="I535" s="424"/>
      <c r="J535" s="424"/>
      <c r="K535" s="424"/>
      <c r="L535" s="424"/>
    </row>
    <row r="536" spans="9:12">
      <c r="I536" s="424"/>
      <c r="J536" s="424"/>
      <c r="K536" s="424"/>
      <c r="L536" s="424"/>
    </row>
    <row r="537" spans="9:12">
      <c r="I537" s="424"/>
      <c r="J537" s="424"/>
      <c r="K537" s="424"/>
      <c r="L537" s="424"/>
    </row>
    <row r="538" spans="9:12">
      <c r="I538" s="424"/>
      <c r="J538" s="424"/>
      <c r="K538" s="424"/>
      <c r="L538" s="424"/>
    </row>
    <row r="539" spans="9:12">
      <c r="I539" s="424"/>
      <c r="J539" s="424"/>
      <c r="K539" s="424"/>
      <c r="L539" s="424"/>
    </row>
    <row r="540" spans="9:12">
      <c r="I540" s="424"/>
      <c r="J540" s="424"/>
      <c r="K540" s="424"/>
      <c r="L540" s="424"/>
    </row>
    <row r="541" spans="9:12">
      <c r="I541" s="424"/>
      <c r="J541" s="424"/>
      <c r="K541" s="424"/>
      <c r="L541" s="424"/>
    </row>
    <row r="542" spans="9:12">
      <c r="I542" s="424"/>
      <c r="J542" s="424"/>
      <c r="K542" s="424"/>
      <c r="L542" s="424"/>
    </row>
    <row r="543" spans="9:12">
      <c r="I543" s="424"/>
      <c r="J543" s="424"/>
      <c r="K543" s="424"/>
      <c r="L543" s="424"/>
    </row>
    <row r="544" spans="9:12">
      <c r="I544" s="424"/>
      <c r="J544" s="424"/>
      <c r="K544" s="424"/>
      <c r="L544" s="424"/>
    </row>
    <row r="545" spans="9:12">
      <c r="I545" s="424"/>
      <c r="J545" s="424"/>
      <c r="K545" s="424"/>
      <c r="L545" s="424"/>
    </row>
    <row r="546" spans="9:12">
      <c r="I546" s="424"/>
      <c r="J546" s="424"/>
      <c r="K546" s="424"/>
      <c r="L546" s="424"/>
    </row>
    <row r="547" spans="9:12">
      <c r="I547" s="424"/>
      <c r="J547" s="424"/>
      <c r="K547" s="424"/>
      <c r="L547" s="424"/>
    </row>
    <row r="548" spans="9:12">
      <c r="I548" s="424"/>
      <c r="J548" s="424"/>
      <c r="K548" s="424"/>
      <c r="L548" s="424"/>
    </row>
    <row r="549" spans="9:12">
      <c r="I549" s="424"/>
      <c r="J549" s="424"/>
      <c r="K549" s="424"/>
      <c r="L549" s="424"/>
    </row>
    <row r="550" spans="9:12">
      <c r="I550" s="424"/>
      <c r="J550" s="424"/>
      <c r="K550" s="424"/>
      <c r="L550" s="424"/>
    </row>
    <row r="551" spans="9:12">
      <c r="I551" s="424"/>
      <c r="J551" s="424"/>
      <c r="K551" s="424"/>
      <c r="L551" s="424"/>
    </row>
    <row r="552" spans="9:12">
      <c r="I552" s="424"/>
      <c r="J552" s="424"/>
      <c r="K552" s="424"/>
      <c r="L552" s="424"/>
    </row>
    <row r="553" spans="9:12">
      <c r="I553" s="424"/>
      <c r="J553" s="424"/>
      <c r="K553" s="424"/>
      <c r="L553" s="424"/>
    </row>
    <row r="554" spans="9:12">
      <c r="I554" s="424"/>
      <c r="J554" s="424"/>
      <c r="K554" s="424"/>
      <c r="L554" s="424"/>
    </row>
    <row r="555" spans="9:12">
      <c r="I555" s="424"/>
      <c r="J555" s="424"/>
      <c r="K555" s="424"/>
      <c r="L555" s="424"/>
    </row>
    <row r="556" spans="9:12">
      <c r="I556" s="424"/>
      <c r="J556" s="424"/>
      <c r="K556" s="424"/>
      <c r="L556" s="424"/>
    </row>
    <row r="557" spans="9:12">
      <c r="I557" s="424"/>
      <c r="J557" s="424"/>
      <c r="K557" s="424"/>
      <c r="L557" s="424"/>
    </row>
    <row r="558" spans="9:12">
      <c r="I558" s="424"/>
      <c r="J558" s="424"/>
      <c r="K558" s="424"/>
      <c r="L558" s="424"/>
    </row>
    <row r="559" spans="9:12">
      <c r="I559" s="424"/>
      <c r="J559" s="424"/>
      <c r="K559" s="424"/>
      <c r="L559" s="424"/>
    </row>
    <row r="560" spans="9:12">
      <c r="I560" s="424"/>
      <c r="J560" s="424"/>
      <c r="K560" s="424"/>
      <c r="L560" s="424"/>
    </row>
    <row r="561" spans="9:12">
      <c r="I561" s="424"/>
      <c r="J561" s="424"/>
      <c r="K561" s="424"/>
      <c r="L561" s="424"/>
    </row>
    <row r="562" spans="9:12">
      <c r="I562" s="424"/>
      <c r="J562" s="424"/>
      <c r="K562" s="424"/>
      <c r="L562" s="424"/>
    </row>
    <row r="563" spans="9:12">
      <c r="I563" s="424"/>
      <c r="J563" s="424"/>
      <c r="K563" s="424"/>
      <c r="L563" s="424"/>
    </row>
    <row r="564" spans="9:12">
      <c r="I564" s="424"/>
      <c r="J564" s="424"/>
      <c r="K564" s="424"/>
      <c r="L564" s="424"/>
    </row>
    <row r="565" spans="9:12">
      <c r="I565" s="424"/>
      <c r="J565" s="424"/>
      <c r="K565" s="424"/>
      <c r="L565" s="424"/>
    </row>
    <row r="566" spans="9:12">
      <c r="I566" s="424"/>
      <c r="J566" s="424"/>
      <c r="K566" s="424"/>
      <c r="L566" s="424"/>
    </row>
    <row r="567" spans="9:12">
      <c r="I567" s="424"/>
      <c r="J567" s="424"/>
      <c r="K567" s="424"/>
      <c r="L567" s="424"/>
    </row>
    <row r="568" spans="9:12">
      <c r="I568" s="424"/>
      <c r="J568" s="424"/>
      <c r="K568" s="424"/>
      <c r="L568" s="424"/>
    </row>
    <row r="569" spans="9:12">
      <c r="I569" s="424"/>
      <c r="J569" s="424"/>
      <c r="K569" s="424"/>
      <c r="L569" s="424"/>
    </row>
    <row r="570" spans="9:12">
      <c r="I570" s="424"/>
      <c r="J570" s="424"/>
      <c r="K570" s="424"/>
      <c r="L570" s="424"/>
    </row>
    <row r="571" spans="9:12">
      <c r="I571" s="424"/>
      <c r="J571" s="424"/>
      <c r="K571" s="424"/>
      <c r="L571" s="424"/>
    </row>
    <row r="572" spans="9:12">
      <c r="I572" s="424"/>
      <c r="J572" s="424"/>
      <c r="K572" s="424"/>
      <c r="L572" s="424"/>
    </row>
    <row r="573" spans="9:12">
      <c r="I573" s="424"/>
      <c r="J573" s="424"/>
      <c r="K573" s="424"/>
      <c r="L573" s="424"/>
    </row>
    <row r="574" spans="9:12">
      <c r="I574" s="424"/>
      <c r="J574" s="424"/>
      <c r="K574" s="424"/>
      <c r="L574" s="424"/>
    </row>
    <row r="575" spans="9:12">
      <c r="I575" s="424"/>
      <c r="J575" s="424"/>
      <c r="K575" s="424"/>
      <c r="L575" s="424"/>
    </row>
    <row r="576" spans="9:12">
      <c r="I576" s="424"/>
      <c r="J576" s="424"/>
      <c r="K576" s="424"/>
      <c r="L576" s="424"/>
    </row>
    <row r="577" spans="9:12">
      <c r="I577" s="424"/>
      <c r="J577" s="424"/>
      <c r="K577" s="424"/>
      <c r="L577" s="424"/>
    </row>
    <row r="578" spans="9:12">
      <c r="I578" s="424"/>
      <c r="J578" s="424"/>
      <c r="K578" s="424"/>
      <c r="L578" s="424"/>
    </row>
    <row r="579" spans="9:12">
      <c r="I579" s="424"/>
      <c r="J579" s="424"/>
      <c r="K579" s="424"/>
      <c r="L579" s="424"/>
    </row>
    <row r="580" spans="9:12">
      <c r="I580" s="424"/>
      <c r="J580" s="424"/>
      <c r="K580" s="424"/>
      <c r="L580" s="424"/>
    </row>
    <row r="581" spans="9:12">
      <c r="I581" s="424"/>
      <c r="J581" s="424"/>
      <c r="K581" s="424"/>
      <c r="L581" s="424"/>
    </row>
    <row r="582" spans="9:12">
      <c r="I582" s="424"/>
      <c r="J582" s="424"/>
      <c r="K582" s="424"/>
      <c r="L582" s="424"/>
    </row>
    <row r="583" spans="9:12">
      <c r="I583" s="424"/>
      <c r="J583" s="424"/>
      <c r="K583" s="424"/>
      <c r="L583" s="424"/>
    </row>
    <row r="584" spans="9:12">
      <c r="I584" s="424"/>
      <c r="J584" s="424"/>
      <c r="K584" s="424"/>
      <c r="L584" s="424"/>
    </row>
    <row r="585" spans="9:12">
      <c r="I585" s="424"/>
      <c r="J585" s="424"/>
      <c r="K585" s="424"/>
      <c r="L585" s="424"/>
    </row>
    <row r="586" spans="9:12">
      <c r="I586" s="424"/>
      <c r="J586" s="424"/>
      <c r="K586" s="424"/>
      <c r="L586" s="424"/>
    </row>
    <row r="587" spans="9:12">
      <c r="I587" s="424"/>
      <c r="J587" s="424"/>
      <c r="K587" s="424"/>
      <c r="L587" s="424"/>
    </row>
    <row r="588" spans="9:12">
      <c r="I588" s="424"/>
      <c r="J588" s="424"/>
      <c r="K588" s="424"/>
      <c r="L588" s="424"/>
    </row>
    <row r="589" spans="9:12">
      <c r="I589" s="424"/>
      <c r="J589" s="424"/>
      <c r="K589" s="424"/>
      <c r="L589" s="424"/>
    </row>
    <row r="590" spans="9:12">
      <c r="I590" s="424"/>
      <c r="J590" s="424"/>
      <c r="K590" s="424"/>
      <c r="L590" s="424"/>
    </row>
    <row r="591" spans="9:12">
      <c r="I591" s="424"/>
      <c r="J591" s="424"/>
      <c r="K591" s="424"/>
      <c r="L591" s="424"/>
    </row>
    <row r="592" spans="9:12">
      <c r="I592" s="424"/>
      <c r="J592" s="424"/>
      <c r="K592" s="424"/>
      <c r="L592" s="424"/>
    </row>
    <row r="593" spans="9:12">
      <c r="I593" s="424"/>
      <c r="J593" s="424"/>
      <c r="K593" s="424"/>
      <c r="L593" s="424"/>
    </row>
    <row r="594" spans="9:12">
      <c r="I594" s="424"/>
      <c r="J594" s="424"/>
      <c r="K594" s="424"/>
      <c r="L594" s="424"/>
    </row>
    <row r="595" spans="9:12">
      <c r="I595" s="424"/>
      <c r="J595" s="424"/>
      <c r="K595" s="424"/>
      <c r="L595" s="424"/>
    </row>
    <row r="596" spans="9:12">
      <c r="I596" s="424"/>
      <c r="J596" s="424"/>
      <c r="K596" s="424"/>
      <c r="L596" s="424"/>
    </row>
    <row r="597" spans="9:12">
      <c r="I597" s="424"/>
      <c r="J597" s="424"/>
      <c r="K597" s="424"/>
      <c r="L597" s="424"/>
    </row>
    <row r="598" spans="9:12">
      <c r="I598" s="424"/>
      <c r="J598" s="424"/>
      <c r="K598" s="424"/>
      <c r="L598" s="424"/>
    </row>
    <row r="599" spans="9:12">
      <c r="I599" s="424"/>
      <c r="J599" s="424"/>
      <c r="K599" s="424"/>
      <c r="L599" s="424"/>
    </row>
    <row r="600" spans="9:12">
      <c r="I600" s="424"/>
      <c r="J600" s="424"/>
      <c r="K600" s="424"/>
      <c r="L600" s="424"/>
    </row>
    <row r="601" spans="9:12">
      <c r="I601" s="424"/>
      <c r="J601" s="424"/>
      <c r="K601" s="424"/>
      <c r="L601" s="424"/>
    </row>
    <row r="602" spans="9:12">
      <c r="I602" s="424"/>
      <c r="J602" s="424"/>
      <c r="K602" s="424"/>
      <c r="L602" s="424"/>
    </row>
    <row r="603" spans="9:12">
      <c r="I603" s="424"/>
      <c r="J603" s="424"/>
      <c r="K603" s="424"/>
      <c r="L603" s="424"/>
    </row>
    <row r="604" spans="9:12">
      <c r="I604" s="424"/>
      <c r="J604" s="424"/>
      <c r="K604" s="424"/>
      <c r="L604" s="424"/>
    </row>
    <row r="605" spans="9:12">
      <c r="I605" s="424"/>
      <c r="J605" s="424"/>
      <c r="K605" s="424"/>
      <c r="L605" s="424"/>
    </row>
    <row r="606" spans="9:12">
      <c r="I606" s="424"/>
      <c r="J606" s="424"/>
      <c r="K606" s="424"/>
      <c r="L606" s="424"/>
    </row>
    <row r="607" spans="9:12">
      <c r="I607" s="424"/>
      <c r="J607" s="424"/>
      <c r="K607" s="424"/>
      <c r="L607" s="424"/>
    </row>
    <row r="608" spans="9:12">
      <c r="I608" s="424"/>
      <c r="J608" s="424"/>
      <c r="K608" s="424"/>
      <c r="L608" s="424"/>
    </row>
    <row r="609" spans="9:12">
      <c r="I609" s="424"/>
      <c r="J609" s="424"/>
      <c r="K609" s="424"/>
      <c r="L609" s="424"/>
    </row>
    <row r="610" spans="9:12">
      <c r="I610" s="424"/>
      <c r="J610" s="424"/>
      <c r="K610" s="424"/>
      <c r="L610" s="424"/>
    </row>
    <row r="611" spans="9:12">
      <c r="I611" s="424"/>
      <c r="J611" s="424"/>
      <c r="K611" s="424"/>
      <c r="L611" s="424"/>
    </row>
    <row r="612" spans="9:12">
      <c r="I612" s="424"/>
      <c r="J612" s="424"/>
      <c r="K612" s="424"/>
      <c r="L612" s="424"/>
    </row>
    <row r="613" spans="9:12">
      <c r="I613" s="424"/>
      <c r="J613" s="424"/>
      <c r="K613" s="424"/>
      <c r="L613" s="424"/>
    </row>
    <row r="614" spans="9:12">
      <c r="I614" s="424"/>
      <c r="J614" s="424"/>
      <c r="K614" s="424"/>
      <c r="L614" s="424"/>
    </row>
    <row r="615" spans="9:12">
      <c r="I615" s="424"/>
      <c r="J615" s="424"/>
      <c r="K615" s="424"/>
      <c r="L615" s="424"/>
    </row>
    <row r="616" spans="9:12">
      <c r="I616" s="424"/>
      <c r="J616" s="424"/>
      <c r="K616" s="424"/>
      <c r="L616" s="424"/>
    </row>
    <row r="617" spans="9:12">
      <c r="I617" s="424"/>
      <c r="J617" s="424"/>
      <c r="K617" s="424"/>
      <c r="L617" s="424"/>
    </row>
    <row r="618" spans="9:12">
      <c r="I618" s="424"/>
      <c r="J618" s="424"/>
      <c r="K618" s="424"/>
      <c r="L618" s="424"/>
    </row>
    <row r="619" spans="9:12">
      <c r="I619" s="424"/>
      <c r="J619" s="424"/>
      <c r="K619" s="424"/>
      <c r="L619" s="424"/>
    </row>
    <row r="620" spans="9:12">
      <c r="I620" s="424"/>
      <c r="J620" s="424"/>
      <c r="K620" s="424"/>
      <c r="L620" s="424"/>
    </row>
    <row r="621" spans="9:12">
      <c r="I621" s="424"/>
      <c r="J621" s="424"/>
      <c r="K621" s="424"/>
      <c r="L621" s="424"/>
    </row>
    <row r="622" spans="9:12">
      <c r="I622" s="424"/>
      <c r="J622" s="424"/>
      <c r="K622" s="424"/>
      <c r="L622" s="424"/>
    </row>
    <row r="623" spans="9:12">
      <c r="I623" s="424"/>
      <c r="J623" s="424"/>
      <c r="K623" s="424"/>
      <c r="L623" s="424"/>
    </row>
    <row r="624" spans="9:12">
      <c r="I624" s="424"/>
      <c r="J624" s="424"/>
      <c r="K624" s="424"/>
      <c r="L624" s="424"/>
    </row>
    <row r="625" spans="9:12">
      <c r="I625" s="424"/>
      <c r="J625" s="424"/>
      <c r="K625" s="424"/>
      <c r="L625" s="424"/>
    </row>
    <row r="626" spans="9:12">
      <c r="I626" s="424"/>
      <c r="J626" s="424"/>
      <c r="K626" s="424"/>
      <c r="L626" s="424"/>
    </row>
    <row r="627" spans="9:12">
      <c r="I627" s="424"/>
      <c r="J627" s="424"/>
      <c r="K627" s="424"/>
      <c r="L627" s="424"/>
    </row>
    <row r="628" spans="9:12">
      <c r="I628" s="424"/>
      <c r="J628" s="424"/>
      <c r="K628" s="424"/>
      <c r="L628" s="424"/>
    </row>
    <row r="629" spans="9:12">
      <c r="I629" s="424"/>
      <c r="J629" s="424"/>
      <c r="K629" s="424"/>
      <c r="L629" s="424"/>
    </row>
    <row r="630" spans="9:12">
      <c r="I630" s="424"/>
      <c r="J630" s="424"/>
      <c r="K630" s="424"/>
      <c r="L630" s="424"/>
    </row>
    <row r="631" spans="9:12">
      <c r="I631" s="424"/>
      <c r="J631" s="424"/>
      <c r="K631" s="424"/>
      <c r="L631" s="424"/>
    </row>
    <row r="632" spans="9:12">
      <c r="I632" s="424"/>
      <c r="J632" s="424"/>
      <c r="K632" s="424"/>
      <c r="L632" s="424"/>
    </row>
    <row r="633" spans="9:12">
      <c r="I633" s="424"/>
      <c r="J633" s="424"/>
      <c r="K633" s="424"/>
      <c r="L633" s="424"/>
    </row>
    <row r="634" spans="9:12">
      <c r="I634" s="424"/>
      <c r="J634" s="424"/>
      <c r="K634" s="424"/>
      <c r="L634" s="424"/>
    </row>
    <row r="635" spans="9:12">
      <c r="I635" s="424"/>
      <c r="J635" s="424"/>
      <c r="K635" s="424"/>
      <c r="L635" s="424"/>
    </row>
    <row r="636" spans="9:12">
      <c r="I636" s="424"/>
      <c r="J636" s="424"/>
      <c r="K636" s="424"/>
      <c r="L636" s="424"/>
    </row>
    <row r="637" spans="9:12">
      <c r="I637" s="424"/>
      <c r="J637" s="424"/>
      <c r="K637" s="424"/>
      <c r="L637" s="424"/>
    </row>
    <row r="638" spans="9:12">
      <c r="I638" s="424"/>
      <c r="J638" s="424"/>
      <c r="K638" s="424"/>
      <c r="L638" s="424"/>
    </row>
    <row r="639" spans="9:12">
      <c r="I639" s="424"/>
      <c r="J639" s="424"/>
      <c r="K639" s="424"/>
      <c r="L639" s="424"/>
    </row>
    <row r="640" spans="9:12">
      <c r="I640" s="424"/>
      <c r="J640" s="424"/>
      <c r="K640" s="424"/>
      <c r="L640" s="424"/>
    </row>
    <row r="641" spans="9:12">
      <c r="I641" s="424"/>
      <c r="J641" s="424"/>
      <c r="K641" s="424"/>
      <c r="L641" s="424"/>
    </row>
    <row r="642" spans="9:12">
      <c r="I642" s="424"/>
      <c r="J642" s="424"/>
      <c r="K642" s="424"/>
      <c r="L642" s="424"/>
    </row>
    <row r="643" spans="9:12">
      <c r="I643" s="424"/>
      <c r="J643" s="424"/>
      <c r="K643" s="424"/>
      <c r="L643" s="424"/>
    </row>
    <row r="644" spans="9:12">
      <c r="I644" s="424"/>
      <c r="J644" s="424"/>
      <c r="K644" s="424"/>
      <c r="L644" s="424"/>
    </row>
    <row r="645" spans="9:12">
      <c r="I645" s="424"/>
      <c r="J645" s="424"/>
      <c r="K645" s="424"/>
      <c r="L645" s="424"/>
    </row>
    <row r="646" spans="9:12">
      <c r="I646" s="424"/>
      <c r="J646" s="424"/>
      <c r="K646" s="424"/>
      <c r="L646" s="424"/>
    </row>
    <row r="647" spans="9:12">
      <c r="I647" s="424"/>
      <c r="J647" s="424"/>
      <c r="K647" s="424"/>
      <c r="L647" s="424"/>
    </row>
    <row r="648" spans="9:12">
      <c r="I648" s="424"/>
      <c r="J648" s="424"/>
      <c r="K648" s="424"/>
      <c r="L648" s="424"/>
    </row>
    <row r="649" spans="9:12">
      <c r="I649" s="424"/>
      <c r="J649" s="424"/>
      <c r="K649" s="424"/>
      <c r="L649" s="424"/>
    </row>
    <row r="650" spans="9:12">
      <c r="I650" s="424"/>
      <c r="J650" s="424"/>
      <c r="K650" s="424"/>
      <c r="L650" s="424"/>
    </row>
    <row r="651" spans="9:12">
      <c r="I651" s="424"/>
      <c r="J651" s="424"/>
      <c r="K651" s="424"/>
      <c r="L651" s="424"/>
    </row>
    <row r="652" spans="9:12">
      <c r="I652" s="424"/>
      <c r="J652" s="424"/>
      <c r="K652" s="424"/>
      <c r="L652" s="424"/>
    </row>
    <row r="653" spans="9:12">
      <c r="I653" s="424"/>
      <c r="J653" s="424"/>
      <c r="K653" s="424"/>
      <c r="L653" s="424"/>
    </row>
    <row r="654" spans="9:12">
      <c r="I654" s="424"/>
      <c r="J654" s="424"/>
      <c r="K654" s="424"/>
      <c r="L654" s="424"/>
    </row>
    <row r="655" spans="9:12">
      <c r="I655" s="424"/>
      <c r="J655" s="424"/>
      <c r="K655" s="424"/>
      <c r="L655" s="424"/>
    </row>
    <row r="656" spans="9:12">
      <c r="I656" s="424"/>
      <c r="J656" s="424"/>
      <c r="K656" s="424"/>
      <c r="L656" s="424"/>
    </row>
    <row r="657" spans="9:12">
      <c r="I657" s="424"/>
      <c r="J657" s="424"/>
      <c r="K657" s="424"/>
      <c r="L657" s="424"/>
    </row>
    <row r="658" spans="9:12">
      <c r="I658" s="424"/>
      <c r="J658" s="424"/>
      <c r="K658" s="424"/>
      <c r="L658" s="424"/>
    </row>
    <row r="659" spans="9:12">
      <c r="I659" s="424"/>
      <c r="J659" s="424"/>
      <c r="K659" s="424"/>
      <c r="L659" s="424"/>
    </row>
    <row r="660" spans="9:12">
      <c r="I660" s="424"/>
      <c r="J660" s="424"/>
      <c r="K660" s="424"/>
      <c r="L660" s="424"/>
    </row>
    <row r="661" spans="9:12">
      <c r="I661" s="424"/>
      <c r="J661" s="424"/>
      <c r="K661" s="424"/>
      <c r="L661" s="424"/>
    </row>
    <row r="662" spans="9:12">
      <c r="I662" s="424"/>
      <c r="J662" s="424"/>
      <c r="K662" s="424"/>
      <c r="L662" s="424"/>
    </row>
    <row r="663" spans="9:12">
      <c r="I663" s="424"/>
      <c r="J663" s="424"/>
      <c r="K663" s="424"/>
      <c r="L663" s="424"/>
    </row>
    <row r="664" spans="9:12">
      <c r="I664" s="424"/>
      <c r="J664" s="424"/>
      <c r="K664" s="424"/>
      <c r="L664" s="424"/>
    </row>
    <row r="665" spans="9:12">
      <c r="I665" s="424"/>
      <c r="J665" s="424"/>
      <c r="K665" s="424"/>
      <c r="L665" s="424"/>
    </row>
    <row r="666" spans="9:12">
      <c r="I666" s="424"/>
      <c r="J666" s="424"/>
      <c r="K666" s="424"/>
      <c r="L666" s="424"/>
    </row>
    <row r="667" spans="9:12">
      <c r="I667" s="424"/>
      <c r="J667" s="424"/>
      <c r="K667" s="424"/>
      <c r="L667" s="424"/>
    </row>
    <row r="668" spans="9:12">
      <c r="I668" s="424"/>
      <c r="J668" s="424"/>
      <c r="K668" s="424"/>
      <c r="L668" s="424"/>
    </row>
    <row r="669" spans="9:12">
      <c r="I669" s="424"/>
      <c r="J669" s="424"/>
      <c r="K669" s="424"/>
      <c r="L669" s="424"/>
    </row>
    <row r="670" spans="9:12">
      <c r="I670" s="424"/>
      <c r="J670" s="424"/>
      <c r="K670" s="424"/>
      <c r="L670" s="424"/>
    </row>
    <row r="671" spans="9:12">
      <c r="I671" s="424"/>
      <c r="J671" s="424"/>
      <c r="K671" s="424"/>
      <c r="L671" s="424"/>
    </row>
    <row r="672" spans="9:12">
      <c r="I672" s="424"/>
      <c r="J672" s="424"/>
      <c r="K672" s="424"/>
      <c r="L672" s="424"/>
    </row>
    <row r="673" spans="9:12">
      <c r="I673" s="424"/>
      <c r="J673" s="424"/>
      <c r="K673" s="424"/>
      <c r="L673" s="424"/>
    </row>
    <row r="674" spans="9:12">
      <c r="I674" s="424"/>
      <c r="J674" s="424"/>
      <c r="K674" s="424"/>
      <c r="L674" s="424"/>
    </row>
    <row r="675" spans="9:12">
      <c r="I675" s="424"/>
      <c r="J675" s="424"/>
      <c r="K675" s="424"/>
      <c r="L675" s="424"/>
    </row>
    <row r="676" spans="9:12">
      <c r="I676" s="424"/>
      <c r="J676" s="424"/>
      <c r="K676" s="424"/>
      <c r="L676" s="424"/>
    </row>
    <row r="677" spans="9:12">
      <c r="I677" s="424"/>
      <c r="J677" s="424"/>
      <c r="K677" s="424"/>
      <c r="L677" s="424"/>
    </row>
    <row r="678" spans="9:12">
      <c r="I678" s="424"/>
      <c r="J678" s="424"/>
      <c r="K678" s="424"/>
      <c r="L678" s="424"/>
    </row>
    <row r="679" spans="9:12">
      <c r="I679" s="424"/>
      <c r="J679" s="424"/>
      <c r="K679" s="424"/>
      <c r="L679" s="424"/>
    </row>
    <row r="680" spans="9:12">
      <c r="I680" s="424"/>
      <c r="J680" s="424"/>
      <c r="K680" s="424"/>
      <c r="L680" s="424"/>
    </row>
    <row r="681" spans="9:12">
      <c r="I681" s="424"/>
      <c r="J681" s="424"/>
      <c r="K681" s="424"/>
      <c r="L681" s="424"/>
    </row>
    <row r="682" spans="9:12">
      <c r="I682" s="424"/>
      <c r="J682" s="424"/>
      <c r="K682" s="424"/>
      <c r="L682" s="424"/>
    </row>
    <row r="683" spans="9:12">
      <c r="I683" s="424"/>
      <c r="J683" s="424"/>
      <c r="K683" s="424"/>
      <c r="L683" s="424"/>
    </row>
    <row r="684" spans="9:12">
      <c r="I684" s="424"/>
      <c r="J684" s="424"/>
      <c r="K684" s="424"/>
      <c r="L684" s="424"/>
    </row>
    <row r="685" spans="9:12">
      <c r="I685" s="424"/>
      <c r="J685" s="424"/>
      <c r="K685" s="424"/>
      <c r="L685" s="424"/>
    </row>
    <row r="686" spans="9:12">
      <c r="I686" s="424"/>
      <c r="J686" s="424"/>
      <c r="K686" s="424"/>
      <c r="L686" s="424"/>
    </row>
    <row r="687" spans="9:12">
      <c r="I687" s="424"/>
      <c r="J687" s="424"/>
      <c r="K687" s="424"/>
      <c r="L687" s="424"/>
    </row>
    <row r="688" spans="9:12">
      <c r="I688" s="424"/>
      <c r="J688" s="424"/>
      <c r="K688" s="424"/>
      <c r="L688" s="424"/>
    </row>
    <row r="689" spans="9:12">
      <c r="I689" s="424"/>
      <c r="J689" s="424"/>
      <c r="K689" s="424"/>
      <c r="L689" s="424"/>
    </row>
    <row r="690" spans="9:12">
      <c r="I690" s="424"/>
      <c r="J690" s="424"/>
      <c r="K690" s="424"/>
      <c r="L690" s="424"/>
    </row>
    <row r="691" spans="9:12">
      <c r="I691" s="424"/>
      <c r="J691" s="424"/>
      <c r="K691" s="424"/>
      <c r="L691" s="424"/>
    </row>
    <row r="692" spans="9:12">
      <c r="I692" s="424"/>
      <c r="J692" s="424"/>
      <c r="K692" s="424"/>
      <c r="L692" s="424"/>
    </row>
    <row r="693" spans="9:12">
      <c r="I693" s="424"/>
      <c r="J693" s="424"/>
      <c r="K693" s="424"/>
      <c r="L693" s="424"/>
    </row>
    <row r="694" spans="9:12">
      <c r="I694" s="424"/>
      <c r="J694" s="424"/>
      <c r="K694" s="424"/>
      <c r="L694" s="424"/>
    </row>
    <row r="695" spans="9:12">
      <c r="I695" s="424"/>
      <c r="J695" s="424"/>
      <c r="K695" s="424"/>
      <c r="L695" s="424"/>
    </row>
    <row r="696" spans="9:12">
      <c r="I696" s="424"/>
      <c r="J696" s="424"/>
      <c r="K696" s="424"/>
      <c r="L696" s="424"/>
    </row>
    <row r="697" spans="9:12">
      <c r="I697" s="424"/>
      <c r="J697" s="424"/>
      <c r="K697" s="424"/>
      <c r="L697" s="424"/>
    </row>
    <row r="698" spans="9:12">
      <c r="I698" s="424"/>
      <c r="J698" s="424"/>
      <c r="K698" s="424"/>
      <c r="L698" s="424"/>
    </row>
    <row r="699" spans="9:12">
      <c r="I699" s="424"/>
      <c r="J699" s="424"/>
      <c r="K699" s="424"/>
      <c r="L699" s="424"/>
    </row>
    <row r="700" spans="9:12">
      <c r="I700" s="424"/>
      <c r="J700" s="424"/>
      <c r="K700" s="424"/>
      <c r="L700" s="424"/>
    </row>
    <row r="701" spans="9:12">
      <c r="I701" s="424"/>
      <c r="J701" s="424"/>
      <c r="K701" s="424"/>
      <c r="L701" s="424"/>
    </row>
    <row r="702" spans="9:12">
      <c r="I702" s="424"/>
      <c r="J702" s="424"/>
      <c r="K702" s="424"/>
      <c r="L702" s="424"/>
    </row>
    <row r="703" spans="9:12">
      <c r="I703" s="424"/>
      <c r="J703" s="424"/>
      <c r="K703" s="424"/>
      <c r="L703" s="424"/>
    </row>
    <row r="704" spans="9:12">
      <c r="I704" s="424"/>
      <c r="J704" s="424"/>
      <c r="K704" s="424"/>
      <c r="L704" s="424"/>
    </row>
    <row r="705" spans="9:12">
      <c r="I705" s="424"/>
      <c r="J705" s="424"/>
      <c r="K705" s="424"/>
      <c r="L705" s="424"/>
    </row>
    <row r="706" spans="9:12">
      <c r="I706" s="424"/>
      <c r="J706" s="424"/>
      <c r="K706" s="424"/>
      <c r="L706" s="424"/>
    </row>
    <row r="707" spans="9:12">
      <c r="I707" s="424"/>
      <c r="J707" s="424"/>
      <c r="K707" s="424"/>
      <c r="L707" s="424"/>
    </row>
    <row r="708" spans="9:12">
      <c r="I708" s="424"/>
      <c r="J708" s="424"/>
      <c r="K708" s="424"/>
      <c r="L708" s="424"/>
    </row>
    <row r="709" spans="9:12">
      <c r="I709" s="424"/>
      <c r="J709" s="424"/>
      <c r="K709" s="424"/>
      <c r="L709" s="424"/>
    </row>
    <row r="710" spans="9:12">
      <c r="I710" s="424"/>
      <c r="J710" s="424"/>
      <c r="K710" s="424"/>
      <c r="L710" s="424"/>
    </row>
    <row r="711" spans="9:12">
      <c r="I711" s="424"/>
      <c r="J711" s="424"/>
      <c r="K711" s="424"/>
      <c r="L711" s="424"/>
    </row>
    <row r="712" spans="9:12">
      <c r="I712" s="424"/>
      <c r="J712" s="424"/>
      <c r="K712" s="424"/>
      <c r="L712" s="424"/>
    </row>
    <row r="713" spans="9:12">
      <c r="I713" s="424"/>
      <c r="J713" s="424"/>
      <c r="K713" s="424"/>
      <c r="L713" s="424"/>
    </row>
    <row r="714" spans="9:12">
      <c r="I714" s="424"/>
      <c r="J714" s="424"/>
      <c r="K714" s="424"/>
      <c r="L714" s="424"/>
    </row>
    <row r="715" spans="9:12">
      <c r="I715" s="424"/>
      <c r="J715" s="424"/>
      <c r="K715" s="424"/>
      <c r="L715" s="424"/>
    </row>
    <row r="716" spans="9:12">
      <c r="I716" s="424"/>
      <c r="J716" s="424"/>
      <c r="K716" s="424"/>
      <c r="L716" s="424"/>
    </row>
    <row r="717" spans="9:12">
      <c r="I717" s="424"/>
      <c r="J717" s="424"/>
      <c r="K717" s="424"/>
      <c r="L717" s="424"/>
    </row>
    <row r="718" spans="9:12">
      <c r="I718" s="424"/>
      <c r="J718" s="424"/>
      <c r="K718" s="424"/>
      <c r="L718" s="424"/>
    </row>
    <row r="719" spans="9:12">
      <c r="I719" s="424"/>
      <c r="J719" s="424"/>
      <c r="K719" s="424"/>
      <c r="L719" s="424"/>
    </row>
    <row r="720" spans="9:12">
      <c r="I720" s="424"/>
      <c r="J720" s="424"/>
      <c r="K720" s="424"/>
      <c r="L720" s="424"/>
    </row>
    <row r="721" spans="9:12">
      <c r="I721" s="424"/>
      <c r="J721" s="424"/>
      <c r="K721" s="424"/>
      <c r="L721" s="424"/>
    </row>
    <row r="722" spans="9:12">
      <c r="I722" s="424"/>
      <c r="J722" s="424"/>
      <c r="K722" s="424"/>
      <c r="L722" s="424"/>
    </row>
    <row r="723" spans="9:12">
      <c r="I723" s="424"/>
      <c r="J723" s="424"/>
      <c r="K723" s="424"/>
      <c r="L723" s="424"/>
    </row>
    <row r="724" spans="9:12">
      <c r="I724" s="424"/>
      <c r="J724" s="424"/>
      <c r="K724" s="424"/>
      <c r="L724" s="424"/>
    </row>
    <row r="725" spans="9:12">
      <c r="I725" s="424"/>
      <c r="J725" s="424"/>
      <c r="K725" s="424"/>
      <c r="L725" s="424"/>
    </row>
    <row r="726" spans="9:12">
      <c r="I726" s="424"/>
      <c r="J726" s="424"/>
      <c r="K726" s="424"/>
      <c r="L726" s="424"/>
    </row>
    <row r="727" spans="9:12">
      <c r="I727" s="424"/>
      <c r="J727" s="424"/>
      <c r="K727" s="424"/>
      <c r="L727" s="424"/>
    </row>
    <row r="728" spans="9:12">
      <c r="I728" s="424"/>
      <c r="J728" s="424"/>
      <c r="K728" s="424"/>
      <c r="L728" s="424"/>
    </row>
    <row r="729" spans="9:12">
      <c r="I729" s="424"/>
      <c r="J729" s="424"/>
      <c r="K729" s="424"/>
      <c r="L729" s="424"/>
    </row>
    <row r="730" spans="9:12">
      <c r="I730" s="424"/>
      <c r="J730" s="424"/>
      <c r="K730" s="424"/>
      <c r="L730" s="424"/>
    </row>
    <row r="731" spans="9:12">
      <c r="I731" s="424"/>
      <c r="J731" s="424"/>
      <c r="K731" s="424"/>
      <c r="L731" s="424"/>
    </row>
    <row r="732" spans="9:12">
      <c r="I732" s="424"/>
      <c r="J732" s="424"/>
      <c r="K732" s="424"/>
      <c r="L732" s="424"/>
    </row>
    <row r="733" spans="9:12">
      <c r="I733" s="424"/>
      <c r="J733" s="424"/>
      <c r="K733" s="424"/>
      <c r="L733" s="424"/>
    </row>
    <row r="734" spans="9:12">
      <c r="I734" s="424"/>
      <c r="J734" s="424"/>
      <c r="K734" s="424"/>
      <c r="L734" s="424"/>
    </row>
    <row r="735" spans="9:12">
      <c r="I735" s="424"/>
      <c r="J735" s="424"/>
      <c r="K735" s="424"/>
      <c r="L735" s="424"/>
    </row>
    <row r="736" spans="9:12">
      <c r="I736" s="424"/>
      <c r="J736" s="424"/>
      <c r="K736" s="424"/>
      <c r="L736" s="424"/>
    </row>
    <row r="737" spans="9:12">
      <c r="I737" s="424"/>
      <c r="J737" s="424"/>
      <c r="K737" s="424"/>
      <c r="L737" s="424"/>
    </row>
    <row r="738" spans="9:12">
      <c r="I738" s="424"/>
      <c r="J738" s="424"/>
      <c r="K738" s="424"/>
      <c r="L738" s="424"/>
    </row>
    <row r="739" spans="9:12">
      <c r="I739" s="424"/>
      <c r="J739" s="424"/>
      <c r="K739" s="424"/>
      <c r="L739" s="424"/>
    </row>
    <row r="740" spans="9:12">
      <c r="I740" s="424"/>
      <c r="J740" s="424"/>
      <c r="K740" s="424"/>
      <c r="L740" s="424"/>
    </row>
    <row r="741" spans="9:12">
      <c r="I741" s="424"/>
      <c r="J741" s="424"/>
      <c r="K741" s="424"/>
      <c r="L741" s="424"/>
    </row>
    <row r="742" spans="9:12">
      <c r="I742" s="424"/>
      <c r="J742" s="424"/>
      <c r="K742" s="424"/>
      <c r="L742" s="424"/>
    </row>
    <row r="743" spans="9:12">
      <c r="I743" s="424"/>
      <c r="J743" s="424"/>
      <c r="K743" s="424"/>
      <c r="L743" s="424"/>
    </row>
    <row r="744" spans="9:12">
      <c r="I744" s="424"/>
      <c r="J744" s="424"/>
      <c r="K744" s="424"/>
      <c r="L744" s="424"/>
    </row>
    <row r="745" spans="9:12">
      <c r="I745" s="424"/>
      <c r="J745" s="424"/>
      <c r="K745" s="424"/>
      <c r="L745" s="424"/>
    </row>
    <row r="746" spans="9:12">
      <c r="I746" s="424"/>
      <c r="J746" s="424"/>
      <c r="K746" s="424"/>
      <c r="L746" s="424"/>
    </row>
    <row r="747" spans="9:12">
      <c r="I747" s="424"/>
      <c r="J747" s="424"/>
      <c r="K747" s="424"/>
      <c r="L747" s="424"/>
    </row>
    <row r="748" spans="9:12">
      <c r="I748" s="424"/>
      <c r="J748" s="424"/>
      <c r="K748" s="424"/>
      <c r="L748" s="424"/>
    </row>
    <row r="749" spans="9:12">
      <c r="I749" s="424"/>
      <c r="J749" s="424"/>
      <c r="K749" s="424"/>
      <c r="L749" s="424"/>
    </row>
    <row r="750" spans="9:12">
      <c r="I750" s="424"/>
      <c r="J750" s="424"/>
      <c r="K750" s="424"/>
      <c r="L750" s="424"/>
    </row>
    <row r="751" spans="9:12">
      <c r="I751" s="424"/>
      <c r="J751" s="424"/>
      <c r="K751" s="424"/>
      <c r="L751" s="424"/>
    </row>
    <row r="752" spans="9:12">
      <c r="I752" s="424"/>
      <c r="J752" s="424"/>
      <c r="K752" s="424"/>
      <c r="L752" s="424"/>
    </row>
    <row r="753" spans="9:12">
      <c r="I753" s="424"/>
      <c r="J753" s="424"/>
      <c r="K753" s="424"/>
      <c r="L753" s="424"/>
    </row>
    <row r="754" spans="9:12">
      <c r="I754" s="424"/>
      <c r="J754" s="424"/>
      <c r="K754" s="424"/>
      <c r="L754" s="424"/>
    </row>
    <row r="755" spans="9:12">
      <c r="I755" s="424"/>
      <c r="J755" s="424"/>
      <c r="K755" s="424"/>
      <c r="L755" s="424"/>
    </row>
    <row r="756" spans="9:12">
      <c r="I756" s="424"/>
      <c r="J756" s="424"/>
      <c r="K756" s="424"/>
      <c r="L756" s="424"/>
    </row>
    <row r="757" spans="9:12">
      <c r="I757" s="424"/>
      <c r="J757" s="424"/>
      <c r="K757" s="424"/>
      <c r="L757" s="424"/>
    </row>
    <row r="758" spans="9:12">
      <c r="I758" s="424"/>
      <c r="J758" s="424"/>
      <c r="K758" s="424"/>
      <c r="L758" s="424"/>
    </row>
    <row r="759" spans="9:12">
      <c r="I759" s="424"/>
      <c r="J759" s="424"/>
      <c r="K759" s="424"/>
      <c r="L759" s="424"/>
    </row>
    <row r="760" spans="9:12">
      <c r="I760" s="424"/>
      <c r="J760" s="424"/>
      <c r="K760" s="424"/>
      <c r="L760" s="424"/>
    </row>
    <row r="761" spans="9:12">
      <c r="I761" s="424"/>
      <c r="J761" s="424"/>
      <c r="K761" s="424"/>
      <c r="L761" s="424"/>
    </row>
    <row r="762" spans="9:12">
      <c r="I762" s="424"/>
      <c r="J762" s="424"/>
      <c r="K762" s="424"/>
      <c r="L762" s="424"/>
    </row>
    <row r="763" spans="9:12">
      <c r="I763" s="424"/>
      <c r="J763" s="424"/>
      <c r="K763" s="424"/>
      <c r="L763" s="424"/>
    </row>
    <row r="764" spans="9:12">
      <c r="I764" s="424"/>
      <c r="J764" s="424"/>
      <c r="K764" s="424"/>
      <c r="L764" s="424"/>
    </row>
    <row r="765" spans="9:12">
      <c r="I765" s="424"/>
      <c r="J765" s="424"/>
      <c r="K765" s="424"/>
      <c r="L765" s="424"/>
    </row>
    <row r="766" spans="9:12">
      <c r="I766" s="424"/>
      <c r="J766" s="424"/>
      <c r="K766" s="424"/>
      <c r="L766" s="424"/>
    </row>
    <row r="767" spans="9:12">
      <c r="I767" s="424"/>
      <c r="J767" s="424"/>
      <c r="K767" s="424"/>
      <c r="L767" s="424"/>
    </row>
    <row r="768" spans="9:12">
      <c r="I768" s="424"/>
      <c r="J768" s="424"/>
      <c r="K768" s="424"/>
      <c r="L768" s="424"/>
    </row>
    <row r="769" spans="9:12">
      <c r="I769" s="424"/>
      <c r="J769" s="424"/>
      <c r="K769" s="424"/>
      <c r="L769" s="424"/>
    </row>
    <row r="770" spans="9:12">
      <c r="I770" s="424"/>
      <c r="J770" s="424"/>
      <c r="K770" s="424"/>
      <c r="L770" s="424"/>
    </row>
    <row r="771" spans="9:12">
      <c r="I771" s="424"/>
      <c r="J771" s="424"/>
      <c r="K771" s="424"/>
      <c r="L771" s="424"/>
    </row>
    <row r="772" spans="9:12">
      <c r="I772" s="424"/>
      <c r="J772" s="424"/>
      <c r="K772" s="424"/>
      <c r="L772" s="424"/>
    </row>
    <row r="773" spans="9:12">
      <c r="I773" s="424"/>
      <c r="J773" s="424"/>
      <c r="K773" s="424"/>
      <c r="L773" s="424"/>
    </row>
    <row r="774" spans="9:12">
      <c r="I774" s="424"/>
      <c r="J774" s="424"/>
      <c r="K774" s="424"/>
      <c r="L774" s="424"/>
    </row>
    <row r="775" spans="9:12">
      <c r="I775" s="424"/>
      <c r="J775" s="424"/>
      <c r="K775" s="424"/>
      <c r="L775" s="424"/>
    </row>
    <row r="776" spans="9:12">
      <c r="I776" s="424"/>
      <c r="J776" s="424"/>
      <c r="K776" s="424"/>
      <c r="L776" s="424"/>
    </row>
    <row r="777" spans="9:12">
      <c r="I777" s="424"/>
      <c r="J777" s="424"/>
      <c r="K777" s="424"/>
      <c r="L777" s="424"/>
    </row>
    <row r="778" spans="9:12">
      <c r="I778" s="424"/>
      <c r="J778" s="424"/>
      <c r="K778" s="424"/>
      <c r="L778" s="424"/>
    </row>
    <row r="779" spans="9:12">
      <c r="I779" s="424"/>
      <c r="J779" s="424"/>
      <c r="K779" s="424"/>
      <c r="L779" s="424"/>
    </row>
    <row r="780" spans="9:12">
      <c r="I780" s="424"/>
      <c r="J780" s="424"/>
      <c r="K780" s="424"/>
      <c r="L780" s="424"/>
    </row>
    <row r="781" spans="9:12">
      <c r="I781" s="424"/>
      <c r="J781" s="424"/>
      <c r="K781" s="424"/>
      <c r="L781" s="424"/>
    </row>
    <row r="782" spans="9:12">
      <c r="I782" s="424"/>
      <c r="J782" s="424"/>
      <c r="K782" s="424"/>
      <c r="L782" s="424"/>
    </row>
    <row r="783" spans="9:12">
      <c r="I783" s="424"/>
      <c r="J783" s="424"/>
      <c r="K783" s="424"/>
      <c r="L783" s="424"/>
    </row>
    <row r="784" spans="9:12">
      <c r="I784" s="424"/>
      <c r="J784" s="424"/>
      <c r="K784" s="424"/>
      <c r="L784" s="424"/>
    </row>
    <row r="785" spans="9:12">
      <c r="I785" s="424"/>
      <c r="J785" s="424"/>
      <c r="K785" s="424"/>
      <c r="L785" s="424"/>
    </row>
    <row r="786" spans="9:12">
      <c r="I786" s="424"/>
      <c r="J786" s="424"/>
      <c r="K786" s="424"/>
      <c r="L786" s="424"/>
    </row>
    <row r="787" spans="9:12">
      <c r="I787" s="424"/>
      <c r="J787" s="424"/>
      <c r="K787" s="424"/>
      <c r="L787" s="424"/>
    </row>
    <row r="788" spans="9:12">
      <c r="I788" s="424"/>
      <c r="J788" s="424"/>
      <c r="K788" s="424"/>
      <c r="L788" s="424"/>
    </row>
    <row r="789" spans="9:12">
      <c r="I789" s="424"/>
      <c r="J789" s="424"/>
      <c r="K789" s="424"/>
      <c r="L789" s="424"/>
    </row>
    <row r="790" spans="9:12">
      <c r="I790" s="424"/>
      <c r="J790" s="424"/>
      <c r="K790" s="424"/>
      <c r="L790" s="424"/>
    </row>
    <row r="791" spans="9:12">
      <c r="I791" s="424"/>
      <c r="J791" s="424"/>
      <c r="K791" s="424"/>
      <c r="L791" s="424"/>
    </row>
    <row r="792" spans="9:12">
      <c r="I792" s="424"/>
      <c r="J792" s="424"/>
      <c r="K792" s="424"/>
      <c r="L792" s="424"/>
    </row>
    <row r="793" spans="9:12">
      <c r="I793" s="424"/>
      <c r="J793" s="424"/>
      <c r="K793" s="424"/>
      <c r="L793" s="424"/>
    </row>
    <row r="794" spans="9:12">
      <c r="I794" s="424"/>
      <c r="J794" s="424"/>
      <c r="K794" s="424"/>
      <c r="L794" s="424"/>
    </row>
    <row r="795" spans="9:12">
      <c r="I795" s="424"/>
      <c r="J795" s="424"/>
      <c r="K795" s="424"/>
      <c r="L795" s="424"/>
    </row>
    <row r="796" spans="9:12">
      <c r="I796" s="424"/>
      <c r="J796" s="424"/>
      <c r="K796" s="424"/>
      <c r="L796" s="424"/>
    </row>
    <row r="797" spans="9:12">
      <c r="I797" s="424"/>
      <c r="J797" s="424"/>
      <c r="K797" s="424"/>
      <c r="L797" s="424"/>
    </row>
    <row r="798" spans="9:12">
      <c r="I798" s="424"/>
      <c r="J798" s="424"/>
      <c r="K798" s="424"/>
      <c r="L798" s="424"/>
    </row>
    <row r="799" spans="9:12">
      <c r="I799" s="424"/>
      <c r="J799" s="424"/>
      <c r="K799" s="424"/>
      <c r="L799" s="424"/>
    </row>
    <row r="800" spans="9:12">
      <c r="I800" s="424"/>
      <c r="J800" s="424"/>
      <c r="K800" s="424"/>
      <c r="L800" s="424"/>
    </row>
    <row r="801" spans="9:12">
      <c r="I801" s="424"/>
      <c r="J801" s="424"/>
      <c r="K801" s="424"/>
      <c r="L801" s="424"/>
    </row>
    <row r="802" spans="9:12">
      <c r="I802" s="424"/>
      <c r="J802" s="424"/>
      <c r="K802" s="424"/>
      <c r="L802" s="424"/>
    </row>
    <row r="803" spans="9:12">
      <c r="I803" s="424"/>
      <c r="J803" s="424"/>
      <c r="K803" s="424"/>
      <c r="L803" s="424"/>
    </row>
    <row r="804" spans="9:12">
      <c r="I804" s="424"/>
      <c r="J804" s="424"/>
      <c r="K804" s="424"/>
      <c r="L804" s="424"/>
    </row>
    <row r="805" spans="9:12">
      <c r="I805" s="424"/>
      <c r="J805" s="424"/>
      <c r="K805" s="424"/>
      <c r="L805" s="424"/>
    </row>
    <row r="806" spans="9:12">
      <c r="I806" s="424"/>
      <c r="J806" s="424"/>
      <c r="K806" s="424"/>
      <c r="L806" s="424"/>
    </row>
    <row r="807" spans="9:12">
      <c r="I807" s="424"/>
      <c r="J807" s="424"/>
      <c r="K807" s="424"/>
      <c r="L807" s="424"/>
    </row>
    <row r="808" spans="9:12">
      <c r="I808" s="424"/>
      <c r="J808" s="424"/>
      <c r="K808" s="424"/>
      <c r="L808" s="424"/>
    </row>
    <row r="809" spans="9:12">
      <c r="I809" s="424"/>
      <c r="J809" s="424"/>
      <c r="K809" s="424"/>
      <c r="L809" s="424"/>
    </row>
    <row r="810" spans="9:12">
      <c r="I810" s="424"/>
      <c r="J810" s="424"/>
      <c r="K810" s="424"/>
      <c r="L810" s="424"/>
    </row>
    <row r="811" spans="9:12">
      <c r="I811" s="424"/>
      <c r="J811" s="424"/>
      <c r="K811" s="424"/>
      <c r="L811" s="424"/>
    </row>
    <row r="812" spans="9:12">
      <c r="I812" s="424"/>
      <c r="J812" s="424"/>
      <c r="K812" s="424"/>
      <c r="L812" s="424"/>
    </row>
    <row r="813" spans="9:12">
      <c r="I813" s="424"/>
      <c r="J813" s="424"/>
      <c r="K813" s="424"/>
      <c r="L813" s="424"/>
    </row>
    <row r="814" spans="9:12">
      <c r="I814" s="424"/>
      <c r="J814" s="424"/>
      <c r="K814" s="424"/>
      <c r="L814" s="424"/>
    </row>
    <row r="815" spans="9:12">
      <c r="I815" s="424"/>
      <c r="J815" s="424"/>
      <c r="K815" s="424"/>
      <c r="L815" s="424"/>
    </row>
    <row r="816" spans="9:12">
      <c r="I816" s="424"/>
      <c r="J816" s="424"/>
      <c r="K816" s="424"/>
      <c r="L816" s="424"/>
    </row>
    <row r="817" spans="9:12">
      <c r="I817" s="424"/>
      <c r="J817" s="424"/>
      <c r="K817" s="424"/>
      <c r="L817" s="424"/>
    </row>
    <row r="818" spans="9:12">
      <c r="I818" s="424"/>
      <c r="J818" s="424"/>
      <c r="K818" s="424"/>
      <c r="L818" s="424"/>
    </row>
    <row r="819" spans="9:12">
      <c r="I819" s="424"/>
      <c r="J819" s="424"/>
      <c r="K819" s="424"/>
      <c r="L819" s="424"/>
    </row>
    <row r="820" spans="9:12">
      <c r="I820" s="424"/>
      <c r="J820" s="424"/>
      <c r="K820" s="424"/>
      <c r="L820" s="424"/>
    </row>
    <row r="821" spans="9:12">
      <c r="I821" s="424"/>
      <c r="J821" s="424"/>
      <c r="K821" s="424"/>
      <c r="L821" s="424"/>
    </row>
    <row r="822" spans="9:12">
      <c r="I822" s="424"/>
      <c r="J822" s="424"/>
      <c r="K822" s="424"/>
      <c r="L822" s="424"/>
    </row>
    <row r="823" spans="9:12">
      <c r="I823" s="424"/>
      <c r="J823" s="424"/>
      <c r="K823" s="424"/>
      <c r="L823" s="424"/>
    </row>
    <row r="824" spans="9:12">
      <c r="I824" s="424"/>
      <c r="J824" s="424"/>
      <c r="K824" s="424"/>
      <c r="L824" s="424"/>
    </row>
    <row r="825" spans="9:12">
      <c r="I825" s="424"/>
      <c r="J825" s="424"/>
      <c r="K825" s="424"/>
      <c r="L825" s="424"/>
    </row>
    <row r="826" spans="9:12">
      <c r="I826" s="424"/>
      <c r="J826" s="424"/>
      <c r="K826" s="424"/>
      <c r="L826" s="424"/>
    </row>
    <row r="827" spans="9:12">
      <c r="I827" s="424"/>
      <c r="J827" s="424"/>
      <c r="K827" s="424"/>
      <c r="L827" s="424"/>
    </row>
    <row r="828" spans="9:12">
      <c r="I828" s="424"/>
      <c r="J828" s="424"/>
      <c r="K828" s="424"/>
      <c r="L828" s="424"/>
    </row>
    <row r="829" spans="9:12">
      <c r="I829" s="424"/>
      <c r="J829" s="424"/>
      <c r="K829" s="424"/>
      <c r="L829" s="424"/>
    </row>
    <row r="830" spans="9:12">
      <c r="I830" s="424"/>
      <c r="J830" s="424"/>
      <c r="K830" s="424"/>
      <c r="L830" s="424"/>
    </row>
    <row r="831" spans="9:12">
      <c r="I831" s="424"/>
      <c r="J831" s="424"/>
      <c r="K831" s="424"/>
      <c r="L831" s="424"/>
    </row>
    <row r="832" spans="9:12">
      <c r="I832" s="424"/>
      <c r="J832" s="424"/>
      <c r="K832" s="424"/>
      <c r="L832" s="424"/>
    </row>
    <row r="833" spans="9:12">
      <c r="I833" s="424"/>
      <c r="J833" s="424"/>
      <c r="K833" s="424"/>
      <c r="L833" s="424"/>
    </row>
    <row r="834" spans="9:12">
      <c r="I834" s="424"/>
      <c r="J834" s="424"/>
      <c r="K834" s="424"/>
      <c r="L834" s="424"/>
    </row>
    <row r="835" spans="9:12">
      <c r="I835" s="424"/>
      <c r="J835" s="424"/>
      <c r="K835" s="424"/>
      <c r="L835" s="424"/>
    </row>
    <row r="836" spans="9:12">
      <c r="I836" s="424"/>
      <c r="J836" s="424"/>
      <c r="K836" s="424"/>
      <c r="L836" s="424"/>
    </row>
    <row r="837" spans="9:12">
      <c r="I837" s="424"/>
      <c r="J837" s="424"/>
      <c r="K837" s="424"/>
      <c r="L837" s="424"/>
    </row>
    <row r="838" spans="9:12">
      <c r="I838" s="424"/>
      <c r="J838" s="424"/>
      <c r="K838" s="424"/>
      <c r="L838" s="424"/>
    </row>
    <row r="839" spans="9:12">
      <c r="I839" s="424"/>
      <c r="J839" s="424"/>
      <c r="K839" s="424"/>
      <c r="L839" s="424"/>
    </row>
    <row r="840" spans="9:12">
      <c r="I840" s="424"/>
      <c r="J840" s="424"/>
      <c r="K840" s="424"/>
      <c r="L840" s="424"/>
    </row>
    <row r="841" spans="9:12">
      <c r="I841" s="424"/>
      <c r="J841" s="424"/>
      <c r="K841" s="424"/>
      <c r="L841" s="424"/>
    </row>
    <row r="842" spans="9:12">
      <c r="I842" s="424"/>
      <c r="J842" s="424"/>
      <c r="K842" s="424"/>
      <c r="L842" s="424"/>
    </row>
    <row r="843" spans="9:12">
      <c r="I843" s="424"/>
      <c r="J843" s="424"/>
      <c r="K843" s="424"/>
      <c r="L843" s="424"/>
    </row>
    <row r="844" spans="9:12">
      <c r="I844" s="424"/>
      <c r="J844" s="424"/>
      <c r="K844" s="424"/>
      <c r="L844" s="424"/>
    </row>
    <row r="845" spans="9:12">
      <c r="I845" s="424"/>
      <c r="J845" s="424"/>
      <c r="K845" s="424"/>
      <c r="L845" s="424"/>
    </row>
    <row r="846" spans="9:12">
      <c r="I846" s="424"/>
      <c r="J846" s="424"/>
      <c r="K846" s="424"/>
      <c r="L846" s="424"/>
    </row>
    <row r="847" spans="9:12">
      <c r="I847" s="424"/>
      <c r="J847" s="424"/>
      <c r="K847" s="424"/>
      <c r="L847" s="424"/>
    </row>
    <row r="848" spans="9:12">
      <c r="I848" s="424"/>
      <c r="J848" s="424"/>
      <c r="K848" s="424"/>
      <c r="L848" s="424"/>
    </row>
    <row r="849" spans="9:12">
      <c r="I849" s="424"/>
      <c r="J849" s="424"/>
      <c r="K849" s="424"/>
      <c r="L849" s="424"/>
    </row>
    <row r="850" spans="9:12">
      <c r="I850" s="424"/>
      <c r="J850" s="424"/>
      <c r="K850" s="424"/>
      <c r="L850" s="424"/>
    </row>
    <row r="851" spans="9:12">
      <c r="I851" s="424"/>
      <c r="J851" s="424"/>
      <c r="K851" s="424"/>
      <c r="L851" s="424"/>
    </row>
    <row r="852" spans="9:12">
      <c r="I852" s="424"/>
      <c r="J852" s="424"/>
      <c r="K852" s="424"/>
      <c r="L852" s="424"/>
    </row>
    <row r="853" spans="9:12">
      <c r="I853" s="424"/>
      <c r="J853" s="424"/>
      <c r="K853" s="424"/>
      <c r="L853" s="424"/>
    </row>
    <row r="854" spans="9:12">
      <c r="I854" s="424"/>
      <c r="J854" s="424"/>
      <c r="K854" s="424"/>
      <c r="L854" s="424"/>
    </row>
    <row r="855" spans="9:12">
      <c r="I855" s="424"/>
      <c r="J855" s="424"/>
      <c r="K855" s="424"/>
      <c r="L855" s="424"/>
    </row>
    <row r="856" spans="9:12">
      <c r="I856" s="424"/>
      <c r="J856" s="424"/>
      <c r="K856" s="424"/>
      <c r="L856" s="424"/>
    </row>
    <row r="857" spans="9:12">
      <c r="I857" s="424"/>
      <c r="J857" s="424"/>
      <c r="K857" s="424"/>
      <c r="L857" s="424"/>
    </row>
    <row r="858" spans="9:12">
      <c r="I858" s="424"/>
      <c r="J858" s="424"/>
      <c r="K858" s="424"/>
      <c r="L858" s="424"/>
    </row>
    <row r="859" spans="9:12">
      <c r="I859" s="424"/>
      <c r="J859" s="424"/>
      <c r="K859" s="424"/>
      <c r="L859" s="424"/>
    </row>
    <row r="860" spans="9:12">
      <c r="I860" s="424"/>
      <c r="J860" s="424"/>
      <c r="K860" s="424"/>
      <c r="L860" s="424"/>
    </row>
    <row r="861" spans="9:12">
      <c r="I861" s="424"/>
      <c r="J861" s="424"/>
      <c r="K861" s="424"/>
      <c r="L861" s="424"/>
    </row>
    <row r="862" spans="9:12">
      <c r="I862" s="424"/>
      <c r="J862" s="424"/>
      <c r="K862" s="424"/>
      <c r="L862" s="424"/>
    </row>
    <row r="863" spans="9:12">
      <c r="I863" s="424"/>
      <c r="J863" s="424"/>
      <c r="K863" s="424"/>
      <c r="L863" s="424"/>
    </row>
    <row r="864" spans="9:12">
      <c r="I864" s="424"/>
      <c r="J864" s="424"/>
      <c r="K864" s="424"/>
      <c r="L864" s="424"/>
    </row>
    <row r="865" spans="9:12">
      <c r="I865" s="424"/>
      <c r="J865" s="424"/>
      <c r="K865" s="424"/>
      <c r="L865" s="424"/>
    </row>
    <row r="866" spans="9:12">
      <c r="I866" s="424"/>
      <c r="J866" s="424"/>
      <c r="K866" s="424"/>
      <c r="L866" s="424"/>
    </row>
    <row r="867" spans="9:12">
      <c r="I867" s="424"/>
      <c r="J867" s="424"/>
      <c r="K867" s="424"/>
      <c r="L867" s="424"/>
    </row>
    <row r="868" spans="9:12">
      <c r="I868" s="424"/>
      <c r="J868" s="424"/>
      <c r="K868" s="424"/>
      <c r="L868" s="424"/>
    </row>
    <row r="869" spans="9:12">
      <c r="I869" s="424"/>
      <c r="J869" s="424"/>
      <c r="K869" s="424"/>
      <c r="L869" s="424"/>
    </row>
    <row r="870" spans="9:12">
      <c r="I870" s="424"/>
      <c r="J870" s="424"/>
      <c r="K870" s="424"/>
      <c r="L870" s="424"/>
    </row>
    <row r="871" spans="9:12">
      <c r="I871" s="424"/>
      <c r="J871" s="424"/>
      <c r="K871" s="424"/>
      <c r="L871" s="424"/>
    </row>
    <row r="872" spans="9:12">
      <c r="I872" s="424"/>
      <c r="J872" s="424"/>
      <c r="K872" s="424"/>
      <c r="L872" s="424"/>
    </row>
    <row r="873" spans="9:12">
      <c r="I873" s="424"/>
      <c r="J873" s="424"/>
      <c r="K873" s="424"/>
      <c r="L873" s="424"/>
    </row>
    <row r="874" spans="9:12">
      <c r="I874" s="424"/>
      <c r="J874" s="424"/>
      <c r="K874" s="424"/>
      <c r="L874" s="424"/>
    </row>
    <row r="875" spans="9:12">
      <c r="I875" s="424"/>
      <c r="J875" s="424"/>
      <c r="K875" s="424"/>
      <c r="L875" s="424"/>
    </row>
    <row r="876" spans="9:12">
      <c r="I876" s="424"/>
      <c r="J876" s="424"/>
      <c r="K876" s="424"/>
      <c r="L876" s="424"/>
    </row>
    <row r="877" spans="9:12">
      <c r="I877" s="424"/>
      <c r="J877" s="424"/>
      <c r="K877" s="424"/>
      <c r="L877" s="424"/>
    </row>
    <row r="878" spans="9:12">
      <c r="I878" s="424"/>
      <c r="J878" s="424"/>
      <c r="K878" s="424"/>
      <c r="L878" s="424"/>
    </row>
    <row r="879" spans="9:12">
      <c r="I879" s="424"/>
      <c r="J879" s="424"/>
      <c r="K879" s="424"/>
      <c r="L879" s="424"/>
    </row>
    <row r="880" spans="9:12">
      <c r="I880" s="424"/>
      <c r="J880" s="424"/>
      <c r="K880" s="424"/>
      <c r="L880" s="424"/>
    </row>
    <row r="881" spans="9:12">
      <c r="I881" s="424"/>
      <c r="J881" s="424"/>
      <c r="K881" s="424"/>
      <c r="L881" s="424"/>
    </row>
    <row r="882" spans="9:12">
      <c r="I882" s="424"/>
      <c r="J882" s="424"/>
      <c r="K882" s="424"/>
      <c r="L882" s="424"/>
    </row>
    <row r="883" spans="9:12">
      <c r="I883" s="424"/>
      <c r="J883" s="424"/>
      <c r="K883" s="424"/>
      <c r="L883" s="424"/>
    </row>
    <row r="884" spans="9:12">
      <c r="I884" s="424"/>
      <c r="J884" s="424"/>
      <c r="K884" s="424"/>
      <c r="L884" s="424"/>
    </row>
    <row r="885" spans="9:12">
      <c r="I885" s="424"/>
      <c r="J885" s="424"/>
      <c r="K885" s="424"/>
      <c r="L885" s="424"/>
    </row>
    <row r="886" spans="9:12">
      <c r="I886" s="424"/>
      <c r="J886" s="424"/>
      <c r="K886" s="424"/>
      <c r="L886" s="424"/>
    </row>
    <row r="887" spans="9:12">
      <c r="I887" s="424"/>
      <c r="J887" s="424"/>
      <c r="K887" s="424"/>
      <c r="L887" s="424"/>
    </row>
    <row r="888" spans="9:12">
      <c r="I888" s="424"/>
      <c r="J888" s="424"/>
      <c r="K888" s="424"/>
      <c r="L888" s="424"/>
    </row>
    <row r="889" spans="9:12">
      <c r="I889" s="424"/>
      <c r="J889" s="424"/>
      <c r="K889" s="424"/>
      <c r="L889" s="424"/>
    </row>
    <row r="890" spans="9:12">
      <c r="I890" s="424"/>
      <c r="J890" s="424"/>
      <c r="K890" s="424"/>
      <c r="L890" s="424"/>
    </row>
    <row r="891" spans="9:12">
      <c r="I891" s="424"/>
      <c r="J891" s="424"/>
      <c r="K891" s="424"/>
      <c r="L891" s="424"/>
    </row>
    <row r="892" spans="9:12">
      <c r="I892" s="424"/>
      <c r="J892" s="424"/>
      <c r="K892" s="424"/>
      <c r="L892" s="424"/>
    </row>
    <row r="893" spans="9:12">
      <c r="I893" s="424"/>
      <c r="J893" s="424"/>
      <c r="K893" s="424"/>
      <c r="L893" s="424"/>
    </row>
    <row r="894" spans="9:12">
      <c r="I894" s="424"/>
      <c r="J894" s="424"/>
      <c r="K894" s="424"/>
      <c r="L894" s="424"/>
    </row>
    <row r="895" spans="9:12">
      <c r="I895" s="424"/>
      <c r="J895" s="424"/>
      <c r="K895" s="424"/>
      <c r="L895" s="424"/>
    </row>
    <row r="896" spans="9:12">
      <c r="I896" s="424"/>
      <c r="J896" s="424"/>
      <c r="K896" s="424"/>
      <c r="L896" s="424"/>
    </row>
    <row r="897" spans="9:12">
      <c r="I897" s="424"/>
      <c r="J897" s="424"/>
      <c r="K897" s="424"/>
      <c r="L897" s="424"/>
    </row>
    <row r="898" spans="9:12">
      <c r="I898" s="424"/>
      <c r="J898" s="424"/>
      <c r="K898" s="424"/>
      <c r="L898" s="424"/>
    </row>
    <row r="899" spans="9:12">
      <c r="I899" s="424"/>
      <c r="J899" s="424"/>
      <c r="K899" s="424"/>
      <c r="L899" s="424"/>
    </row>
    <row r="900" spans="9:12">
      <c r="I900" s="424"/>
      <c r="J900" s="424"/>
      <c r="K900" s="424"/>
      <c r="L900" s="424"/>
    </row>
    <row r="901" spans="9:12">
      <c r="I901" s="424"/>
      <c r="J901" s="424"/>
      <c r="K901" s="424"/>
      <c r="L901" s="424"/>
    </row>
    <row r="902" spans="9:12">
      <c r="I902" s="424"/>
      <c r="J902" s="424"/>
      <c r="K902" s="424"/>
      <c r="L902" s="424"/>
    </row>
    <row r="903" spans="9:12">
      <c r="I903" s="424"/>
      <c r="J903" s="424"/>
      <c r="K903" s="424"/>
      <c r="L903" s="424"/>
    </row>
    <row r="904" spans="9:12">
      <c r="I904" s="424"/>
      <c r="J904" s="424"/>
      <c r="K904" s="424"/>
      <c r="L904" s="424"/>
    </row>
    <row r="905" spans="9:12">
      <c r="I905" s="424"/>
      <c r="J905" s="424"/>
      <c r="K905" s="424"/>
      <c r="L905" s="424"/>
    </row>
    <row r="906" spans="9:12">
      <c r="I906" s="424"/>
      <c r="J906" s="424"/>
      <c r="K906" s="424"/>
      <c r="L906" s="424"/>
    </row>
    <row r="907" spans="9:12">
      <c r="I907" s="424"/>
      <c r="J907" s="424"/>
      <c r="K907" s="424"/>
      <c r="L907" s="424"/>
    </row>
    <row r="908" spans="9:12">
      <c r="I908" s="424"/>
      <c r="J908" s="424"/>
      <c r="K908" s="424"/>
      <c r="L908" s="424"/>
    </row>
    <row r="909" spans="9:12">
      <c r="I909" s="424"/>
      <c r="J909" s="424"/>
      <c r="K909" s="424"/>
      <c r="L909" s="424"/>
    </row>
    <row r="910" spans="9:12">
      <c r="I910" s="424"/>
      <c r="J910" s="424"/>
      <c r="K910" s="424"/>
      <c r="L910" s="424"/>
    </row>
    <row r="911" spans="9:12">
      <c r="I911" s="424"/>
      <c r="J911" s="424"/>
      <c r="K911" s="424"/>
      <c r="L911" s="424"/>
    </row>
    <row r="912" spans="9:12">
      <c r="I912" s="424"/>
      <c r="J912" s="424"/>
      <c r="K912" s="424"/>
      <c r="L912" s="424"/>
    </row>
    <row r="913" spans="9:12">
      <c r="I913" s="424"/>
      <c r="J913" s="424"/>
      <c r="K913" s="424"/>
      <c r="L913" s="424"/>
    </row>
    <row r="914" spans="9:12">
      <c r="I914" s="424"/>
      <c r="J914" s="424"/>
      <c r="K914" s="424"/>
      <c r="L914" s="424"/>
    </row>
    <row r="915" spans="9:12">
      <c r="I915" s="424"/>
      <c r="J915" s="424"/>
      <c r="K915" s="424"/>
      <c r="L915" s="424"/>
    </row>
    <row r="916" spans="9:12">
      <c r="I916" s="424"/>
      <c r="J916" s="424"/>
      <c r="K916" s="424"/>
      <c r="L916" s="424"/>
    </row>
    <row r="917" spans="9:12">
      <c r="I917" s="424"/>
      <c r="J917" s="424"/>
      <c r="K917" s="424"/>
      <c r="L917" s="424"/>
    </row>
    <row r="918" spans="9:12">
      <c r="I918" s="424"/>
      <c r="J918" s="424"/>
      <c r="K918" s="424"/>
      <c r="L918" s="424"/>
    </row>
    <row r="919" spans="9:12">
      <c r="I919" s="424"/>
      <c r="J919" s="424"/>
      <c r="K919" s="424"/>
      <c r="L919" s="424"/>
    </row>
    <row r="920" spans="9:12">
      <c r="I920" s="424"/>
      <c r="J920" s="424"/>
      <c r="K920" s="424"/>
      <c r="L920" s="424"/>
    </row>
    <row r="921" spans="9:12">
      <c r="I921" s="424"/>
      <c r="J921" s="424"/>
      <c r="K921" s="424"/>
      <c r="L921" s="424"/>
    </row>
    <row r="922" spans="9:12">
      <c r="I922" s="424"/>
      <c r="J922" s="424"/>
      <c r="K922" s="424"/>
      <c r="L922" s="424"/>
    </row>
    <row r="923" spans="9:12">
      <c r="I923" s="424"/>
      <c r="J923" s="424"/>
      <c r="K923" s="424"/>
      <c r="L923" s="424"/>
    </row>
    <row r="924" spans="9:12">
      <c r="I924" s="424"/>
      <c r="J924" s="424"/>
      <c r="K924" s="424"/>
      <c r="L924" s="424"/>
    </row>
    <row r="925" spans="9:12">
      <c r="I925" s="424"/>
      <c r="J925" s="424"/>
      <c r="K925" s="424"/>
      <c r="L925" s="424"/>
    </row>
    <row r="926" spans="9:12">
      <c r="I926" s="424"/>
      <c r="J926" s="424"/>
      <c r="K926" s="424"/>
      <c r="L926" s="424"/>
    </row>
    <row r="927" spans="9:12">
      <c r="I927" s="424"/>
      <c r="J927" s="424"/>
      <c r="K927" s="424"/>
      <c r="L927" s="424"/>
    </row>
    <row r="928" spans="9:12">
      <c r="I928" s="424"/>
      <c r="J928" s="424"/>
      <c r="K928" s="424"/>
      <c r="L928" s="424"/>
    </row>
    <row r="929" spans="9:12">
      <c r="I929" s="424"/>
      <c r="J929" s="424"/>
      <c r="K929" s="424"/>
      <c r="L929" s="424"/>
    </row>
    <row r="930" spans="9:12">
      <c r="I930" s="424"/>
      <c r="J930" s="424"/>
      <c r="K930" s="424"/>
      <c r="L930" s="424"/>
    </row>
    <row r="931" spans="9:12">
      <c r="I931" s="424"/>
      <c r="J931" s="424"/>
      <c r="K931" s="424"/>
      <c r="L931" s="424"/>
    </row>
    <row r="932" spans="9:12">
      <c r="I932" s="424"/>
      <c r="J932" s="424"/>
      <c r="K932" s="424"/>
      <c r="L932" s="424"/>
    </row>
    <row r="933" spans="9:12">
      <c r="I933" s="424"/>
      <c r="J933" s="424"/>
      <c r="K933" s="424"/>
      <c r="L933" s="424"/>
    </row>
    <row r="934" spans="9:12">
      <c r="I934" s="424"/>
      <c r="J934" s="424"/>
      <c r="K934" s="424"/>
      <c r="L934" s="424"/>
    </row>
    <row r="935" spans="9:12">
      <c r="I935" s="424"/>
      <c r="J935" s="424"/>
      <c r="K935" s="424"/>
      <c r="L935" s="424"/>
    </row>
    <row r="936" spans="9:12">
      <c r="I936" s="424"/>
      <c r="J936" s="424"/>
      <c r="K936" s="424"/>
      <c r="L936" s="424"/>
    </row>
    <row r="937" spans="9:12">
      <c r="I937" s="424"/>
      <c r="J937" s="424"/>
      <c r="K937" s="424"/>
      <c r="L937" s="424"/>
    </row>
    <row r="938" spans="9:12">
      <c r="I938" s="424"/>
      <c r="J938" s="424"/>
      <c r="K938" s="424"/>
      <c r="L938" s="424"/>
    </row>
    <row r="939" spans="9:12">
      <c r="I939" s="424"/>
      <c r="J939" s="424"/>
      <c r="K939" s="424"/>
      <c r="L939" s="424"/>
    </row>
    <row r="940" spans="9:12">
      <c r="I940" s="424"/>
      <c r="J940" s="424"/>
      <c r="K940" s="424"/>
      <c r="L940" s="424"/>
    </row>
    <row r="941" spans="9:12">
      <c r="I941" s="424"/>
      <c r="J941" s="424"/>
      <c r="K941" s="424"/>
      <c r="L941" s="424"/>
    </row>
    <row r="942" spans="9:12">
      <c r="I942" s="424"/>
      <c r="J942" s="424"/>
      <c r="K942" s="424"/>
      <c r="L942" s="424"/>
    </row>
    <row r="943" spans="9:12">
      <c r="I943" s="424"/>
      <c r="J943" s="424"/>
      <c r="K943" s="424"/>
      <c r="L943" s="424"/>
    </row>
    <row r="944" spans="9:12">
      <c r="I944" s="424"/>
      <c r="J944" s="424"/>
      <c r="K944" s="424"/>
      <c r="L944" s="424"/>
    </row>
    <row r="945" spans="9:12">
      <c r="I945" s="424"/>
      <c r="J945" s="424"/>
      <c r="K945" s="424"/>
      <c r="L945" s="424"/>
    </row>
    <row r="946" spans="9:12">
      <c r="I946" s="424"/>
      <c r="J946" s="424"/>
      <c r="K946" s="424"/>
      <c r="L946" s="424"/>
    </row>
    <row r="947" spans="9:12">
      <c r="I947" s="424"/>
      <c r="J947" s="424"/>
      <c r="K947" s="424"/>
      <c r="L947" s="424"/>
    </row>
    <row r="948" spans="9:12">
      <c r="I948" s="424"/>
      <c r="J948" s="424"/>
      <c r="K948" s="424"/>
      <c r="L948" s="424"/>
    </row>
    <row r="949" spans="9:12">
      <c r="I949" s="424"/>
      <c r="J949" s="424"/>
      <c r="K949" s="424"/>
      <c r="L949" s="424"/>
    </row>
    <row r="950" spans="9:12">
      <c r="I950" s="424"/>
      <c r="J950" s="424"/>
      <c r="K950" s="424"/>
      <c r="L950" s="424"/>
    </row>
    <row r="951" spans="9:12">
      <c r="I951" s="424"/>
      <c r="J951" s="424"/>
      <c r="K951" s="424"/>
      <c r="L951" s="424"/>
    </row>
    <row r="952" spans="9:12">
      <c r="I952" s="424"/>
      <c r="J952" s="424"/>
      <c r="K952" s="424"/>
      <c r="L952" s="424"/>
    </row>
    <row r="953" spans="9:12">
      <c r="I953" s="424"/>
      <c r="J953" s="424"/>
      <c r="K953" s="424"/>
      <c r="L953" s="424"/>
    </row>
    <row r="954" spans="9:12">
      <c r="I954" s="424"/>
      <c r="J954" s="424"/>
      <c r="K954" s="424"/>
      <c r="L954" s="424"/>
    </row>
    <row r="955" spans="9:12">
      <c r="I955" s="424"/>
      <c r="J955" s="424"/>
      <c r="K955" s="424"/>
      <c r="L955" s="424"/>
    </row>
    <row r="956" spans="9:12">
      <c r="I956" s="424"/>
      <c r="J956" s="424"/>
      <c r="K956" s="424"/>
      <c r="L956" s="424"/>
    </row>
    <row r="957" spans="9:12">
      <c r="I957" s="424"/>
      <c r="J957" s="424"/>
      <c r="K957" s="424"/>
      <c r="L957" s="424"/>
    </row>
    <row r="958" spans="9:12">
      <c r="I958" s="424"/>
      <c r="J958" s="424"/>
      <c r="K958" s="424"/>
      <c r="L958" s="424"/>
    </row>
    <row r="959" spans="9:12">
      <c r="I959" s="426"/>
      <c r="J959" s="426"/>
      <c r="K959" s="426"/>
      <c r="L959" s="426"/>
    </row>
    <row r="960" spans="9:12">
      <c r="I960" s="426"/>
      <c r="J960" s="426"/>
      <c r="K960" s="426"/>
      <c r="L960" s="426"/>
    </row>
    <row r="961" spans="9:12">
      <c r="I961" s="426"/>
      <c r="J961" s="426"/>
      <c r="K961" s="426"/>
      <c r="L961" s="426"/>
    </row>
    <row r="962" spans="9:12">
      <c r="I962" s="426"/>
      <c r="J962" s="426"/>
      <c r="K962" s="426"/>
      <c r="L962" s="426"/>
    </row>
    <row r="963" spans="9:12">
      <c r="I963" s="426"/>
      <c r="J963" s="426"/>
      <c r="K963" s="426"/>
      <c r="L963" s="426"/>
    </row>
    <row r="964" spans="9:12">
      <c r="I964" s="426"/>
      <c r="J964" s="426"/>
      <c r="K964" s="426"/>
      <c r="L964" s="426"/>
    </row>
    <row r="965" spans="9:12">
      <c r="I965" s="426"/>
      <c r="J965" s="426"/>
      <c r="K965" s="426"/>
      <c r="L965" s="426"/>
    </row>
    <row r="966" spans="9:12">
      <c r="I966" s="426"/>
      <c r="J966" s="426"/>
      <c r="K966" s="426"/>
      <c r="L966" s="426"/>
    </row>
    <row r="967" spans="9:12">
      <c r="I967" s="426"/>
      <c r="J967" s="426"/>
      <c r="K967" s="426"/>
      <c r="L967" s="426"/>
    </row>
    <row r="968" spans="9:12">
      <c r="I968" s="426"/>
      <c r="J968" s="426"/>
      <c r="K968" s="426"/>
      <c r="L968" s="426"/>
    </row>
    <row r="969" spans="9:12">
      <c r="I969" s="426"/>
      <c r="J969" s="426"/>
      <c r="K969" s="426"/>
      <c r="L969" s="426"/>
    </row>
    <row r="970" spans="9:12">
      <c r="I970" s="426"/>
      <c r="J970" s="426"/>
      <c r="K970" s="426"/>
      <c r="L970" s="426"/>
    </row>
    <row r="971" spans="9:12">
      <c r="I971" s="426"/>
      <c r="J971" s="426"/>
      <c r="K971" s="426"/>
      <c r="L971" s="426"/>
    </row>
    <row r="972" spans="9:12">
      <c r="I972" s="426"/>
      <c r="J972" s="426"/>
      <c r="K972" s="426"/>
      <c r="L972" s="426"/>
    </row>
    <row r="973" spans="9:12">
      <c r="I973" s="426"/>
      <c r="J973" s="426"/>
      <c r="K973" s="426"/>
      <c r="L973" s="426"/>
    </row>
    <row r="974" spans="9:12">
      <c r="I974" s="426"/>
      <c r="J974" s="426"/>
      <c r="K974" s="426"/>
      <c r="L974" s="426"/>
    </row>
    <row r="975" spans="9:12">
      <c r="I975" s="426"/>
      <c r="J975" s="426"/>
      <c r="K975" s="426"/>
      <c r="L975" s="426"/>
    </row>
    <row r="976" spans="9:12">
      <c r="I976" s="426"/>
      <c r="J976" s="426"/>
      <c r="K976" s="426"/>
      <c r="L976" s="426"/>
    </row>
    <row r="977" spans="9:12">
      <c r="I977" s="426"/>
      <c r="J977" s="426"/>
      <c r="K977" s="426"/>
      <c r="L977" s="426"/>
    </row>
    <row r="978" spans="9:12">
      <c r="I978" s="426"/>
      <c r="J978" s="426"/>
      <c r="K978" s="426"/>
      <c r="L978" s="426"/>
    </row>
    <row r="979" spans="9:12">
      <c r="I979" s="426"/>
      <c r="J979" s="426"/>
      <c r="K979" s="426"/>
      <c r="L979" s="426"/>
    </row>
    <row r="980" spans="9:12">
      <c r="I980" s="426"/>
      <c r="J980" s="426"/>
      <c r="K980" s="426"/>
      <c r="L980" s="426"/>
    </row>
    <row r="981" spans="9:12">
      <c r="I981" s="426"/>
      <c r="J981" s="426"/>
      <c r="K981" s="426"/>
      <c r="L981" s="426"/>
    </row>
    <row r="982" spans="9:12">
      <c r="I982" s="426"/>
      <c r="J982" s="426"/>
      <c r="K982" s="426"/>
      <c r="L982" s="426"/>
    </row>
    <row r="983" spans="9:12">
      <c r="I983" s="426"/>
      <c r="J983" s="426"/>
      <c r="K983" s="426"/>
      <c r="L983" s="426"/>
    </row>
    <row r="984" spans="9:12">
      <c r="I984" s="426"/>
      <c r="J984" s="426"/>
      <c r="K984" s="426"/>
      <c r="L984" s="426"/>
    </row>
    <row r="985" spans="9:12">
      <c r="I985" s="426"/>
      <c r="J985" s="426"/>
      <c r="K985" s="426"/>
      <c r="L985" s="426"/>
    </row>
    <row r="986" spans="9:12">
      <c r="I986" s="426"/>
      <c r="J986" s="426"/>
      <c r="K986" s="426"/>
      <c r="L986" s="426"/>
    </row>
    <row r="987" spans="9:12">
      <c r="I987" s="426"/>
      <c r="J987" s="426"/>
      <c r="K987" s="426"/>
      <c r="L987" s="426"/>
    </row>
    <row r="988" spans="9:12">
      <c r="I988" s="426"/>
      <c r="J988" s="426"/>
      <c r="K988" s="426"/>
      <c r="L988" s="426"/>
    </row>
    <row r="989" spans="9:12">
      <c r="I989" s="426"/>
      <c r="J989" s="426"/>
      <c r="K989" s="426"/>
      <c r="L989" s="426"/>
    </row>
    <row r="990" spans="9:12">
      <c r="I990" s="426"/>
      <c r="J990" s="426"/>
      <c r="K990" s="426"/>
      <c r="L990" s="426"/>
    </row>
    <row r="991" spans="9:12">
      <c r="I991" s="426"/>
      <c r="J991" s="426"/>
      <c r="K991" s="426"/>
      <c r="L991" s="426"/>
    </row>
    <row r="992" spans="9:12">
      <c r="I992" s="426"/>
      <c r="J992" s="426"/>
      <c r="K992" s="426"/>
      <c r="L992" s="426"/>
    </row>
    <row r="993" spans="9:12">
      <c r="I993" s="426"/>
      <c r="J993" s="426"/>
      <c r="K993" s="426"/>
      <c r="L993" s="426"/>
    </row>
    <row r="994" spans="9:12">
      <c r="I994" s="426"/>
      <c r="J994" s="426"/>
      <c r="K994" s="426"/>
      <c r="L994" s="426"/>
    </row>
    <row r="995" spans="9:12">
      <c r="I995" s="426"/>
      <c r="J995" s="426"/>
      <c r="K995" s="426"/>
      <c r="L995" s="426"/>
    </row>
    <row r="996" spans="9:12">
      <c r="I996" s="426"/>
      <c r="J996" s="426"/>
      <c r="K996" s="426"/>
      <c r="L996" s="426"/>
    </row>
    <row r="997" spans="9:12">
      <c r="I997" s="426"/>
      <c r="J997" s="426"/>
      <c r="K997" s="426"/>
      <c r="L997" s="426"/>
    </row>
    <row r="998" spans="9:12">
      <c r="I998" s="426"/>
      <c r="J998" s="426"/>
      <c r="K998" s="426"/>
      <c r="L998" s="42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310"/>
  <sheetViews>
    <sheetView zoomScale="75" zoomScaleNormal="75" workbookViewId="0">
      <selection activeCell="F9" sqref="F9"/>
    </sheetView>
  </sheetViews>
  <sheetFormatPr baseColWidth="10" defaultRowHeight="15"/>
  <cols>
    <col min="1" max="1" width="27.85546875" bestFit="1" customWidth="1"/>
    <col min="2" max="2" width="18.85546875" bestFit="1" customWidth="1"/>
    <col min="3" max="3" width="15" bestFit="1" customWidth="1"/>
    <col min="4" max="4" width="17" bestFit="1" customWidth="1"/>
    <col min="5" max="5" width="15.7109375" bestFit="1" customWidth="1"/>
  </cols>
  <sheetData>
    <row r="4" spans="1:5">
      <c r="A4" s="446" t="s">
        <v>405</v>
      </c>
      <c r="B4" s="446" t="s">
        <v>365</v>
      </c>
      <c r="C4" s="446" t="s">
        <v>366</v>
      </c>
      <c r="D4" s="446" t="s">
        <v>367</v>
      </c>
      <c r="E4" s="446" t="s">
        <v>368</v>
      </c>
    </row>
    <row r="5" spans="1:5">
      <c r="A5" s="442" t="s">
        <v>198</v>
      </c>
      <c r="B5" s="443">
        <v>53</v>
      </c>
      <c r="C5" s="443">
        <v>70</v>
      </c>
      <c r="D5" s="443">
        <v>80</v>
      </c>
      <c r="E5" s="443">
        <v>84</v>
      </c>
    </row>
    <row r="6" spans="1:5">
      <c r="A6" s="430">
        <v>50771</v>
      </c>
      <c r="B6" s="429">
        <v>53</v>
      </c>
      <c r="C6" s="429">
        <v>70</v>
      </c>
      <c r="D6" s="429">
        <v>80</v>
      </c>
      <c r="E6" s="429">
        <v>84</v>
      </c>
    </row>
    <row r="7" spans="1:5">
      <c r="A7" s="442" t="s">
        <v>70</v>
      </c>
      <c r="B7" s="443">
        <v>217.4</v>
      </c>
      <c r="C7" s="443">
        <v>219.6</v>
      </c>
      <c r="D7" s="443">
        <v>224.3</v>
      </c>
      <c r="E7" s="443">
        <v>252.5</v>
      </c>
    </row>
    <row r="8" spans="1:5">
      <c r="A8" s="430">
        <v>50754</v>
      </c>
      <c r="B8" s="429">
        <v>137.4</v>
      </c>
      <c r="C8" s="429">
        <v>139.6</v>
      </c>
      <c r="D8" s="429">
        <v>144.30000000000001</v>
      </c>
      <c r="E8" s="429">
        <v>172.5</v>
      </c>
    </row>
    <row r="9" spans="1:5">
      <c r="A9" s="430">
        <v>50820</v>
      </c>
      <c r="B9" s="429">
        <v>80</v>
      </c>
      <c r="C9" s="429">
        <v>80</v>
      </c>
      <c r="D9" s="429">
        <v>80</v>
      </c>
      <c r="E9" s="429">
        <v>80</v>
      </c>
    </row>
    <row r="10" spans="1:5">
      <c r="A10" s="442" t="s">
        <v>161</v>
      </c>
      <c r="B10" s="443">
        <v>75</v>
      </c>
      <c r="C10" s="443">
        <v>94</v>
      </c>
      <c r="D10" s="443">
        <v>119.34</v>
      </c>
      <c r="E10" s="443">
        <v>141.01</v>
      </c>
    </row>
    <row r="11" spans="1:5">
      <c r="A11" s="430">
        <v>50707</v>
      </c>
      <c r="B11" s="429">
        <v>27</v>
      </c>
      <c r="C11" s="429">
        <v>30</v>
      </c>
      <c r="D11" s="429">
        <v>40</v>
      </c>
      <c r="E11" s="429">
        <v>46</v>
      </c>
    </row>
    <row r="12" spans="1:5">
      <c r="A12" s="430">
        <v>50863</v>
      </c>
      <c r="B12" s="429">
        <v>48</v>
      </c>
      <c r="C12" s="429">
        <v>64</v>
      </c>
      <c r="D12" s="429">
        <v>79.34</v>
      </c>
      <c r="E12" s="429">
        <v>95.01</v>
      </c>
    </row>
    <row r="13" spans="1:5">
      <c r="A13" s="442" t="s">
        <v>190</v>
      </c>
      <c r="B13" s="443">
        <v>222.1</v>
      </c>
      <c r="C13" s="443">
        <v>263.85000000000002</v>
      </c>
      <c r="D13" s="443">
        <v>309.44</v>
      </c>
      <c r="E13" s="443">
        <v>338.13</v>
      </c>
    </row>
    <row r="14" spans="1:5">
      <c r="A14" s="430">
        <v>50698</v>
      </c>
      <c r="B14" s="429">
        <v>71</v>
      </c>
      <c r="C14" s="429">
        <v>72.2</v>
      </c>
      <c r="D14" s="429">
        <v>73.8</v>
      </c>
      <c r="E14" s="429">
        <v>77.75</v>
      </c>
    </row>
    <row r="15" spans="1:5">
      <c r="A15" s="430">
        <v>50798</v>
      </c>
      <c r="B15" s="429">
        <v>63.5</v>
      </c>
      <c r="C15" s="429">
        <v>77.17</v>
      </c>
      <c r="D15" s="429">
        <v>89.5</v>
      </c>
      <c r="E15" s="429">
        <v>90</v>
      </c>
    </row>
    <row r="16" spans="1:5">
      <c r="A16" s="430">
        <v>50856</v>
      </c>
      <c r="B16" s="429">
        <v>36</v>
      </c>
      <c r="C16" s="429">
        <v>44.33</v>
      </c>
      <c r="D16" s="429">
        <v>57.58</v>
      </c>
      <c r="E16" s="429">
        <v>48.5</v>
      </c>
    </row>
    <row r="17" spans="1:5">
      <c r="A17" s="430">
        <v>50864</v>
      </c>
      <c r="B17" s="429">
        <v>51.6</v>
      </c>
      <c r="C17" s="429">
        <v>70.150000000000006</v>
      </c>
      <c r="D17" s="429">
        <v>88.56</v>
      </c>
      <c r="E17" s="429">
        <v>121.88</v>
      </c>
    </row>
    <row r="18" spans="1:5">
      <c r="A18" s="442" t="s">
        <v>36</v>
      </c>
      <c r="B18" s="443">
        <v>455.9</v>
      </c>
      <c r="C18" s="443">
        <v>472.24</v>
      </c>
      <c r="D18" s="443">
        <v>503.91999999999996</v>
      </c>
      <c r="E18" s="443">
        <v>518.3599999999999</v>
      </c>
    </row>
    <row r="19" spans="1:5">
      <c r="A19" s="430">
        <v>50794</v>
      </c>
      <c r="B19" s="429">
        <v>160.1</v>
      </c>
      <c r="C19" s="429">
        <v>163.69</v>
      </c>
      <c r="D19" s="429">
        <v>181.67</v>
      </c>
      <c r="E19" s="429">
        <v>184.42</v>
      </c>
    </row>
    <row r="20" spans="1:5">
      <c r="A20" s="430">
        <v>50806</v>
      </c>
      <c r="B20" s="429">
        <v>162.19999999999999</v>
      </c>
      <c r="C20" s="429">
        <v>169.4</v>
      </c>
      <c r="D20" s="429">
        <v>175.25</v>
      </c>
      <c r="E20" s="429">
        <v>178.37</v>
      </c>
    </row>
    <row r="21" spans="1:5">
      <c r="A21" s="430">
        <v>50829</v>
      </c>
      <c r="B21" s="429">
        <v>133.6</v>
      </c>
      <c r="C21" s="429">
        <v>139.15</v>
      </c>
      <c r="D21" s="429">
        <v>147</v>
      </c>
      <c r="E21" s="429">
        <v>155.57</v>
      </c>
    </row>
    <row r="22" spans="1:5">
      <c r="A22" s="442" t="s">
        <v>150</v>
      </c>
      <c r="B22" s="443">
        <v>130.69999999999999</v>
      </c>
      <c r="C22" s="443">
        <v>136.13</v>
      </c>
      <c r="D22" s="443">
        <v>140.5</v>
      </c>
      <c r="E22" s="443">
        <v>146.83000000000001</v>
      </c>
    </row>
    <row r="23" spans="1:5">
      <c r="A23" s="430">
        <v>50815</v>
      </c>
      <c r="B23" s="429">
        <v>130.69999999999999</v>
      </c>
      <c r="C23" s="429">
        <v>136.13</v>
      </c>
      <c r="D23" s="429">
        <v>140.5</v>
      </c>
      <c r="E23" s="429">
        <v>146.83000000000001</v>
      </c>
    </row>
    <row r="24" spans="1:5">
      <c r="A24" s="442" t="s">
        <v>137</v>
      </c>
      <c r="B24" s="443">
        <v>254.1</v>
      </c>
      <c r="C24" s="443">
        <v>273.2</v>
      </c>
      <c r="D24" s="443">
        <v>301.74</v>
      </c>
      <c r="E24" s="443">
        <v>332.72</v>
      </c>
    </row>
    <row r="25" spans="1:5">
      <c r="A25" s="430">
        <v>50757</v>
      </c>
      <c r="B25" s="429">
        <v>25</v>
      </c>
      <c r="C25" s="429">
        <v>30</v>
      </c>
      <c r="D25" s="429">
        <v>38</v>
      </c>
      <c r="E25" s="429">
        <v>41</v>
      </c>
    </row>
    <row r="26" spans="1:5">
      <c r="A26" s="430">
        <v>50830</v>
      </c>
      <c r="B26" s="429">
        <v>129.6</v>
      </c>
      <c r="C26" s="429">
        <v>132.44999999999999</v>
      </c>
      <c r="D26" s="429">
        <v>142.49</v>
      </c>
      <c r="E26" s="429">
        <v>153.72</v>
      </c>
    </row>
    <row r="27" spans="1:5">
      <c r="A27" s="430">
        <v>50857</v>
      </c>
      <c r="B27" s="429">
        <v>99.5</v>
      </c>
      <c r="C27" s="429">
        <v>110.75</v>
      </c>
      <c r="D27" s="429">
        <v>121.25</v>
      </c>
      <c r="E27" s="429">
        <v>138</v>
      </c>
    </row>
    <row r="28" spans="1:5">
      <c r="A28" s="442" t="s">
        <v>206</v>
      </c>
      <c r="B28" s="443">
        <v>33.700000000000003</v>
      </c>
      <c r="C28" s="443">
        <v>38.6</v>
      </c>
      <c r="D28" s="443">
        <v>46.12</v>
      </c>
      <c r="E28" s="443">
        <v>54.3</v>
      </c>
    </row>
    <row r="29" spans="1:5">
      <c r="A29" s="430">
        <v>50853</v>
      </c>
      <c r="B29" s="429">
        <v>33.700000000000003</v>
      </c>
      <c r="C29" s="429">
        <v>38.6</v>
      </c>
      <c r="D29" s="429">
        <v>46.12</v>
      </c>
      <c r="E29" s="429">
        <v>54.3</v>
      </c>
    </row>
    <row r="30" spans="1:5">
      <c r="A30" s="442" t="s">
        <v>57</v>
      </c>
      <c r="B30" s="443">
        <v>247.8</v>
      </c>
      <c r="C30" s="443">
        <v>261.12</v>
      </c>
      <c r="D30" s="443">
        <v>267.12</v>
      </c>
      <c r="E30" s="443">
        <v>272.37</v>
      </c>
    </row>
    <row r="31" spans="1:5">
      <c r="A31" s="430">
        <v>50594</v>
      </c>
      <c r="B31" s="429">
        <v>65</v>
      </c>
      <c r="C31" s="429">
        <v>70</v>
      </c>
      <c r="D31" s="429">
        <v>70.5</v>
      </c>
      <c r="E31" s="429">
        <v>72</v>
      </c>
    </row>
    <row r="32" spans="1:5">
      <c r="A32" s="430">
        <v>50664</v>
      </c>
      <c r="B32" s="429">
        <v>68.3</v>
      </c>
      <c r="C32" s="429">
        <v>74.67</v>
      </c>
      <c r="D32" s="429">
        <v>75.17</v>
      </c>
      <c r="E32" s="429">
        <v>78.67</v>
      </c>
    </row>
    <row r="33" spans="1:5">
      <c r="A33" s="430">
        <v>50712</v>
      </c>
      <c r="B33" s="429">
        <v>114.5</v>
      </c>
      <c r="C33" s="429">
        <v>116.45</v>
      </c>
      <c r="D33" s="429">
        <v>121.45</v>
      </c>
      <c r="E33" s="429">
        <v>121.7</v>
      </c>
    </row>
    <row r="34" spans="1:5">
      <c r="A34" s="442" t="s">
        <v>163</v>
      </c>
      <c r="B34" s="443">
        <v>23</v>
      </c>
      <c r="C34" s="443">
        <v>24</v>
      </c>
      <c r="D34" s="443">
        <v>24</v>
      </c>
      <c r="E34" s="443">
        <v>40.5</v>
      </c>
    </row>
    <row r="35" spans="1:5">
      <c r="A35" s="430">
        <v>50840</v>
      </c>
      <c r="B35" s="429">
        <v>23</v>
      </c>
      <c r="C35" s="429">
        <v>24</v>
      </c>
      <c r="D35" s="429">
        <v>24</v>
      </c>
      <c r="E35" s="429">
        <v>40.5</v>
      </c>
    </row>
    <row r="36" spans="1:5">
      <c r="A36" s="442" t="s">
        <v>242</v>
      </c>
      <c r="B36" s="443">
        <v>32.4</v>
      </c>
      <c r="C36" s="443">
        <v>35</v>
      </c>
      <c r="D36" s="443">
        <v>37.770000000000003</v>
      </c>
      <c r="E36" s="443">
        <v>40.32</v>
      </c>
    </row>
    <row r="37" spans="1:5">
      <c r="A37" s="430">
        <v>50876</v>
      </c>
      <c r="B37" s="429">
        <v>32.4</v>
      </c>
      <c r="C37" s="429">
        <v>35</v>
      </c>
      <c r="D37" s="429">
        <v>37.770000000000003</v>
      </c>
      <c r="E37" s="429">
        <v>40.32</v>
      </c>
    </row>
    <row r="38" spans="1:5">
      <c r="A38" s="442" t="s">
        <v>77</v>
      </c>
      <c r="B38" s="443">
        <v>87.5</v>
      </c>
      <c r="C38" s="443">
        <v>87.88</v>
      </c>
      <c r="D38" s="443">
        <v>101.91</v>
      </c>
      <c r="E38" s="443">
        <v>108.13</v>
      </c>
    </row>
    <row r="39" spans="1:5">
      <c r="A39" s="430">
        <v>50748</v>
      </c>
      <c r="B39" s="429">
        <v>87.5</v>
      </c>
      <c r="C39" s="429">
        <v>87.88</v>
      </c>
      <c r="D39" s="429">
        <v>101.91</v>
      </c>
      <c r="E39" s="429">
        <v>108.13</v>
      </c>
    </row>
    <row r="40" spans="1:5">
      <c r="A40" s="442" t="s">
        <v>47</v>
      </c>
      <c r="B40" s="443">
        <v>495</v>
      </c>
      <c r="C40" s="443">
        <v>502.90999999999997</v>
      </c>
      <c r="D40" s="443">
        <v>509.67</v>
      </c>
      <c r="E40" s="443">
        <v>548.91000000000008</v>
      </c>
    </row>
    <row r="41" spans="1:5">
      <c r="A41" s="430">
        <v>50542</v>
      </c>
      <c r="B41" s="429">
        <v>123.9</v>
      </c>
      <c r="C41" s="429">
        <v>128</v>
      </c>
      <c r="D41" s="429">
        <v>131.43</v>
      </c>
      <c r="E41" s="429">
        <v>140.21</v>
      </c>
    </row>
    <row r="42" spans="1:5">
      <c r="A42" s="430" t="s">
        <v>385</v>
      </c>
      <c r="B42" s="429">
        <v>171.9</v>
      </c>
      <c r="C42" s="429">
        <v>173.56</v>
      </c>
      <c r="D42" s="429">
        <v>175.44</v>
      </c>
      <c r="E42" s="429">
        <v>188.5</v>
      </c>
    </row>
    <row r="43" spans="1:5">
      <c r="A43" s="430" t="s">
        <v>386</v>
      </c>
      <c r="B43" s="429">
        <v>199.2</v>
      </c>
      <c r="C43" s="429">
        <v>201.35</v>
      </c>
      <c r="D43" s="429">
        <v>202.8</v>
      </c>
      <c r="E43" s="429">
        <v>220.2</v>
      </c>
    </row>
    <row r="44" spans="1:5">
      <c r="A44" s="442" t="s">
        <v>202</v>
      </c>
      <c r="B44" s="443">
        <v>143.69999999999999</v>
      </c>
      <c r="C44" s="443">
        <v>146.25</v>
      </c>
      <c r="D44" s="443">
        <v>146.25</v>
      </c>
      <c r="E44" s="443">
        <v>146.92000000000002</v>
      </c>
    </row>
    <row r="45" spans="1:5">
      <c r="A45" s="430">
        <v>50525</v>
      </c>
      <c r="B45" s="429">
        <v>75</v>
      </c>
      <c r="C45" s="429">
        <v>75.5</v>
      </c>
      <c r="D45" s="429">
        <v>75.5</v>
      </c>
      <c r="E45" s="429">
        <v>76</v>
      </c>
    </row>
    <row r="46" spans="1:5">
      <c r="A46" s="430">
        <v>50601</v>
      </c>
      <c r="B46" s="429">
        <v>68.7</v>
      </c>
      <c r="C46" s="429">
        <v>70.75</v>
      </c>
      <c r="D46" s="429">
        <v>70.75</v>
      </c>
      <c r="E46" s="429">
        <v>70.92</v>
      </c>
    </row>
    <row r="47" spans="1:5">
      <c r="A47" s="442" t="s">
        <v>184</v>
      </c>
      <c r="B47" s="443">
        <v>188.6</v>
      </c>
      <c r="C47" s="443">
        <v>189.62</v>
      </c>
      <c r="D47" s="443">
        <v>195.68</v>
      </c>
      <c r="E47" s="443">
        <v>204.79000000000002</v>
      </c>
    </row>
    <row r="48" spans="1:5">
      <c r="A48" s="430">
        <v>50774</v>
      </c>
      <c r="B48" s="429">
        <v>114.5</v>
      </c>
      <c r="C48" s="429">
        <v>115.04</v>
      </c>
      <c r="D48" s="429">
        <v>116.5</v>
      </c>
      <c r="E48" s="429">
        <v>119.25</v>
      </c>
    </row>
    <row r="49" spans="1:5">
      <c r="A49" s="430">
        <v>50808</v>
      </c>
      <c r="B49" s="429">
        <v>74.099999999999994</v>
      </c>
      <c r="C49" s="429">
        <v>74.58</v>
      </c>
      <c r="D49" s="429">
        <v>79.180000000000007</v>
      </c>
      <c r="E49" s="429">
        <v>85.54</v>
      </c>
    </row>
    <row r="50" spans="1:5">
      <c r="A50" s="442" t="s">
        <v>127</v>
      </c>
      <c r="B50" s="443">
        <v>39</v>
      </c>
      <c r="C50" s="443">
        <v>39</v>
      </c>
      <c r="D50" s="443">
        <v>43</v>
      </c>
      <c r="E50" s="443">
        <v>43.5</v>
      </c>
    </row>
    <row r="51" spans="1:5">
      <c r="A51" s="430">
        <v>50767</v>
      </c>
      <c r="B51" s="429">
        <v>39</v>
      </c>
      <c r="C51" s="429">
        <v>39</v>
      </c>
      <c r="D51" s="429">
        <v>43</v>
      </c>
      <c r="E51" s="429">
        <v>43.5</v>
      </c>
    </row>
    <row r="52" spans="1:5">
      <c r="A52" s="442" t="s">
        <v>231</v>
      </c>
      <c r="B52" s="443">
        <v>40.799999999999997</v>
      </c>
      <c r="C52" s="443">
        <v>53.68</v>
      </c>
      <c r="D52" s="443">
        <v>67</v>
      </c>
      <c r="E52" s="443">
        <v>73.25</v>
      </c>
    </row>
    <row r="53" spans="1:5">
      <c r="A53" s="430">
        <v>50206</v>
      </c>
      <c r="B53" s="429">
        <v>40.799999999999997</v>
      </c>
      <c r="C53" s="429">
        <v>53.68</v>
      </c>
      <c r="D53" s="429">
        <v>67</v>
      </c>
      <c r="E53" s="429">
        <v>73.25</v>
      </c>
    </row>
    <row r="54" spans="1:5">
      <c r="A54" s="442" t="s">
        <v>115</v>
      </c>
      <c r="B54" s="443">
        <v>17.7</v>
      </c>
      <c r="C54" s="443">
        <v>23.17</v>
      </c>
      <c r="D54" s="443">
        <v>26.33</v>
      </c>
      <c r="E54" s="443">
        <v>30.33</v>
      </c>
    </row>
    <row r="55" spans="1:5">
      <c r="A55" s="430">
        <v>50535</v>
      </c>
      <c r="B55" s="429">
        <v>4</v>
      </c>
      <c r="C55" s="429">
        <v>8</v>
      </c>
      <c r="D55" s="429">
        <v>9</v>
      </c>
      <c r="E55" s="429">
        <v>12</v>
      </c>
    </row>
    <row r="56" spans="1:5">
      <c r="A56" s="430">
        <v>50858</v>
      </c>
      <c r="B56" s="429">
        <v>13.7</v>
      </c>
      <c r="C56" s="429">
        <v>15.17</v>
      </c>
      <c r="D56" s="429">
        <v>17.329999999999998</v>
      </c>
      <c r="E56" s="429">
        <v>18.329999999999998</v>
      </c>
    </row>
    <row r="57" spans="1:5">
      <c r="A57" s="442" t="s">
        <v>113</v>
      </c>
      <c r="B57" s="443">
        <v>307.60000000000002</v>
      </c>
      <c r="C57" s="443">
        <v>313.99</v>
      </c>
      <c r="D57" s="443">
        <v>322.88</v>
      </c>
      <c r="E57" s="443">
        <v>336.46</v>
      </c>
    </row>
    <row r="58" spans="1:5">
      <c r="A58" s="430">
        <v>50146</v>
      </c>
      <c r="B58" s="429">
        <v>83</v>
      </c>
      <c r="C58" s="429">
        <v>84</v>
      </c>
      <c r="D58" s="429">
        <v>84</v>
      </c>
      <c r="E58" s="429">
        <v>84</v>
      </c>
    </row>
    <row r="59" spans="1:5">
      <c r="A59" s="430">
        <v>50688</v>
      </c>
      <c r="B59" s="429">
        <v>115.6</v>
      </c>
      <c r="C59" s="429">
        <v>116.19</v>
      </c>
      <c r="D59" s="429">
        <v>116.63</v>
      </c>
      <c r="E59" s="429">
        <v>119.75</v>
      </c>
    </row>
    <row r="60" spans="1:5">
      <c r="A60" s="430">
        <v>50758</v>
      </c>
      <c r="B60" s="429">
        <v>89</v>
      </c>
      <c r="C60" s="429">
        <v>90.8</v>
      </c>
      <c r="D60" s="429">
        <v>94.25</v>
      </c>
      <c r="E60" s="429">
        <v>100.21</v>
      </c>
    </row>
    <row r="61" spans="1:5">
      <c r="A61" s="430">
        <v>50812</v>
      </c>
      <c r="B61" s="429">
        <v>20</v>
      </c>
      <c r="C61" s="429">
        <v>23</v>
      </c>
      <c r="D61" s="429">
        <v>28</v>
      </c>
      <c r="E61" s="429">
        <v>32.5</v>
      </c>
    </row>
    <row r="62" spans="1:5">
      <c r="A62" s="442" t="s">
        <v>61</v>
      </c>
      <c r="B62" s="443">
        <v>1163.0999999999999</v>
      </c>
      <c r="C62" s="443">
        <v>1221.8800000000001</v>
      </c>
      <c r="D62" s="443">
        <v>1277.7</v>
      </c>
      <c r="E62" s="443">
        <v>1404.5700000000002</v>
      </c>
    </row>
    <row r="63" spans="1:5">
      <c r="A63" s="430">
        <v>50467</v>
      </c>
      <c r="B63" s="429">
        <v>178.5</v>
      </c>
      <c r="C63" s="429">
        <v>180.3</v>
      </c>
      <c r="D63" s="429">
        <v>182.2</v>
      </c>
      <c r="E63" s="429">
        <v>183.7</v>
      </c>
    </row>
    <row r="64" spans="1:5">
      <c r="A64" s="430">
        <v>50595</v>
      </c>
      <c r="B64" s="429">
        <v>73</v>
      </c>
      <c r="C64" s="429">
        <v>108.67</v>
      </c>
      <c r="D64" s="429">
        <v>110</v>
      </c>
      <c r="E64" s="429">
        <v>117.43</v>
      </c>
    </row>
    <row r="65" spans="1:5">
      <c r="A65" s="430">
        <v>50626</v>
      </c>
      <c r="B65" s="429">
        <v>72</v>
      </c>
      <c r="C65" s="429">
        <v>73</v>
      </c>
      <c r="D65" s="429">
        <v>78.5</v>
      </c>
      <c r="E65" s="429">
        <v>82</v>
      </c>
    </row>
    <row r="66" spans="1:5">
      <c r="A66" s="430">
        <v>50636</v>
      </c>
      <c r="B66" s="429">
        <v>102</v>
      </c>
      <c r="C66" s="429">
        <v>102</v>
      </c>
      <c r="D66" s="429">
        <v>105</v>
      </c>
      <c r="E66" s="429">
        <v>113</v>
      </c>
    </row>
    <row r="67" spans="1:5">
      <c r="A67" s="430">
        <v>50733</v>
      </c>
      <c r="B67" s="429">
        <v>54</v>
      </c>
      <c r="C67" s="429">
        <v>54.5</v>
      </c>
      <c r="D67" s="429">
        <v>55</v>
      </c>
      <c r="E67" s="429">
        <v>67.5</v>
      </c>
    </row>
    <row r="68" spans="1:5">
      <c r="A68" s="430">
        <v>50818</v>
      </c>
      <c r="B68" s="429">
        <v>85</v>
      </c>
      <c r="C68" s="429">
        <v>87.67</v>
      </c>
      <c r="D68" s="429">
        <v>96.5</v>
      </c>
      <c r="E68" s="429">
        <v>109.83</v>
      </c>
    </row>
    <row r="69" spans="1:5">
      <c r="A69" s="430">
        <v>50860</v>
      </c>
      <c r="B69" s="429">
        <v>36.700000000000003</v>
      </c>
      <c r="C69" s="429">
        <v>40.11</v>
      </c>
      <c r="D69" s="429">
        <v>52.33</v>
      </c>
      <c r="E69" s="429">
        <v>91.31</v>
      </c>
    </row>
    <row r="70" spans="1:5">
      <c r="A70" s="430" t="s">
        <v>387</v>
      </c>
      <c r="B70" s="429">
        <v>162.30000000000001</v>
      </c>
      <c r="C70" s="429">
        <v>164.63</v>
      </c>
      <c r="D70" s="429">
        <v>168.44</v>
      </c>
      <c r="E70" s="429">
        <v>173.94</v>
      </c>
    </row>
    <row r="71" spans="1:5">
      <c r="A71" s="430" t="s">
        <v>388</v>
      </c>
      <c r="B71" s="429">
        <v>65</v>
      </c>
      <c r="C71" s="429">
        <v>71.5</v>
      </c>
      <c r="D71" s="429">
        <v>79</v>
      </c>
      <c r="E71" s="429">
        <v>95</v>
      </c>
    </row>
    <row r="72" spans="1:5">
      <c r="A72" s="430" t="s">
        <v>389</v>
      </c>
      <c r="B72" s="429">
        <v>190.8</v>
      </c>
      <c r="C72" s="429">
        <v>194</v>
      </c>
      <c r="D72" s="429">
        <v>198.25</v>
      </c>
      <c r="E72" s="429">
        <v>200.19</v>
      </c>
    </row>
    <row r="73" spans="1:5">
      <c r="A73" s="430" t="s">
        <v>390</v>
      </c>
      <c r="B73" s="429">
        <v>143.80000000000001</v>
      </c>
      <c r="C73" s="429">
        <v>145.5</v>
      </c>
      <c r="D73" s="429">
        <v>152.47999999999999</v>
      </c>
      <c r="E73" s="429">
        <v>170.67</v>
      </c>
    </row>
    <row r="74" spans="1:5">
      <c r="A74" s="442" t="s">
        <v>71</v>
      </c>
      <c r="B74" s="443">
        <v>337.9</v>
      </c>
      <c r="C74" s="443">
        <v>341.9</v>
      </c>
      <c r="D74" s="443">
        <v>351.39</v>
      </c>
      <c r="E74" s="443">
        <v>367.89</v>
      </c>
    </row>
    <row r="75" spans="1:5">
      <c r="A75" s="430">
        <v>50747</v>
      </c>
      <c r="B75" s="429">
        <v>206</v>
      </c>
      <c r="C75" s="429">
        <v>206</v>
      </c>
      <c r="D75" s="429">
        <v>207</v>
      </c>
      <c r="E75" s="429">
        <v>211</v>
      </c>
    </row>
    <row r="76" spans="1:5">
      <c r="A76" s="430">
        <v>50764</v>
      </c>
      <c r="B76" s="429">
        <v>131.9</v>
      </c>
      <c r="C76" s="429">
        <v>135.9</v>
      </c>
      <c r="D76" s="429">
        <v>144.38999999999999</v>
      </c>
      <c r="E76" s="429">
        <v>156.88999999999999</v>
      </c>
    </row>
    <row r="77" spans="1:5">
      <c r="A77" s="442" t="s">
        <v>33</v>
      </c>
      <c r="B77" s="443">
        <v>770</v>
      </c>
      <c r="C77" s="443">
        <v>800.91</v>
      </c>
      <c r="D77" s="443">
        <v>830.05</v>
      </c>
      <c r="E77" s="443">
        <v>884.66000000000008</v>
      </c>
    </row>
    <row r="78" spans="1:5">
      <c r="A78" s="430">
        <v>50104</v>
      </c>
      <c r="B78" s="429">
        <v>50</v>
      </c>
      <c r="C78" s="429">
        <v>56</v>
      </c>
      <c r="D78" s="429">
        <v>60</v>
      </c>
      <c r="E78" s="429">
        <v>73</v>
      </c>
    </row>
    <row r="79" spans="1:5">
      <c r="A79" s="430">
        <v>50184</v>
      </c>
      <c r="B79" s="429">
        <v>97.5</v>
      </c>
      <c r="C79" s="429">
        <v>97.5</v>
      </c>
      <c r="D79" s="429">
        <v>97.5</v>
      </c>
      <c r="E79" s="429">
        <v>97.5</v>
      </c>
    </row>
    <row r="80" spans="1:5">
      <c r="A80" s="430">
        <v>50267</v>
      </c>
      <c r="B80" s="429">
        <v>101.8</v>
      </c>
      <c r="C80" s="429">
        <v>106.6</v>
      </c>
      <c r="D80" s="429">
        <v>111.25</v>
      </c>
      <c r="E80" s="429">
        <v>117.05</v>
      </c>
    </row>
    <row r="81" spans="1:5">
      <c r="A81" s="430">
        <v>50462</v>
      </c>
      <c r="B81" s="429">
        <v>99.3</v>
      </c>
      <c r="C81" s="429">
        <v>103.17</v>
      </c>
      <c r="D81" s="429">
        <v>104.83</v>
      </c>
      <c r="E81" s="429">
        <v>109.83</v>
      </c>
    </row>
    <row r="82" spans="1:5">
      <c r="A82" s="430">
        <v>50563</v>
      </c>
      <c r="B82" s="429">
        <v>82.9</v>
      </c>
      <c r="C82" s="429">
        <v>87.25</v>
      </c>
      <c r="D82" s="429">
        <v>91.65</v>
      </c>
      <c r="E82" s="429">
        <v>94.88</v>
      </c>
    </row>
    <row r="83" spans="1:5">
      <c r="A83" s="430">
        <v>50819</v>
      </c>
      <c r="B83" s="429">
        <v>90.7</v>
      </c>
      <c r="C83" s="429">
        <v>97.99</v>
      </c>
      <c r="D83" s="429">
        <v>107.67</v>
      </c>
      <c r="E83" s="429">
        <v>123.6</v>
      </c>
    </row>
    <row r="84" spans="1:5">
      <c r="A84" s="430" t="s">
        <v>391</v>
      </c>
      <c r="B84" s="429">
        <v>147.30000000000001</v>
      </c>
      <c r="C84" s="429">
        <v>147.4</v>
      </c>
      <c r="D84" s="429">
        <v>147.65</v>
      </c>
      <c r="E84" s="429">
        <v>149.05000000000001</v>
      </c>
    </row>
    <row r="85" spans="1:5">
      <c r="A85" s="430" t="s">
        <v>392</v>
      </c>
      <c r="B85" s="429">
        <v>100.5</v>
      </c>
      <c r="C85" s="429">
        <v>105</v>
      </c>
      <c r="D85" s="429">
        <v>109.5</v>
      </c>
      <c r="E85" s="429">
        <v>119.75</v>
      </c>
    </row>
    <row r="86" spans="1:5">
      <c r="A86" s="442" t="s">
        <v>154</v>
      </c>
      <c r="B86" s="443">
        <v>28</v>
      </c>
      <c r="C86" s="443">
        <v>28</v>
      </c>
      <c r="D86" s="443">
        <v>35</v>
      </c>
      <c r="E86" s="443">
        <v>41.6</v>
      </c>
    </row>
    <row r="87" spans="1:5">
      <c r="A87" s="430">
        <v>50851</v>
      </c>
      <c r="B87" s="429">
        <v>28</v>
      </c>
      <c r="C87" s="429">
        <v>28</v>
      </c>
      <c r="D87" s="429">
        <v>35</v>
      </c>
      <c r="E87" s="429">
        <v>41.6</v>
      </c>
    </row>
    <row r="88" spans="1:5">
      <c r="A88" s="442" t="s">
        <v>67</v>
      </c>
      <c r="B88" s="443">
        <v>268.7</v>
      </c>
      <c r="C88" s="443">
        <v>276.3</v>
      </c>
      <c r="D88" s="443">
        <v>286.32</v>
      </c>
      <c r="E88" s="443">
        <v>294.20999999999998</v>
      </c>
    </row>
    <row r="89" spans="1:5">
      <c r="A89" s="430">
        <v>50087</v>
      </c>
      <c r="B89" s="429">
        <v>35</v>
      </c>
      <c r="C89" s="429">
        <v>37.44</v>
      </c>
      <c r="D89" s="429">
        <v>39.200000000000003</v>
      </c>
      <c r="E89" s="429">
        <v>45.55</v>
      </c>
    </row>
    <row r="90" spans="1:5">
      <c r="A90" s="430">
        <v>50323</v>
      </c>
      <c r="B90" s="429">
        <v>25.3</v>
      </c>
      <c r="C90" s="429">
        <v>25.83</v>
      </c>
      <c r="D90" s="429">
        <v>27.33</v>
      </c>
      <c r="E90" s="429">
        <v>29</v>
      </c>
    </row>
    <row r="91" spans="1:5">
      <c r="A91" s="430">
        <v>50459</v>
      </c>
      <c r="B91" s="429">
        <v>42</v>
      </c>
      <c r="C91" s="429">
        <v>44.08</v>
      </c>
      <c r="D91" s="429">
        <v>45.12</v>
      </c>
      <c r="E91" s="429">
        <v>46.73</v>
      </c>
    </row>
    <row r="92" spans="1:5">
      <c r="A92" s="430">
        <v>50558</v>
      </c>
      <c r="B92" s="429">
        <v>28.4</v>
      </c>
      <c r="C92" s="429">
        <v>26.56</v>
      </c>
      <c r="D92" s="429">
        <v>28.28</v>
      </c>
      <c r="E92" s="429">
        <v>29.78</v>
      </c>
    </row>
    <row r="93" spans="1:5">
      <c r="A93" s="430">
        <v>50602</v>
      </c>
      <c r="B93" s="429">
        <v>29</v>
      </c>
      <c r="C93" s="429">
        <v>29</v>
      </c>
      <c r="D93" s="429">
        <v>30</v>
      </c>
      <c r="E93" s="429">
        <v>32.5</v>
      </c>
    </row>
    <row r="94" spans="1:5">
      <c r="A94" s="430">
        <v>50632</v>
      </c>
      <c r="B94" s="429">
        <v>47.9</v>
      </c>
      <c r="C94" s="429">
        <v>49.7</v>
      </c>
      <c r="D94" s="429">
        <v>50.85</v>
      </c>
      <c r="E94" s="429">
        <v>50.56</v>
      </c>
    </row>
    <row r="95" spans="1:5">
      <c r="A95" s="430">
        <v>50724</v>
      </c>
      <c r="B95" s="429">
        <v>34.200000000000003</v>
      </c>
      <c r="C95" s="429">
        <v>36</v>
      </c>
      <c r="D95" s="429">
        <v>36.979999999999997</v>
      </c>
      <c r="E95" s="429">
        <v>30.71</v>
      </c>
    </row>
    <row r="96" spans="1:5">
      <c r="A96" s="430">
        <v>50726</v>
      </c>
      <c r="B96" s="429">
        <v>26.9</v>
      </c>
      <c r="C96" s="429">
        <v>27.69</v>
      </c>
      <c r="D96" s="429">
        <v>28.56</v>
      </c>
      <c r="E96" s="429">
        <v>29.38</v>
      </c>
    </row>
    <row r="97" spans="1:5">
      <c r="A97" s="442" t="s">
        <v>130</v>
      </c>
      <c r="B97" s="443">
        <v>25.3</v>
      </c>
      <c r="C97" s="443">
        <v>27.1</v>
      </c>
      <c r="D97" s="443">
        <v>30.33</v>
      </c>
      <c r="E97" s="443">
        <v>35.880000000000003</v>
      </c>
    </row>
    <row r="98" spans="1:5">
      <c r="A98" s="430">
        <v>50827</v>
      </c>
      <c r="B98" s="429">
        <v>25.3</v>
      </c>
      <c r="C98" s="429">
        <v>27.1</v>
      </c>
      <c r="D98" s="429">
        <v>30.33</v>
      </c>
      <c r="E98" s="429">
        <v>35.880000000000003</v>
      </c>
    </row>
    <row r="99" spans="1:5">
      <c r="A99" s="442" t="s">
        <v>106</v>
      </c>
      <c r="B99" s="443">
        <v>436</v>
      </c>
      <c r="C99" s="443">
        <v>460.5</v>
      </c>
      <c r="D99" s="443">
        <v>480.69</v>
      </c>
      <c r="E99" s="443">
        <v>484.38</v>
      </c>
    </row>
    <row r="100" spans="1:5">
      <c r="A100" s="430">
        <v>50735</v>
      </c>
      <c r="B100" s="429">
        <v>74</v>
      </c>
      <c r="C100" s="429">
        <v>74</v>
      </c>
      <c r="D100" s="429">
        <v>77</v>
      </c>
      <c r="E100" s="429">
        <v>78</v>
      </c>
    </row>
    <row r="101" spans="1:5">
      <c r="A101" s="430">
        <v>50756</v>
      </c>
      <c r="B101" s="429">
        <v>105</v>
      </c>
      <c r="C101" s="429">
        <v>119</v>
      </c>
      <c r="D101" s="429">
        <v>124.5</v>
      </c>
      <c r="E101" s="429">
        <v>130.5</v>
      </c>
    </row>
    <row r="102" spans="1:5">
      <c r="A102" s="430">
        <v>50836</v>
      </c>
      <c r="B102" s="429">
        <v>143.80000000000001</v>
      </c>
      <c r="C102" s="429">
        <v>147.75</v>
      </c>
      <c r="D102" s="429">
        <v>150.69</v>
      </c>
      <c r="E102" s="429">
        <v>139.88</v>
      </c>
    </row>
    <row r="103" spans="1:5">
      <c r="A103" s="430">
        <v>50859</v>
      </c>
      <c r="B103" s="429">
        <v>113.2</v>
      </c>
      <c r="C103" s="429">
        <v>119.75</v>
      </c>
      <c r="D103" s="429">
        <v>128.5</v>
      </c>
      <c r="E103" s="429">
        <v>136</v>
      </c>
    </row>
    <row r="104" spans="1:5">
      <c r="A104" s="442" t="s">
        <v>92</v>
      </c>
      <c r="B104" s="443">
        <v>25</v>
      </c>
      <c r="C104" s="443">
        <v>28</v>
      </c>
      <c r="D104" s="443">
        <v>31.5</v>
      </c>
      <c r="E104" s="443">
        <v>34.75</v>
      </c>
    </row>
    <row r="105" spans="1:5">
      <c r="A105" s="430">
        <v>50784</v>
      </c>
      <c r="B105" s="429">
        <v>25</v>
      </c>
      <c r="C105" s="429">
        <v>28</v>
      </c>
      <c r="D105" s="429">
        <v>31.5</v>
      </c>
      <c r="E105" s="429">
        <v>34.75</v>
      </c>
    </row>
    <row r="106" spans="1:5">
      <c r="A106" s="442" t="s">
        <v>209</v>
      </c>
      <c r="B106" s="443">
        <v>108.3</v>
      </c>
      <c r="C106" s="443">
        <v>113.1</v>
      </c>
      <c r="D106" s="443">
        <v>118.65</v>
      </c>
      <c r="E106" s="443">
        <v>123.83</v>
      </c>
    </row>
    <row r="107" spans="1:5">
      <c r="A107" s="430">
        <v>50617</v>
      </c>
      <c r="B107" s="429">
        <v>58</v>
      </c>
      <c r="C107" s="429">
        <v>59</v>
      </c>
      <c r="D107" s="429">
        <v>61</v>
      </c>
      <c r="E107" s="429">
        <v>62.5</v>
      </c>
    </row>
    <row r="108" spans="1:5">
      <c r="A108" s="430">
        <v>50635</v>
      </c>
      <c r="B108" s="429">
        <v>50.3</v>
      </c>
      <c r="C108" s="429">
        <v>54.1</v>
      </c>
      <c r="D108" s="429">
        <v>57.65</v>
      </c>
      <c r="E108" s="429">
        <v>61.33</v>
      </c>
    </row>
    <row r="109" spans="1:5">
      <c r="A109" s="442" t="s">
        <v>38</v>
      </c>
      <c r="B109" s="443">
        <v>932.19999999999993</v>
      </c>
      <c r="C109" s="443">
        <v>945.91000000000008</v>
      </c>
      <c r="D109" s="443">
        <v>965.33999999999992</v>
      </c>
      <c r="E109" s="443">
        <v>996.95</v>
      </c>
    </row>
    <row r="110" spans="1:5">
      <c r="A110" s="430">
        <v>50342</v>
      </c>
      <c r="B110" s="429">
        <v>87</v>
      </c>
      <c r="C110" s="429">
        <v>89</v>
      </c>
      <c r="D110" s="429">
        <v>92</v>
      </c>
      <c r="E110" s="429">
        <v>111</v>
      </c>
    </row>
    <row r="111" spans="1:5">
      <c r="A111" s="430">
        <v>50600</v>
      </c>
      <c r="B111" s="429">
        <v>72</v>
      </c>
      <c r="C111" s="429">
        <v>72</v>
      </c>
      <c r="D111" s="429">
        <v>73</v>
      </c>
      <c r="E111" s="429">
        <v>75</v>
      </c>
    </row>
    <row r="112" spans="1:5">
      <c r="A112" s="430">
        <v>50622</v>
      </c>
      <c r="B112" s="429">
        <v>55</v>
      </c>
      <c r="C112" s="429">
        <v>57</v>
      </c>
      <c r="D112" s="429">
        <v>62.9</v>
      </c>
      <c r="E112" s="429">
        <v>66</v>
      </c>
    </row>
    <row r="113" spans="1:5">
      <c r="A113" s="430">
        <v>50694</v>
      </c>
      <c r="B113" s="429">
        <v>93.3</v>
      </c>
      <c r="C113" s="429">
        <v>96.33</v>
      </c>
      <c r="D113" s="429">
        <v>96.67</v>
      </c>
      <c r="E113" s="429">
        <v>89.75</v>
      </c>
    </row>
    <row r="114" spans="1:5">
      <c r="A114" s="430">
        <v>50696</v>
      </c>
      <c r="B114" s="429">
        <v>100</v>
      </c>
      <c r="C114" s="429">
        <v>100</v>
      </c>
      <c r="D114" s="429">
        <v>100</v>
      </c>
      <c r="E114" s="429">
        <v>101</v>
      </c>
    </row>
    <row r="115" spans="1:5">
      <c r="A115" s="430">
        <v>50826</v>
      </c>
      <c r="B115" s="429">
        <v>80.7</v>
      </c>
      <c r="C115" s="429">
        <v>84.75</v>
      </c>
      <c r="D115" s="429">
        <v>89.6</v>
      </c>
      <c r="E115" s="429">
        <v>97.5</v>
      </c>
    </row>
    <row r="116" spans="1:5">
      <c r="A116" s="430" t="s">
        <v>393</v>
      </c>
      <c r="B116" s="429">
        <v>113.5</v>
      </c>
      <c r="C116" s="429">
        <v>114.13</v>
      </c>
      <c r="D116" s="429">
        <v>114.81</v>
      </c>
      <c r="E116" s="429">
        <v>107</v>
      </c>
    </row>
    <row r="117" spans="1:5">
      <c r="A117" s="430" t="s">
        <v>394</v>
      </c>
      <c r="B117" s="429">
        <v>98</v>
      </c>
      <c r="C117" s="429">
        <v>99</v>
      </c>
      <c r="D117" s="429">
        <v>100</v>
      </c>
      <c r="E117" s="429">
        <v>105.5</v>
      </c>
    </row>
    <row r="118" spans="1:5">
      <c r="A118" s="430" t="s">
        <v>396</v>
      </c>
      <c r="B118" s="429">
        <v>119.3</v>
      </c>
      <c r="C118" s="429">
        <v>120</v>
      </c>
      <c r="D118" s="429">
        <v>121.06</v>
      </c>
      <c r="E118" s="429">
        <v>124.5</v>
      </c>
    </row>
    <row r="119" spans="1:5">
      <c r="A119" s="430" t="s">
        <v>395</v>
      </c>
      <c r="B119" s="429">
        <v>113.4</v>
      </c>
      <c r="C119" s="429">
        <v>113.7</v>
      </c>
      <c r="D119" s="429">
        <v>115.3</v>
      </c>
      <c r="E119" s="429">
        <v>119.7</v>
      </c>
    </row>
    <row r="120" spans="1:5">
      <c r="A120" s="442" t="s">
        <v>133</v>
      </c>
      <c r="B120" s="443">
        <v>89.300000000000011</v>
      </c>
      <c r="C120" s="443">
        <v>95.75</v>
      </c>
      <c r="D120" s="443">
        <v>99.800000000000011</v>
      </c>
      <c r="E120" s="443">
        <v>103.03999999999999</v>
      </c>
    </row>
    <row r="121" spans="1:5">
      <c r="A121" s="430">
        <v>50454</v>
      </c>
      <c r="B121" s="429">
        <v>10.199999999999999</v>
      </c>
      <c r="C121" s="429">
        <v>12.17</v>
      </c>
      <c r="D121" s="429">
        <v>14</v>
      </c>
      <c r="E121" s="429">
        <v>14.75</v>
      </c>
    </row>
    <row r="122" spans="1:5">
      <c r="A122" s="430">
        <v>50570</v>
      </c>
      <c r="B122" s="429">
        <v>5.4</v>
      </c>
      <c r="C122" s="429">
        <v>7.15</v>
      </c>
      <c r="D122" s="429">
        <v>7.54</v>
      </c>
      <c r="E122" s="429">
        <v>9.31</v>
      </c>
    </row>
    <row r="123" spans="1:5">
      <c r="A123" s="430">
        <v>50710</v>
      </c>
      <c r="B123" s="429">
        <v>34</v>
      </c>
      <c r="C123" s="429">
        <v>35</v>
      </c>
      <c r="D123" s="429">
        <v>36.83</v>
      </c>
      <c r="E123" s="429">
        <v>35.75</v>
      </c>
    </row>
    <row r="124" spans="1:5">
      <c r="A124" s="430">
        <v>50716</v>
      </c>
      <c r="B124" s="429">
        <v>4.5999999999999996</v>
      </c>
      <c r="C124" s="429">
        <v>5.83</v>
      </c>
      <c r="D124" s="429">
        <v>5.83</v>
      </c>
      <c r="E124" s="429">
        <v>7.63</v>
      </c>
    </row>
    <row r="125" spans="1:5">
      <c r="A125" s="430">
        <v>50789</v>
      </c>
      <c r="B125" s="429">
        <v>35.1</v>
      </c>
      <c r="C125" s="429">
        <v>35.6</v>
      </c>
      <c r="D125" s="429">
        <v>35.6</v>
      </c>
      <c r="E125" s="429">
        <v>35.6</v>
      </c>
    </row>
    <row r="126" spans="1:5">
      <c r="A126" s="442" t="s">
        <v>188</v>
      </c>
      <c r="B126" s="443">
        <v>16.100000000000001</v>
      </c>
      <c r="C126" s="443">
        <v>18.95</v>
      </c>
      <c r="D126" s="443">
        <v>26.28</v>
      </c>
      <c r="E126" s="443">
        <v>35.54</v>
      </c>
    </row>
    <row r="127" spans="1:5">
      <c r="A127" s="430">
        <v>50881</v>
      </c>
      <c r="B127" s="429">
        <v>16.100000000000001</v>
      </c>
      <c r="C127" s="429">
        <v>18.95</v>
      </c>
      <c r="D127" s="429">
        <v>26.28</v>
      </c>
      <c r="E127" s="429">
        <v>35.54</v>
      </c>
    </row>
    <row r="128" spans="1:5">
      <c r="A128" s="442" t="s">
        <v>96</v>
      </c>
      <c r="B128" s="443">
        <v>78.7</v>
      </c>
      <c r="C128" s="443">
        <v>83.07</v>
      </c>
      <c r="D128" s="443">
        <v>85.55</v>
      </c>
      <c r="E128" s="443">
        <v>95.88</v>
      </c>
    </row>
    <row r="129" spans="1:5">
      <c r="A129" s="430">
        <v>50620</v>
      </c>
      <c r="B129" s="429">
        <v>53.7</v>
      </c>
      <c r="C129" s="429">
        <v>57.17</v>
      </c>
      <c r="D129" s="429">
        <v>59.5</v>
      </c>
      <c r="E129" s="429">
        <v>68</v>
      </c>
    </row>
    <row r="130" spans="1:5">
      <c r="A130" s="430">
        <v>50886</v>
      </c>
      <c r="B130" s="429">
        <v>25</v>
      </c>
      <c r="C130" s="429">
        <v>25.9</v>
      </c>
      <c r="D130" s="429">
        <v>26.05</v>
      </c>
      <c r="E130" s="429">
        <v>27.88</v>
      </c>
    </row>
    <row r="131" spans="1:5">
      <c r="A131" s="442" t="s">
        <v>108</v>
      </c>
      <c r="B131" s="443">
        <v>103.3</v>
      </c>
      <c r="C131" s="443">
        <v>112.92000000000002</v>
      </c>
      <c r="D131" s="443">
        <v>139.85</v>
      </c>
      <c r="E131" s="443">
        <v>162.54</v>
      </c>
    </row>
    <row r="132" spans="1:5">
      <c r="A132" s="430">
        <v>50743</v>
      </c>
      <c r="B132" s="429">
        <v>37</v>
      </c>
      <c r="C132" s="429">
        <v>38.17</v>
      </c>
      <c r="D132" s="429">
        <v>45</v>
      </c>
      <c r="E132" s="429">
        <v>49</v>
      </c>
    </row>
    <row r="133" spans="1:5">
      <c r="A133" s="430">
        <v>50847</v>
      </c>
      <c r="B133" s="429">
        <v>30.5</v>
      </c>
      <c r="C133" s="429">
        <v>33.35</v>
      </c>
      <c r="D133" s="429">
        <v>41.8</v>
      </c>
      <c r="E133" s="429">
        <v>46.6</v>
      </c>
    </row>
    <row r="134" spans="1:5">
      <c r="A134" s="430">
        <v>50862</v>
      </c>
      <c r="B134" s="429">
        <v>35.799999999999997</v>
      </c>
      <c r="C134" s="429">
        <v>41.4</v>
      </c>
      <c r="D134" s="429">
        <v>53.05</v>
      </c>
      <c r="E134" s="429">
        <v>66.94</v>
      </c>
    </row>
    <row r="135" spans="1:5">
      <c r="A135" s="442" t="s">
        <v>186</v>
      </c>
      <c r="B135" s="443">
        <v>26.2</v>
      </c>
      <c r="C135" s="443">
        <v>27.41</v>
      </c>
      <c r="D135" s="443">
        <v>32.5</v>
      </c>
      <c r="E135" s="443">
        <v>52.69</v>
      </c>
    </row>
    <row r="136" spans="1:5">
      <c r="A136" s="430">
        <v>50844</v>
      </c>
      <c r="B136" s="429">
        <v>26.2</v>
      </c>
      <c r="C136" s="429">
        <v>27.41</v>
      </c>
      <c r="D136" s="429">
        <v>32.5</v>
      </c>
      <c r="E136" s="429">
        <v>52.69</v>
      </c>
    </row>
    <row r="137" spans="1:5">
      <c r="A137" s="442" t="s">
        <v>180</v>
      </c>
      <c r="B137" s="443">
        <v>21.5</v>
      </c>
      <c r="C137" s="443">
        <v>24.4</v>
      </c>
      <c r="D137" s="443">
        <v>34.6</v>
      </c>
      <c r="E137" s="443">
        <v>48.6</v>
      </c>
    </row>
    <row r="138" spans="1:5">
      <c r="A138" s="430">
        <v>50843</v>
      </c>
      <c r="B138" s="429">
        <v>21.5</v>
      </c>
      <c r="C138" s="429">
        <v>24.4</v>
      </c>
      <c r="D138" s="429">
        <v>34.6</v>
      </c>
      <c r="E138" s="429">
        <v>48.6</v>
      </c>
    </row>
    <row r="139" spans="1:5">
      <c r="A139" s="442" t="s">
        <v>146</v>
      </c>
      <c r="B139" s="443">
        <v>201.3</v>
      </c>
      <c r="C139" s="443">
        <v>207.01999999999998</v>
      </c>
      <c r="D139" s="443">
        <v>231.25</v>
      </c>
      <c r="E139" s="443">
        <v>265.76</v>
      </c>
    </row>
    <row r="140" spans="1:5">
      <c r="A140" s="430">
        <v>50701</v>
      </c>
      <c r="B140" s="429">
        <v>18.7</v>
      </c>
      <c r="C140" s="429">
        <v>20</v>
      </c>
      <c r="D140" s="429">
        <v>23.17</v>
      </c>
      <c r="E140" s="429">
        <v>28</v>
      </c>
    </row>
    <row r="141" spans="1:5">
      <c r="A141" s="430">
        <v>50711</v>
      </c>
      <c r="B141" s="429">
        <v>63</v>
      </c>
      <c r="C141" s="429">
        <v>63.67</v>
      </c>
      <c r="D141" s="429">
        <v>67.5</v>
      </c>
      <c r="E141" s="429">
        <v>69.7</v>
      </c>
    </row>
    <row r="142" spans="1:5">
      <c r="A142" s="430">
        <v>50809</v>
      </c>
      <c r="B142" s="429">
        <v>80.8</v>
      </c>
      <c r="C142" s="429">
        <v>82.35</v>
      </c>
      <c r="D142" s="429">
        <v>88.45</v>
      </c>
      <c r="E142" s="429">
        <v>101.56</v>
      </c>
    </row>
    <row r="143" spans="1:5">
      <c r="A143" s="430">
        <v>50866</v>
      </c>
      <c r="B143" s="429">
        <v>38.799999999999997</v>
      </c>
      <c r="C143" s="429">
        <v>41</v>
      </c>
      <c r="D143" s="429">
        <v>52.13</v>
      </c>
      <c r="E143" s="429">
        <v>66.5</v>
      </c>
    </row>
    <row r="144" spans="1:5">
      <c r="A144" s="442" t="s">
        <v>52</v>
      </c>
      <c r="B144" s="443">
        <v>13</v>
      </c>
      <c r="C144" s="443">
        <v>13.35</v>
      </c>
      <c r="D144" s="443">
        <v>13.6</v>
      </c>
      <c r="E144" s="443">
        <v>14.9</v>
      </c>
    </row>
    <row r="145" spans="1:5">
      <c r="A145" s="430">
        <v>50875</v>
      </c>
      <c r="B145" s="429">
        <v>13</v>
      </c>
      <c r="C145" s="429">
        <v>13.35</v>
      </c>
      <c r="D145" s="429">
        <v>13.6</v>
      </c>
      <c r="E145" s="429">
        <v>14.9</v>
      </c>
    </row>
    <row r="146" spans="1:5">
      <c r="A146" s="442" t="s">
        <v>82</v>
      </c>
      <c r="B146" s="443">
        <v>197.1</v>
      </c>
      <c r="C146" s="443">
        <v>205.66</v>
      </c>
      <c r="D146" s="443">
        <v>222.62</v>
      </c>
      <c r="E146" s="443">
        <v>237.51999999999998</v>
      </c>
    </row>
    <row r="147" spans="1:5">
      <c r="A147" s="430">
        <v>50518</v>
      </c>
      <c r="B147" s="429">
        <v>49.3</v>
      </c>
      <c r="C147" s="429">
        <v>49.33</v>
      </c>
      <c r="D147" s="429">
        <v>50</v>
      </c>
      <c r="E147" s="429">
        <v>50.7</v>
      </c>
    </row>
    <row r="148" spans="1:5">
      <c r="A148" s="430">
        <v>50520</v>
      </c>
      <c r="B148" s="429">
        <v>35.299999999999997</v>
      </c>
      <c r="C148" s="429">
        <v>35.33</v>
      </c>
      <c r="D148" s="429">
        <v>37.119999999999997</v>
      </c>
      <c r="E148" s="429">
        <v>38.020000000000003</v>
      </c>
    </row>
    <row r="149" spans="1:5">
      <c r="A149" s="430">
        <v>50555</v>
      </c>
      <c r="B149" s="429">
        <v>40</v>
      </c>
      <c r="C149" s="429">
        <v>44</v>
      </c>
      <c r="D149" s="429">
        <v>47.5</v>
      </c>
      <c r="E149" s="429">
        <v>53</v>
      </c>
    </row>
    <row r="150" spans="1:5">
      <c r="A150" s="430">
        <v>50628</v>
      </c>
      <c r="B150" s="429">
        <v>40</v>
      </c>
      <c r="C150" s="429">
        <v>42</v>
      </c>
      <c r="D150" s="429">
        <v>45</v>
      </c>
      <c r="E150" s="429">
        <v>47.5</v>
      </c>
    </row>
    <row r="151" spans="1:5">
      <c r="A151" s="430">
        <v>50723</v>
      </c>
      <c r="B151" s="429">
        <v>32.5</v>
      </c>
      <c r="C151" s="429">
        <v>35</v>
      </c>
      <c r="D151" s="429">
        <v>43</v>
      </c>
      <c r="E151" s="429">
        <v>48.3</v>
      </c>
    </row>
    <row r="152" spans="1:5">
      <c r="A152" s="442" t="s">
        <v>384</v>
      </c>
      <c r="B152" s="443">
        <v>31.5</v>
      </c>
      <c r="C152" s="443">
        <v>35.880000000000003</v>
      </c>
      <c r="D152" s="443">
        <v>40.15</v>
      </c>
      <c r="E152" s="443">
        <v>42.83</v>
      </c>
    </row>
    <row r="153" spans="1:5">
      <c r="A153" s="430">
        <v>50779</v>
      </c>
      <c r="B153" s="429">
        <v>31.5</v>
      </c>
      <c r="C153" s="429">
        <v>35.880000000000003</v>
      </c>
      <c r="D153" s="429">
        <v>40.15</v>
      </c>
      <c r="E153" s="429">
        <v>42.83</v>
      </c>
    </row>
    <row r="154" spans="1:5">
      <c r="A154" s="442" t="s">
        <v>86</v>
      </c>
      <c r="B154" s="443">
        <v>127.8</v>
      </c>
      <c r="C154" s="443">
        <v>134.25</v>
      </c>
      <c r="D154" s="443">
        <v>150.44999999999999</v>
      </c>
      <c r="E154" s="443">
        <v>190</v>
      </c>
    </row>
    <row r="155" spans="1:5">
      <c r="A155" s="430">
        <v>50796</v>
      </c>
      <c r="B155" s="429">
        <v>76.5</v>
      </c>
      <c r="C155" s="429">
        <v>82</v>
      </c>
      <c r="D155" s="429">
        <v>92.5</v>
      </c>
      <c r="E155" s="429">
        <v>105</v>
      </c>
    </row>
    <row r="156" spans="1:5">
      <c r="A156" s="430">
        <v>50832</v>
      </c>
      <c r="B156" s="429">
        <v>51.3</v>
      </c>
      <c r="C156" s="429">
        <v>52.25</v>
      </c>
      <c r="D156" s="429">
        <v>57.95</v>
      </c>
      <c r="E156" s="429">
        <v>85</v>
      </c>
    </row>
    <row r="157" spans="1:5">
      <c r="A157" s="442" t="s">
        <v>192</v>
      </c>
      <c r="B157" s="443">
        <v>132.6</v>
      </c>
      <c r="C157" s="443">
        <v>133.80000000000001</v>
      </c>
      <c r="D157" s="443">
        <v>135.6</v>
      </c>
      <c r="E157" s="443">
        <v>124.42</v>
      </c>
    </row>
    <row r="158" spans="1:5">
      <c r="A158" s="430">
        <v>50837</v>
      </c>
      <c r="B158" s="429">
        <v>132.6</v>
      </c>
      <c r="C158" s="429">
        <v>133.80000000000001</v>
      </c>
      <c r="D158" s="429">
        <v>135.6</v>
      </c>
      <c r="E158" s="429">
        <v>124.42</v>
      </c>
    </row>
    <row r="159" spans="1:5">
      <c r="A159" s="442" t="s">
        <v>217</v>
      </c>
      <c r="B159" s="443">
        <v>52.8</v>
      </c>
      <c r="C159" s="443">
        <v>54.13</v>
      </c>
      <c r="D159" s="443">
        <v>62.83</v>
      </c>
      <c r="E159" s="443">
        <v>65.83</v>
      </c>
    </row>
    <row r="160" spans="1:5">
      <c r="A160" s="430">
        <v>50584</v>
      </c>
      <c r="B160" s="429">
        <v>52.8</v>
      </c>
      <c r="C160" s="429">
        <v>54.13</v>
      </c>
      <c r="D160" s="429">
        <v>62.83</v>
      </c>
      <c r="E160" s="429">
        <v>65.83</v>
      </c>
    </row>
    <row r="161" spans="1:5">
      <c r="A161" s="442" t="s">
        <v>196</v>
      </c>
      <c r="B161" s="443">
        <v>121.3</v>
      </c>
      <c r="C161" s="443">
        <v>124.21</v>
      </c>
      <c r="D161" s="443">
        <v>125.86</v>
      </c>
      <c r="E161" s="443">
        <v>135.21</v>
      </c>
    </row>
    <row r="162" spans="1:5">
      <c r="A162" s="430">
        <v>50703</v>
      </c>
      <c r="B162" s="429">
        <v>121.3</v>
      </c>
      <c r="C162" s="429">
        <v>124.21</v>
      </c>
      <c r="D162" s="429">
        <v>125.86</v>
      </c>
      <c r="E162" s="429">
        <v>135.21</v>
      </c>
    </row>
    <row r="163" spans="1:5">
      <c r="A163" s="442" t="s">
        <v>172</v>
      </c>
      <c r="B163" s="443">
        <v>58.8</v>
      </c>
      <c r="C163" s="443">
        <v>64.12</v>
      </c>
      <c r="D163" s="443">
        <v>85.2</v>
      </c>
      <c r="E163" s="443">
        <v>109.84</v>
      </c>
    </row>
    <row r="164" spans="1:5">
      <c r="A164" s="430">
        <v>50831</v>
      </c>
      <c r="B164" s="429">
        <v>42.8</v>
      </c>
      <c r="C164" s="429">
        <v>44.45</v>
      </c>
      <c r="D164" s="429">
        <v>58.32</v>
      </c>
      <c r="E164" s="429">
        <v>66.17</v>
      </c>
    </row>
    <row r="165" spans="1:5">
      <c r="A165" s="430">
        <v>50878</v>
      </c>
      <c r="B165" s="429">
        <v>16</v>
      </c>
      <c r="C165" s="429">
        <v>19.670000000000002</v>
      </c>
      <c r="D165" s="429">
        <v>26.88</v>
      </c>
      <c r="E165" s="429">
        <v>43.67</v>
      </c>
    </row>
    <row r="166" spans="1:5">
      <c r="A166" s="442" t="s">
        <v>213</v>
      </c>
      <c r="B166" s="443">
        <v>46.8</v>
      </c>
      <c r="C166" s="443">
        <v>51.08</v>
      </c>
      <c r="D166" s="443">
        <v>58.67</v>
      </c>
      <c r="E166" s="443">
        <v>66.92</v>
      </c>
    </row>
    <row r="167" spans="1:5">
      <c r="A167" s="430">
        <v>10995</v>
      </c>
      <c r="B167" s="429">
        <v>46.8</v>
      </c>
      <c r="C167" s="429">
        <v>51.08</v>
      </c>
      <c r="D167" s="429">
        <v>58.67</v>
      </c>
      <c r="E167" s="429">
        <v>66.92</v>
      </c>
    </row>
    <row r="168" spans="1:5">
      <c r="A168" s="442" t="s">
        <v>358</v>
      </c>
      <c r="B168" s="443">
        <v>24.1</v>
      </c>
      <c r="C168" s="443">
        <v>27.13</v>
      </c>
      <c r="D168" s="443">
        <v>30.06</v>
      </c>
      <c r="E168" s="443">
        <v>38.340000000000003</v>
      </c>
    </row>
    <row r="169" spans="1:5">
      <c r="A169" s="430">
        <v>50848</v>
      </c>
      <c r="B169" s="429">
        <v>24.1</v>
      </c>
      <c r="C169" s="429">
        <v>27.13</v>
      </c>
      <c r="D169" s="429">
        <v>30.06</v>
      </c>
      <c r="E169" s="429">
        <v>38.340000000000003</v>
      </c>
    </row>
    <row r="170" spans="1:5">
      <c r="A170" s="442" t="s">
        <v>143</v>
      </c>
      <c r="B170" s="443">
        <v>101</v>
      </c>
      <c r="C170" s="443">
        <v>111</v>
      </c>
      <c r="D170" s="443">
        <v>121</v>
      </c>
      <c r="E170" s="443">
        <v>131</v>
      </c>
    </row>
    <row r="171" spans="1:5">
      <c r="A171" s="430">
        <v>50766</v>
      </c>
      <c r="B171" s="429">
        <v>42</v>
      </c>
      <c r="C171" s="429">
        <v>52</v>
      </c>
      <c r="D171" s="429">
        <v>60</v>
      </c>
      <c r="E171" s="429">
        <v>69</v>
      </c>
    </row>
    <row r="172" spans="1:5">
      <c r="A172" s="430">
        <v>50824</v>
      </c>
      <c r="B172" s="429">
        <v>59</v>
      </c>
      <c r="C172" s="429">
        <v>59</v>
      </c>
      <c r="D172" s="429">
        <v>61</v>
      </c>
      <c r="E172" s="429">
        <v>62</v>
      </c>
    </row>
    <row r="173" spans="1:5">
      <c r="A173" s="442" t="s">
        <v>204</v>
      </c>
      <c r="B173" s="443">
        <v>593.1</v>
      </c>
      <c r="C173" s="443">
        <v>617.82999999999993</v>
      </c>
      <c r="D173" s="443">
        <v>633.63</v>
      </c>
      <c r="E173" s="443">
        <v>647.01</v>
      </c>
    </row>
    <row r="174" spans="1:5">
      <c r="A174" s="430">
        <v>50657</v>
      </c>
      <c r="B174" s="429">
        <v>111</v>
      </c>
      <c r="C174" s="429">
        <v>112</v>
      </c>
      <c r="D174" s="429">
        <v>113</v>
      </c>
      <c r="E174" s="429">
        <v>113.5</v>
      </c>
    </row>
    <row r="175" spans="1:5">
      <c r="A175" s="430">
        <v>50777</v>
      </c>
      <c r="B175" s="429">
        <v>58</v>
      </c>
      <c r="C175" s="429">
        <v>70</v>
      </c>
      <c r="D175" s="429">
        <v>70.5</v>
      </c>
      <c r="E175" s="429">
        <v>73</v>
      </c>
    </row>
    <row r="176" spans="1:5">
      <c r="A176" s="430">
        <v>50799</v>
      </c>
      <c r="B176" s="429">
        <v>88</v>
      </c>
      <c r="C176" s="429">
        <v>90</v>
      </c>
      <c r="D176" s="429">
        <v>92</v>
      </c>
      <c r="E176" s="429">
        <v>93.8</v>
      </c>
    </row>
    <row r="177" spans="1:5">
      <c r="A177" s="430">
        <v>50841</v>
      </c>
      <c r="B177" s="429">
        <v>100.2</v>
      </c>
      <c r="C177" s="429">
        <v>100.9</v>
      </c>
      <c r="D177" s="429">
        <v>102.9</v>
      </c>
      <c r="E177" s="429">
        <v>106.13</v>
      </c>
    </row>
    <row r="178" spans="1:5">
      <c r="A178" s="430" t="s">
        <v>397</v>
      </c>
      <c r="B178" s="429">
        <v>113.5</v>
      </c>
      <c r="C178" s="429">
        <v>118.8</v>
      </c>
      <c r="D178" s="429">
        <v>125.23</v>
      </c>
      <c r="E178" s="429">
        <v>127.55</v>
      </c>
    </row>
    <row r="179" spans="1:5">
      <c r="A179" s="430" t="s">
        <v>398</v>
      </c>
      <c r="B179" s="429">
        <v>122.4</v>
      </c>
      <c r="C179" s="429">
        <v>126.13</v>
      </c>
      <c r="D179" s="429">
        <v>130</v>
      </c>
      <c r="E179" s="429">
        <v>133.03</v>
      </c>
    </row>
    <row r="180" spans="1:5">
      <c r="A180" s="442" t="s">
        <v>101</v>
      </c>
      <c r="B180" s="443">
        <v>84.2</v>
      </c>
      <c r="C180" s="443">
        <v>88.62</v>
      </c>
      <c r="D180" s="443">
        <v>95.85</v>
      </c>
      <c r="E180" s="443">
        <v>112.11</v>
      </c>
    </row>
    <row r="181" spans="1:5">
      <c r="A181" s="430">
        <v>50692</v>
      </c>
      <c r="B181" s="429">
        <v>10.5</v>
      </c>
      <c r="C181" s="429">
        <v>11.95</v>
      </c>
      <c r="D181" s="429">
        <v>13.85</v>
      </c>
      <c r="E181" s="429">
        <v>20.440000000000001</v>
      </c>
    </row>
    <row r="182" spans="1:5">
      <c r="A182" s="430">
        <v>50746</v>
      </c>
      <c r="B182" s="429">
        <v>31.7</v>
      </c>
      <c r="C182" s="429">
        <v>32.67</v>
      </c>
      <c r="D182" s="429">
        <v>33</v>
      </c>
      <c r="E182" s="429">
        <v>36.67</v>
      </c>
    </row>
    <row r="183" spans="1:5">
      <c r="A183" s="430">
        <v>50804</v>
      </c>
      <c r="B183" s="429">
        <v>42</v>
      </c>
      <c r="C183" s="429">
        <v>44</v>
      </c>
      <c r="D183" s="429">
        <v>49</v>
      </c>
      <c r="E183" s="429">
        <v>55</v>
      </c>
    </row>
    <row r="184" spans="1:5">
      <c r="A184" s="442" t="s">
        <v>152</v>
      </c>
      <c r="B184" s="443">
        <v>28</v>
      </c>
      <c r="C184" s="443">
        <v>30</v>
      </c>
      <c r="D184" s="443">
        <v>33</v>
      </c>
      <c r="E184" s="443">
        <v>55.5</v>
      </c>
    </row>
    <row r="185" spans="1:5">
      <c r="A185" s="430">
        <v>50776</v>
      </c>
      <c r="B185" s="429">
        <v>28</v>
      </c>
      <c r="C185" s="429">
        <v>30</v>
      </c>
      <c r="D185" s="429">
        <v>33</v>
      </c>
      <c r="E185" s="429">
        <v>55.5</v>
      </c>
    </row>
    <row r="186" spans="1:5">
      <c r="A186" s="442" t="s">
        <v>104</v>
      </c>
      <c r="B186" s="443">
        <v>75</v>
      </c>
      <c r="C186" s="443">
        <v>76</v>
      </c>
      <c r="D186" s="443">
        <v>78</v>
      </c>
      <c r="E186" s="443">
        <v>88.2</v>
      </c>
    </row>
    <row r="187" spans="1:5">
      <c r="A187" s="430">
        <v>50658</v>
      </c>
      <c r="B187" s="429">
        <v>75</v>
      </c>
      <c r="C187" s="429">
        <v>76</v>
      </c>
      <c r="D187" s="429">
        <v>78</v>
      </c>
      <c r="E187" s="429">
        <v>88.2</v>
      </c>
    </row>
    <row r="188" spans="1:5">
      <c r="A188" s="442" t="s">
        <v>103</v>
      </c>
      <c r="B188" s="443">
        <v>139.20000000000002</v>
      </c>
      <c r="C188" s="443">
        <v>147.38</v>
      </c>
      <c r="D188" s="443">
        <v>158.25</v>
      </c>
      <c r="E188" s="443">
        <v>177.64999999999998</v>
      </c>
    </row>
    <row r="189" spans="1:5">
      <c r="A189" s="430">
        <v>50817</v>
      </c>
      <c r="B189" s="429">
        <v>56.5</v>
      </c>
      <c r="C189" s="429">
        <v>62.6</v>
      </c>
      <c r="D189" s="429">
        <v>68.73</v>
      </c>
      <c r="E189" s="429">
        <v>80.349999999999994</v>
      </c>
    </row>
    <row r="190" spans="1:5">
      <c r="A190" s="430">
        <v>50821</v>
      </c>
      <c r="B190" s="429">
        <v>61.4</v>
      </c>
      <c r="C190" s="429">
        <v>63</v>
      </c>
      <c r="D190" s="429">
        <v>66.099999999999994</v>
      </c>
      <c r="E190" s="429">
        <v>68.63</v>
      </c>
    </row>
    <row r="191" spans="1:5">
      <c r="A191" s="430">
        <v>50882</v>
      </c>
      <c r="B191" s="429">
        <v>21.3</v>
      </c>
      <c r="C191" s="429">
        <v>21.78</v>
      </c>
      <c r="D191" s="429">
        <v>23.42</v>
      </c>
      <c r="E191" s="429">
        <v>28.67</v>
      </c>
    </row>
    <row r="192" spans="1:5">
      <c r="A192" s="442" t="s">
        <v>139</v>
      </c>
      <c r="B192" s="443">
        <v>239.7</v>
      </c>
      <c r="C192" s="443">
        <v>258.24</v>
      </c>
      <c r="D192" s="443">
        <v>306.27</v>
      </c>
      <c r="E192" s="443">
        <v>353.34</v>
      </c>
    </row>
    <row r="193" spans="1:5">
      <c r="A193" s="430">
        <v>50295</v>
      </c>
      <c r="B193" s="429">
        <v>58.5</v>
      </c>
      <c r="C193" s="429">
        <v>60.5</v>
      </c>
      <c r="D193" s="429">
        <v>67.75</v>
      </c>
      <c r="E193" s="429">
        <v>79</v>
      </c>
    </row>
    <row r="194" spans="1:5">
      <c r="A194" s="430">
        <v>50750</v>
      </c>
      <c r="B194" s="429">
        <v>55</v>
      </c>
      <c r="C194" s="429">
        <v>57.5</v>
      </c>
      <c r="D194" s="429">
        <v>70</v>
      </c>
      <c r="E194" s="429">
        <v>75</v>
      </c>
    </row>
    <row r="195" spans="1:5">
      <c r="A195" s="430">
        <v>50828</v>
      </c>
      <c r="B195" s="429">
        <v>54</v>
      </c>
      <c r="C195" s="429">
        <v>58.35</v>
      </c>
      <c r="D195" s="429">
        <v>70.5</v>
      </c>
      <c r="E195" s="429">
        <v>80.94</v>
      </c>
    </row>
    <row r="196" spans="1:5">
      <c r="A196" s="430">
        <v>50871</v>
      </c>
      <c r="B196" s="429">
        <v>40.200000000000003</v>
      </c>
      <c r="C196" s="429">
        <v>47.86</v>
      </c>
      <c r="D196" s="429">
        <v>58.32</v>
      </c>
      <c r="E196" s="429">
        <v>69.349999999999994</v>
      </c>
    </row>
    <row r="197" spans="1:5">
      <c r="A197" s="430">
        <v>50879</v>
      </c>
      <c r="B197" s="429">
        <v>32</v>
      </c>
      <c r="C197" s="429">
        <v>34.03</v>
      </c>
      <c r="D197" s="429">
        <v>39.700000000000003</v>
      </c>
      <c r="E197" s="429">
        <v>49.05</v>
      </c>
    </row>
    <row r="198" spans="1:5">
      <c r="A198" s="442" t="s">
        <v>141</v>
      </c>
      <c r="B198" s="443">
        <v>98.3</v>
      </c>
      <c r="C198" s="443">
        <v>99</v>
      </c>
      <c r="D198" s="443">
        <v>111.96</v>
      </c>
      <c r="E198" s="443">
        <v>129.32999999999998</v>
      </c>
    </row>
    <row r="199" spans="1:5">
      <c r="A199" s="430">
        <v>50638</v>
      </c>
      <c r="B199" s="429">
        <v>63.3</v>
      </c>
      <c r="C199" s="429">
        <v>64</v>
      </c>
      <c r="D199" s="429">
        <v>68.66</v>
      </c>
      <c r="E199" s="429">
        <v>79.33</v>
      </c>
    </row>
    <row r="200" spans="1:5">
      <c r="A200" s="430">
        <v>50763</v>
      </c>
      <c r="B200" s="429">
        <v>35</v>
      </c>
      <c r="C200" s="429">
        <v>35</v>
      </c>
      <c r="D200" s="429">
        <v>43.3</v>
      </c>
      <c r="E200" s="429">
        <v>50</v>
      </c>
    </row>
    <row r="201" spans="1:5">
      <c r="A201" s="442" t="s">
        <v>75</v>
      </c>
      <c r="B201" s="443">
        <v>199.9</v>
      </c>
      <c r="C201" s="443">
        <v>202.54999999999998</v>
      </c>
      <c r="D201" s="443">
        <v>207.4</v>
      </c>
      <c r="E201" s="443">
        <v>217.72</v>
      </c>
    </row>
    <row r="202" spans="1:5">
      <c r="A202" s="430">
        <v>50505</v>
      </c>
      <c r="B202" s="429">
        <v>52</v>
      </c>
      <c r="C202" s="429">
        <v>52</v>
      </c>
      <c r="D202" s="429">
        <v>54</v>
      </c>
      <c r="E202" s="429">
        <v>58</v>
      </c>
    </row>
    <row r="203" spans="1:5">
      <c r="A203" s="430">
        <v>50736</v>
      </c>
      <c r="B203" s="429">
        <v>113.6</v>
      </c>
      <c r="C203" s="429">
        <v>115.6</v>
      </c>
      <c r="D203" s="429">
        <v>117.5</v>
      </c>
      <c r="E203" s="429">
        <v>117.38</v>
      </c>
    </row>
    <row r="204" spans="1:5">
      <c r="A204" s="430">
        <v>50885</v>
      </c>
      <c r="B204" s="429">
        <v>19.399999999999999</v>
      </c>
      <c r="C204" s="429">
        <v>19.95</v>
      </c>
      <c r="D204" s="429">
        <v>20.07</v>
      </c>
      <c r="E204" s="429">
        <v>23.4</v>
      </c>
    </row>
    <row r="205" spans="1:5">
      <c r="A205" s="430">
        <v>50887</v>
      </c>
      <c r="B205" s="429">
        <v>14.9</v>
      </c>
      <c r="C205" s="429">
        <v>15</v>
      </c>
      <c r="D205" s="429">
        <v>15.83</v>
      </c>
      <c r="E205" s="429">
        <v>18.940000000000001</v>
      </c>
    </row>
    <row r="206" spans="1:5">
      <c r="A206" s="442" t="s">
        <v>135</v>
      </c>
      <c r="B206" s="443">
        <v>117.6</v>
      </c>
      <c r="C206" s="443">
        <v>122</v>
      </c>
      <c r="D206" s="443">
        <v>126.74000000000001</v>
      </c>
      <c r="E206" s="443">
        <v>127.03</v>
      </c>
    </row>
    <row r="207" spans="1:5">
      <c r="A207" s="430">
        <v>50142</v>
      </c>
      <c r="B207" s="429">
        <v>54.3</v>
      </c>
      <c r="C207" s="429">
        <v>57</v>
      </c>
      <c r="D207" s="429">
        <v>60.83</v>
      </c>
      <c r="E207" s="429">
        <v>62</v>
      </c>
    </row>
    <row r="208" spans="1:5">
      <c r="A208" s="430" t="s">
        <v>400</v>
      </c>
      <c r="B208" s="429">
        <v>31.9</v>
      </c>
      <c r="C208" s="429">
        <v>33</v>
      </c>
      <c r="D208" s="429">
        <v>33.35</v>
      </c>
      <c r="E208" s="429">
        <v>31.89</v>
      </c>
    </row>
    <row r="209" spans="1:5">
      <c r="A209" s="430" t="s">
        <v>399</v>
      </c>
      <c r="B209" s="429">
        <v>31.4</v>
      </c>
      <c r="C209" s="429">
        <v>32</v>
      </c>
      <c r="D209" s="429">
        <v>32.56</v>
      </c>
      <c r="E209" s="429">
        <v>33.14</v>
      </c>
    </row>
    <row r="210" spans="1:5">
      <c r="A210" s="442" t="s">
        <v>223</v>
      </c>
      <c r="B210" s="443">
        <v>31.3</v>
      </c>
      <c r="C210" s="443">
        <v>31.25</v>
      </c>
      <c r="D210" s="443">
        <v>31.25</v>
      </c>
      <c r="E210" s="443">
        <v>34</v>
      </c>
    </row>
    <row r="211" spans="1:5">
      <c r="A211" s="430">
        <v>50870</v>
      </c>
      <c r="B211" s="429">
        <v>31.3</v>
      </c>
      <c r="C211" s="429">
        <v>31.25</v>
      </c>
      <c r="D211" s="429">
        <v>31.25</v>
      </c>
      <c r="E211" s="429">
        <v>34</v>
      </c>
    </row>
    <row r="212" spans="1:5">
      <c r="A212" s="442" t="s">
        <v>125</v>
      </c>
      <c r="B212" s="443">
        <v>105.7</v>
      </c>
      <c r="C212" s="443">
        <v>109.03</v>
      </c>
      <c r="D212" s="443">
        <v>109.63</v>
      </c>
      <c r="E212" s="443">
        <v>113.80000000000001</v>
      </c>
    </row>
    <row r="213" spans="1:5">
      <c r="A213" s="430">
        <v>50113</v>
      </c>
      <c r="B213" s="429">
        <v>58.6</v>
      </c>
      <c r="C213" s="429">
        <v>59.63</v>
      </c>
      <c r="D213" s="429">
        <v>59.63</v>
      </c>
      <c r="E213" s="429">
        <v>61.63</v>
      </c>
    </row>
    <row r="214" spans="1:5">
      <c r="A214" s="430">
        <v>50761</v>
      </c>
      <c r="B214" s="429">
        <v>47.1</v>
      </c>
      <c r="C214" s="429">
        <v>49.4</v>
      </c>
      <c r="D214" s="429">
        <v>50</v>
      </c>
      <c r="E214" s="429">
        <v>52.17</v>
      </c>
    </row>
    <row r="215" spans="1:5">
      <c r="A215" s="442" t="s">
        <v>234</v>
      </c>
      <c r="B215" s="443">
        <v>96</v>
      </c>
      <c r="C215" s="443">
        <v>101.5</v>
      </c>
      <c r="D215" s="443">
        <v>107.75</v>
      </c>
      <c r="E215" s="443">
        <v>116</v>
      </c>
    </row>
    <row r="216" spans="1:5">
      <c r="A216" s="430">
        <v>50587</v>
      </c>
      <c r="B216" s="429">
        <v>51</v>
      </c>
      <c r="C216" s="429">
        <v>53</v>
      </c>
      <c r="D216" s="429">
        <v>54</v>
      </c>
      <c r="E216" s="429">
        <v>55.5</v>
      </c>
    </row>
    <row r="217" spans="1:5">
      <c r="A217" s="430">
        <v>50778</v>
      </c>
      <c r="B217" s="429">
        <v>45</v>
      </c>
      <c r="C217" s="429">
        <v>48.5</v>
      </c>
      <c r="D217" s="429">
        <v>53.75</v>
      </c>
      <c r="E217" s="429">
        <v>60.5</v>
      </c>
    </row>
    <row r="218" spans="1:5">
      <c r="A218" s="442" t="s">
        <v>50</v>
      </c>
      <c r="B218" s="443">
        <v>77.600000000000009</v>
      </c>
      <c r="C218" s="443">
        <v>86.37</v>
      </c>
      <c r="D218" s="443">
        <v>93.28</v>
      </c>
      <c r="E218" s="443">
        <v>100.75</v>
      </c>
    </row>
    <row r="219" spans="1:5">
      <c r="A219" s="430">
        <v>50476</v>
      </c>
      <c r="B219" s="429">
        <v>17.600000000000001</v>
      </c>
      <c r="C219" s="429">
        <v>19.059999999999999</v>
      </c>
      <c r="D219" s="429">
        <v>20.25</v>
      </c>
      <c r="E219" s="429">
        <v>20</v>
      </c>
    </row>
    <row r="220" spans="1:5">
      <c r="A220" s="430">
        <v>50566</v>
      </c>
      <c r="B220" s="429">
        <v>21</v>
      </c>
      <c r="C220" s="429">
        <v>25</v>
      </c>
      <c r="D220" s="429">
        <v>28</v>
      </c>
      <c r="E220" s="429">
        <v>30</v>
      </c>
    </row>
    <row r="221" spans="1:5">
      <c r="A221" s="430">
        <v>50633</v>
      </c>
      <c r="B221" s="429">
        <v>14.3</v>
      </c>
      <c r="C221" s="429">
        <v>15.17</v>
      </c>
      <c r="D221" s="429">
        <v>15.83</v>
      </c>
      <c r="E221" s="429">
        <v>17</v>
      </c>
    </row>
    <row r="222" spans="1:5">
      <c r="A222" s="430">
        <v>50838</v>
      </c>
      <c r="B222" s="429">
        <v>11.7</v>
      </c>
      <c r="C222" s="429">
        <v>12.75</v>
      </c>
      <c r="D222" s="429">
        <v>14.2</v>
      </c>
      <c r="E222" s="429">
        <v>15.69</v>
      </c>
    </row>
    <row r="223" spans="1:5">
      <c r="A223" s="430">
        <v>50874</v>
      </c>
      <c r="B223" s="429">
        <v>13</v>
      </c>
      <c r="C223" s="429">
        <v>14.39</v>
      </c>
      <c r="D223" s="429">
        <v>15</v>
      </c>
      <c r="E223" s="429">
        <v>18.059999999999999</v>
      </c>
    </row>
    <row r="224" spans="1:5">
      <c r="A224" s="442" t="s">
        <v>194</v>
      </c>
      <c r="B224" s="443">
        <v>10.5</v>
      </c>
      <c r="C224" s="443">
        <v>13.5</v>
      </c>
      <c r="D224" s="443">
        <v>13.51</v>
      </c>
      <c r="E224" s="443">
        <v>13.52</v>
      </c>
    </row>
    <row r="225" spans="1:5">
      <c r="A225" s="430">
        <v>50634</v>
      </c>
      <c r="B225" s="429">
        <v>10.5</v>
      </c>
      <c r="C225" s="429">
        <v>13.5</v>
      </c>
      <c r="D225" s="429">
        <v>13.51</v>
      </c>
      <c r="E225" s="429">
        <v>13.52</v>
      </c>
    </row>
    <row r="226" spans="1:5">
      <c r="A226" s="442" t="s">
        <v>45</v>
      </c>
      <c r="B226" s="443">
        <v>221.9</v>
      </c>
      <c r="C226" s="443">
        <v>226.4</v>
      </c>
      <c r="D226" s="443">
        <v>243.28</v>
      </c>
      <c r="E226" s="443">
        <v>250.81</v>
      </c>
    </row>
    <row r="227" spans="1:5">
      <c r="A227" s="430">
        <v>50795</v>
      </c>
      <c r="B227" s="429">
        <v>221.9</v>
      </c>
      <c r="C227" s="429">
        <v>226.4</v>
      </c>
      <c r="D227" s="429">
        <v>243.28</v>
      </c>
      <c r="E227" s="429">
        <v>250.81</v>
      </c>
    </row>
    <row r="228" spans="1:5">
      <c r="A228" s="442" t="s">
        <v>176</v>
      </c>
      <c r="B228" s="443">
        <v>12.3</v>
      </c>
      <c r="C228" s="443">
        <v>14.56</v>
      </c>
      <c r="D228" s="443">
        <v>18.059999999999999</v>
      </c>
      <c r="E228" s="443">
        <v>23.25</v>
      </c>
    </row>
    <row r="229" spans="1:5">
      <c r="A229" s="430">
        <v>50867</v>
      </c>
      <c r="B229" s="429">
        <v>12.3</v>
      </c>
      <c r="C229" s="429">
        <v>14.56</v>
      </c>
      <c r="D229" s="429">
        <v>18.059999999999999</v>
      </c>
      <c r="E229" s="429">
        <v>23.25</v>
      </c>
    </row>
    <row r="230" spans="1:5">
      <c r="A230" s="442" t="s">
        <v>182</v>
      </c>
      <c r="B230" s="443">
        <v>40</v>
      </c>
      <c r="C230" s="443">
        <v>41.5</v>
      </c>
      <c r="D230" s="443">
        <v>41.7</v>
      </c>
      <c r="E230" s="443">
        <v>41.9</v>
      </c>
    </row>
    <row r="231" spans="1:5">
      <c r="A231" s="430">
        <v>50782</v>
      </c>
      <c r="B231" s="429">
        <v>40</v>
      </c>
      <c r="C231" s="429">
        <v>41.5</v>
      </c>
      <c r="D231" s="429">
        <v>41.7</v>
      </c>
      <c r="E231" s="429">
        <v>41.9</v>
      </c>
    </row>
    <row r="232" spans="1:5">
      <c r="A232" s="442" t="s">
        <v>157</v>
      </c>
      <c r="B232" s="443">
        <v>40</v>
      </c>
      <c r="C232" s="443">
        <v>40</v>
      </c>
      <c r="D232" s="443">
        <v>40</v>
      </c>
      <c r="E232" s="443">
        <v>40</v>
      </c>
    </row>
    <row r="233" spans="1:5">
      <c r="A233" s="430">
        <v>50805</v>
      </c>
      <c r="B233" s="429">
        <v>40</v>
      </c>
      <c r="C233" s="429">
        <v>40</v>
      </c>
      <c r="D233" s="429">
        <v>40</v>
      </c>
      <c r="E233" s="429">
        <v>40</v>
      </c>
    </row>
    <row r="234" spans="1:5">
      <c r="A234" s="442" t="s">
        <v>30</v>
      </c>
      <c r="B234" s="443">
        <v>21.9</v>
      </c>
      <c r="C234" s="443">
        <v>22</v>
      </c>
      <c r="D234" s="443">
        <v>23.95</v>
      </c>
      <c r="E234" s="443">
        <v>28</v>
      </c>
    </row>
    <row r="235" spans="1:5">
      <c r="A235" s="430">
        <v>50759</v>
      </c>
      <c r="B235" s="429">
        <v>21.9</v>
      </c>
      <c r="C235" s="429">
        <v>22</v>
      </c>
      <c r="D235" s="429">
        <v>23.95</v>
      </c>
      <c r="E235" s="429">
        <v>28</v>
      </c>
    </row>
    <row r="236" spans="1:5">
      <c r="A236" s="442" t="s">
        <v>63</v>
      </c>
      <c r="B236" s="443">
        <v>76.8</v>
      </c>
      <c r="C236" s="443">
        <v>78.25</v>
      </c>
      <c r="D236" s="443">
        <v>81.5</v>
      </c>
      <c r="E236" s="443">
        <v>85</v>
      </c>
    </row>
    <row r="237" spans="1:5">
      <c r="A237" s="430">
        <v>50188</v>
      </c>
      <c r="B237" s="429">
        <v>69</v>
      </c>
      <c r="C237" s="429">
        <v>69</v>
      </c>
      <c r="D237" s="429">
        <v>72</v>
      </c>
      <c r="E237" s="429">
        <v>73</v>
      </c>
    </row>
    <row r="238" spans="1:5">
      <c r="A238" s="430">
        <v>50752</v>
      </c>
      <c r="B238" s="429">
        <v>7.8</v>
      </c>
      <c r="C238" s="429">
        <v>9.25</v>
      </c>
      <c r="D238" s="429">
        <v>9.5</v>
      </c>
      <c r="E238" s="429">
        <v>12</v>
      </c>
    </row>
    <row r="239" spans="1:5">
      <c r="A239" s="442" t="s">
        <v>170</v>
      </c>
      <c r="B239" s="443">
        <v>226.9</v>
      </c>
      <c r="C239" s="443">
        <v>242.55</v>
      </c>
      <c r="D239" s="443">
        <v>286.69</v>
      </c>
      <c r="E239" s="443">
        <v>304.60999999999996</v>
      </c>
    </row>
    <row r="240" spans="1:5">
      <c r="A240" s="430">
        <v>50571</v>
      </c>
      <c r="B240" s="429">
        <v>114.3</v>
      </c>
      <c r="C240" s="429">
        <v>117.5</v>
      </c>
      <c r="D240" s="429">
        <v>134.44</v>
      </c>
      <c r="E240" s="429">
        <v>134.41999999999999</v>
      </c>
    </row>
    <row r="241" spans="1:5">
      <c r="A241" s="430">
        <v>50596</v>
      </c>
      <c r="B241" s="429">
        <v>95.3</v>
      </c>
      <c r="C241" s="429">
        <v>102.92</v>
      </c>
      <c r="D241" s="429">
        <v>119.75</v>
      </c>
      <c r="E241" s="429">
        <v>122.25</v>
      </c>
    </row>
    <row r="242" spans="1:5">
      <c r="A242" s="430">
        <v>50883</v>
      </c>
      <c r="B242" s="429">
        <v>17.3</v>
      </c>
      <c r="C242" s="429">
        <v>22.13</v>
      </c>
      <c r="D242" s="429">
        <v>32.5</v>
      </c>
      <c r="E242" s="429">
        <v>47.94</v>
      </c>
    </row>
    <row r="243" spans="1:5">
      <c r="A243" s="442" t="s">
        <v>215</v>
      </c>
      <c r="B243" s="443">
        <v>130</v>
      </c>
      <c r="C243" s="443">
        <v>137.5</v>
      </c>
      <c r="D243" s="443">
        <v>139.5</v>
      </c>
      <c r="E243" s="443">
        <v>144.25</v>
      </c>
    </row>
    <row r="244" spans="1:5">
      <c r="A244" s="430">
        <v>50580</v>
      </c>
      <c r="B244" s="429">
        <v>130</v>
      </c>
      <c r="C244" s="429">
        <v>137.5</v>
      </c>
      <c r="D244" s="429">
        <v>139.5</v>
      </c>
      <c r="E244" s="429">
        <v>144.25</v>
      </c>
    </row>
    <row r="245" spans="1:5">
      <c r="A245" s="442" t="s">
        <v>123</v>
      </c>
      <c r="B245" s="443">
        <v>366.99999999999994</v>
      </c>
      <c r="C245" s="443">
        <v>403.41</v>
      </c>
      <c r="D245" s="443">
        <v>440.85999999999996</v>
      </c>
      <c r="E245" s="443">
        <v>478.38</v>
      </c>
    </row>
    <row r="246" spans="1:5">
      <c r="A246" s="430">
        <v>50545</v>
      </c>
      <c r="B246" s="429">
        <v>62.7</v>
      </c>
      <c r="C246" s="429">
        <v>65</v>
      </c>
      <c r="D246" s="429">
        <v>72.8</v>
      </c>
      <c r="E246" s="429">
        <v>80.400000000000006</v>
      </c>
    </row>
    <row r="247" spans="1:5">
      <c r="A247" s="430">
        <v>50725</v>
      </c>
      <c r="B247" s="429">
        <v>149.69999999999999</v>
      </c>
      <c r="C247" s="429">
        <v>163.33000000000001</v>
      </c>
      <c r="D247" s="429">
        <v>163.66999999999999</v>
      </c>
      <c r="E247" s="429">
        <v>172.63</v>
      </c>
    </row>
    <row r="248" spans="1:5">
      <c r="A248" s="430">
        <v>50732</v>
      </c>
      <c r="B248" s="429">
        <v>97.5</v>
      </c>
      <c r="C248" s="429">
        <v>115.65</v>
      </c>
      <c r="D248" s="429">
        <v>121.2</v>
      </c>
      <c r="E248" s="429">
        <v>124.8</v>
      </c>
    </row>
    <row r="249" spans="1:5">
      <c r="A249" s="430">
        <v>50833</v>
      </c>
      <c r="B249" s="429">
        <v>44.9</v>
      </c>
      <c r="C249" s="429">
        <v>47</v>
      </c>
      <c r="D249" s="429">
        <v>66.44</v>
      </c>
      <c r="E249" s="429">
        <v>77.38</v>
      </c>
    </row>
    <row r="250" spans="1:5">
      <c r="A250" s="430">
        <v>50888</v>
      </c>
      <c r="B250" s="429">
        <v>12.2</v>
      </c>
      <c r="C250" s="429">
        <v>12.43</v>
      </c>
      <c r="D250" s="429">
        <v>16.75</v>
      </c>
      <c r="E250" s="429">
        <v>23.17</v>
      </c>
    </row>
    <row r="251" spans="1:5">
      <c r="A251" s="442" t="s">
        <v>219</v>
      </c>
      <c r="B251" s="443">
        <v>437.8</v>
      </c>
      <c r="C251" s="443">
        <v>445.23</v>
      </c>
      <c r="D251" s="443">
        <v>495.61</v>
      </c>
      <c r="E251" s="443">
        <v>546.05000000000007</v>
      </c>
    </row>
    <row r="252" spans="1:5">
      <c r="A252" s="430">
        <v>50389</v>
      </c>
      <c r="B252" s="429">
        <v>162</v>
      </c>
      <c r="C252" s="429">
        <v>162</v>
      </c>
      <c r="D252" s="429">
        <v>182</v>
      </c>
      <c r="E252" s="429">
        <v>183</v>
      </c>
    </row>
    <row r="253" spans="1:5">
      <c r="A253" s="430">
        <v>50547</v>
      </c>
      <c r="B253" s="429">
        <v>57.3</v>
      </c>
      <c r="C253" s="429">
        <v>61.17</v>
      </c>
      <c r="D253" s="429">
        <v>64.17</v>
      </c>
      <c r="E253" s="429">
        <v>73.17</v>
      </c>
    </row>
    <row r="254" spans="1:5">
      <c r="A254" s="430">
        <v>50676</v>
      </c>
      <c r="B254" s="429">
        <v>208</v>
      </c>
      <c r="C254" s="429">
        <v>210</v>
      </c>
      <c r="D254" s="429">
        <v>233</v>
      </c>
      <c r="E254" s="429">
        <v>268</v>
      </c>
    </row>
    <row r="255" spans="1:5">
      <c r="A255" s="430">
        <v>50884</v>
      </c>
      <c r="B255" s="429">
        <v>10.5</v>
      </c>
      <c r="C255" s="429">
        <v>12.06</v>
      </c>
      <c r="D255" s="429">
        <v>16.440000000000001</v>
      </c>
      <c r="E255" s="429">
        <v>21.88</v>
      </c>
    </row>
    <row r="256" spans="1:5">
      <c r="A256" s="442" t="s">
        <v>227</v>
      </c>
      <c r="B256" s="443">
        <v>31</v>
      </c>
      <c r="C256" s="443">
        <v>43</v>
      </c>
      <c r="D256" s="443">
        <v>60</v>
      </c>
      <c r="E256" s="443">
        <v>78</v>
      </c>
    </row>
    <row r="257" spans="1:5">
      <c r="A257" s="430">
        <v>50662</v>
      </c>
      <c r="B257" s="429">
        <v>31</v>
      </c>
      <c r="C257" s="429">
        <v>43</v>
      </c>
      <c r="D257" s="429">
        <v>60</v>
      </c>
      <c r="E257" s="429">
        <v>78</v>
      </c>
    </row>
    <row r="258" spans="1:5">
      <c r="A258" s="442" t="s">
        <v>121</v>
      </c>
      <c r="B258" s="443">
        <v>248.7</v>
      </c>
      <c r="C258" s="443">
        <v>259.45999999999998</v>
      </c>
      <c r="D258" s="443">
        <v>277.17</v>
      </c>
      <c r="E258" s="443">
        <v>269.2</v>
      </c>
    </row>
    <row r="259" spans="1:5">
      <c r="A259" s="430">
        <v>50681</v>
      </c>
      <c r="B259" s="429">
        <v>70</v>
      </c>
      <c r="C259" s="429">
        <v>70</v>
      </c>
      <c r="D259" s="429">
        <v>83</v>
      </c>
      <c r="E259" s="429">
        <v>83</v>
      </c>
    </row>
    <row r="260" spans="1:5">
      <c r="A260" s="430">
        <v>50718</v>
      </c>
      <c r="B260" s="429">
        <v>79.400000000000006</v>
      </c>
      <c r="C260" s="429">
        <v>81.13</v>
      </c>
      <c r="D260" s="429">
        <v>84</v>
      </c>
      <c r="E260" s="429">
        <v>74.599999999999994</v>
      </c>
    </row>
    <row r="261" spans="1:5">
      <c r="A261" s="430">
        <v>50745</v>
      </c>
      <c r="B261" s="429">
        <v>99.3</v>
      </c>
      <c r="C261" s="429">
        <v>108.33</v>
      </c>
      <c r="D261" s="429">
        <v>110.17</v>
      </c>
      <c r="E261" s="429">
        <v>111.6</v>
      </c>
    </row>
    <row r="262" spans="1:5">
      <c r="A262" s="442" t="s">
        <v>168</v>
      </c>
      <c r="B262" s="443">
        <v>75.400000000000006</v>
      </c>
      <c r="C262" s="443">
        <v>80.900000000000006</v>
      </c>
      <c r="D262" s="443">
        <v>93.65</v>
      </c>
      <c r="E262" s="443">
        <v>106.2</v>
      </c>
    </row>
    <row r="263" spans="1:5">
      <c r="A263" s="430">
        <v>50744</v>
      </c>
      <c r="B263" s="429">
        <v>45</v>
      </c>
      <c r="C263" s="429">
        <v>47</v>
      </c>
      <c r="D263" s="429">
        <v>50</v>
      </c>
      <c r="E263" s="429">
        <v>52</v>
      </c>
    </row>
    <row r="264" spans="1:5">
      <c r="A264" s="430">
        <v>50865</v>
      </c>
      <c r="B264" s="429">
        <v>30.4</v>
      </c>
      <c r="C264" s="429">
        <v>33.9</v>
      </c>
      <c r="D264" s="429">
        <v>43.65</v>
      </c>
      <c r="E264" s="429">
        <v>54.2</v>
      </c>
    </row>
    <row r="265" spans="1:5">
      <c r="A265" s="442" t="s">
        <v>90</v>
      </c>
      <c r="B265" s="443">
        <v>68.599999999999994</v>
      </c>
      <c r="C265" s="443">
        <v>76.08</v>
      </c>
      <c r="D265" s="443">
        <v>89.13</v>
      </c>
      <c r="E265" s="443">
        <v>155.73000000000002</v>
      </c>
    </row>
    <row r="266" spans="1:5">
      <c r="A266" s="430">
        <v>50846</v>
      </c>
      <c r="B266" s="429">
        <v>41.2</v>
      </c>
      <c r="C266" s="429">
        <v>46.83</v>
      </c>
      <c r="D266" s="429">
        <v>52</v>
      </c>
      <c r="E266" s="429">
        <v>91.42</v>
      </c>
    </row>
    <row r="267" spans="1:5">
      <c r="A267" s="430">
        <v>50854</v>
      </c>
      <c r="B267" s="429">
        <v>27.4</v>
      </c>
      <c r="C267" s="429">
        <v>29.25</v>
      </c>
      <c r="D267" s="429">
        <v>37.130000000000003</v>
      </c>
      <c r="E267" s="429">
        <v>64.31</v>
      </c>
    </row>
    <row r="268" spans="1:5">
      <c r="A268" s="442" t="s">
        <v>238</v>
      </c>
      <c r="B268" s="443">
        <v>167.3</v>
      </c>
      <c r="C268" s="443">
        <v>166.41</v>
      </c>
      <c r="D268" s="443">
        <v>175.67000000000002</v>
      </c>
      <c r="E268" s="443">
        <v>190.95</v>
      </c>
    </row>
    <row r="269" spans="1:5">
      <c r="A269" s="430">
        <v>50644</v>
      </c>
      <c r="B269" s="429">
        <v>29</v>
      </c>
      <c r="C269" s="429">
        <v>29.2</v>
      </c>
      <c r="D269" s="429">
        <v>29.5</v>
      </c>
      <c r="E269" s="429">
        <v>29.7</v>
      </c>
    </row>
    <row r="270" spans="1:5">
      <c r="A270" s="430">
        <v>50737</v>
      </c>
      <c r="B270" s="429">
        <v>32</v>
      </c>
      <c r="C270" s="429">
        <v>32</v>
      </c>
      <c r="D270" s="429">
        <v>32</v>
      </c>
      <c r="E270" s="429">
        <v>33</v>
      </c>
    </row>
    <row r="271" spans="1:5">
      <c r="A271" s="430">
        <v>50738</v>
      </c>
      <c r="B271" s="429">
        <v>33</v>
      </c>
      <c r="C271" s="429">
        <v>35.5</v>
      </c>
      <c r="D271" s="429">
        <v>36</v>
      </c>
      <c r="E271" s="429">
        <v>37.25</v>
      </c>
    </row>
    <row r="272" spans="1:5">
      <c r="A272" s="430">
        <v>50751</v>
      </c>
      <c r="B272" s="429">
        <v>73.3</v>
      </c>
      <c r="C272" s="429">
        <v>69.709999999999994</v>
      </c>
      <c r="D272" s="429">
        <v>78.17</v>
      </c>
      <c r="E272" s="429">
        <v>91</v>
      </c>
    </row>
    <row r="273" spans="1:5">
      <c r="A273" s="442" t="s">
        <v>40</v>
      </c>
      <c r="B273" s="443">
        <v>210</v>
      </c>
      <c r="C273" s="443">
        <v>208.33</v>
      </c>
      <c r="D273" s="443">
        <v>212</v>
      </c>
      <c r="E273" s="443">
        <v>212</v>
      </c>
    </row>
    <row r="274" spans="1:5">
      <c r="A274" s="430">
        <v>50530</v>
      </c>
      <c r="B274" s="429">
        <v>210</v>
      </c>
      <c r="C274" s="429">
        <v>208.33</v>
      </c>
      <c r="D274" s="429">
        <v>212</v>
      </c>
      <c r="E274" s="429">
        <v>212</v>
      </c>
    </row>
    <row r="275" spans="1:5">
      <c r="A275" s="442" t="s">
        <v>200</v>
      </c>
      <c r="B275" s="443">
        <v>53</v>
      </c>
      <c r="C275" s="443">
        <v>63.5</v>
      </c>
      <c r="D275" s="443">
        <v>64.5</v>
      </c>
      <c r="E275" s="443">
        <v>65.5</v>
      </c>
    </row>
    <row r="276" spans="1:5">
      <c r="A276" s="430">
        <v>50603</v>
      </c>
      <c r="B276" s="429">
        <v>53</v>
      </c>
      <c r="C276" s="429">
        <v>63.5</v>
      </c>
      <c r="D276" s="429">
        <v>64.5</v>
      </c>
      <c r="E276" s="429">
        <v>65.5</v>
      </c>
    </row>
    <row r="277" spans="1:5">
      <c r="A277" s="442" t="s">
        <v>220</v>
      </c>
      <c r="B277" s="443">
        <v>11</v>
      </c>
      <c r="C277" s="443">
        <v>12.38</v>
      </c>
      <c r="D277" s="443">
        <v>13.9</v>
      </c>
      <c r="E277" s="443">
        <v>21.13</v>
      </c>
    </row>
    <row r="278" spans="1:5">
      <c r="A278" s="430">
        <v>50869</v>
      </c>
      <c r="B278" s="429">
        <v>11</v>
      </c>
      <c r="C278" s="429">
        <v>12.38</v>
      </c>
      <c r="D278" s="429">
        <v>13.9</v>
      </c>
      <c r="E278" s="429">
        <v>21.13</v>
      </c>
    </row>
    <row r="279" spans="1:5">
      <c r="A279" s="442" t="s">
        <v>98</v>
      </c>
      <c r="B279" s="443">
        <v>16.3</v>
      </c>
      <c r="C279" s="443">
        <v>19.37</v>
      </c>
      <c r="D279" s="443">
        <v>22.22</v>
      </c>
      <c r="E279" s="443">
        <v>25.9</v>
      </c>
    </row>
    <row r="280" spans="1:5">
      <c r="A280" s="430">
        <v>50845</v>
      </c>
      <c r="B280" s="429">
        <v>16.3</v>
      </c>
      <c r="C280" s="429">
        <v>19.37</v>
      </c>
      <c r="D280" s="429">
        <v>22.22</v>
      </c>
      <c r="E280" s="429">
        <v>25.9</v>
      </c>
    </row>
    <row r="281" spans="1:5">
      <c r="A281" s="442" t="s">
        <v>225</v>
      </c>
      <c r="B281" s="443">
        <v>27</v>
      </c>
      <c r="C281" s="443">
        <v>36.5</v>
      </c>
      <c r="D281" s="443">
        <v>49</v>
      </c>
      <c r="E281" s="443">
        <v>60</v>
      </c>
    </row>
    <row r="282" spans="1:5">
      <c r="A282" s="430">
        <v>50872</v>
      </c>
      <c r="B282" s="429">
        <v>27</v>
      </c>
      <c r="C282" s="429">
        <v>36.5</v>
      </c>
      <c r="D282" s="429">
        <v>49</v>
      </c>
      <c r="E282" s="429">
        <v>60</v>
      </c>
    </row>
    <row r="283" spans="1:5">
      <c r="A283" s="442" t="s">
        <v>79</v>
      </c>
      <c r="B283" s="443">
        <v>384.1</v>
      </c>
      <c r="C283" s="443">
        <v>448.53999999999996</v>
      </c>
      <c r="D283" s="443">
        <v>468.05999999999995</v>
      </c>
      <c r="E283" s="443">
        <v>443.31</v>
      </c>
    </row>
    <row r="284" spans="1:5">
      <c r="A284" s="430">
        <v>50741</v>
      </c>
      <c r="B284" s="429">
        <v>60.7</v>
      </c>
      <c r="C284" s="429">
        <v>99</v>
      </c>
      <c r="D284" s="429">
        <v>99.83</v>
      </c>
      <c r="E284" s="429">
        <v>74</v>
      </c>
    </row>
    <row r="285" spans="1:5">
      <c r="A285" s="430">
        <v>50791</v>
      </c>
      <c r="B285" s="429">
        <v>46.5</v>
      </c>
      <c r="C285" s="429">
        <v>54.5</v>
      </c>
      <c r="D285" s="429">
        <v>55</v>
      </c>
      <c r="E285" s="429">
        <v>70</v>
      </c>
    </row>
    <row r="286" spans="1:5">
      <c r="A286" s="430">
        <v>50801</v>
      </c>
      <c r="B286" s="429">
        <v>84.9</v>
      </c>
      <c r="C286" s="429">
        <v>86.6</v>
      </c>
      <c r="D286" s="429">
        <v>87.85</v>
      </c>
      <c r="E286" s="429">
        <v>88.86</v>
      </c>
    </row>
    <row r="287" spans="1:5">
      <c r="A287" s="430">
        <v>50814</v>
      </c>
      <c r="B287" s="429">
        <v>93.5</v>
      </c>
      <c r="C287" s="429">
        <v>101.94</v>
      </c>
      <c r="D287" s="429">
        <v>111.63</v>
      </c>
      <c r="E287" s="429">
        <v>89</v>
      </c>
    </row>
    <row r="288" spans="1:5">
      <c r="A288" s="430">
        <v>50850</v>
      </c>
      <c r="B288" s="429">
        <v>98.5</v>
      </c>
      <c r="C288" s="429">
        <v>106.5</v>
      </c>
      <c r="D288" s="429">
        <v>113.75</v>
      </c>
      <c r="E288" s="429">
        <v>121.45</v>
      </c>
    </row>
    <row r="289" spans="1:5">
      <c r="A289" s="442" t="s">
        <v>174</v>
      </c>
      <c r="B289" s="443">
        <v>76.3</v>
      </c>
      <c r="C289" s="443">
        <v>77.67</v>
      </c>
      <c r="D289" s="443">
        <v>79.75</v>
      </c>
      <c r="E289" s="443">
        <v>84</v>
      </c>
    </row>
    <row r="290" spans="1:5">
      <c r="A290" s="430">
        <v>50678</v>
      </c>
      <c r="B290" s="429">
        <v>23</v>
      </c>
      <c r="C290" s="429">
        <v>24</v>
      </c>
      <c r="D290" s="429">
        <v>24</v>
      </c>
      <c r="E290" s="429">
        <v>25</v>
      </c>
    </row>
    <row r="291" spans="1:5">
      <c r="A291" s="430">
        <v>50825</v>
      </c>
      <c r="B291" s="429">
        <v>53.3</v>
      </c>
      <c r="C291" s="429">
        <v>53.67</v>
      </c>
      <c r="D291" s="429">
        <v>55.75</v>
      </c>
      <c r="E291" s="429">
        <v>59</v>
      </c>
    </row>
    <row r="292" spans="1:5">
      <c r="A292" s="442" t="s">
        <v>59</v>
      </c>
      <c r="B292" s="443">
        <v>444.90000000000003</v>
      </c>
      <c r="C292" s="443">
        <v>460.83</v>
      </c>
      <c r="D292" s="443">
        <v>501.19</v>
      </c>
      <c r="E292" s="443">
        <v>573.04999999999995</v>
      </c>
    </row>
    <row r="293" spans="1:5">
      <c r="A293" s="430">
        <v>50773</v>
      </c>
      <c r="B293" s="429">
        <v>46</v>
      </c>
      <c r="C293" s="429">
        <v>48</v>
      </c>
      <c r="D293" s="429">
        <v>50</v>
      </c>
      <c r="E293" s="429">
        <v>58</v>
      </c>
    </row>
    <row r="294" spans="1:5">
      <c r="A294" s="430">
        <v>50797</v>
      </c>
      <c r="B294" s="429">
        <v>179.8</v>
      </c>
      <c r="C294" s="429">
        <v>184.5</v>
      </c>
      <c r="D294" s="429">
        <v>189.4</v>
      </c>
      <c r="E294" s="429">
        <v>200.2</v>
      </c>
    </row>
    <row r="295" spans="1:5">
      <c r="A295" s="430">
        <v>50816</v>
      </c>
      <c r="B295" s="429">
        <v>80.5</v>
      </c>
      <c r="C295" s="429">
        <v>81.5</v>
      </c>
      <c r="D295" s="429">
        <v>87.1</v>
      </c>
      <c r="E295" s="429">
        <v>93.22</v>
      </c>
    </row>
    <row r="296" spans="1:5">
      <c r="A296" s="430">
        <v>50839</v>
      </c>
      <c r="B296" s="429">
        <v>69.8</v>
      </c>
      <c r="C296" s="429">
        <v>73.33</v>
      </c>
      <c r="D296" s="429">
        <v>87.5</v>
      </c>
      <c r="E296" s="429">
        <v>93.83</v>
      </c>
    </row>
    <row r="297" spans="1:5">
      <c r="A297" s="430">
        <v>50868</v>
      </c>
      <c r="B297" s="429">
        <v>68.8</v>
      </c>
      <c r="C297" s="429">
        <v>73.5</v>
      </c>
      <c r="D297" s="429">
        <v>87.19</v>
      </c>
      <c r="E297" s="429">
        <v>127.8</v>
      </c>
    </row>
    <row r="298" spans="1:5">
      <c r="A298" s="442" t="s">
        <v>178</v>
      </c>
      <c r="B298" s="443">
        <v>67.3</v>
      </c>
      <c r="C298" s="443">
        <v>76.39</v>
      </c>
      <c r="D298" s="443">
        <v>93.18</v>
      </c>
      <c r="E298" s="443">
        <v>116.83000000000001</v>
      </c>
    </row>
    <row r="299" spans="1:5">
      <c r="A299" s="430">
        <v>50852</v>
      </c>
      <c r="B299" s="429">
        <v>36.799999999999997</v>
      </c>
      <c r="C299" s="429">
        <v>41.19</v>
      </c>
      <c r="D299" s="429">
        <v>49.96</v>
      </c>
      <c r="E299" s="429">
        <v>59.13</v>
      </c>
    </row>
    <row r="300" spans="1:5">
      <c r="A300" s="430">
        <v>50861</v>
      </c>
      <c r="B300" s="429">
        <v>30.5</v>
      </c>
      <c r="C300" s="429">
        <v>35.200000000000003</v>
      </c>
      <c r="D300" s="429">
        <v>43.22</v>
      </c>
      <c r="E300" s="429">
        <v>57.7</v>
      </c>
    </row>
    <row r="301" spans="1:5">
      <c r="A301" s="442" t="s">
        <v>159</v>
      </c>
      <c r="B301" s="443">
        <v>33</v>
      </c>
      <c r="C301" s="443">
        <v>36.5</v>
      </c>
      <c r="D301" s="443">
        <v>41.5</v>
      </c>
      <c r="E301" s="443">
        <v>51.5</v>
      </c>
    </row>
    <row r="302" spans="1:5">
      <c r="A302" s="430">
        <v>50849</v>
      </c>
      <c r="B302" s="429">
        <v>33</v>
      </c>
      <c r="C302" s="429">
        <v>36.5</v>
      </c>
      <c r="D302" s="429">
        <v>41.5</v>
      </c>
      <c r="E302" s="429">
        <v>51.5</v>
      </c>
    </row>
    <row r="303" spans="1:5">
      <c r="A303" s="442" t="s">
        <v>73</v>
      </c>
      <c r="B303" s="443">
        <v>133</v>
      </c>
      <c r="C303" s="443">
        <v>141.30000000000001</v>
      </c>
      <c r="D303" s="443">
        <v>151.05000000000001</v>
      </c>
      <c r="E303" s="443">
        <v>165.23</v>
      </c>
    </row>
    <row r="304" spans="1:5">
      <c r="A304" s="430">
        <v>50426</v>
      </c>
      <c r="B304" s="429">
        <v>21.6</v>
      </c>
      <c r="C304" s="429">
        <v>23.78</v>
      </c>
      <c r="D304" s="429">
        <v>28.25</v>
      </c>
      <c r="E304" s="429">
        <v>28.17</v>
      </c>
    </row>
    <row r="305" spans="1:5">
      <c r="A305" s="430">
        <v>50618</v>
      </c>
      <c r="B305" s="429">
        <v>14.5</v>
      </c>
      <c r="C305" s="429">
        <v>15.5</v>
      </c>
      <c r="D305" s="429">
        <v>16.420000000000002</v>
      </c>
      <c r="E305" s="429">
        <v>22.33</v>
      </c>
    </row>
    <row r="306" spans="1:5">
      <c r="A306" s="430">
        <v>50706</v>
      </c>
      <c r="B306" s="429">
        <v>22</v>
      </c>
      <c r="C306" s="429">
        <v>24.33</v>
      </c>
      <c r="D306" s="429">
        <v>26.33</v>
      </c>
      <c r="E306" s="429">
        <v>26.33</v>
      </c>
    </row>
    <row r="307" spans="1:5">
      <c r="A307" s="430">
        <v>50760</v>
      </c>
      <c r="B307" s="429">
        <v>46.3</v>
      </c>
      <c r="C307" s="429">
        <v>47</v>
      </c>
      <c r="D307" s="429">
        <v>47.5</v>
      </c>
      <c r="E307" s="429">
        <v>48.83</v>
      </c>
    </row>
    <row r="308" spans="1:5">
      <c r="A308" s="430">
        <v>50803</v>
      </c>
      <c r="B308" s="429">
        <v>28.6</v>
      </c>
      <c r="C308" s="429">
        <v>30.69</v>
      </c>
      <c r="D308" s="429">
        <v>32.549999999999997</v>
      </c>
      <c r="E308" s="429">
        <v>39.57</v>
      </c>
    </row>
    <row r="309" spans="1:5">
      <c r="A309" s="442" t="s">
        <v>94</v>
      </c>
      <c r="B309" s="443">
        <v>94.8</v>
      </c>
      <c r="C309" s="443">
        <v>97</v>
      </c>
      <c r="D309" s="443">
        <v>102.3</v>
      </c>
      <c r="E309" s="443">
        <v>107</v>
      </c>
    </row>
    <row r="310" spans="1:5">
      <c r="A310" s="430">
        <v>50604</v>
      </c>
      <c r="B310" s="429">
        <v>94.8</v>
      </c>
      <c r="C310" s="429">
        <v>97</v>
      </c>
      <c r="D310" s="429">
        <v>102.3</v>
      </c>
      <c r="E310" s="429">
        <v>107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996"/>
  <sheetViews>
    <sheetView showGridLines="0" tabSelected="1" zoomScale="60" zoomScaleNormal="60" workbookViewId="0">
      <pane ySplit="1" topLeftCell="A2" activePane="bottomLeft" state="frozen"/>
      <selection pane="bottomLeft" activeCell="D3" sqref="D3"/>
    </sheetView>
  </sheetViews>
  <sheetFormatPr baseColWidth="10" defaultColWidth="15.140625" defaultRowHeight="15" customHeight="1"/>
  <cols>
    <col min="1" max="1" width="5.140625" customWidth="1"/>
    <col min="2" max="2" width="5.7109375" customWidth="1"/>
    <col min="3" max="3" width="5.28515625" customWidth="1"/>
    <col min="4" max="4" width="22.140625" customWidth="1"/>
    <col min="5" max="5" width="23.5703125" customWidth="1"/>
    <col min="6" max="6" width="5.140625" customWidth="1"/>
    <col min="7" max="7" width="7.7109375" bestFit="1" customWidth="1"/>
    <col min="8" max="8" width="5.5703125" customWidth="1"/>
    <col min="9" max="9" width="11.5703125" customWidth="1"/>
    <col min="10" max="10" width="9" customWidth="1"/>
    <col min="11" max="11" width="8.42578125" customWidth="1"/>
    <col min="12" max="12" width="9.140625" customWidth="1"/>
    <col min="13" max="13" width="9" customWidth="1"/>
    <col min="14" max="14" width="8.140625" customWidth="1"/>
    <col min="15" max="15" width="8.7109375" customWidth="1"/>
    <col min="16" max="16" width="8.85546875" customWidth="1"/>
    <col min="17" max="17" width="9" customWidth="1"/>
    <col min="18" max="18" width="8.85546875" customWidth="1"/>
    <col min="19" max="19" width="10" customWidth="1"/>
    <col min="20" max="20" width="9.28515625" customWidth="1"/>
    <col min="21" max="21" width="20.140625" customWidth="1"/>
    <col min="22" max="27" width="8" customWidth="1"/>
  </cols>
  <sheetData>
    <row r="1" spans="1:27">
      <c r="A1" s="1"/>
      <c r="B1" s="1"/>
      <c r="C1" s="2"/>
      <c r="D1" s="3"/>
      <c r="E1" s="4"/>
      <c r="F1" s="3"/>
      <c r="G1" s="3"/>
      <c r="H1" s="5"/>
      <c r="I1" s="6" t="s">
        <v>0</v>
      </c>
      <c r="J1" s="6">
        <v>1</v>
      </c>
      <c r="K1" s="6">
        <v>2</v>
      </c>
      <c r="L1" s="6">
        <v>3</v>
      </c>
      <c r="M1" s="6">
        <v>4</v>
      </c>
      <c r="N1" s="6">
        <v>5</v>
      </c>
      <c r="O1" s="6">
        <v>6</v>
      </c>
      <c r="P1" s="6">
        <v>7</v>
      </c>
      <c r="Q1" s="6">
        <v>8</v>
      </c>
      <c r="R1" s="6">
        <v>9</v>
      </c>
      <c r="S1" s="6">
        <v>10</v>
      </c>
      <c r="T1" s="3"/>
      <c r="U1" s="8" t="s">
        <v>1</v>
      </c>
    </row>
    <row r="2" spans="1:27" ht="30" customHeight="1">
      <c r="A2" s="3"/>
      <c r="B2" s="3"/>
      <c r="C2" s="3"/>
      <c r="D2" s="3"/>
      <c r="E2" s="4"/>
      <c r="F2" s="3"/>
      <c r="G2" s="3"/>
      <c r="H2" s="10"/>
      <c r="I2" s="11"/>
      <c r="J2" s="669" t="s">
        <v>2</v>
      </c>
      <c r="K2" s="670"/>
      <c r="L2" s="670"/>
      <c r="M2" s="670"/>
      <c r="N2" s="670"/>
      <c r="O2" s="670"/>
      <c r="P2" s="670"/>
      <c r="Q2" s="670"/>
      <c r="R2" s="670"/>
      <c r="S2" s="670"/>
      <c r="T2" s="670"/>
      <c r="U2" s="670"/>
    </row>
    <row r="3" spans="1:27" ht="24.75" customHeight="1">
      <c r="A3" s="17" t="s">
        <v>3</v>
      </c>
      <c r="B3" s="17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7" t="s">
        <v>9</v>
      </c>
      <c r="H3" s="17" t="s">
        <v>10</v>
      </c>
      <c r="I3" s="24" t="s">
        <v>24</v>
      </c>
      <c r="J3" s="24" t="s">
        <v>11</v>
      </c>
      <c r="K3" s="24" t="s">
        <v>12</v>
      </c>
      <c r="L3" s="24" t="s">
        <v>13</v>
      </c>
      <c r="M3" s="24" t="s">
        <v>14</v>
      </c>
      <c r="N3" s="24" t="s">
        <v>15</v>
      </c>
      <c r="O3" s="24" t="s">
        <v>16</v>
      </c>
      <c r="P3" s="24" t="s">
        <v>17</v>
      </c>
      <c r="Q3" s="24" t="s">
        <v>18</v>
      </c>
      <c r="R3" s="24" t="s">
        <v>19</v>
      </c>
      <c r="S3" s="24" t="s">
        <v>20</v>
      </c>
      <c r="T3" s="24" t="s">
        <v>21</v>
      </c>
      <c r="U3" s="28" t="s">
        <v>1</v>
      </c>
      <c r="V3" s="15"/>
      <c r="W3" s="15"/>
      <c r="X3" s="15"/>
      <c r="Y3" s="15"/>
      <c r="Z3" s="15"/>
      <c r="AA3" s="15"/>
    </row>
    <row r="4" spans="1:27" ht="15.75" customHeight="1">
      <c r="A4" s="35">
        <v>2</v>
      </c>
      <c r="B4" s="35">
        <v>1</v>
      </c>
      <c r="C4" s="35">
        <v>1</v>
      </c>
      <c r="D4" s="16" t="s">
        <v>22</v>
      </c>
      <c r="E4" s="16" t="s">
        <v>23</v>
      </c>
      <c r="F4" s="16" t="s">
        <v>25</v>
      </c>
      <c r="G4" s="37">
        <v>30876</v>
      </c>
      <c r="H4" s="39">
        <v>510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45" t="s">
        <v>26</v>
      </c>
    </row>
    <row r="5" spans="1:27" ht="15.75" customHeight="1">
      <c r="A5" s="35">
        <v>2</v>
      </c>
      <c r="B5" s="35">
        <v>1</v>
      </c>
      <c r="C5" s="35">
        <v>2</v>
      </c>
      <c r="D5" s="16" t="s">
        <v>27</v>
      </c>
      <c r="E5" s="16" t="s">
        <v>28</v>
      </c>
      <c r="F5" s="16" t="s">
        <v>25</v>
      </c>
      <c r="G5" s="37">
        <v>30877</v>
      </c>
      <c r="H5" s="39">
        <v>250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45" t="s">
        <v>26</v>
      </c>
    </row>
    <row r="6" spans="1:27" ht="15.75" customHeight="1">
      <c r="A6" s="35">
        <v>2</v>
      </c>
      <c r="B6" s="35">
        <v>1</v>
      </c>
      <c r="C6" s="35">
        <v>2</v>
      </c>
      <c r="D6" s="16" t="s">
        <v>22</v>
      </c>
      <c r="E6" s="16" t="s">
        <v>23</v>
      </c>
      <c r="F6" s="16" t="s">
        <v>25</v>
      </c>
      <c r="G6" s="37">
        <v>30876</v>
      </c>
      <c r="H6" s="39">
        <v>290</v>
      </c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45" t="s">
        <v>26</v>
      </c>
    </row>
    <row r="7" spans="1:27" ht="15.75" customHeight="1">
      <c r="A7" s="47">
        <v>2</v>
      </c>
      <c r="B7" s="47">
        <v>1</v>
      </c>
      <c r="C7" s="47">
        <v>3</v>
      </c>
      <c r="D7" s="25" t="s">
        <v>29</v>
      </c>
      <c r="E7" s="25" t="s">
        <v>30</v>
      </c>
      <c r="F7" s="25" t="s">
        <v>31</v>
      </c>
      <c r="G7" s="49">
        <v>50759</v>
      </c>
      <c r="H7" s="51">
        <v>232</v>
      </c>
      <c r="I7" s="56">
        <v>10</v>
      </c>
      <c r="J7" s="33">
        <v>40</v>
      </c>
      <c r="K7" s="33">
        <v>25</v>
      </c>
      <c r="L7" s="33">
        <v>27</v>
      </c>
      <c r="M7" s="33">
        <v>12</v>
      </c>
      <c r="N7" s="33">
        <v>36</v>
      </c>
      <c r="O7" s="33">
        <v>10</v>
      </c>
      <c r="P7" s="33">
        <v>9</v>
      </c>
      <c r="Q7" s="33">
        <v>15</v>
      </c>
      <c r="R7" s="33">
        <v>31</v>
      </c>
      <c r="S7" s="33">
        <v>15</v>
      </c>
      <c r="T7" s="32">
        <v>22</v>
      </c>
      <c r="U7" s="58"/>
    </row>
    <row r="8" spans="1:27" ht="15.75" customHeight="1">
      <c r="A8" s="47">
        <v>2</v>
      </c>
      <c r="B8" s="47">
        <v>1</v>
      </c>
      <c r="C8" s="47">
        <v>5</v>
      </c>
      <c r="D8" s="25" t="s">
        <v>32</v>
      </c>
      <c r="E8" s="25" t="s">
        <v>33</v>
      </c>
      <c r="F8" s="25" t="s">
        <v>34</v>
      </c>
      <c r="G8" s="49">
        <v>50616</v>
      </c>
      <c r="H8" s="51">
        <v>468</v>
      </c>
      <c r="I8" s="56">
        <v>10</v>
      </c>
      <c r="J8" s="33">
        <v>30</v>
      </c>
      <c r="K8" s="33">
        <v>118</v>
      </c>
      <c r="L8" s="33">
        <v>149</v>
      </c>
      <c r="M8" s="33">
        <v>164</v>
      </c>
      <c r="N8" s="33">
        <v>203</v>
      </c>
      <c r="O8" s="33">
        <v>138</v>
      </c>
      <c r="P8" s="33">
        <v>229</v>
      </c>
      <c r="Q8" s="33">
        <v>166</v>
      </c>
      <c r="R8" s="33">
        <v>162</v>
      </c>
      <c r="S8" s="33">
        <v>115</v>
      </c>
      <c r="T8" s="32">
        <v>147.4</v>
      </c>
      <c r="U8" s="60"/>
    </row>
    <row r="9" spans="1:27" ht="15.75" customHeight="1">
      <c r="A9" s="47">
        <v>2</v>
      </c>
      <c r="B9" s="47">
        <v>1</v>
      </c>
      <c r="C9" s="47">
        <v>8</v>
      </c>
      <c r="D9" s="25" t="s">
        <v>35</v>
      </c>
      <c r="E9" s="25" t="s">
        <v>36</v>
      </c>
      <c r="F9" s="25" t="s">
        <v>31</v>
      </c>
      <c r="G9" s="49">
        <v>50794</v>
      </c>
      <c r="H9" s="51">
        <v>392</v>
      </c>
      <c r="I9" s="56">
        <v>10</v>
      </c>
      <c r="J9" s="33">
        <v>137</v>
      </c>
      <c r="K9" s="33">
        <v>154</v>
      </c>
      <c r="L9" s="33">
        <v>133.4</v>
      </c>
      <c r="M9" s="33">
        <v>193</v>
      </c>
      <c r="N9" s="33">
        <v>206</v>
      </c>
      <c r="O9" s="33">
        <v>160.5</v>
      </c>
      <c r="P9" s="33">
        <v>225</v>
      </c>
      <c r="Q9" s="33">
        <v>139</v>
      </c>
      <c r="R9" s="33">
        <v>160</v>
      </c>
      <c r="S9" s="33">
        <v>129</v>
      </c>
      <c r="T9" s="32">
        <v>163.69</v>
      </c>
      <c r="U9" s="60"/>
    </row>
    <row r="10" spans="1:27" ht="15.75" customHeight="1">
      <c r="A10" s="47">
        <v>2</v>
      </c>
      <c r="B10" s="47">
        <v>1</v>
      </c>
      <c r="C10" s="47">
        <v>9</v>
      </c>
      <c r="D10" s="25" t="s">
        <v>37</v>
      </c>
      <c r="E10" s="25" t="s">
        <v>38</v>
      </c>
      <c r="F10" s="25" t="s">
        <v>34</v>
      </c>
      <c r="G10" s="49">
        <v>50663</v>
      </c>
      <c r="H10" s="51">
        <v>127</v>
      </c>
      <c r="I10" s="56">
        <v>8</v>
      </c>
      <c r="J10" s="33">
        <v>104</v>
      </c>
      <c r="K10" s="33">
        <v>115</v>
      </c>
      <c r="L10" s="33">
        <v>146</v>
      </c>
      <c r="M10" s="33">
        <v>126</v>
      </c>
      <c r="N10" s="33">
        <v>126</v>
      </c>
      <c r="O10" s="33">
        <v>79</v>
      </c>
      <c r="P10" s="33">
        <v>122</v>
      </c>
      <c r="Q10" s="33">
        <v>95</v>
      </c>
      <c r="R10" s="36"/>
      <c r="S10" s="36"/>
      <c r="T10" s="62">
        <v>114.13</v>
      </c>
      <c r="U10" s="60"/>
    </row>
    <row r="11" spans="1:27" ht="15.75" customHeight="1">
      <c r="A11" s="47">
        <v>2</v>
      </c>
      <c r="B11" s="47">
        <v>1</v>
      </c>
      <c r="C11" s="47">
        <v>9</v>
      </c>
      <c r="D11" s="25" t="s">
        <v>39</v>
      </c>
      <c r="E11" s="25" t="s">
        <v>40</v>
      </c>
      <c r="F11" s="25" t="s">
        <v>25</v>
      </c>
      <c r="G11" s="49">
        <v>50530</v>
      </c>
      <c r="H11" s="51">
        <v>48</v>
      </c>
      <c r="I11" s="56">
        <v>3</v>
      </c>
      <c r="J11" s="33">
        <v>257</v>
      </c>
      <c r="K11" s="33">
        <v>230</v>
      </c>
      <c r="L11" s="33">
        <v>138</v>
      </c>
      <c r="M11" s="36"/>
      <c r="N11" s="36"/>
      <c r="O11" s="36"/>
      <c r="P11" s="36"/>
      <c r="Q11" s="36"/>
      <c r="R11" s="36"/>
      <c r="S11" s="36"/>
      <c r="T11" s="62">
        <v>208.33</v>
      </c>
      <c r="U11" s="60"/>
    </row>
    <row r="12" spans="1:27" ht="15.75" customHeight="1">
      <c r="A12" s="63">
        <v>2</v>
      </c>
      <c r="B12" s="63">
        <v>1</v>
      </c>
      <c r="C12" s="63">
        <v>9</v>
      </c>
      <c r="D12" s="38" t="s">
        <v>41</v>
      </c>
      <c r="E12" s="38" t="s">
        <v>42</v>
      </c>
      <c r="F12" s="38" t="s">
        <v>25</v>
      </c>
      <c r="G12" s="64">
        <v>50721</v>
      </c>
      <c r="H12" s="65">
        <v>23</v>
      </c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66"/>
      <c r="U12" s="67" t="s">
        <v>43</v>
      </c>
    </row>
    <row r="13" spans="1:27" ht="15.75" customHeight="1">
      <c r="A13" s="47">
        <v>2</v>
      </c>
      <c r="B13" s="47">
        <v>1</v>
      </c>
      <c r="C13" s="47">
        <v>11</v>
      </c>
      <c r="D13" s="25" t="s">
        <v>44</v>
      </c>
      <c r="E13" s="25" t="s">
        <v>45</v>
      </c>
      <c r="F13" s="25" t="s">
        <v>31</v>
      </c>
      <c r="G13" s="49">
        <v>50795</v>
      </c>
      <c r="H13" s="51">
        <v>754</v>
      </c>
      <c r="I13" s="56">
        <v>10</v>
      </c>
      <c r="J13" s="33">
        <v>292</v>
      </c>
      <c r="K13" s="33">
        <v>303</v>
      </c>
      <c r="L13" s="33">
        <v>308</v>
      </c>
      <c r="M13" s="33">
        <v>216</v>
      </c>
      <c r="N13" s="33">
        <v>232</v>
      </c>
      <c r="O13" s="33">
        <v>212</v>
      </c>
      <c r="P13" s="33">
        <v>220</v>
      </c>
      <c r="Q13" s="33">
        <v>145</v>
      </c>
      <c r="R13" s="33">
        <v>130</v>
      </c>
      <c r="S13" s="33">
        <v>206</v>
      </c>
      <c r="T13" s="62">
        <v>226.4</v>
      </c>
      <c r="U13" s="60"/>
    </row>
    <row r="14" spans="1:27" ht="15.75" customHeight="1">
      <c r="A14" s="47">
        <v>2</v>
      </c>
      <c r="B14" s="47">
        <v>1</v>
      </c>
      <c r="C14" s="47">
        <v>12</v>
      </c>
      <c r="D14" s="25" t="s">
        <v>46</v>
      </c>
      <c r="E14" s="25" t="s">
        <v>47</v>
      </c>
      <c r="F14" s="25" t="s">
        <v>25</v>
      </c>
      <c r="G14" s="49">
        <v>50262</v>
      </c>
      <c r="H14" s="51">
        <v>472</v>
      </c>
      <c r="I14" s="56">
        <v>10</v>
      </c>
      <c r="J14" s="33">
        <v>184</v>
      </c>
      <c r="K14" s="33">
        <v>201</v>
      </c>
      <c r="L14" s="33">
        <v>256</v>
      </c>
      <c r="M14" s="33">
        <v>212</v>
      </c>
      <c r="N14" s="33">
        <v>172</v>
      </c>
      <c r="O14" s="33" t="s">
        <v>83</v>
      </c>
      <c r="P14" s="33">
        <v>144</v>
      </c>
      <c r="Q14" s="33">
        <v>145</v>
      </c>
      <c r="R14" s="33">
        <v>110</v>
      </c>
      <c r="S14" s="33">
        <v>138</v>
      </c>
      <c r="T14" s="62">
        <v>173.56</v>
      </c>
      <c r="U14" s="60"/>
    </row>
    <row r="15" spans="1:27" ht="15.75" customHeight="1">
      <c r="A15" s="47">
        <v>2</v>
      </c>
      <c r="B15" s="47">
        <v>1</v>
      </c>
      <c r="C15" s="47">
        <v>13</v>
      </c>
      <c r="D15" s="25" t="s">
        <v>32</v>
      </c>
      <c r="E15" s="25" t="s">
        <v>33</v>
      </c>
      <c r="F15" s="25" t="s">
        <v>48</v>
      </c>
      <c r="G15" s="49">
        <v>50267</v>
      </c>
      <c r="H15" s="51">
        <v>442</v>
      </c>
      <c r="I15" s="56">
        <v>10</v>
      </c>
      <c r="J15" s="33">
        <v>133</v>
      </c>
      <c r="K15" s="33">
        <v>58</v>
      </c>
      <c r="L15" s="33">
        <v>118</v>
      </c>
      <c r="M15" s="33">
        <v>122</v>
      </c>
      <c r="N15" s="33">
        <v>80</v>
      </c>
      <c r="O15" s="33">
        <v>75</v>
      </c>
      <c r="P15" s="33">
        <v>103</v>
      </c>
      <c r="Q15" s="33">
        <v>91</v>
      </c>
      <c r="R15" s="33">
        <v>129</v>
      </c>
      <c r="S15" s="33">
        <v>157</v>
      </c>
      <c r="T15" s="62">
        <v>106.6</v>
      </c>
      <c r="U15" s="60"/>
    </row>
    <row r="16" spans="1:27" ht="15.75" customHeight="1">
      <c r="A16" s="47">
        <v>2</v>
      </c>
      <c r="B16" s="47">
        <v>1</v>
      </c>
      <c r="C16" s="47">
        <v>13</v>
      </c>
      <c r="D16" s="25" t="s">
        <v>32</v>
      </c>
      <c r="E16" s="25" t="s">
        <v>33</v>
      </c>
      <c r="F16" s="25" t="s">
        <v>34</v>
      </c>
      <c r="G16" s="49">
        <v>50462</v>
      </c>
      <c r="H16" s="51">
        <v>206</v>
      </c>
      <c r="I16" s="56">
        <v>6</v>
      </c>
      <c r="J16" s="33">
        <v>112</v>
      </c>
      <c r="K16" s="33">
        <v>107</v>
      </c>
      <c r="L16" s="33">
        <v>145</v>
      </c>
      <c r="M16" s="33">
        <v>113</v>
      </c>
      <c r="N16" s="33">
        <v>66</v>
      </c>
      <c r="O16" s="33">
        <v>76</v>
      </c>
      <c r="P16" s="36"/>
      <c r="Q16" s="36"/>
      <c r="R16" s="36"/>
      <c r="S16" s="36"/>
      <c r="T16" s="62">
        <v>103.17</v>
      </c>
      <c r="U16" s="60"/>
    </row>
    <row r="17" spans="1:27" ht="15.75" customHeight="1">
      <c r="A17" s="47">
        <v>2</v>
      </c>
      <c r="B17" s="47">
        <v>1</v>
      </c>
      <c r="C17" s="47">
        <v>13</v>
      </c>
      <c r="D17" s="25" t="s">
        <v>32</v>
      </c>
      <c r="E17" s="25" t="s">
        <v>33</v>
      </c>
      <c r="F17" s="25" t="s">
        <v>34</v>
      </c>
      <c r="G17" s="49">
        <v>50616</v>
      </c>
      <c r="H17" s="51">
        <v>21</v>
      </c>
      <c r="I17" s="56">
        <v>2</v>
      </c>
      <c r="J17" s="33">
        <v>107</v>
      </c>
      <c r="K17" s="33">
        <v>103</v>
      </c>
      <c r="L17" s="36"/>
      <c r="M17" s="36"/>
      <c r="N17" s="36"/>
      <c r="O17" s="36"/>
      <c r="P17" s="36"/>
      <c r="Q17" s="36"/>
      <c r="R17" s="36"/>
      <c r="S17" s="36"/>
      <c r="T17" s="62">
        <v>105</v>
      </c>
      <c r="U17" s="60"/>
    </row>
    <row r="18" spans="1:27" ht="15.75" customHeight="1">
      <c r="A18" s="47">
        <v>2</v>
      </c>
      <c r="B18" s="47">
        <v>1</v>
      </c>
      <c r="C18" s="47">
        <v>13</v>
      </c>
      <c r="D18" s="25" t="s">
        <v>32</v>
      </c>
      <c r="E18" s="25" t="s">
        <v>33</v>
      </c>
      <c r="F18" s="25" t="s">
        <v>31</v>
      </c>
      <c r="G18" s="49">
        <v>50184</v>
      </c>
      <c r="H18" s="51">
        <v>39</v>
      </c>
      <c r="I18" s="56">
        <v>2</v>
      </c>
      <c r="J18" s="33">
        <v>75</v>
      </c>
      <c r="K18" s="33">
        <v>120</v>
      </c>
      <c r="L18" s="36"/>
      <c r="M18" s="36"/>
      <c r="N18" s="36"/>
      <c r="O18" s="36"/>
      <c r="P18" s="36"/>
      <c r="Q18" s="36"/>
      <c r="R18" s="36"/>
      <c r="S18" s="36"/>
      <c r="T18" s="62">
        <v>97.5</v>
      </c>
      <c r="U18" s="60"/>
    </row>
    <row r="19" spans="1:27" ht="15.75" customHeight="1">
      <c r="A19" s="47">
        <v>2</v>
      </c>
      <c r="B19" s="47">
        <v>1</v>
      </c>
      <c r="C19" s="47">
        <v>13</v>
      </c>
      <c r="D19" s="25" t="s">
        <v>32</v>
      </c>
      <c r="E19" s="25" t="s">
        <v>33</v>
      </c>
      <c r="F19" s="25" t="s">
        <v>34</v>
      </c>
      <c r="G19" s="49">
        <v>50104</v>
      </c>
      <c r="H19" s="51">
        <v>22</v>
      </c>
      <c r="I19" s="56">
        <v>1</v>
      </c>
      <c r="J19" s="33">
        <v>56</v>
      </c>
      <c r="K19" s="36"/>
      <c r="L19" s="36"/>
      <c r="M19" s="36"/>
      <c r="N19" s="36"/>
      <c r="O19" s="36"/>
      <c r="P19" s="36"/>
      <c r="Q19" s="36"/>
      <c r="R19" s="36"/>
      <c r="S19" s="36"/>
      <c r="T19" s="62">
        <v>56</v>
      </c>
      <c r="U19" s="60"/>
    </row>
    <row r="20" spans="1:27" ht="15.75" customHeight="1">
      <c r="A20" s="47">
        <v>2</v>
      </c>
      <c r="B20" s="47">
        <v>1</v>
      </c>
      <c r="C20" s="47">
        <v>14</v>
      </c>
      <c r="D20" s="25" t="s">
        <v>49</v>
      </c>
      <c r="E20" s="25" t="s">
        <v>50</v>
      </c>
      <c r="F20" s="25" t="s">
        <v>25</v>
      </c>
      <c r="G20" s="49">
        <v>50874</v>
      </c>
      <c r="H20" s="51">
        <v>282</v>
      </c>
      <c r="I20" s="56">
        <v>9</v>
      </c>
      <c r="J20" s="58" t="s">
        <v>55</v>
      </c>
      <c r="K20" s="33">
        <v>12</v>
      </c>
      <c r="L20" s="33">
        <v>10.5</v>
      </c>
      <c r="M20" s="33">
        <v>8</v>
      </c>
      <c r="N20" s="33">
        <v>15</v>
      </c>
      <c r="O20" s="33">
        <v>15</v>
      </c>
      <c r="P20" s="33">
        <v>14.5</v>
      </c>
      <c r="Q20" s="33">
        <v>15.5</v>
      </c>
      <c r="R20" s="33">
        <v>24</v>
      </c>
      <c r="S20" s="33">
        <v>15</v>
      </c>
      <c r="T20" s="62">
        <v>14.39</v>
      </c>
      <c r="U20" s="60"/>
    </row>
    <row r="21" spans="1:27" ht="15.75" customHeight="1">
      <c r="A21" s="47">
        <v>2</v>
      </c>
      <c r="B21" s="47">
        <v>1</v>
      </c>
      <c r="C21" s="47">
        <v>14</v>
      </c>
      <c r="D21" s="25" t="s">
        <v>51</v>
      </c>
      <c r="E21" s="25" t="s">
        <v>52</v>
      </c>
      <c r="F21" s="25" t="s">
        <v>25</v>
      </c>
      <c r="G21" s="49">
        <v>50875</v>
      </c>
      <c r="H21" s="51">
        <v>348</v>
      </c>
      <c r="I21" s="56">
        <v>10</v>
      </c>
      <c r="J21" s="33">
        <v>9.5</v>
      </c>
      <c r="K21" s="33">
        <v>9</v>
      </c>
      <c r="L21" s="33">
        <v>10</v>
      </c>
      <c r="M21" s="33">
        <v>10</v>
      </c>
      <c r="N21" s="33">
        <v>10.5</v>
      </c>
      <c r="O21" s="33">
        <v>7</v>
      </c>
      <c r="P21" s="33">
        <v>17</v>
      </c>
      <c r="Q21" s="33">
        <v>12.5</v>
      </c>
      <c r="R21" s="33">
        <v>24</v>
      </c>
      <c r="S21" s="33">
        <v>24</v>
      </c>
      <c r="T21" s="62">
        <v>13.35</v>
      </c>
      <c r="U21" s="60"/>
    </row>
    <row r="22" spans="1:27" ht="15.75" customHeight="1">
      <c r="A22" s="71">
        <v>2</v>
      </c>
      <c r="B22" s="71">
        <v>1</v>
      </c>
      <c r="C22" s="71">
        <v>14</v>
      </c>
      <c r="D22" s="53" t="s">
        <v>53</v>
      </c>
      <c r="E22" s="53" t="s">
        <v>54</v>
      </c>
      <c r="F22" s="53" t="s">
        <v>25</v>
      </c>
      <c r="G22" s="73">
        <v>50877</v>
      </c>
      <c r="H22" s="74">
        <v>101</v>
      </c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79" t="s">
        <v>55</v>
      </c>
    </row>
    <row r="23" spans="1:27" ht="15.75" customHeight="1">
      <c r="A23" s="47">
        <v>2</v>
      </c>
      <c r="B23" s="47">
        <v>1</v>
      </c>
      <c r="C23" s="47">
        <v>15</v>
      </c>
      <c r="D23" s="25" t="s">
        <v>56</v>
      </c>
      <c r="E23" s="25" t="s">
        <v>57</v>
      </c>
      <c r="F23" s="25" t="s">
        <v>34</v>
      </c>
      <c r="G23" s="49">
        <v>50594</v>
      </c>
      <c r="H23" s="51">
        <v>154</v>
      </c>
      <c r="I23" s="56">
        <v>2</v>
      </c>
      <c r="J23" s="33">
        <v>42</v>
      </c>
      <c r="K23" s="33">
        <v>98</v>
      </c>
      <c r="L23" s="36"/>
      <c r="M23" s="36"/>
      <c r="N23" s="36"/>
      <c r="O23" s="36"/>
      <c r="P23" s="36"/>
      <c r="Q23" s="36"/>
      <c r="R23" s="36"/>
      <c r="S23" s="36"/>
      <c r="T23" s="62">
        <v>70</v>
      </c>
      <c r="U23" s="60"/>
    </row>
    <row r="24" spans="1:27" ht="15.75" customHeight="1">
      <c r="A24" s="47">
        <v>2</v>
      </c>
      <c r="B24" s="47">
        <v>1</v>
      </c>
      <c r="C24" s="47">
        <v>16</v>
      </c>
      <c r="D24" s="25" t="s">
        <v>58</v>
      </c>
      <c r="E24" s="25" t="s">
        <v>59</v>
      </c>
      <c r="F24" s="25" t="s">
        <v>31</v>
      </c>
      <c r="G24" s="49">
        <v>50797</v>
      </c>
      <c r="H24" s="51">
        <v>311</v>
      </c>
      <c r="I24" s="56">
        <v>10</v>
      </c>
      <c r="J24" s="33">
        <v>192</v>
      </c>
      <c r="K24" s="33">
        <v>233</v>
      </c>
      <c r="L24" s="33">
        <v>189</v>
      </c>
      <c r="M24" s="33">
        <v>220</v>
      </c>
      <c r="N24" s="33">
        <v>186</v>
      </c>
      <c r="O24" s="33">
        <v>189</v>
      </c>
      <c r="P24" s="33">
        <v>171</v>
      </c>
      <c r="Q24" s="33">
        <v>184</v>
      </c>
      <c r="R24" s="33">
        <v>174</v>
      </c>
      <c r="S24" s="33">
        <v>107</v>
      </c>
      <c r="T24" s="62">
        <v>184.5</v>
      </c>
      <c r="U24" s="60"/>
    </row>
    <row r="25" spans="1:27" ht="15.75" customHeight="1">
      <c r="A25" s="47">
        <v>2</v>
      </c>
      <c r="B25" s="47">
        <v>1</v>
      </c>
      <c r="C25" s="47">
        <v>17</v>
      </c>
      <c r="D25" s="25" t="s">
        <v>60</v>
      </c>
      <c r="E25" s="25" t="s">
        <v>61</v>
      </c>
      <c r="F25" s="25" t="s">
        <v>34</v>
      </c>
      <c r="G25" s="49">
        <v>50467</v>
      </c>
      <c r="H25" s="51">
        <v>426</v>
      </c>
      <c r="I25" s="56">
        <v>10</v>
      </c>
      <c r="J25" s="33">
        <v>230</v>
      </c>
      <c r="K25" s="33">
        <v>197</v>
      </c>
      <c r="L25" s="33">
        <v>283</v>
      </c>
      <c r="M25" s="33">
        <v>219</v>
      </c>
      <c r="N25" s="33">
        <v>163</v>
      </c>
      <c r="O25" s="33">
        <v>166</v>
      </c>
      <c r="P25" s="33">
        <v>154</v>
      </c>
      <c r="Q25" s="33">
        <v>142</v>
      </c>
      <c r="R25" s="33">
        <v>179</v>
      </c>
      <c r="S25" s="33">
        <v>70</v>
      </c>
      <c r="T25" s="62">
        <v>180.3</v>
      </c>
      <c r="U25" s="60"/>
    </row>
    <row r="26" spans="1:27" ht="15.75" customHeight="1">
      <c r="A26" s="47">
        <v>2</v>
      </c>
      <c r="B26" s="47">
        <v>1</v>
      </c>
      <c r="C26" s="47">
        <v>18</v>
      </c>
      <c r="D26" s="25" t="s">
        <v>46</v>
      </c>
      <c r="E26" s="25" t="s">
        <v>47</v>
      </c>
      <c r="F26" s="25" t="s">
        <v>25</v>
      </c>
      <c r="G26" s="49">
        <v>50262</v>
      </c>
      <c r="H26" s="51">
        <v>81</v>
      </c>
      <c r="I26" s="56">
        <v>10</v>
      </c>
      <c r="J26" s="33">
        <v>205</v>
      </c>
      <c r="K26" s="33">
        <v>208</v>
      </c>
      <c r="L26" s="33">
        <v>215</v>
      </c>
      <c r="M26" s="33">
        <v>224</v>
      </c>
      <c r="N26" s="33">
        <v>189.5</v>
      </c>
      <c r="O26" s="33">
        <v>166</v>
      </c>
      <c r="P26" s="33">
        <v>185</v>
      </c>
      <c r="Q26" s="33">
        <v>195</v>
      </c>
      <c r="R26" s="33">
        <v>218</v>
      </c>
      <c r="S26" s="33">
        <v>208</v>
      </c>
      <c r="T26" s="62">
        <v>201.35</v>
      </c>
      <c r="U26" s="60"/>
    </row>
    <row r="27" spans="1:27" ht="15.75" customHeight="1">
      <c r="A27" s="47">
        <v>2</v>
      </c>
      <c r="B27" s="47">
        <v>1</v>
      </c>
      <c r="C27" s="47">
        <v>18</v>
      </c>
      <c r="D27" s="25" t="s">
        <v>46</v>
      </c>
      <c r="E27" s="25" t="s">
        <v>47</v>
      </c>
      <c r="F27" s="25" t="s">
        <v>34</v>
      </c>
      <c r="G27" s="49">
        <v>50542</v>
      </c>
      <c r="H27" s="51">
        <v>109</v>
      </c>
      <c r="I27" s="56">
        <v>7</v>
      </c>
      <c r="J27" s="33">
        <v>162</v>
      </c>
      <c r="K27" s="33">
        <v>122</v>
      </c>
      <c r="L27" s="33">
        <v>179</v>
      </c>
      <c r="M27" s="33">
        <v>160</v>
      </c>
      <c r="N27" s="33">
        <v>60</v>
      </c>
      <c r="O27" s="33">
        <v>116</v>
      </c>
      <c r="P27" s="33">
        <v>97</v>
      </c>
      <c r="Q27" s="36"/>
      <c r="R27" s="36"/>
      <c r="S27" s="36"/>
      <c r="T27" s="62">
        <v>128</v>
      </c>
      <c r="U27" s="60"/>
    </row>
    <row r="28" spans="1:27" ht="15.75" customHeight="1">
      <c r="A28" s="47">
        <v>2</v>
      </c>
      <c r="B28" s="47">
        <v>2</v>
      </c>
      <c r="C28" s="47">
        <v>2</v>
      </c>
      <c r="D28" s="25" t="s">
        <v>62</v>
      </c>
      <c r="E28" s="25" t="s">
        <v>63</v>
      </c>
      <c r="F28" s="25" t="s">
        <v>34</v>
      </c>
      <c r="G28" s="49">
        <v>50752</v>
      </c>
      <c r="H28" s="51">
        <v>89</v>
      </c>
      <c r="I28" s="56">
        <v>4</v>
      </c>
      <c r="J28" s="33">
        <v>10</v>
      </c>
      <c r="K28" s="33">
        <v>10</v>
      </c>
      <c r="L28" s="33">
        <v>6</v>
      </c>
      <c r="M28" s="33">
        <v>11</v>
      </c>
      <c r="N28" s="36"/>
      <c r="O28" s="36"/>
      <c r="P28" s="36"/>
      <c r="Q28" s="36"/>
      <c r="R28" s="36"/>
      <c r="S28" s="36"/>
      <c r="T28" s="62">
        <v>9.25</v>
      </c>
      <c r="U28" s="60"/>
    </row>
    <row r="29" spans="1:27" ht="15.75" customHeight="1">
      <c r="A29" s="82">
        <v>2</v>
      </c>
      <c r="B29" s="82">
        <v>2</v>
      </c>
      <c r="C29" s="82">
        <v>2</v>
      </c>
      <c r="D29" s="84" t="s">
        <v>64</v>
      </c>
      <c r="E29" s="84" t="s">
        <v>65</v>
      </c>
      <c r="F29" s="84" t="s">
        <v>31</v>
      </c>
      <c r="G29" s="86">
        <v>30869</v>
      </c>
      <c r="H29" s="87">
        <v>319</v>
      </c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9" t="s">
        <v>88</v>
      </c>
      <c r="V29" s="90"/>
      <c r="W29" s="90"/>
      <c r="X29" s="90"/>
      <c r="Y29" s="90"/>
      <c r="Z29" s="90"/>
      <c r="AA29" s="90"/>
    </row>
    <row r="30" spans="1:27" ht="15.75" customHeight="1">
      <c r="A30" s="63">
        <v>2</v>
      </c>
      <c r="B30" s="63">
        <v>2</v>
      </c>
      <c r="C30" s="63">
        <v>2</v>
      </c>
      <c r="D30" s="38" t="s">
        <v>62</v>
      </c>
      <c r="E30" s="38" t="s">
        <v>63</v>
      </c>
      <c r="F30" s="38" t="s">
        <v>34</v>
      </c>
      <c r="G30" s="64">
        <v>50719</v>
      </c>
      <c r="H30" s="65">
        <v>25</v>
      </c>
      <c r="I30" s="92"/>
      <c r="J30" s="92"/>
      <c r="K30" s="48"/>
      <c r="L30" s="48"/>
      <c r="M30" s="48"/>
      <c r="N30" s="48"/>
      <c r="O30" s="48"/>
      <c r="P30" s="48"/>
      <c r="Q30" s="48"/>
      <c r="R30" s="48"/>
      <c r="S30" s="48"/>
      <c r="T30" s="92"/>
      <c r="U30" s="67" t="s">
        <v>43</v>
      </c>
    </row>
    <row r="31" spans="1:27" ht="15.75" customHeight="1">
      <c r="A31" s="47">
        <v>2</v>
      </c>
      <c r="B31" s="47">
        <v>2</v>
      </c>
      <c r="C31" s="47">
        <v>2</v>
      </c>
      <c r="D31" s="25" t="s">
        <v>62</v>
      </c>
      <c r="E31" s="25" t="s">
        <v>63</v>
      </c>
      <c r="F31" s="25" t="s">
        <v>25</v>
      </c>
      <c r="G31" s="49">
        <v>50188</v>
      </c>
      <c r="H31" s="51">
        <v>24</v>
      </c>
      <c r="I31" s="56">
        <v>2</v>
      </c>
      <c r="J31" s="33">
        <v>66</v>
      </c>
      <c r="K31" s="33">
        <v>72</v>
      </c>
      <c r="L31" s="36"/>
      <c r="M31" s="36"/>
      <c r="N31" s="36"/>
      <c r="O31" s="36"/>
      <c r="P31" s="36"/>
      <c r="Q31" s="36"/>
      <c r="R31" s="36"/>
      <c r="S31" s="36"/>
      <c r="T31" s="32">
        <v>69</v>
      </c>
      <c r="U31" s="60"/>
    </row>
    <row r="32" spans="1:27" ht="15.75" customHeight="1">
      <c r="A32" s="47">
        <v>2</v>
      </c>
      <c r="B32" s="47">
        <v>2</v>
      </c>
      <c r="C32" s="47">
        <v>3</v>
      </c>
      <c r="D32" s="25" t="s">
        <v>66</v>
      </c>
      <c r="E32" s="25" t="s">
        <v>67</v>
      </c>
      <c r="F32" s="25" t="s">
        <v>68</v>
      </c>
      <c r="G32" s="49">
        <v>50632</v>
      </c>
      <c r="H32" s="51">
        <v>220</v>
      </c>
      <c r="I32" s="56">
        <v>10</v>
      </c>
      <c r="J32" s="33">
        <v>62</v>
      </c>
      <c r="K32" s="33">
        <v>55</v>
      </c>
      <c r="L32" s="33">
        <v>48</v>
      </c>
      <c r="M32" s="33">
        <v>73</v>
      </c>
      <c r="N32" s="33">
        <v>56</v>
      </c>
      <c r="O32" s="33">
        <v>72</v>
      </c>
      <c r="P32" s="33">
        <v>45</v>
      </c>
      <c r="Q32" s="33">
        <v>32</v>
      </c>
      <c r="R32" s="33">
        <v>44</v>
      </c>
      <c r="S32" s="33">
        <v>10</v>
      </c>
      <c r="T32" s="32">
        <v>49.7</v>
      </c>
      <c r="U32" s="60"/>
    </row>
    <row r="33" spans="1:21" ht="15.75" customHeight="1">
      <c r="A33" s="47">
        <v>2</v>
      </c>
      <c r="B33" s="47">
        <v>2</v>
      </c>
      <c r="C33" s="47">
        <v>3</v>
      </c>
      <c r="D33" s="25" t="s">
        <v>66</v>
      </c>
      <c r="E33" s="25" t="s">
        <v>67</v>
      </c>
      <c r="F33" s="25" t="s">
        <v>34</v>
      </c>
      <c r="G33" s="49">
        <v>50558</v>
      </c>
      <c r="H33" s="51">
        <v>227</v>
      </c>
      <c r="I33" s="56">
        <v>9</v>
      </c>
      <c r="J33" s="33" t="s">
        <v>55</v>
      </c>
      <c r="K33" s="33">
        <v>14</v>
      </c>
      <c r="L33" s="33">
        <v>10</v>
      </c>
      <c r="M33" s="33">
        <v>10</v>
      </c>
      <c r="N33" s="33">
        <v>21</v>
      </c>
      <c r="O33" s="33">
        <v>26</v>
      </c>
      <c r="P33" s="33">
        <v>21</v>
      </c>
      <c r="Q33" s="33">
        <v>32</v>
      </c>
      <c r="R33" s="33">
        <v>41</v>
      </c>
      <c r="S33" s="33">
        <v>64</v>
      </c>
      <c r="T33" s="62">
        <v>26.56</v>
      </c>
      <c r="U33" s="60"/>
    </row>
    <row r="34" spans="1:21" ht="15.75" customHeight="1">
      <c r="A34" s="47">
        <v>2</v>
      </c>
      <c r="B34" s="47">
        <v>2</v>
      </c>
      <c r="C34" s="47">
        <v>4</v>
      </c>
      <c r="D34" s="25" t="s">
        <v>69</v>
      </c>
      <c r="E34" s="25" t="s">
        <v>70</v>
      </c>
      <c r="F34" s="25" t="s">
        <v>25</v>
      </c>
      <c r="G34" s="49">
        <v>50754</v>
      </c>
      <c r="H34" s="51">
        <v>205</v>
      </c>
      <c r="I34" s="56">
        <v>10</v>
      </c>
      <c r="J34" s="33">
        <v>128</v>
      </c>
      <c r="K34" s="33">
        <v>107</v>
      </c>
      <c r="L34" s="33">
        <v>135</v>
      </c>
      <c r="M34" s="33">
        <v>176</v>
      </c>
      <c r="N34" s="33">
        <v>196</v>
      </c>
      <c r="O34" s="33">
        <v>151</v>
      </c>
      <c r="P34" s="33">
        <v>163</v>
      </c>
      <c r="Q34" s="33">
        <v>149</v>
      </c>
      <c r="R34" s="33">
        <v>102</v>
      </c>
      <c r="S34" s="33">
        <v>89</v>
      </c>
      <c r="T34" s="62">
        <v>139.6</v>
      </c>
      <c r="U34" s="60"/>
    </row>
    <row r="35" spans="1:21" ht="15.75" customHeight="1">
      <c r="A35" s="47">
        <v>2</v>
      </c>
      <c r="B35" s="47">
        <v>2</v>
      </c>
      <c r="C35" s="47">
        <v>4</v>
      </c>
      <c r="D35" s="25" t="s">
        <v>69</v>
      </c>
      <c r="E35" s="25" t="s">
        <v>70</v>
      </c>
      <c r="F35" s="25" t="s">
        <v>68</v>
      </c>
      <c r="G35" s="49">
        <v>50820</v>
      </c>
      <c r="H35" s="51">
        <v>9</v>
      </c>
      <c r="I35" s="56">
        <v>1</v>
      </c>
      <c r="J35" s="33">
        <v>80</v>
      </c>
      <c r="K35" s="36"/>
      <c r="L35" s="36"/>
      <c r="M35" s="36"/>
      <c r="N35" s="36"/>
      <c r="O35" s="36"/>
      <c r="P35" s="36"/>
      <c r="Q35" s="36"/>
      <c r="R35" s="36"/>
      <c r="S35" s="36"/>
      <c r="T35" s="62">
        <v>80</v>
      </c>
      <c r="U35" s="60"/>
    </row>
    <row r="36" spans="1:21" ht="15.75" customHeight="1">
      <c r="A36" s="47">
        <v>2</v>
      </c>
      <c r="B36" s="47">
        <v>2</v>
      </c>
      <c r="C36" s="47">
        <v>5</v>
      </c>
      <c r="D36" s="25" t="s">
        <v>60</v>
      </c>
      <c r="E36" s="25" t="s">
        <v>71</v>
      </c>
      <c r="F36" s="25" t="s">
        <v>31</v>
      </c>
      <c r="G36" s="49">
        <v>50764</v>
      </c>
      <c r="H36" s="51">
        <v>175</v>
      </c>
      <c r="I36" s="56">
        <v>10</v>
      </c>
      <c r="J36" s="33">
        <v>124</v>
      </c>
      <c r="K36" s="33">
        <v>62</v>
      </c>
      <c r="L36" s="33">
        <v>191</v>
      </c>
      <c r="M36" s="33">
        <v>92</v>
      </c>
      <c r="N36" s="33">
        <v>112</v>
      </c>
      <c r="O36" s="33">
        <v>120</v>
      </c>
      <c r="P36" s="33">
        <v>185</v>
      </c>
      <c r="Q36" s="33">
        <v>132</v>
      </c>
      <c r="R36" s="33">
        <v>188</v>
      </c>
      <c r="S36" s="33">
        <v>153</v>
      </c>
      <c r="T36" s="62">
        <v>135.9</v>
      </c>
      <c r="U36" s="60"/>
    </row>
    <row r="37" spans="1:21" ht="15.75" customHeight="1">
      <c r="A37" s="47">
        <v>2</v>
      </c>
      <c r="B37" s="47">
        <v>2</v>
      </c>
      <c r="C37" s="47">
        <v>8</v>
      </c>
      <c r="D37" s="25" t="s">
        <v>72</v>
      </c>
      <c r="E37" s="25" t="s">
        <v>73</v>
      </c>
      <c r="F37" s="25" t="s">
        <v>34</v>
      </c>
      <c r="G37" s="49">
        <v>50426</v>
      </c>
      <c r="H37" s="51">
        <v>320</v>
      </c>
      <c r="I37" s="56">
        <v>10</v>
      </c>
      <c r="J37" s="33">
        <v>17</v>
      </c>
      <c r="K37" s="33">
        <v>14</v>
      </c>
      <c r="L37" s="33">
        <v>21</v>
      </c>
      <c r="M37" s="33">
        <v>15</v>
      </c>
      <c r="N37" s="33">
        <v>17</v>
      </c>
      <c r="O37" s="33">
        <v>11</v>
      </c>
      <c r="P37" s="33">
        <v>13.5</v>
      </c>
      <c r="Q37" s="33">
        <v>24.3</v>
      </c>
      <c r="R37" s="33">
        <v>36</v>
      </c>
      <c r="S37" s="33">
        <v>69</v>
      </c>
      <c r="T37" s="62">
        <v>23.78</v>
      </c>
      <c r="U37" s="60"/>
    </row>
    <row r="38" spans="1:21" ht="15.75" customHeight="1">
      <c r="A38" s="47">
        <v>2</v>
      </c>
      <c r="B38" s="47">
        <v>2</v>
      </c>
      <c r="C38" s="47">
        <v>8</v>
      </c>
      <c r="D38" s="25" t="s">
        <v>72</v>
      </c>
      <c r="E38" s="25" t="s">
        <v>73</v>
      </c>
      <c r="F38" s="25" t="s">
        <v>34</v>
      </c>
      <c r="G38" s="49">
        <v>50760</v>
      </c>
      <c r="H38" s="51">
        <v>140</v>
      </c>
      <c r="I38" s="56">
        <v>8</v>
      </c>
      <c r="J38" s="33">
        <v>50</v>
      </c>
      <c r="K38" s="33">
        <v>53</v>
      </c>
      <c r="L38" s="33">
        <v>51</v>
      </c>
      <c r="M38" s="33">
        <v>37</v>
      </c>
      <c r="N38" s="33">
        <v>60</v>
      </c>
      <c r="O38" s="33">
        <v>33</v>
      </c>
      <c r="P38" s="33">
        <v>42</v>
      </c>
      <c r="Q38" s="33">
        <v>50</v>
      </c>
      <c r="R38" s="36"/>
      <c r="S38" s="36"/>
      <c r="T38" s="62">
        <v>47</v>
      </c>
      <c r="U38" s="60"/>
    </row>
    <row r="39" spans="1:21" ht="15.75" customHeight="1">
      <c r="A39" s="47">
        <v>2</v>
      </c>
      <c r="B39" s="47">
        <v>2</v>
      </c>
      <c r="C39" s="47">
        <v>9</v>
      </c>
      <c r="D39" s="25" t="s">
        <v>60</v>
      </c>
      <c r="E39" s="25" t="s">
        <v>71</v>
      </c>
      <c r="F39" s="25" t="s">
        <v>31</v>
      </c>
      <c r="G39" s="49">
        <v>50764</v>
      </c>
      <c r="H39" s="51">
        <v>48</v>
      </c>
      <c r="I39" s="56">
        <v>3</v>
      </c>
      <c r="J39" s="33">
        <v>163</v>
      </c>
      <c r="K39" s="33">
        <v>195</v>
      </c>
      <c r="L39" s="33">
        <v>173</v>
      </c>
      <c r="M39" s="36"/>
      <c r="N39" s="36"/>
      <c r="O39" s="36"/>
      <c r="P39" s="36"/>
      <c r="Q39" s="36"/>
      <c r="R39" s="36"/>
      <c r="S39" s="36"/>
      <c r="T39" s="62">
        <v>177</v>
      </c>
      <c r="U39" s="60"/>
    </row>
    <row r="40" spans="1:21" ht="15.75" customHeight="1">
      <c r="A40" s="47">
        <v>2</v>
      </c>
      <c r="B40" s="47">
        <v>2</v>
      </c>
      <c r="C40" s="47">
        <v>11</v>
      </c>
      <c r="D40" s="25" t="s">
        <v>74</v>
      </c>
      <c r="E40" s="25" t="s">
        <v>75</v>
      </c>
      <c r="F40" s="25" t="s">
        <v>25</v>
      </c>
      <c r="G40" s="49">
        <v>50736</v>
      </c>
      <c r="H40" s="51">
        <v>354</v>
      </c>
      <c r="I40" s="56">
        <v>10</v>
      </c>
      <c r="J40" s="33">
        <v>82</v>
      </c>
      <c r="K40" s="33">
        <v>39</v>
      </c>
      <c r="L40" s="33">
        <v>95</v>
      </c>
      <c r="M40" s="33">
        <v>112</v>
      </c>
      <c r="N40" s="33">
        <v>104</v>
      </c>
      <c r="O40" s="33">
        <v>136</v>
      </c>
      <c r="P40" s="33">
        <v>155</v>
      </c>
      <c r="Q40" s="33">
        <v>152</v>
      </c>
      <c r="R40" s="33">
        <v>168</v>
      </c>
      <c r="S40" s="33">
        <v>113</v>
      </c>
      <c r="T40" s="62">
        <v>115.6</v>
      </c>
      <c r="U40" s="60"/>
    </row>
    <row r="41" spans="1:21" ht="15.75" customHeight="1">
      <c r="A41" s="47">
        <v>2</v>
      </c>
      <c r="B41" s="47">
        <v>2</v>
      </c>
      <c r="C41" s="47">
        <v>11</v>
      </c>
      <c r="D41" s="25" t="s">
        <v>74</v>
      </c>
      <c r="E41" s="25" t="s">
        <v>75</v>
      </c>
      <c r="F41" s="25" t="s">
        <v>34</v>
      </c>
      <c r="G41" s="49">
        <v>50505</v>
      </c>
      <c r="H41" s="51">
        <v>15</v>
      </c>
      <c r="I41" s="56">
        <v>1</v>
      </c>
      <c r="J41" s="33">
        <v>52</v>
      </c>
      <c r="K41" s="36"/>
      <c r="L41" s="36"/>
      <c r="M41" s="36"/>
      <c r="N41" s="36"/>
      <c r="O41" s="36"/>
      <c r="P41" s="36"/>
      <c r="Q41" s="36"/>
      <c r="R41" s="36"/>
      <c r="S41" s="36"/>
      <c r="T41" s="62">
        <v>52</v>
      </c>
      <c r="U41" s="60"/>
    </row>
    <row r="42" spans="1:21" ht="15.75" customHeight="1">
      <c r="A42" s="47">
        <v>2</v>
      </c>
      <c r="B42" s="47">
        <v>2</v>
      </c>
      <c r="C42" s="47">
        <v>13</v>
      </c>
      <c r="D42" s="25" t="s">
        <v>60</v>
      </c>
      <c r="E42" s="25" t="s">
        <v>61</v>
      </c>
      <c r="F42" s="25" t="s">
        <v>25</v>
      </c>
      <c r="G42" s="49">
        <v>50749</v>
      </c>
      <c r="H42" s="51">
        <v>200</v>
      </c>
      <c r="I42" s="56">
        <v>8</v>
      </c>
      <c r="J42" s="33">
        <v>156</v>
      </c>
      <c r="K42" s="33">
        <v>144</v>
      </c>
      <c r="L42" s="33">
        <v>155</v>
      </c>
      <c r="M42" s="33">
        <v>156</v>
      </c>
      <c r="N42" s="33">
        <v>209</v>
      </c>
      <c r="O42" s="33">
        <v>185</v>
      </c>
      <c r="P42" s="33">
        <v>200</v>
      </c>
      <c r="Q42" s="33">
        <v>112</v>
      </c>
      <c r="R42" s="36"/>
      <c r="S42" s="36"/>
      <c r="T42" s="62">
        <v>164.63</v>
      </c>
      <c r="U42" s="60"/>
    </row>
    <row r="43" spans="1:21" ht="15.75" customHeight="1">
      <c r="A43" s="47">
        <v>2</v>
      </c>
      <c r="B43" s="47">
        <v>2</v>
      </c>
      <c r="C43" s="47">
        <v>13</v>
      </c>
      <c r="D43" s="25" t="s">
        <v>76</v>
      </c>
      <c r="E43" s="25" t="s">
        <v>77</v>
      </c>
      <c r="F43" s="25" t="s">
        <v>25</v>
      </c>
      <c r="G43" s="49">
        <v>50748</v>
      </c>
      <c r="H43" s="51">
        <v>296</v>
      </c>
      <c r="I43" s="56">
        <v>8</v>
      </c>
      <c r="J43" s="33">
        <v>80</v>
      </c>
      <c r="K43" s="33">
        <v>108</v>
      </c>
      <c r="L43" s="33">
        <v>82</v>
      </c>
      <c r="M43" s="33">
        <v>81</v>
      </c>
      <c r="N43" s="33">
        <v>107</v>
      </c>
      <c r="O43" s="33">
        <v>17</v>
      </c>
      <c r="P43" s="33">
        <v>163</v>
      </c>
      <c r="Q43" s="33">
        <v>65</v>
      </c>
      <c r="R43" s="36"/>
      <c r="S43" s="36"/>
      <c r="T43" s="62">
        <v>87.88</v>
      </c>
      <c r="U43" s="60"/>
    </row>
    <row r="44" spans="1:21" ht="15.75" customHeight="1">
      <c r="A44" s="47">
        <v>2</v>
      </c>
      <c r="B44" s="47">
        <v>2</v>
      </c>
      <c r="C44" s="47">
        <v>18</v>
      </c>
      <c r="D44" s="25" t="s">
        <v>72</v>
      </c>
      <c r="E44" s="25" t="s">
        <v>73</v>
      </c>
      <c r="F44" s="25" t="s">
        <v>25</v>
      </c>
      <c r="G44" s="49">
        <v>50706</v>
      </c>
      <c r="H44" s="51">
        <v>71</v>
      </c>
      <c r="I44" s="56">
        <v>3</v>
      </c>
      <c r="J44" s="33">
        <v>26</v>
      </c>
      <c r="K44" s="33">
        <v>17</v>
      </c>
      <c r="L44" s="33">
        <v>30</v>
      </c>
      <c r="M44" s="36"/>
      <c r="N44" s="36"/>
      <c r="O44" s="36"/>
      <c r="P44" s="36"/>
      <c r="Q44" s="36"/>
      <c r="R44" s="36"/>
      <c r="S44" s="36"/>
      <c r="T44" s="62">
        <v>24.33</v>
      </c>
      <c r="U44" s="60"/>
    </row>
    <row r="45" spans="1:21" ht="15.75" customHeight="1">
      <c r="A45" s="47">
        <v>2</v>
      </c>
      <c r="B45" s="47">
        <v>3</v>
      </c>
      <c r="C45" s="47">
        <v>1</v>
      </c>
      <c r="D45" s="25" t="s">
        <v>78</v>
      </c>
      <c r="E45" s="25" t="s">
        <v>79</v>
      </c>
      <c r="F45" s="25" t="s">
        <v>31</v>
      </c>
      <c r="G45" s="49">
        <v>50801</v>
      </c>
      <c r="H45" s="51">
        <v>371</v>
      </c>
      <c r="I45" s="56">
        <v>10</v>
      </c>
      <c r="J45" s="33">
        <v>73</v>
      </c>
      <c r="K45" s="33">
        <v>83</v>
      </c>
      <c r="L45" s="33">
        <v>91</v>
      </c>
      <c r="M45" s="33">
        <v>72</v>
      </c>
      <c r="N45" s="33">
        <v>91</v>
      </c>
      <c r="O45" s="33">
        <v>92</v>
      </c>
      <c r="P45" s="33">
        <v>100</v>
      </c>
      <c r="Q45" s="33">
        <v>110</v>
      </c>
      <c r="R45" s="33">
        <v>101</v>
      </c>
      <c r="S45" s="33">
        <v>53</v>
      </c>
      <c r="T45" s="62">
        <v>86.6</v>
      </c>
      <c r="U45" s="60"/>
    </row>
    <row r="46" spans="1:21" ht="15.75" customHeight="1">
      <c r="A46" s="47">
        <v>2</v>
      </c>
      <c r="B46" s="47">
        <v>3</v>
      </c>
      <c r="C46" s="47">
        <v>1</v>
      </c>
      <c r="D46" s="25" t="s">
        <v>78</v>
      </c>
      <c r="E46" s="25" t="s">
        <v>79</v>
      </c>
      <c r="F46" s="25" t="s">
        <v>68</v>
      </c>
      <c r="G46" s="49">
        <v>50814</v>
      </c>
      <c r="H46" s="51">
        <v>218</v>
      </c>
      <c r="I46" s="56">
        <v>8</v>
      </c>
      <c r="J46" s="33">
        <v>91</v>
      </c>
      <c r="K46" s="33">
        <v>125.5</v>
      </c>
      <c r="L46" s="33">
        <v>112</v>
      </c>
      <c r="M46" s="33">
        <v>113</v>
      </c>
      <c r="N46" s="33">
        <v>117</v>
      </c>
      <c r="O46" s="33">
        <v>101</v>
      </c>
      <c r="P46" s="33">
        <v>87</v>
      </c>
      <c r="Q46" s="33">
        <v>69</v>
      </c>
      <c r="R46" s="36"/>
      <c r="S46" s="36"/>
      <c r="T46" s="62">
        <v>101.94</v>
      </c>
      <c r="U46" s="60"/>
    </row>
    <row r="47" spans="1:21" ht="15.75" customHeight="1">
      <c r="A47" s="47">
        <v>2</v>
      </c>
      <c r="B47" s="47">
        <v>3</v>
      </c>
      <c r="C47" s="47">
        <v>1</v>
      </c>
      <c r="D47" s="25" t="s">
        <v>78</v>
      </c>
      <c r="E47" s="25" t="s">
        <v>79</v>
      </c>
      <c r="F47" s="25" t="s">
        <v>25</v>
      </c>
      <c r="G47" s="49">
        <v>50741</v>
      </c>
      <c r="H47" s="51">
        <v>55</v>
      </c>
      <c r="I47" s="56">
        <v>3</v>
      </c>
      <c r="J47" s="33">
        <v>120</v>
      </c>
      <c r="K47" s="33">
        <v>75</v>
      </c>
      <c r="L47" s="33">
        <v>102</v>
      </c>
      <c r="M47" s="36"/>
      <c r="N47" s="36"/>
      <c r="O47" s="36"/>
      <c r="P47" s="36"/>
      <c r="Q47" s="36"/>
      <c r="R47" s="36"/>
      <c r="S47" s="36"/>
      <c r="T47" s="62">
        <v>99</v>
      </c>
      <c r="U47" s="60"/>
    </row>
    <row r="48" spans="1:21" ht="15.75" customHeight="1">
      <c r="A48" s="47">
        <v>2</v>
      </c>
      <c r="B48" s="47">
        <v>3</v>
      </c>
      <c r="C48" s="47">
        <v>1</v>
      </c>
      <c r="D48" s="25" t="s">
        <v>78</v>
      </c>
      <c r="E48" s="25" t="s">
        <v>79</v>
      </c>
      <c r="F48" s="25" t="s">
        <v>31</v>
      </c>
      <c r="G48" s="49">
        <v>50791</v>
      </c>
      <c r="H48" s="51">
        <v>49</v>
      </c>
      <c r="I48" s="56">
        <v>2</v>
      </c>
      <c r="J48" s="33">
        <v>63</v>
      </c>
      <c r="K48" s="33">
        <v>46</v>
      </c>
      <c r="L48" s="36"/>
      <c r="M48" s="36"/>
      <c r="N48" s="36"/>
      <c r="O48" s="36"/>
      <c r="P48" s="36"/>
      <c r="Q48" s="36"/>
      <c r="R48" s="36"/>
      <c r="S48" s="36"/>
      <c r="T48" s="62">
        <v>54.5</v>
      </c>
      <c r="U48" s="60"/>
    </row>
    <row r="49" spans="1:22" ht="15.75" customHeight="1">
      <c r="A49" s="47">
        <v>2</v>
      </c>
      <c r="B49" s="47">
        <v>3</v>
      </c>
      <c r="C49" s="47">
        <v>1</v>
      </c>
      <c r="D49" s="25" t="s">
        <v>78</v>
      </c>
      <c r="E49" s="25" t="s">
        <v>79</v>
      </c>
      <c r="F49" s="25" t="s">
        <v>34</v>
      </c>
      <c r="G49" s="49">
        <v>50850</v>
      </c>
      <c r="H49" s="51">
        <v>46</v>
      </c>
      <c r="I49" s="56">
        <v>2</v>
      </c>
      <c r="J49" s="33">
        <v>114</v>
      </c>
      <c r="K49" s="33">
        <v>99</v>
      </c>
      <c r="L49" s="36"/>
      <c r="M49" s="36"/>
      <c r="N49" s="36"/>
      <c r="O49" s="36"/>
      <c r="P49" s="36"/>
      <c r="Q49" s="36"/>
      <c r="R49" s="36"/>
      <c r="S49" s="36"/>
      <c r="T49" s="62">
        <v>106.5</v>
      </c>
      <c r="U49" s="60"/>
    </row>
    <row r="50" spans="1:22" ht="15.75" customHeight="1">
      <c r="A50" s="47">
        <v>2</v>
      </c>
      <c r="B50" s="47">
        <v>3</v>
      </c>
      <c r="C50" s="47">
        <v>2</v>
      </c>
      <c r="D50" s="25" t="s">
        <v>81</v>
      </c>
      <c r="E50" s="25" t="s">
        <v>82</v>
      </c>
      <c r="F50" s="25" t="s">
        <v>25</v>
      </c>
      <c r="G50" s="49">
        <v>50723</v>
      </c>
      <c r="H50" s="51">
        <v>44</v>
      </c>
      <c r="I50" s="56">
        <v>2</v>
      </c>
      <c r="J50" s="33">
        <v>47</v>
      </c>
      <c r="K50" s="33">
        <v>23</v>
      </c>
      <c r="L50" s="36"/>
      <c r="M50" s="36"/>
      <c r="N50" s="36"/>
      <c r="O50" s="36"/>
      <c r="P50" s="36"/>
      <c r="Q50" s="36"/>
      <c r="R50" s="36"/>
      <c r="S50" s="36"/>
      <c r="T50" s="62">
        <v>35</v>
      </c>
      <c r="U50" s="60"/>
    </row>
    <row r="51" spans="1:22" ht="15.75" customHeight="1">
      <c r="A51" s="47">
        <v>2</v>
      </c>
      <c r="B51" s="47">
        <v>3</v>
      </c>
      <c r="C51" s="47">
        <v>2</v>
      </c>
      <c r="D51" s="25" t="s">
        <v>81</v>
      </c>
      <c r="E51" s="25" t="s">
        <v>82</v>
      </c>
      <c r="F51" s="25" t="s">
        <v>34</v>
      </c>
      <c r="G51" s="49">
        <v>50518</v>
      </c>
      <c r="H51" s="51">
        <v>61</v>
      </c>
      <c r="I51" s="56">
        <v>3</v>
      </c>
      <c r="J51" s="33">
        <v>32</v>
      </c>
      <c r="K51" s="33">
        <v>58</v>
      </c>
      <c r="L51" s="33">
        <v>58</v>
      </c>
      <c r="M51" s="36"/>
      <c r="N51" s="36"/>
      <c r="O51" s="36"/>
      <c r="P51" s="36"/>
      <c r="Q51" s="36"/>
      <c r="R51" s="36"/>
      <c r="S51" s="36"/>
      <c r="T51" s="62">
        <v>49.33</v>
      </c>
      <c r="U51" s="60"/>
    </row>
    <row r="52" spans="1:22" ht="15.75" customHeight="1">
      <c r="A52" s="33">
        <v>2</v>
      </c>
      <c r="B52" s="47">
        <v>3</v>
      </c>
      <c r="C52" s="47">
        <v>2</v>
      </c>
      <c r="D52" s="25" t="s">
        <v>85</v>
      </c>
      <c r="E52" s="25" t="s">
        <v>86</v>
      </c>
      <c r="F52" s="25" t="s">
        <v>68</v>
      </c>
      <c r="G52" s="49">
        <v>50832</v>
      </c>
      <c r="H52" s="51">
        <v>251</v>
      </c>
      <c r="I52" s="56">
        <v>10</v>
      </c>
      <c r="J52" s="33">
        <v>54</v>
      </c>
      <c r="K52" s="33">
        <v>40.5</v>
      </c>
      <c r="L52" s="33">
        <v>49.5</v>
      </c>
      <c r="M52" s="33">
        <v>50.5</v>
      </c>
      <c r="N52" s="33">
        <v>50</v>
      </c>
      <c r="O52" s="33">
        <v>55</v>
      </c>
      <c r="P52" s="33">
        <v>54</v>
      </c>
      <c r="Q52" s="33">
        <v>61</v>
      </c>
      <c r="R52" s="33">
        <v>56</v>
      </c>
      <c r="S52" s="33">
        <v>52</v>
      </c>
      <c r="T52" s="62">
        <v>52.25</v>
      </c>
      <c r="U52" s="60"/>
    </row>
    <row r="53" spans="1:22" ht="15.75" customHeight="1">
      <c r="A53" s="47">
        <v>2</v>
      </c>
      <c r="B53" s="47">
        <v>3</v>
      </c>
      <c r="C53" s="47">
        <v>2</v>
      </c>
      <c r="D53" s="25" t="s">
        <v>81</v>
      </c>
      <c r="E53" s="25" t="s">
        <v>82</v>
      </c>
      <c r="F53" s="25" t="s">
        <v>34</v>
      </c>
      <c r="G53" s="49">
        <v>50628</v>
      </c>
      <c r="H53" s="51">
        <v>28</v>
      </c>
      <c r="I53" s="56">
        <v>1</v>
      </c>
      <c r="J53" s="33">
        <v>42</v>
      </c>
      <c r="K53" s="36"/>
      <c r="L53" s="36"/>
      <c r="M53" s="36"/>
      <c r="N53" s="36"/>
      <c r="O53" s="36"/>
      <c r="P53" s="36"/>
      <c r="Q53" s="36"/>
      <c r="R53" s="36"/>
      <c r="S53" s="36"/>
      <c r="T53" s="62">
        <v>42</v>
      </c>
      <c r="U53" s="60"/>
    </row>
    <row r="54" spans="1:22" ht="15.75" customHeight="1">
      <c r="A54" s="47">
        <v>2</v>
      </c>
      <c r="B54" s="47">
        <v>3</v>
      </c>
      <c r="C54" s="47">
        <v>2</v>
      </c>
      <c r="D54" s="25" t="s">
        <v>81</v>
      </c>
      <c r="E54" s="25" t="s">
        <v>82</v>
      </c>
      <c r="F54" s="25" t="s">
        <v>34</v>
      </c>
      <c r="G54" s="49">
        <v>50520</v>
      </c>
      <c r="H54" s="51">
        <v>142</v>
      </c>
      <c r="I54" s="56">
        <v>6</v>
      </c>
      <c r="J54" s="33">
        <v>21</v>
      </c>
      <c r="K54" s="33">
        <v>34</v>
      </c>
      <c r="L54" s="33">
        <v>39</v>
      </c>
      <c r="M54" s="33">
        <v>30</v>
      </c>
      <c r="N54" s="33">
        <v>45</v>
      </c>
      <c r="O54" s="33">
        <v>43</v>
      </c>
      <c r="P54" s="36"/>
      <c r="Q54" s="36"/>
      <c r="R54" s="36"/>
      <c r="S54" s="36"/>
      <c r="T54" s="62">
        <v>35.33</v>
      </c>
      <c r="U54" s="60"/>
    </row>
    <row r="55" spans="1:22" ht="15.75" customHeight="1">
      <c r="A55" s="71">
        <v>2</v>
      </c>
      <c r="B55" s="71">
        <v>3</v>
      </c>
      <c r="C55" s="71">
        <v>2</v>
      </c>
      <c r="D55" s="53" t="s">
        <v>81</v>
      </c>
      <c r="E55" s="53" t="s">
        <v>82</v>
      </c>
      <c r="F55" s="53" t="s">
        <v>34</v>
      </c>
      <c r="G55" s="73">
        <v>50483</v>
      </c>
      <c r="H55" s="74">
        <v>3</v>
      </c>
      <c r="I55" s="94"/>
      <c r="J55" s="53" t="s">
        <v>55</v>
      </c>
      <c r="K55" s="59"/>
      <c r="L55" s="59"/>
      <c r="M55" s="59"/>
      <c r="N55" s="59"/>
      <c r="O55" s="59"/>
      <c r="P55" s="59"/>
      <c r="Q55" s="59"/>
      <c r="R55" s="59"/>
      <c r="S55" s="59"/>
      <c r="T55" s="98"/>
      <c r="U55" s="79" t="s">
        <v>55</v>
      </c>
    </row>
    <row r="56" spans="1:22" ht="15.75" customHeight="1">
      <c r="A56" s="77">
        <v>2</v>
      </c>
      <c r="B56" s="77">
        <v>3</v>
      </c>
      <c r="C56" s="77">
        <v>3</v>
      </c>
      <c r="D56" s="70" t="s">
        <v>72</v>
      </c>
      <c r="E56" s="70" t="s">
        <v>73</v>
      </c>
      <c r="F56" s="70" t="s">
        <v>68</v>
      </c>
      <c r="G56" s="99">
        <v>50618</v>
      </c>
      <c r="H56" s="100">
        <v>96</v>
      </c>
      <c r="I56" s="56">
        <v>6</v>
      </c>
      <c r="J56" s="70">
        <v>17.5</v>
      </c>
      <c r="K56" s="70">
        <v>20.5</v>
      </c>
      <c r="L56" s="70">
        <v>18</v>
      </c>
      <c r="M56" s="70">
        <v>10</v>
      </c>
      <c r="N56" s="70">
        <v>15</v>
      </c>
      <c r="O56" s="70">
        <v>12</v>
      </c>
      <c r="P56" s="81"/>
      <c r="Q56" s="81"/>
      <c r="R56" s="81"/>
      <c r="S56" s="81"/>
      <c r="T56" s="102">
        <v>15.5</v>
      </c>
      <c r="U56" s="103" t="s">
        <v>87</v>
      </c>
    </row>
    <row r="57" spans="1:22" ht="15.75" customHeight="1">
      <c r="A57" s="47">
        <v>2</v>
      </c>
      <c r="B57" s="47">
        <v>3</v>
      </c>
      <c r="C57" s="47">
        <v>4</v>
      </c>
      <c r="D57" s="25" t="s">
        <v>72</v>
      </c>
      <c r="E57" s="25" t="s">
        <v>73</v>
      </c>
      <c r="F57" s="25" t="s">
        <v>31</v>
      </c>
      <c r="G57" s="49">
        <v>50803</v>
      </c>
      <c r="H57" s="51">
        <v>486</v>
      </c>
      <c r="I57" s="56">
        <v>8</v>
      </c>
      <c r="J57" s="33">
        <v>22.5</v>
      </c>
      <c r="K57" s="33">
        <v>45</v>
      </c>
      <c r="L57" s="33">
        <v>34</v>
      </c>
      <c r="M57" s="33">
        <v>13</v>
      </c>
      <c r="N57" s="33">
        <v>24</v>
      </c>
      <c r="O57" s="33">
        <v>32</v>
      </c>
      <c r="P57" s="33">
        <v>48.5</v>
      </c>
      <c r="Q57" s="33">
        <v>26.5</v>
      </c>
      <c r="R57" s="36"/>
      <c r="S57" s="36"/>
      <c r="T57" s="62">
        <v>30.69</v>
      </c>
      <c r="U57" s="60"/>
    </row>
    <row r="58" spans="1:22" ht="15.75" customHeight="1">
      <c r="A58" s="77">
        <v>2</v>
      </c>
      <c r="B58" s="77">
        <v>3</v>
      </c>
      <c r="C58" s="77">
        <v>4</v>
      </c>
      <c r="D58" s="70" t="s">
        <v>72</v>
      </c>
      <c r="E58" s="70" t="s">
        <v>73</v>
      </c>
      <c r="F58" s="70" t="s">
        <v>68</v>
      </c>
      <c r="G58" s="99">
        <v>50618</v>
      </c>
      <c r="H58" s="100">
        <v>49</v>
      </c>
      <c r="I58" s="10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109"/>
      <c r="U58" s="103" t="s">
        <v>87</v>
      </c>
      <c r="V58" s="91"/>
    </row>
    <row r="59" spans="1:22" ht="15.75" customHeight="1">
      <c r="A59" s="47">
        <v>2</v>
      </c>
      <c r="B59" s="47">
        <v>3</v>
      </c>
      <c r="C59" s="47">
        <v>5</v>
      </c>
      <c r="D59" s="25" t="s">
        <v>89</v>
      </c>
      <c r="E59" s="25" t="s">
        <v>90</v>
      </c>
      <c r="F59" s="25" t="s">
        <v>34</v>
      </c>
      <c r="G59" s="49">
        <v>50854</v>
      </c>
      <c r="H59" s="51">
        <v>179</v>
      </c>
      <c r="I59" s="56">
        <v>8</v>
      </c>
      <c r="J59" s="33">
        <v>25</v>
      </c>
      <c r="K59" s="33">
        <v>16</v>
      </c>
      <c r="L59" s="33">
        <v>34</v>
      </c>
      <c r="M59" s="33">
        <v>37</v>
      </c>
      <c r="N59" s="33">
        <v>52</v>
      </c>
      <c r="O59" s="33">
        <v>26</v>
      </c>
      <c r="P59" s="33">
        <v>20</v>
      </c>
      <c r="Q59" s="33">
        <v>24</v>
      </c>
      <c r="R59" s="36"/>
      <c r="S59" s="36"/>
      <c r="T59" s="62">
        <v>29.25</v>
      </c>
      <c r="U59" s="60"/>
    </row>
    <row r="60" spans="1:22" ht="15.75" customHeight="1">
      <c r="A60" s="47">
        <v>2</v>
      </c>
      <c r="B60" s="47">
        <v>3</v>
      </c>
      <c r="C60" s="47">
        <v>5</v>
      </c>
      <c r="D60" s="25" t="s">
        <v>89</v>
      </c>
      <c r="E60" s="25" t="s">
        <v>90</v>
      </c>
      <c r="F60" s="25" t="s">
        <v>25</v>
      </c>
      <c r="G60" s="49">
        <v>50846</v>
      </c>
      <c r="H60" s="51">
        <v>114</v>
      </c>
      <c r="I60" s="56">
        <v>6</v>
      </c>
      <c r="J60" s="33">
        <v>72</v>
      </c>
      <c r="K60" s="33">
        <v>50</v>
      </c>
      <c r="L60" s="33">
        <v>62</v>
      </c>
      <c r="M60" s="33">
        <v>41</v>
      </c>
      <c r="N60" s="33">
        <v>28</v>
      </c>
      <c r="O60" s="33">
        <v>28</v>
      </c>
      <c r="P60" s="36"/>
      <c r="Q60" s="36"/>
      <c r="R60" s="36"/>
      <c r="S60" s="36"/>
      <c r="T60" s="62">
        <v>46.83</v>
      </c>
      <c r="U60" s="60"/>
    </row>
    <row r="61" spans="1:22" ht="15.75" customHeight="1">
      <c r="A61" s="47">
        <v>2</v>
      </c>
      <c r="B61" s="47">
        <v>3</v>
      </c>
      <c r="C61" s="47">
        <v>6</v>
      </c>
      <c r="D61" s="25" t="s">
        <v>58</v>
      </c>
      <c r="E61" s="25" t="s">
        <v>59</v>
      </c>
      <c r="F61" s="25" t="s">
        <v>68</v>
      </c>
      <c r="G61" s="49">
        <v>50816</v>
      </c>
      <c r="H61" s="51">
        <v>983</v>
      </c>
      <c r="I61" s="56">
        <v>10</v>
      </c>
      <c r="J61" s="33">
        <v>23</v>
      </c>
      <c r="K61" s="33">
        <v>21</v>
      </c>
      <c r="L61" s="33">
        <v>62</v>
      </c>
      <c r="M61" s="33">
        <v>75</v>
      </c>
      <c r="N61" s="33">
        <v>94</v>
      </c>
      <c r="O61" s="33">
        <v>110</v>
      </c>
      <c r="P61" s="33">
        <v>120</v>
      </c>
      <c r="Q61" s="33">
        <v>122</v>
      </c>
      <c r="R61" s="33">
        <v>51</v>
      </c>
      <c r="S61" s="33">
        <v>137</v>
      </c>
      <c r="T61" s="62">
        <v>81.5</v>
      </c>
      <c r="U61" s="60"/>
    </row>
    <row r="62" spans="1:22" ht="15.75" customHeight="1">
      <c r="A62" s="47">
        <v>2</v>
      </c>
      <c r="B62" s="47">
        <v>3</v>
      </c>
      <c r="C62" s="47">
        <v>6</v>
      </c>
      <c r="D62" s="25" t="s">
        <v>58</v>
      </c>
      <c r="E62" s="25" t="s">
        <v>59</v>
      </c>
      <c r="F62" s="25" t="s">
        <v>34</v>
      </c>
      <c r="G62" s="49">
        <v>50773</v>
      </c>
      <c r="H62" s="51">
        <v>13</v>
      </c>
      <c r="I62" s="56">
        <v>1</v>
      </c>
      <c r="J62" s="33">
        <v>48</v>
      </c>
      <c r="K62" s="36"/>
      <c r="L62" s="36"/>
      <c r="M62" s="36"/>
      <c r="N62" s="36"/>
      <c r="O62" s="36"/>
      <c r="P62" s="36"/>
      <c r="Q62" s="36"/>
      <c r="R62" s="36"/>
      <c r="S62" s="36"/>
      <c r="T62" s="62">
        <v>48</v>
      </c>
      <c r="U62" s="60"/>
    </row>
    <row r="63" spans="1:22" ht="15.75" customHeight="1">
      <c r="A63" s="47">
        <v>2</v>
      </c>
      <c r="B63" s="47">
        <v>3</v>
      </c>
      <c r="C63" s="47">
        <v>6</v>
      </c>
      <c r="D63" s="25" t="s">
        <v>91</v>
      </c>
      <c r="E63" s="25" t="s">
        <v>92</v>
      </c>
      <c r="F63" s="25" t="s">
        <v>31</v>
      </c>
      <c r="G63" s="49">
        <v>50784</v>
      </c>
      <c r="H63" s="51">
        <v>32</v>
      </c>
      <c r="I63" s="56">
        <v>1</v>
      </c>
      <c r="J63" s="33">
        <v>28</v>
      </c>
      <c r="K63" s="36"/>
      <c r="L63" s="36"/>
      <c r="M63" s="36"/>
      <c r="N63" s="36"/>
      <c r="O63" s="36"/>
      <c r="P63" s="36"/>
      <c r="Q63" s="36"/>
      <c r="R63" s="36"/>
      <c r="S63" s="36"/>
      <c r="T63" s="62">
        <v>28</v>
      </c>
      <c r="U63" s="60"/>
    </row>
    <row r="64" spans="1:22" ht="15.75" customHeight="1">
      <c r="A64" s="47">
        <v>2</v>
      </c>
      <c r="B64" s="47">
        <v>3</v>
      </c>
      <c r="C64" s="47">
        <v>7</v>
      </c>
      <c r="D64" s="25" t="s">
        <v>93</v>
      </c>
      <c r="E64" s="25" t="s">
        <v>94</v>
      </c>
      <c r="F64" s="25" t="s">
        <v>34</v>
      </c>
      <c r="G64" s="49">
        <v>50604</v>
      </c>
      <c r="H64" s="51">
        <v>350</v>
      </c>
      <c r="I64" s="56">
        <v>10</v>
      </c>
      <c r="J64" s="33">
        <v>82</v>
      </c>
      <c r="K64" s="33">
        <v>80</v>
      </c>
      <c r="L64" s="33">
        <v>88</v>
      </c>
      <c r="M64" s="33">
        <v>120</v>
      </c>
      <c r="N64" s="33">
        <v>115</v>
      </c>
      <c r="O64" s="33">
        <v>112</v>
      </c>
      <c r="P64" s="33">
        <v>99</v>
      </c>
      <c r="Q64" s="33">
        <v>98</v>
      </c>
      <c r="R64" s="33">
        <v>66</v>
      </c>
      <c r="S64" s="33">
        <v>110</v>
      </c>
      <c r="T64" s="62">
        <v>97</v>
      </c>
      <c r="U64" s="60"/>
    </row>
    <row r="65" spans="1:21" ht="15.75" customHeight="1">
      <c r="A65" s="71">
        <v>2</v>
      </c>
      <c r="B65" s="71">
        <v>3</v>
      </c>
      <c r="C65" s="71">
        <v>7</v>
      </c>
      <c r="D65" s="53" t="s">
        <v>72</v>
      </c>
      <c r="E65" s="53" t="s">
        <v>73</v>
      </c>
      <c r="F65" s="53" t="s">
        <v>31</v>
      </c>
      <c r="G65" s="73">
        <v>50803</v>
      </c>
      <c r="H65" s="74">
        <v>132</v>
      </c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8"/>
      <c r="U65" s="79" t="s">
        <v>55</v>
      </c>
    </row>
    <row r="66" spans="1:21" ht="15.75" customHeight="1">
      <c r="A66" s="47">
        <v>2</v>
      </c>
      <c r="B66" s="47">
        <v>3</v>
      </c>
      <c r="C66" s="47">
        <v>8</v>
      </c>
      <c r="D66" s="25" t="s">
        <v>95</v>
      </c>
      <c r="E66" s="25" t="s">
        <v>96</v>
      </c>
      <c r="F66" s="25" t="s">
        <v>34</v>
      </c>
      <c r="G66" s="49">
        <v>50886</v>
      </c>
      <c r="H66" s="51">
        <v>289</v>
      </c>
      <c r="I66" s="56">
        <v>10</v>
      </c>
      <c r="J66" s="33">
        <v>23.5</v>
      </c>
      <c r="K66" s="33">
        <v>26.5</v>
      </c>
      <c r="L66" s="33">
        <v>23.5</v>
      </c>
      <c r="M66" s="33">
        <v>17</v>
      </c>
      <c r="N66" s="33">
        <v>21.5</v>
      </c>
      <c r="O66" s="33">
        <v>26</v>
      </c>
      <c r="P66" s="33">
        <v>23</v>
      </c>
      <c r="Q66" s="33">
        <v>23</v>
      </c>
      <c r="R66" s="33">
        <v>32</v>
      </c>
      <c r="S66" s="33">
        <v>43</v>
      </c>
      <c r="T66" s="62">
        <v>25.9</v>
      </c>
      <c r="U66" s="60"/>
    </row>
    <row r="67" spans="1:21" ht="15.75" customHeight="1">
      <c r="A67" s="47">
        <v>2</v>
      </c>
      <c r="B67" s="47">
        <v>3</v>
      </c>
      <c r="C67" s="47">
        <v>8</v>
      </c>
      <c r="D67" s="25" t="s">
        <v>74</v>
      </c>
      <c r="E67" s="25" t="s">
        <v>75</v>
      </c>
      <c r="F67" s="25" t="s">
        <v>34</v>
      </c>
      <c r="G67" s="49">
        <v>50887</v>
      </c>
      <c r="H67" s="51">
        <v>179</v>
      </c>
      <c r="I67" s="56">
        <v>9</v>
      </c>
      <c r="J67" s="33">
        <v>28</v>
      </c>
      <c r="K67" s="33">
        <v>18</v>
      </c>
      <c r="L67" s="33">
        <v>20</v>
      </c>
      <c r="M67" s="33">
        <v>20</v>
      </c>
      <c r="N67" s="33">
        <v>17</v>
      </c>
      <c r="O67" s="33">
        <v>13</v>
      </c>
      <c r="P67" s="33">
        <v>6</v>
      </c>
      <c r="Q67" s="33">
        <v>5</v>
      </c>
      <c r="R67" s="33">
        <v>8</v>
      </c>
      <c r="S67" s="36"/>
      <c r="T67" s="62">
        <v>15</v>
      </c>
      <c r="U67" s="60"/>
    </row>
    <row r="68" spans="1:21" ht="15.75" customHeight="1">
      <c r="A68" s="47">
        <v>2</v>
      </c>
      <c r="B68" s="47">
        <v>3</v>
      </c>
      <c r="C68" s="47">
        <v>9</v>
      </c>
      <c r="D68" s="25" t="s">
        <v>97</v>
      </c>
      <c r="E68" s="25" t="s">
        <v>98</v>
      </c>
      <c r="F68" s="25" t="s">
        <v>68</v>
      </c>
      <c r="G68" s="49">
        <v>50845</v>
      </c>
      <c r="H68" s="51">
        <v>459</v>
      </c>
      <c r="I68" s="56">
        <v>10</v>
      </c>
      <c r="J68" s="33">
        <v>22</v>
      </c>
      <c r="K68" s="33">
        <v>14</v>
      </c>
      <c r="L68" s="33">
        <v>19</v>
      </c>
      <c r="M68" s="33">
        <v>21.5</v>
      </c>
      <c r="N68" s="33">
        <v>18</v>
      </c>
      <c r="O68" s="33">
        <v>17.5</v>
      </c>
      <c r="P68" s="33">
        <v>21.7</v>
      </c>
      <c r="Q68" s="33">
        <v>16</v>
      </c>
      <c r="R68" s="33">
        <v>17</v>
      </c>
      <c r="S68" s="33">
        <v>27</v>
      </c>
      <c r="T68" s="62">
        <v>19.37</v>
      </c>
      <c r="U68" s="60"/>
    </row>
    <row r="69" spans="1:21" ht="15.75" customHeight="1">
      <c r="A69" s="63">
        <v>2</v>
      </c>
      <c r="B69" s="63">
        <v>3</v>
      </c>
      <c r="C69" s="63">
        <v>9</v>
      </c>
      <c r="D69" s="38" t="s">
        <v>97</v>
      </c>
      <c r="E69" s="38" t="s">
        <v>98</v>
      </c>
      <c r="F69" s="38" t="s">
        <v>34</v>
      </c>
      <c r="G69" s="64">
        <v>50590</v>
      </c>
      <c r="H69" s="65">
        <v>3</v>
      </c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66"/>
      <c r="U69" s="67" t="s">
        <v>43</v>
      </c>
    </row>
    <row r="70" spans="1:21" ht="15.75" customHeight="1">
      <c r="A70" s="47">
        <v>2</v>
      </c>
      <c r="B70" s="47">
        <v>3</v>
      </c>
      <c r="C70" s="47">
        <v>9</v>
      </c>
      <c r="D70" s="25" t="s">
        <v>99</v>
      </c>
      <c r="E70" s="114"/>
      <c r="F70" s="25" t="s">
        <v>25</v>
      </c>
      <c r="G70" s="49">
        <v>50848</v>
      </c>
      <c r="H70" s="51">
        <v>217</v>
      </c>
      <c r="I70" s="56">
        <v>8</v>
      </c>
      <c r="J70" s="33">
        <v>35</v>
      </c>
      <c r="K70" s="33">
        <v>30</v>
      </c>
      <c r="L70" s="33">
        <v>37</v>
      </c>
      <c r="M70" s="33">
        <v>22</v>
      </c>
      <c r="N70" s="33">
        <v>26</v>
      </c>
      <c r="O70" s="33">
        <v>22</v>
      </c>
      <c r="P70" s="33">
        <v>22</v>
      </c>
      <c r="Q70" s="33">
        <v>23</v>
      </c>
      <c r="R70" s="36"/>
      <c r="S70" s="36"/>
      <c r="T70" s="62">
        <v>27.13</v>
      </c>
      <c r="U70" s="60"/>
    </row>
    <row r="71" spans="1:21" ht="15.75" customHeight="1">
      <c r="A71" s="71">
        <v>2</v>
      </c>
      <c r="B71" s="71">
        <v>3</v>
      </c>
      <c r="C71" s="71">
        <v>9</v>
      </c>
      <c r="D71" s="53" t="s">
        <v>100</v>
      </c>
      <c r="E71" s="53" t="s">
        <v>101</v>
      </c>
      <c r="F71" s="53" t="s">
        <v>68</v>
      </c>
      <c r="G71" s="73">
        <v>50645</v>
      </c>
      <c r="H71" s="74">
        <v>102</v>
      </c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98"/>
      <c r="U71" s="79" t="s">
        <v>55</v>
      </c>
    </row>
    <row r="72" spans="1:21" ht="15.75" customHeight="1">
      <c r="A72" s="47">
        <v>2</v>
      </c>
      <c r="B72" s="47">
        <v>3</v>
      </c>
      <c r="C72" s="47">
        <v>9</v>
      </c>
      <c r="D72" s="25" t="s">
        <v>100</v>
      </c>
      <c r="E72" s="25" t="s">
        <v>101</v>
      </c>
      <c r="F72" s="25" t="s">
        <v>25</v>
      </c>
      <c r="G72" s="49">
        <v>50746</v>
      </c>
      <c r="H72" s="51">
        <v>53</v>
      </c>
      <c r="I72" s="56">
        <v>3</v>
      </c>
      <c r="J72" s="33">
        <v>38</v>
      </c>
      <c r="K72" s="33">
        <v>32</v>
      </c>
      <c r="L72" s="33">
        <v>28</v>
      </c>
      <c r="M72" s="36"/>
      <c r="N72" s="36"/>
      <c r="O72" s="36"/>
      <c r="P72" s="36"/>
      <c r="Q72" s="36"/>
      <c r="R72" s="36"/>
      <c r="S72" s="36"/>
      <c r="T72" s="62">
        <v>32.67</v>
      </c>
      <c r="U72" s="60"/>
    </row>
    <row r="73" spans="1:21" ht="15.75" customHeight="1">
      <c r="A73" s="47">
        <v>2</v>
      </c>
      <c r="B73" s="47">
        <v>3</v>
      </c>
      <c r="C73" s="47">
        <v>9</v>
      </c>
      <c r="D73" s="25" t="s">
        <v>100</v>
      </c>
      <c r="E73" s="25" t="s">
        <v>101</v>
      </c>
      <c r="F73" s="25" t="s">
        <v>31</v>
      </c>
      <c r="G73" s="49">
        <v>50804</v>
      </c>
      <c r="H73" s="51">
        <v>29</v>
      </c>
      <c r="I73" s="56">
        <v>1</v>
      </c>
      <c r="J73" s="33">
        <v>44</v>
      </c>
      <c r="K73" s="36"/>
      <c r="L73" s="36"/>
      <c r="M73" s="36"/>
      <c r="N73" s="36"/>
      <c r="O73" s="36"/>
      <c r="P73" s="36"/>
      <c r="Q73" s="36"/>
      <c r="R73" s="36"/>
      <c r="S73" s="36"/>
      <c r="T73" s="62">
        <v>44</v>
      </c>
      <c r="U73" s="60"/>
    </row>
    <row r="74" spans="1:21" ht="15.75" customHeight="1">
      <c r="A74" s="47">
        <v>2</v>
      </c>
      <c r="B74" s="47">
        <v>3</v>
      </c>
      <c r="C74" s="47">
        <v>11</v>
      </c>
      <c r="D74" s="25" t="s">
        <v>102</v>
      </c>
      <c r="E74" s="25" t="s">
        <v>103</v>
      </c>
      <c r="F74" s="25" t="s">
        <v>31</v>
      </c>
      <c r="G74" s="49">
        <v>50821</v>
      </c>
      <c r="H74" s="51">
        <v>369</v>
      </c>
      <c r="I74" s="56">
        <v>10</v>
      </c>
      <c r="J74" s="33">
        <v>63</v>
      </c>
      <c r="K74" s="33">
        <v>68</v>
      </c>
      <c r="L74" s="33">
        <v>52</v>
      </c>
      <c r="M74" s="33">
        <v>44</v>
      </c>
      <c r="N74" s="33">
        <v>63</v>
      </c>
      <c r="O74" s="33">
        <v>74</v>
      </c>
      <c r="P74" s="33">
        <v>81</v>
      </c>
      <c r="Q74" s="33">
        <v>67</v>
      </c>
      <c r="R74" s="33">
        <v>56</v>
      </c>
      <c r="S74" s="33">
        <v>62</v>
      </c>
      <c r="T74" s="62">
        <v>63</v>
      </c>
      <c r="U74" s="60"/>
    </row>
    <row r="75" spans="1:21" ht="15.75" customHeight="1">
      <c r="A75" s="71">
        <v>2</v>
      </c>
      <c r="B75" s="71">
        <v>3</v>
      </c>
      <c r="C75" s="71">
        <v>11</v>
      </c>
      <c r="D75" s="53" t="s">
        <v>102</v>
      </c>
      <c r="E75" s="53" t="s">
        <v>103</v>
      </c>
      <c r="F75" s="53" t="s">
        <v>34</v>
      </c>
      <c r="G75" s="73">
        <v>50415</v>
      </c>
      <c r="H75" s="74">
        <v>4</v>
      </c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98"/>
      <c r="U75" s="79" t="s">
        <v>55</v>
      </c>
    </row>
    <row r="76" spans="1:21" ht="15.75" customHeight="1">
      <c r="A76" s="47">
        <v>2</v>
      </c>
      <c r="B76" s="47">
        <v>3</v>
      </c>
      <c r="C76" s="47">
        <v>11</v>
      </c>
      <c r="D76" s="25" t="s">
        <v>102</v>
      </c>
      <c r="E76" s="25" t="s">
        <v>104</v>
      </c>
      <c r="F76" s="25" t="s">
        <v>68</v>
      </c>
      <c r="G76" s="49">
        <v>50658</v>
      </c>
      <c r="H76" s="51">
        <v>136</v>
      </c>
      <c r="I76" s="56">
        <v>5</v>
      </c>
      <c r="J76" s="33">
        <v>74</v>
      </c>
      <c r="K76" s="33">
        <v>91</v>
      </c>
      <c r="L76" s="33">
        <v>54</v>
      </c>
      <c r="M76" s="33">
        <v>66</v>
      </c>
      <c r="N76" s="33">
        <v>95</v>
      </c>
      <c r="O76" s="36"/>
      <c r="P76" s="36"/>
      <c r="Q76" s="36"/>
      <c r="R76" s="36"/>
      <c r="S76" s="36"/>
      <c r="T76" s="62">
        <v>76</v>
      </c>
      <c r="U76" s="60"/>
    </row>
    <row r="77" spans="1:21" ht="15.75" customHeight="1">
      <c r="A77" s="47">
        <v>2</v>
      </c>
      <c r="B77" s="47">
        <v>3</v>
      </c>
      <c r="C77" s="47">
        <v>12</v>
      </c>
      <c r="D77" s="25" t="s">
        <v>102</v>
      </c>
      <c r="E77" s="25" t="s">
        <v>103</v>
      </c>
      <c r="F77" s="25" t="s">
        <v>68</v>
      </c>
      <c r="G77" s="49">
        <v>50817</v>
      </c>
      <c r="H77" s="51">
        <v>1429</v>
      </c>
      <c r="I77" s="56">
        <v>10</v>
      </c>
      <c r="J77" s="33">
        <v>56</v>
      </c>
      <c r="K77" s="33">
        <v>69</v>
      </c>
      <c r="L77" s="33">
        <v>68</v>
      </c>
      <c r="M77" s="33">
        <v>78</v>
      </c>
      <c r="N77" s="33">
        <v>55</v>
      </c>
      <c r="O77" s="33">
        <v>96</v>
      </c>
      <c r="P77" s="33">
        <v>53</v>
      </c>
      <c r="Q77" s="33">
        <v>45</v>
      </c>
      <c r="R77" s="33">
        <v>67</v>
      </c>
      <c r="S77" s="33">
        <v>39</v>
      </c>
      <c r="T77" s="62">
        <v>62.6</v>
      </c>
      <c r="U77" s="60"/>
    </row>
    <row r="78" spans="1:21" ht="15.75" customHeight="1">
      <c r="A78" s="47">
        <v>2</v>
      </c>
      <c r="B78" s="47">
        <v>3</v>
      </c>
      <c r="C78" s="47">
        <v>13</v>
      </c>
      <c r="D78" s="25" t="s">
        <v>105</v>
      </c>
      <c r="E78" s="25" t="s">
        <v>106</v>
      </c>
      <c r="F78" s="25" t="s">
        <v>25</v>
      </c>
      <c r="G78" s="49">
        <v>50859</v>
      </c>
      <c r="H78" s="51">
        <v>349</v>
      </c>
      <c r="I78" s="56">
        <v>10</v>
      </c>
      <c r="J78" s="33">
        <v>139</v>
      </c>
      <c r="K78" s="33">
        <v>100</v>
      </c>
      <c r="L78" s="33">
        <v>122</v>
      </c>
      <c r="M78" s="33">
        <v>108</v>
      </c>
      <c r="N78" s="33">
        <v>75</v>
      </c>
      <c r="O78" s="33">
        <v>109</v>
      </c>
      <c r="P78" s="33">
        <v>134.5</v>
      </c>
      <c r="Q78" s="33">
        <v>97.5</v>
      </c>
      <c r="R78" s="33">
        <v>147.5</v>
      </c>
      <c r="S78" s="33">
        <v>165</v>
      </c>
      <c r="T78" s="62">
        <v>119.75</v>
      </c>
      <c r="U78" s="60"/>
    </row>
    <row r="79" spans="1:21" ht="15.75" customHeight="1">
      <c r="A79" s="47">
        <v>2</v>
      </c>
      <c r="B79" s="47">
        <v>3</v>
      </c>
      <c r="C79" s="47">
        <v>13</v>
      </c>
      <c r="D79" s="25" t="s">
        <v>105</v>
      </c>
      <c r="E79" s="25" t="s">
        <v>106</v>
      </c>
      <c r="F79" s="25" t="s">
        <v>25</v>
      </c>
      <c r="G79" s="49">
        <v>50735</v>
      </c>
      <c r="H79" s="51">
        <v>22</v>
      </c>
      <c r="I79" s="56">
        <v>1</v>
      </c>
      <c r="J79" s="33">
        <v>74</v>
      </c>
      <c r="K79" s="36"/>
      <c r="L79" s="36"/>
      <c r="M79" s="36"/>
      <c r="N79" s="36"/>
      <c r="O79" s="36"/>
      <c r="P79" s="36"/>
      <c r="Q79" s="36"/>
      <c r="R79" s="36"/>
      <c r="S79" s="36"/>
      <c r="T79" s="62">
        <v>74</v>
      </c>
      <c r="U79" s="60"/>
    </row>
    <row r="80" spans="1:21" ht="15.75" customHeight="1">
      <c r="A80" s="47">
        <v>2</v>
      </c>
      <c r="B80" s="47">
        <v>3</v>
      </c>
      <c r="C80" s="47">
        <v>13</v>
      </c>
      <c r="D80" s="25" t="s">
        <v>105</v>
      </c>
      <c r="E80" s="25" t="s">
        <v>106</v>
      </c>
      <c r="F80" s="25" t="s">
        <v>25</v>
      </c>
      <c r="G80" s="49">
        <v>50756</v>
      </c>
      <c r="H80" s="51">
        <v>37</v>
      </c>
      <c r="I80" s="56">
        <v>1</v>
      </c>
      <c r="J80" s="33">
        <v>119</v>
      </c>
      <c r="K80" s="36"/>
      <c r="L80" s="36"/>
      <c r="M80" s="36"/>
      <c r="N80" s="36"/>
      <c r="O80" s="36"/>
      <c r="P80" s="36"/>
      <c r="Q80" s="36"/>
      <c r="R80" s="36"/>
      <c r="S80" s="36"/>
      <c r="T80" s="62">
        <v>119</v>
      </c>
      <c r="U80" s="60"/>
    </row>
    <row r="81" spans="1:27" ht="15.75" customHeight="1">
      <c r="A81" s="47">
        <v>2</v>
      </c>
      <c r="B81" s="47">
        <v>3</v>
      </c>
      <c r="C81" s="47">
        <v>13</v>
      </c>
      <c r="D81" s="25" t="s">
        <v>105</v>
      </c>
      <c r="E81" s="25" t="s">
        <v>106</v>
      </c>
      <c r="F81" s="25" t="s">
        <v>68</v>
      </c>
      <c r="G81" s="49">
        <v>50836</v>
      </c>
      <c r="H81" s="51">
        <v>172</v>
      </c>
      <c r="I81" s="56">
        <v>8</v>
      </c>
      <c r="J81" s="33">
        <v>150</v>
      </c>
      <c r="K81" s="33">
        <v>165</v>
      </c>
      <c r="L81" s="33">
        <v>170</v>
      </c>
      <c r="M81" s="33">
        <v>109</v>
      </c>
      <c r="N81" s="33">
        <v>99</v>
      </c>
      <c r="O81" s="33">
        <v>160</v>
      </c>
      <c r="P81" s="33">
        <v>148</v>
      </c>
      <c r="Q81" s="33">
        <v>181</v>
      </c>
      <c r="R81" s="36"/>
      <c r="S81" s="36"/>
      <c r="T81" s="62">
        <v>147.75</v>
      </c>
      <c r="U81" s="60"/>
    </row>
    <row r="82" spans="1:27" ht="15.75" customHeight="1">
      <c r="A82" s="47">
        <v>2</v>
      </c>
      <c r="B82" s="47">
        <v>3</v>
      </c>
      <c r="C82" s="47">
        <v>14</v>
      </c>
      <c r="D82" s="25" t="s">
        <v>107</v>
      </c>
      <c r="E82" s="25" t="s">
        <v>108</v>
      </c>
      <c r="F82" s="25" t="s">
        <v>25</v>
      </c>
      <c r="G82" s="49">
        <v>50847</v>
      </c>
      <c r="H82" s="51">
        <v>371</v>
      </c>
      <c r="I82" s="56">
        <v>10</v>
      </c>
      <c r="J82" s="33">
        <v>41.5</v>
      </c>
      <c r="K82" s="33">
        <v>21</v>
      </c>
      <c r="L82" s="33">
        <v>34</v>
      </c>
      <c r="M82" s="33">
        <v>20.5</v>
      </c>
      <c r="N82" s="33">
        <v>25</v>
      </c>
      <c r="O82" s="33">
        <v>20.5</v>
      </c>
      <c r="P82" s="33">
        <v>46</v>
      </c>
      <c r="Q82" s="33">
        <v>31</v>
      </c>
      <c r="R82" s="33">
        <v>43</v>
      </c>
      <c r="S82" s="33">
        <v>51</v>
      </c>
      <c r="T82" s="62">
        <v>33.35</v>
      </c>
      <c r="U82" s="60"/>
    </row>
    <row r="83" spans="1:27" ht="15.75" customHeight="1">
      <c r="A83" s="47">
        <v>2</v>
      </c>
      <c r="B83" s="47">
        <v>3</v>
      </c>
      <c r="C83" s="47">
        <v>14</v>
      </c>
      <c r="D83" s="25" t="s">
        <v>107</v>
      </c>
      <c r="E83" s="25" t="s">
        <v>108</v>
      </c>
      <c r="F83" s="25" t="s">
        <v>109</v>
      </c>
      <c r="G83" s="49">
        <v>50743</v>
      </c>
      <c r="H83" s="51">
        <v>88</v>
      </c>
      <c r="I83" s="56">
        <v>3</v>
      </c>
      <c r="J83" s="33">
        <v>39</v>
      </c>
      <c r="K83" s="33"/>
      <c r="L83" s="33"/>
      <c r="M83" s="36"/>
      <c r="N83" s="36"/>
      <c r="O83" s="36"/>
      <c r="P83" s="36"/>
      <c r="Q83" s="36"/>
      <c r="R83" s="36"/>
      <c r="S83" s="36"/>
      <c r="T83" s="62">
        <v>38.17</v>
      </c>
      <c r="U83" s="60"/>
    </row>
    <row r="84" spans="1:27" ht="15.75" customHeight="1">
      <c r="A84" s="47">
        <v>2</v>
      </c>
      <c r="B84" s="47">
        <v>3</v>
      </c>
      <c r="C84" s="47">
        <v>17</v>
      </c>
      <c r="D84" s="25" t="s">
        <v>60</v>
      </c>
      <c r="E84" s="25" t="s">
        <v>71</v>
      </c>
      <c r="F84" s="25" t="s">
        <v>25</v>
      </c>
      <c r="G84" s="49">
        <v>50747</v>
      </c>
      <c r="H84" s="51">
        <v>1</v>
      </c>
      <c r="I84" s="56">
        <v>1</v>
      </c>
      <c r="J84" s="33">
        <v>206</v>
      </c>
      <c r="K84" s="36"/>
      <c r="L84" s="36"/>
      <c r="M84" s="36"/>
      <c r="N84" s="36"/>
      <c r="O84" s="36"/>
      <c r="P84" s="36"/>
      <c r="Q84" s="36"/>
      <c r="R84" s="36"/>
      <c r="S84" s="36"/>
      <c r="T84" s="62">
        <v>206</v>
      </c>
      <c r="U84" s="60"/>
    </row>
    <row r="85" spans="1:27" ht="15.75" customHeight="1">
      <c r="A85" s="111">
        <v>2</v>
      </c>
      <c r="B85" s="111">
        <v>3</v>
      </c>
      <c r="C85" s="111">
        <v>17</v>
      </c>
      <c r="D85" s="101" t="s">
        <v>60</v>
      </c>
      <c r="E85" s="101" t="s">
        <v>61</v>
      </c>
      <c r="F85" s="101" t="s">
        <v>25</v>
      </c>
      <c r="G85" s="121">
        <v>50733</v>
      </c>
      <c r="H85" s="122">
        <v>114</v>
      </c>
      <c r="I85" s="101">
        <v>1</v>
      </c>
      <c r="J85" s="101">
        <v>54.5</v>
      </c>
      <c r="K85" s="112"/>
      <c r="L85" s="112"/>
      <c r="M85" s="112"/>
      <c r="N85" s="112"/>
      <c r="O85" s="112"/>
      <c r="P85" s="112"/>
      <c r="Q85" s="112"/>
      <c r="R85" s="112"/>
      <c r="S85" s="112"/>
      <c r="T85" s="125">
        <v>54.5</v>
      </c>
      <c r="U85" s="126" t="s">
        <v>111</v>
      </c>
      <c r="V85" s="90"/>
      <c r="W85" s="90"/>
      <c r="X85" s="90"/>
      <c r="Y85" s="90"/>
      <c r="Z85" s="90"/>
      <c r="AA85" s="90"/>
    </row>
    <row r="86" spans="1:27" ht="15.75" customHeight="1">
      <c r="A86" s="47">
        <v>2</v>
      </c>
      <c r="B86" s="47">
        <v>3</v>
      </c>
      <c r="C86" s="47">
        <v>17</v>
      </c>
      <c r="D86" s="25" t="s">
        <v>60</v>
      </c>
      <c r="E86" s="25" t="s">
        <v>61</v>
      </c>
      <c r="F86" s="25" t="s">
        <v>68</v>
      </c>
      <c r="G86" s="49">
        <v>50636</v>
      </c>
      <c r="H86" s="51">
        <v>36</v>
      </c>
      <c r="I86" s="56">
        <v>2</v>
      </c>
      <c r="J86" s="33">
        <v>55</v>
      </c>
      <c r="K86" s="33">
        <v>149</v>
      </c>
      <c r="L86" s="36"/>
      <c r="M86" s="36"/>
      <c r="N86" s="36"/>
      <c r="O86" s="36"/>
      <c r="P86" s="36"/>
      <c r="Q86" s="36"/>
      <c r="R86" s="36"/>
      <c r="S86" s="36"/>
      <c r="T86" s="62">
        <v>102</v>
      </c>
      <c r="U86" s="60"/>
    </row>
    <row r="87" spans="1:27" ht="15.75" customHeight="1">
      <c r="A87" s="63">
        <v>2</v>
      </c>
      <c r="B87" s="63">
        <v>3</v>
      </c>
      <c r="C87" s="63">
        <v>17</v>
      </c>
      <c r="D87" s="38" t="s">
        <v>60</v>
      </c>
      <c r="E87" s="38" t="s">
        <v>61</v>
      </c>
      <c r="F87" s="38" t="s">
        <v>68</v>
      </c>
      <c r="G87" s="64">
        <v>50668</v>
      </c>
      <c r="H87" s="65">
        <v>34</v>
      </c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66"/>
      <c r="U87" s="67" t="s">
        <v>43</v>
      </c>
    </row>
    <row r="88" spans="1:27" ht="15.75" customHeight="1">
      <c r="A88" s="47">
        <v>2</v>
      </c>
      <c r="B88" s="47">
        <v>3</v>
      </c>
      <c r="C88" s="47">
        <v>17</v>
      </c>
      <c r="D88" s="25" t="s">
        <v>60</v>
      </c>
      <c r="E88" s="25" t="s">
        <v>61</v>
      </c>
      <c r="F88" s="25" t="s">
        <v>68</v>
      </c>
      <c r="G88" s="49">
        <v>50626</v>
      </c>
      <c r="H88" s="51">
        <v>8</v>
      </c>
      <c r="I88" s="56">
        <v>1</v>
      </c>
      <c r="J88" s="33">
        <v>73</v>
      </c>
      <c r="K88" s="36"/>
      <c r="L88" s="36"/>
      <c r="M88" s="36"/>
      <c r="N88" s="36"/>
      <c r="O88" s="36"/>
      <c r="P88" s="36"/>
      <c r="Q88" s="36"/>
      <c r="R88" s="36"/>
      <c r="S88" s="36"/>
      <c r="T88" s="62">
        <v>73</v>
      </c>
      <c r="U88" s="60"/>
    </row>
    <row r="89" spans="1:27" ht="15.75" customHeight="1">
      <c r="A89" s="47">
        <v>2</v>
      </c>
      <c r="B89" s="47">
        <v>3</v>
      </c>
      <c r="C89" s="47">
        <v>17</v>
      </c>
      <c r="D89" s="25" t="s">
        <v>60</v>
      </c>
      <c r="E89" s="25" t="s">
        <v>61</v>
      </c>
      <c r="F89" s="25" t="s">
        <v>34</v>
      </c>
      <c r="G89" s="49">
        <v>50595</v>
      </c>
      <c r="H89" s="51">
        <v>45</v>
      </c>
      <c r="I89" s="56">
        <v>3</v>
      </c>
      <c r="J89" s="33">
        <v>23</v>
      </c>
      <c r="K89" s="33">
        <v>133</v>
      </c>
      <c r="L89" s="33">
        <v>170</v>
      </c>
      <c r="M89" s="36"/>
      <c r="N89" s="36"/>
      <c r="O89" s="36"/>
      <c r="P89" s="36"/>
      <c r="Q89" s="36"/>
      <c r="R89" s="36"/>
      <c r="S89" s="36"/>
      <c r="T89" s="62">
        <v>108.67</v>
      </c>
      <c r="U89" s="60"/>
    </row>
    <row r="90" spans="1:27" ht="15.75" customHeight="1">
      <c r="A90" s="47">
        <v>2</v>
      </c>
      <c r="B90" s="47">
        <v>3</v>
      </c>
      <c r="C90" s="47">
        <v>17</v>
      </c>
      <c r="D90" s="25" t="s">
        <v>60</v>
      </c>
      <c r="E90" s="25" t="s">
        <v>61</v>
      </c>
      <c r="F90" s="25" t="s">
        <v>68</v>
      </c>
      <c r="G90" s="49">
        <v>50818</v>
      </c>
      <c r="H90" s="51">
        <v>67</v>
      </c>
      <c r="I90" s="56">
        <v>3</v>
      </c>
      <c r="J90" s="33">
        <v>50</v>
      </c>
      <c r="K90" s="33">
        <v>100</v>
      </c>
      <c r="L90" s="33">
        <v>113</v>
      </c>
      <c r="M90" s="36"/>
      <c r="N90" s="36"/>
      <c r="O90" s="36"/>
      <c r="P90" s="36"/>
      <c r="Q90" s="36"/>
      <c r="R90" s="36"/>
      <c r="S90" s="36"/>
      <c r="T90" s="62">
        <v>87.67</v>
      </c>
      <c r="U90" s="60"/>
    </row>
    <row r="91" spans="1:27" ht="15.75" customHeight="1">
      <c r="A91" s="47">
        <v>2</v>
      </c>
      <c r="B91" s="47">
        <v>3</v>
      </c>
      <c r="C91" s="47">
        <v>17</v>
      </c>
      <c r="D91" s="25" t="s">
        <v>60</v>
      </c>
      <c r="E91" s="25" t="s">
        <v>61</v>
      </c>
      <c r="F91" s="25" t="s">
        <v>31</v>
      </c>
      <c r="G91" s="49">
        <v>50810</v>
      </c>
      <c r="H91" s="51">
        <v>127</v>
      </c>
      <c r="I91" s="56">
        <v>8</v>
      </c>
      <c r="J91" s="33">
        <v>187</v>
      </c>
      <c r="K91" s="33">
        <v>186</v>
      </c>
      <c r="L91" s="33">
        <v>158</v>
      </c>
      <c r="M91" s="33">
        <v>176</v>
      </c>
      <c r="N91" s="33">
        <v>213</v>
      </c>
      <c r="O91" s="33">
        <v>209</v>
      </c>
      <c r="P91" s="33">
        <v>215</v>
      </c>
      <c r="Q91" s="33">
        <v>208</v>
      </c>
      <c r="R91" s="36"/>
      <c r="S91" s="36"/>
      <c r="T91" s="62">
        <v>194</v>
      </c>
      <c r="U91" s="60"/>
    </row>
    <row r="92" spans="1:27" ht="15.75" customHeight="1">
      <c r="A92" s="47">
        <v>2</v>
      </c>
      <c r="B92" s="47">
        <v>3</v>
      </c>
      <c r="C92" s="47">
        <v>17</v>
      </c>
      <c r="D92" s="25" t="s">
        <v>60</v>
      </c>
      <c r="E92" s="25" t="s">
        <v>61</v>
      </c>
      <c r="F92" s="25" t="s">
        <v>25</v>
      </c>
      <c r="G92" s="49">
        <v>50749</v>
      </c>
      <c r="H92" s="51">
        <v>29</v>
      </c>
      <c r="I92" s="56">
        <v>1</v>
      </c>
      <c r="J92" s="33">
        <v>71.5</v>
      </c>
      <c r="K92" s="36"/>
      <c r="L92" s="36"/>
      <c r="M92" s="36"/>
      <c r="N92" s="36"/>
      <c r="O92" s="36"/>
      <c r="P92" s="36"/>
      <c r="Q92" s="36"/>
      <c r="R92" s="36"/>
      <c r="S92" s="36"/>
      <c r="T92" s="62">
        <v>71.5</v>
      </c>
      <c r="U92" s="60"/>
    </row>
    <row r="93" spans="1:27" ht="15.75" customHeight="1">
      <c r="A93" s="47">
        <v>2</v>
      </c>
      <c r="B93" s="47">
        <v>3</v>
      </c>
      <c r="C93" s="47">
        <v>18</v>
      </c>
      <c r="D93" s="25" t="s">
        <v>112</v>
      </c>
      <c r="E93" s="25" t="s">
        <v>113</v>
      </c>
      <c r="F93" s="25" t="s">
        <v>25</v>
      </c>
      <c r="G93" s="49">
        <v>50758</v>
      </c>
      <c r="H93" s="51">
        <v>246</v>
      </c>
      <c r="I93" s="56">
        <v>10</v>
      </c>
      <c r="J93" s="33">
        <v>60</v>
      </c>
      <c r="K93" s="33">
        <v>105</v>
      </c>
      <c r="L93" s="33">
        <v>124</v>
      </c>
      <c r="M93" s="33">
        <v>74</v>
      </c>
      <c r="N93" s="33">
        <v>90</v>
      </c>
      <c r="O93" s="33">
        <v>124</v>
      </c>
      <c r="P93" s="33">
        <v>80</v>
      </c>
      <c r="Q93" s="33">
        <v>85</v>
      </c>
      <c r="R93" s="33">
        <v>97</v>
      </c>
      <c r="S93" s="33">
        <v>69</v>
      </c>
      <c r="T93" s="62">
        <v>90.8</v>
      </c>
      <c r="U93" s="60"/>
    </row>
    <row r="94" spans="1:27" ht="15.75" customHeight="1">
      <c r="A94" s="47">
        <v>2</v>
      </c>
      <c r="B94" s="47">
        <v>3</v>
      </c>
      <c r="C94" s="47">
        <v>18</v>
      </c>
      <c r="D94" s="25" t="s">
        <v>114</v>
      </c>
      <c r="E94" s="25" t="s">
        <v>115</v>
      </c>
      <c r="F94" s="25" t="s">
        <v>25</v>
      </c>
      <c r="G94" s="49">
        <v>50858</v>
      </c>
      <c r="H94" s="51">
        <v>98</v>
      </c>
      <c r="I94" s="56">
        <v>3</v>
      </c>
      <c r="J94" s="33">
        <v>18</v>
      </c>
      <c r="K94" s="33">
        <v>11</v>
      </c>
      <c r="L94" s="33">
        <v>16.5</v>
      </c>
      <c r="M94" s="36"/>
      <c r="N94" s="36"/>
      <c r="O94" s="36"/>
      <c r="P94" s="36"/>
      <c r="Q94" s="36"/>
      <c r="R94" s="36"/>
      <c r="S94" s="36"/>
      <c r="T94" s="62">
        <v>15.17</v>
      </c>
      <c r="U94" s="60"/>
    </row>
    <row r="95" spans="1:27" ht="15.75" customHeight="1">
      <c r="A95" s="47">
        <v>2</v>
      </c>
      <c r="B95" s="47">
        <v>3</v>
      </c>
      <c r="C95" s="47">
        <v>18</v>
      </c>
      <c r="D95" s="25" t="s">
        <v>112</v>
      </c>
      <c r="E95" s="25" t="s">
        <v>113</v>
      </c>
      <c r="F95" s="25" t="s">
        <v>25</v>
      </c>
      <c r="G95" s="49">
        <v>50812</v>
      </c>
      <c r="H95" s="51">
        <v>29</v>
      </c>
      <c r="I95" s="56">
        <v>1</v>
      </c>
      <c r="J95" s="33">
        <v>23</v>
      </c>
      <c r="K95" s="36"/>
      <c r="L95" s="36"/>
      <c r="M95" s="36"/>
      <c r="N95" s="36"/>
      <c r="O95" s="36"/>
      <c r="P95" s="36"/>
      <c r="Q95" s="36"/>
      <c r="R95" s="36"/>
      <c r="S95" s="36"/>
      <c r="T95" s="62">
        <v>23</v>
      </c>
      <c r="U95" s="60"/>
    </row>
    <row r="96" spans="1:27" ht="15.75" customHeight="1">
      <c r="A96" s="63">
        <v>2</v>
      </c>
      <c r="B96" s="63">
        <v>3</v>
      </c>
      <c r="C96" s="63">
        <v>18</v>
      </c>
      <c r="D96" s="38" t="s">
        <v>112</v>
      </c>
      <c r="E96" s="38" t="s">
        <v>113</v>
      </c>
      <c r="F96" s="38" t="s">
        <v>116</v>
      </c>
      <c r="G96" s="64">
        <v>50065</v>
      </c>
      <c r="H96" s="65">
        <v>10</v>
      </c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66"/>
      <c r="U96" s="67" t="s">
        <v>43</v>
      </c>
    </row>
    <row r="97" spans="1:27" ht="15.75" customHeight="1">
      <c r="A97" s="47">
        <v>2</v>
      </c>
      <c r="B97" s="47">
        <v>3</v>
      </c>
      <c r="C97" s="47">
        <v>18</v>
      </c>
      <c r="D97" s="25" t="s">
        <v>114</v>
      </c>
      <c r="E97" s="25" t="s">
        <v>115</v>
      </c>
      <c r="F97" s="25" t="s">
        <v>117</v>
      </c>
      <c r="G97" s="49">
        <v>50535</v>
      </c>
      <c r="H97" s="51">
        <v>24</v>
      </c>
      <c r="I97" s="56">
        <v>1</v>
      </c>
      <c r="J97" s="33">
        <v>8</v>
      </c>
      <c r="K97" s="36"/>
      <c r="L97" s="36"/>
      <c r="M97" s="36"/>
      <c r="N97" s="36"/>
      <c r="O97" s="36"/>
      <c r="P97" s="36"/>
      <c r="Q97" s="36"/>
      <c r="R97" s="36"/>
      <c r="S97" s="36"/>
      <c r="T97" s="62">
        <v>8</v>
      </c>
      <c r="U97" s="60"/>
    </row>
    <row r="98" spans="1:27" ht="15.75" customHeight="1">
      <c r="A98" s="47">
        <v>2</v>
      </c>
      <c r="B98" s="47">
        <v>3</v>
      </c>
      <c r="C98" s="47">
        <v>19</v>
      </c>
      <c r="D98" s="25" t="s">
        <v>32</v>
      </c>
      <c r="E98" s="25" t="s">
        <v>33</v>
      </c>
      <c r="F98" s="25" t="s">
        <v>34</v>
      </c>
      <c r="G98" s="49">
        <v>50563</v>
      </c>
      <c r="H98" s="51">
        <v>338</v>
      </c>
      <c r="I98" s="56">
        <v>10</v>
      </c>
      <c r="J98" s="33">
        <v>122</v>
      </c>
      <c r="K98" s="33">
        <v>124</v>
      </c>
      <c r="L98" s="33">
        <v>197</v>
      </c>
      <c r="M98" s="33">
        <v>7.5</v>
      </c>
      <c r="N98" s="33">
        <v>64</v>
      </c>
      <c r="O98" s="33">
        <v>63</v>
      </c>
      <c r="P98" s="33">
        <v>67</v>
      </c>
      <c r="Q98" s="33">
        <v>52</v>
      </c>
      <c r="R98" s="33">
        <v>63</v>
      </c>
      <c r="S98" s="33">
        <v>113</v>
      </c>
      <c r="T98" s="62">
        <v>87.25</v>
      </c>
      <c r="U98" s="60"/>
    </row>
    <row r="99" spans="1:27" ht="15.75" customHeight="1">
      <c r="A99" s="120">
        <v>2</v>
      </c>
      <c r="B99" s="120">
        <v>3</v>
      </c>
      <c r="C99" s="120">
        <v>19</v>
      </c>
      <c r="D99" s="116" t="s">
        <v>112</v>
      </c>
      <c r="E99" s="116" t="s">
        <v>113</v>
      </c>
      <c r="F99" s="116" t="s">
        <v>34</v>
      </c>
      <c r="G99" s="138">
        <v>50688</v>
      </c>
      <c r="H99" s="140">
        <v>113</v>
      </c>
      <c r="I99" s="116">
        <v>8</v>
      </c>
      <c r="J99" s="116">
        <v>106</v>
      </c>
      <c r="K99" s="116">
        <v>94.5</v>
      </c>
      <c r="L99" s="116">
        <v>90</v>
      </c>
      <c r="M99" s="116">
        <v>119</v>
      </c>
      <c r="N99" s="116">
        <v>118</v>
      </c>
      <c r="O99" s="116">
        <v>126</v>
      </c>
      <c r="P99" s="116">
        <v>122</v>
      </c>
      <c r="Q99" s="116">
        <v>154</v>
      </c>
      <c r="R99" s="123"/>
      <c r="S99" s="123"/>
      <c r="T99" s="141">
        <v>116.19</v>
      </c>
      <c r="U99" s="142" t="s">
        <v>118</v>
      </c>
      <c r="V99" s="90"/>
      <c r="W99" s="90"/>
      <c r="X99" s="90"/>
      <c r="Y99" s="90"/>
      <c r="Z99" s="90"/>
      <c r="AA99" s="90"/>
    </row>
    <row r="100" spans="1:27" ht="15.75" customHeight="1">
      <c r="A100" s="33">
        <v>2</v>
      </c>
      <c r="B100" s="47">
        <v>3</v>
      </c>
      <c r="C100" s="47">
        <v>19</v>
      </c>
      <c r="D100" s="25" t="s">
        <v>112</v>
      </c>
      <c r="E100" s="25" t="s">
        <v>113</v>
      </c>
      <c r="F100" s="25" t="s">
        <v>68</v>
      </c>
      <c r="G100" s="49">
        <v>50146</v>
      </c>
      <c r="H100" s="51">
        <v>9</v>
      </c>
      <c r="I100" s="56">
        <v>1</v>
      </c>
      <c r="J100" s="33">
        <v>84</v>
      </c>
      <c r="K100" s="36"/>
      <c r="L100" s="36"/>
      <c r="M100" s="36"/>
      <c r="N100" s="36"/>
      <c r="O100" s="36"/>
      <c r="P100" s="36"/>
      <c r="Q100" s="36"/>
      <c r="R100" s="36"/>
      <c r="S100" s="36"/>
      <c r="T100" s="62">
        <v>84</v>
      </c>
      <c r="U100" s="60"/>
    </row>
    <row r="101" spans="1:27" ht="15.75" customHeight="1">
      <c r="A101" s="143">
        <v>2</v>
      </c>
      <c r="B101" s="143">
        <v>3</v>
      </c>
      <c r="C101" s="143">
        <v>19</v>
      </c>
      <c r="D101" s="144" t="s">
        <v>112</v>
      </c>
      <c r="E101" s="144" t="s">
        <v>113</v>
      </c>
      <c r="F101" s="144" t="s">
        <v>25</v>
      </c>
      <c r="G101" s="146">
        <v>50758</v>
      </c>
      <c r="H101" s="147">
        <v>133</v>
      </c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9"/>
      <c r="U101" s="154" t="s">
        <v>119</v>
      </c>
      <c r="V101" s="90"/>
      <c r="W101" s="90"/>
      <c r="X101" s="90"/>
      <c r="Y101" s="90"/>
      <c r="Z101" s="90"/>
      <c r="AA101" s="90"/>
    </row>
    <row r="102" spans="1:27" ht="15.75" customHeight="1">
      <c r="A102" s="47">
        <v>2</v>
      </c>
      <c r="B102" s="47">
        <v>3</v>
      </c>
      <c r="C102" s="47">
        <v>21</v>
      </c>
      <c r="D102" s="25" t="s">
        <v>120</v>
      </c>
      <c r="E102" s="25" t="s">
        <v>121</v>
      </c>
      <c r="F102" s="25" t="s">
        <v>25</v>
      </c>
      <c r="G102" s="49">
        <v>50745</v>
      </c>
      <c r="H102" s="51">
        <v>131</v>
      </c>
      <c r="I102" s="56">
        <v>6</v>
      </c>
      <c r="J102" s="33">
        <v>60</v>
      </c>
      <c r="K102" s="33">
        <v>78</v>
      </c>
      <c r="L102" s="33">
        <v>125</v>
      </c>
      <c r="M102" s="33">
        <v>141</v>
      </c>
      <c r="N102" s="33">
        <v>118</v>
      </c>
      <c r="O102" s="33">
        <v>128</v>
      </c>
      <c r="P102" s="36"/>
      <c r="Q102" s="36"/>
      <c r="R102" s="36"/>
      <c r="S102" s="36"/>
      <c r="T102" s="62">
        <v>108.33</v>
      </c>
      <c r="U102" s="60"/>
    </row>
    <row r="103" spans="1:27" ht="15.75" customHeight="1">
      <c r="A103" s="47">
        <v>2</v>
      </c>
      <c r="B103" s="47">
        <v>3</v>
      </c>
      <c r="C103" s="47">
        <v>21</v>
      </c>
      <c r="D103" s="25" t="s">
        <v>120</v>
      </c>
      <c r="E103" s="25" t="s">
        <v>121</v>
      </c>
      <c r="F103" s="25" t="s">
        <v>31</v>
      </c>
      <c r="G103" s="49">
        <v>50718</v>
      </c>
      <c r="H103" s="51">
        <v>168</v>
      </c>
      <c r="I103" s="56">
        <v>8</v>
      </c>
      <c r="J103" s="33">
        <v>6</v>
      </c>
      <c r="K103" s="33">
        <v>90</v>
      </c>
      <c r="L103" s="33">
        <v>91</v>
      </c>
      <c r="M103" s="33">
        <v>84</v>
      </c>
      <c r="N103" s="33">
        <v>96</v>
      </c>
      <c r="O103" s="33">
        <v>100</v>
      </c>
      <c r="P103" s="33">
        <v>78</v>
      </c>
      <c r="Q103" s="33">
        <v>104</v>
      </c>
      <c r="R103" s="36"/>
      <c r="S103" s="36"/>
      <c r="T103" s="62">
        <v>81.13</v>
      </c>
      <c r="U103" s="60"/>
    </row>
    <row r="104" spans="1:27" ht="15.75" customHeight="1">
      <c r="A104" s="47">
        <v>2</v>
      </c>
      <c r="B104" s="47">
        <v>3</v>
      </c>
      <c r="C104" s="47">
        <v>21</v>
      </c>
      <c r="D104" s="25" t="s">
        <v>120</v>
      </c>
      <c r="E104" s="25" t="s">
        <v>121</v>
      </c>
      <c r="F104" s="25" t="s">
        <v>25</v>
      </c>
      <c r="G104" s="49">
        <v>50681</v>
      </c>
      <c r="H104" s="51">
        <v>9</v>
      </c>
      <c r="I104" s="56">
        <v>1</v>
      </c>
      <c r="J104" s="33">
        <v>70</v>
      </c>
      <c r="K104" s="36"/>
      <c r="L104" s="36"/>
      <c r="M104" s="36"/>
      <c r="N104" s="36"/>
      <c r="O104" s="36"/>
      <c r="P104" s="36"/>
      <c r="Q104" s="36"/>
      <c r="R104" s="36"/>
      <c r="S104" s="36"/>
      <c r="T104" s="62">
        <v>70</v>
      </c>
      <c r="U104" s="60"/>
    </row>
    <row r="105" spans="1:27" ht="15.75" customHeight="1">
      <c r="A105" s="47">
        <v>2</v>
      </c>
      <c r="B105" s="47">
        <v>3</v>
      </c>
      <c r="C105" s="47">
        <v>22</v>
      </c>
      <c r="D105" s="25" t="s">
        <v>122</v>
      </c>
      <c r="E105" s="25" t="s">
        <v>123</v>
      </c>
      <c r="F105" s="25" t="s">
        <v>34</v>
      </c>
      <c r="G105" s="49">
        <v>50732</v>
      </c>
      <c r="H105" s="51">
        <v>274</v>
      </c>
      <c r="I105" s="56">
        <v>10</v>
      </c>
      <c r="J105" s="33">
        <v>71</v>
      </c>
      <c r="K105" s="33">
        <v>99</v>
      </c>
      <c r="L105" s="33">
        <v>114.5</v>
      </c>
      <c r="M105" s="33">
        <v>100</v>
      </c>
      <c r="N105" s="33">
        <v>156</v>
      </c>
      <c r="O105" s="33">
        <v>133</v>
      </c>
      <c r="P105" s="33">
        <v>163</v>
      </c>
      <c r="Q105" s="33">
        <v>118</v>
      </c>
      <c r="R105" s="33">
        <v>120</v>
      </c>
      <c r="S105" s="33">
        <v>82</v>
      </c>
      <c r="T105" s="62">
        <v>115.65</v>
      </c>
      <c r="U105" s="60"/>
    </row>
    <row r="106" spans="1:27" ht="15.75" customHeight="1">
      <c r="A106" s="47">
        <v>2</v>
      </c>
      <c r="B106" s="47">
        <v>3</v>
      </c>
      <c r="C106" s="47">
        <v>22</v>
      </c>
      <c r="D106" s="25" t="s">
        <v>122</v>
      </c>
      <c r="E106" s="25" t="s">
        <v>123</v>
      </c>
      <c r="F106" s="25" t="s">
        <v>34</v>
      </c>
      <c r="G106" s="49">
        <v>50545</v>
      </c>
      <c r="H106" s="51">
        <v>13</v>
      </c>
      <c r="I106" s="56">
        <v>5</v>
      </c>
      <c r="J106" s="33">
        <v>113</v>
      </c>
      <c r="K106" s="33">
        <v>50</v>
      </c>
      <c r="L106" s="33">
        <v>37</v>
      </c>
      <c r="M106" s="33">
        <v>54</v>
      </c>
      <c r="N106" s="33">
        <v>71</v>
      </c>
      <c r="O106" s="36"/>
      <c r="P106" s="36"/>
      <c r="Q106" s="36"/>
      <c r="R106" s="36"/>
      <c r="S106" s="36"/>
      <c r="T106" s="62">
        <v>65</v>
      </c>
      <c r="U106" s="60"/>
    </row>
    <row r="107" spans="1:27" ht="15.75" customHeight="1">
      <c r="A107" s="47">
        <v>2</v>
      </c>
      <c r="B107" s="47">
        <v>3</v>
      </c>
      <c r="C107" s="47">
        <v>22</v>
      </c>
      <c r="D107" s="25" t="s">
        <v>122</v>
      </c>
      <c r="E107" s="25" t="s">
        <v>123</v>
      </c>
      <c r="F107" s="25" t="s">
        <v>25</v>
      </c>
      <c r="G107" s="49">
        <v>50833</v>
      </c>
      <c r="H107" s="51">
        <v>204</v>
      </c>
      <c r="I107" s="56">
        <v>8</v>
      </c>
      <c r="J107" s="33">
        <v>26</v>
      </c>
      <c r="K107" s="33">
        <v>29</v>
      </c>
      <c r="L107" s="33">
        <v>37</v>
      </c>
      <c r="M107" s="33">
        <v>31</v>
      </c>
      <c r="N107" s="33">
        <v>70</v>
      </c>
      <c r="O107" s="33">
        <v>52</v>
      </c>
      <c r="P107" s="33">
        <v>49</v>
      </c>
      <c r="Q107" s="33">
        <v>82</v>
      </c>
      <c r="R107" s="36"/>
      <c r="S107" s="36"/>
      <c r="T107" s="62">
        <v>47</v>
      </c>
      <c r="U107" s="60"/>
    </row>
    <row r="108" spans="1:27" ht="15.75" customHeight="1">
      <c r="A108" s="47">
        <v>2</v>
      </c>
      <c r="B108" s="47">
        <v>3</v>
      </c>
      <c r="C108" s="47">
        <v>22</v>
      </c>
      <c r="D108" s="25" t="s">
        <v>122</v>
      </c>
      <c r="E108" s="25" t="s">
        <v>123</v>
      </c>
      <c r="F108" s="25" t="s">
        <v>25</v>
      </c>
      <c r="G108" s="49">
        <v>50725</v>
      </c>
      <c r="H108" s="51">
        <v>62</v>
      </c>
      <c r="I108" s="56">
        <v>3</v>
      </c>
      <c r="J108" s="33">
        <v>152</v>
      </c>
      <c r="K108" s="33">
        <v>144</v>
      </c>
      <c r="L108" s="33">
        <v>194</v>
      </c>
      <c r="M108" s="36"/>
      <c r="N108" s="36"/>
      <c r="O108" s="36"/>
      <c r="P108" s="36"/>
      <c r="Q108" s="36"/>
      <c r="R108" s="36"/>
      <c r="S108" s="36"/>
      <c r="T108" s="62">
        <v>163.33000000000001</v>
      </c>
      <c r="U108" s="60"/>
    </row>
    <row r="109" spans="1:27" ht="15.75" customHeight="1">
      <c r="A109" s="47">
        <v>2</v>
      </c>
      <c r="B109" s="47">
        <v>4</v>
      </c>
      <c r="C109" s="47">
        <v>2</v>
      </c>
      <c r="D109" s="25" t="s">
        <v>124</v>
      </c>
      <c r="E109" s="25" t="s">
        <v>125</v>
      </c>
      <c r="F109" s="25" t="s">
        <v>31</v>
      </c>
      <c r="G109" s="49">
        <v>50761</v>
      </c>
      <c r="H109" s="51">
        <v>250</v>
      </c>
      <c r="I109" s="56">
        <v>10</v>
      </c>
      <c r="J109" s="33">
        <v>80</v>
      </c>
      <c r="K109" s="33">
        <v>45</v>
      </c>
      <c r="L109" s="33">
        <v>64</v>
      </c>
      <c r="M109" s="33">
        <v>66</v>
      </c>
      <c r="N109" s="33">
        <v>44</v>
      </c>
      <c r="O109" s="33">
        <v>54</v>
      </c>
      <c r="P109" s="33">
        <v>39</v>
      </c>
      <c r="Q109" s="33">
        <v>46</v>
      </c>
      <c r="R109" s="33">
        <v>35</v>
      </c>
      <c r="S109" s="33">
        <v>21</v>
      </c>
      <c r="T109" s="62">
        <v>49.4</v>
      </c>
      <c r="U109" s="60"/>
    </row>
    <row r="110" spans="1:27" ht="15.75" customHeight="1">
      <c r="A110" s="47">
        <v>2</v>
      </c>
      <c r="B110" s="47">
        <v>4</v>
      </c>
      <c r="C110" s="47">
        <v>2</v>
      </c>
      <c r="D110" s="25" t="s">
        <v>124</v>
      </c>
      <c r="E110" s="25" t="s">
        <v>125</v>
      </c>
      <c r="F110" s="25" t="s">
        <v>25</v>
      </c>
      <c r="G110" s="49">
        <v>50113</v>
      </c>
      <c r="H110" s="51">
        <v>172</v>
      </c>
      <c r="I110" s="56">
        <v>8</v>
      </c>
      <c r="J110" s="33">
        <v>61</v>
      </c>
      <c r="K110" s="33">
        <v>80</v>
      </c>
      <c r="L110" s="33">
        <v>61</v>
      </c>
      <c r="M110" s="33">
        <v>74</v>
      </c>
      <c r="N110" s="33">
        <v>52</v>
      </c>
      <c r="O110" s="33">
        <v>64</v>
      </c>
      <c r="P110" s="33">
        <v>52</v>
      </c>
      <c r="Q110" s="33">
        <v>33</v>
      </c>
      <c r="R110" s="158"/>
      <c r="S110" s="36"/>
      <c r="T110" s="62">
        <v>59.63</v>
      </c>
      <c r="U110" s="60"/>
    </row>
    <row r="111" spans="1:27" ht="15.75" customHeight="1">
      <c r="A111" s="63">
        <v>2</v>
      </c>
      <c r="B111" s="63">
        <v>4</v>
      </c>
      <c r="C111" s="63">
        <v>2</v>
      </c>
      <c r="D111" s="38" t="s">
        <v>124</v>
      </c>
      <c r="E111" s="38" t="s">
        <v>125</v>
      </c>
      <c r="F111" s="38" t="s">
        <v>25</v>
      </c>
      <c r="G111" s="64">
        <v>50659</v>
      </c>
      <c r="H111" s="65">
        <v>63</v>
      </c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67" t="s">
        <v>43</v>
      </c>
    </row>
    <row r="112" spans="1:27" ht="15.75" customHeight="1">
      <c r="A112" s="159">
        <v>2</v>
      </c>
      <c r="B112" s="159">
        <v>4</v>
      </c>
      <c r="C112" s="159">
        <v>2</v>
      </c>
      <c r="D112" s="153" t="s">
        <v>126</v>
      </c>
      <c r="E112" s="153" t="s">
        <v>127</v>
      </c>
      <c r="F112" s="153" t="s">
        <v>25</v>
      </c>
      <c r="G112" s="161">
        <v>50767</v>
      </c>
      <c r="H112" s="162">
        <v>145</v>
      </c>
      <c r="I112" s="153">
        <v>1</v>
      </c>
      <c r="J112" s="153">
        <v>39</v>
      </c>
      <c r="K112" s="160"/>
      <c r="L112" s="160"/>
      <c r="M112" s="160"/>
      <c r="N112" s="160"/>
      <c r="O112" s="160"/>
      <c r="P112" s="160"/>
      <c r="Q112" s="160"/>
      <c r="R112" s="160"/>
      <c r="S112" s="160"/>
      <c r="T112" s="159">
        <v>39</v>
      </c>
      <c r="U112" s="163" t="s">
        <v>128</v>
      </c>
      <c r="V112" s="137"/>
      <c r="W112" s="137"/>
      <c r="X112" s="137"/>
      <c r="Y112" s="137"/>
      <c r="Z112" s="137"/>
      <c r="AA112" s="137"/>
    </row>
    <row r="113" spans="1:27" ht="15.75" customHeight="1">
      <c r="A113" s="47">
        <v>2</v>
      </c>
      <c r="B113" s="47">
        <v>4</v>
      </c>
      <c r="C113" s="47">
        <v>3</v>
      </c>
      <c r="D113" s="25" t="s">
        <v>60</v>
      </c>
      <c r="E113" s="25" t="s">
        <v>61</v>
      </c>
      <c r="F113" s="25" t="s">
        <v>31</v>
      </c>
      <c r="G113" s="49">
        <v>50810</v>
      </c>
      <c r="H113" s="51">
        <v>482</v>
      </c>
      <c r="I113" s="56">
        <v>10</v>
      </c>
      <c r="J113" s="33">
        <v>151</v>
      </c>
      <c r="K113" s="33">
        <v>122</v>
      </c>
      <c r="L113" s="33">
        <v>145</v>
      </c>
      <c r="M113" s="33">
        <v>187</v>
      </c>
      <c r="N113" s="33">
        <v>177</v>
      </c>
      <c r="O113" s="33">
        <v>155</v>
      </c>
      <c r="P113" s="33">
        <v>134</v>
      </c>
      <c r="Q113" s="33">
        <v>170</v>
      </c>
      <c r="R113" s="33">
        <v>145</v>
      </c>
      <c r="S113" s="33">
        <v>69</v>
      </c>
      <c r="T113" s="32">
        <v>145.5</v>
      </c>
      <c r="U113" s="60"/>
    </row>
    <row r="114" spans="1:27" ht="15.75" customHeight="1">
      <c r="A114" s="47">
        <v>2</v>
      </c>
      <c r="B114" s="47">
        <v>4</v>
      </c>
      <c r="C114" s="47">
        <v>4</v>
      </c>
      <c r="D114" s="25" t="s">
        <v>129</v>
      </c>
      <c r="E114" s="25" t="s">
        <v>130</v>
      </c>
      <c r="F114" s="25" t="s">
        <v>31</v>
      </c>
      <c r="G114" s="49">
        <v>50827</v>
      </c>
      <c r="H114" s="51">
        <v>654</v>
      </c>
      <c r="I114" s="56">
        <v>10</v>
      </c>
      <c r="J114" s="33">
        <v>38</v>
      </c>
      <c r="K114" s="33">
        <v>20</v>
      </c>
      <c r="L114" s="33">
        <v>23</v>
      </c>
      <c r="M114" s="33">
        <v>19</v>
      </c>
      <c r="N114" s="33">
        <v>34</v>
      </c>
      <c r="O114" s="33">
        <v>28</v>
      </c>
      <c r="P114" s="33">
        <v>24</v>
      </c>
      <c r="Q114" s="33">
        <v>27</v>
      </c>
      <c r="R114" s="33">
        <v>29</v>
      </c>
      <c r="S114" s="33">
        <v>29</v>
      </c>
      <c r="T114" s="32">
        <v>27.1</v>
      </c>
      <c r="U114" s="60"/>
    </row>
    <row r="115" spans="1:27" ht="15.75" customHeight="1">
      <c r="A115" s="159">
        <v>2</v>
      </c>
      <c r="B115" s="159">
        <v>4</v>
      </c>
      <c r="C115" s="159">
        <v>4</v>
      </c>
      <c r="D115" s="153" t="s">
        <v>60</v>
      </c>
      <c r="E115" s="153" t="s">
        <v>61</v>
      </c>
      <c r="F115" s="153" t="s">
        <v>31</v>
      </c>
      <c r="G115" s="161">
        <v>50860</v>
      </c>
      <c r="H115" s="162">
        <v>214</v>
      </c>
      <c r="I115" s="153">
        <v>9</v>
      </c>
      <c r="J115" s="153">
        <v>42</v>
      </c>
      <c r="K115" s="153">
        <v>67</v>
      </c>
      <c r="L115" s="153">
        <v>31</v>
      </c>
      <c r="M115" s="153">
        <v>43</v>
      </c>
      <c r="N115" s="153">
        <v>46</v>
      </c>
      <c r="O115" s="153">
        <v>46</v>
      </c>
      <c r="P115" s="153">
        <v>26</v>
      </c>
      <c r="Q115" s="153">
        <v>30</v>
      </c>
      <c r="R115" s="153">
        <v>30</v>
      </c>
      <c r="S115" s="160"/>
      <c r="T115" s="164">
        <v>40.11</v>
      </c>
      <c r="U115" s="163" t="s">
        <v>131</v>
      </c>
      <c r="V115" s="137"/>
      <c r="W115" s="137"/>
      <c r="X115" s="137"/>
      <c r="Y115" s="137"/>
      <c r="Z115" s="137"/>
      <c r="AA115" s="137"/>
    </row>
    <row r="116" spans="1:27" ht="15.75" customHeight="1">
      <c r="A116" s="47">
        <v>2</v>
      </c>
      <c r="B116" s="47">
        <v>4</v>
      </c>
      <c r="C116" s="47">
        <v>5</v>
      </c>
      <c r="D116" s="25" t="s">
        <v>56</v>
      </c>
      <c r="E116" s="25" t="s">
        <v>57</v>
      </c>
      <c r="F116" s="25" t="s">
        <v>31</v>
      </c>
      <c r="G116" s="49">
        <v>50712</v>
      </c>
      <c r="H116" s="51">
        <v>621</v>
      </c>
      <c r="I116" s="56">
        <v>10</v>
      </c>
      <c r="J116" s="33">
        <v>103</v>
      </c>
      <c r="K116" s="33">
        <v>88</v>
      </c>
      <c r="L116" s="33">
        <v>123</v>
      </c>
      <c r="M116" s="33">
        <v>102</v>
      </c>
      <c r="N116" s="33">
        <v>120</v>
      </c>
      <c r="O116" s="33">
        <v>122</v>
      </c>
      <c r="P116" s="33">
        <v>138.5</v>
      </c>
      <c r="Q116" s="33">
        <v>104</v>
      </c>
      <c r="R116" s="33">
        <v>175</v>
      </c>
      <c r="S116" s="33">
        <v>89</v>
      </c>
      <c r="T116" s="32">
        <v>116.45</v>
      </c>
      <c r="U116" s="60"/>
    </row>
    <row r="117" spans="1:27" ht="15.75" customHeight="1">
      <c r="A117" s="47">
        <v>2</v>
      </c>
      <c r="B117" s="47">
        <v>4</v>
      </c>
      <c r="C117" s="47">
        <v>6</v>
      </c>
      <c r="D117" s="25" t="s">
        <v>132</v>
      </c>
      <c r="E117" s="25" t="s">
        <v>133</v>
      </c>
      <c r="F117" s="25" t="s">
        <v>109</v>
      </c>
      <c r="G117" s="49">
        <v>50716</v>
      </c>
      <c r="H117" s="51">
        <v>82</v>
      </c>
      <c r="I117" s="56">
        <v>4</v>
      </c>
      <c r="J117" s="33">
        <v>6</v>
      </c>
      <c r="K117" s="33">
        <v>5.5</v>
      </c>
      <c r="L117" s="33">
        <v>6</v>
      </c>
      <c r="M117" s="33" t="s">
        <v>207</v>
      </c>
      <c r="N117" s="36"/>
      <c r="O117" s="36"/>
      <c r="P117" s="36"/>
      <c r="Q117" s="36"/>
      <c r="R117" s="36"/>
      <c r="S117" s="36"/>
      <c r="T117" s="62">
        <v>5.83</v>
      </c>
      <c r="U117" s="60"/>
    </row>
    <row r="118" spans="1:27" ht="15.75" customHeight="1">
      <c r="A118" s="47">
        <v>2</v>
      </c>
      <c r="B118" s="47">
        <v>4</v>
      </c>
      <c r="C118" s="47">
        <v>6</v>
      </c>
      <c r="D118" s="25" t="s">
        <v>132</v>
      </c>
      <c r="E118" s="25" t="s">
        <v>133</v>
      </c>
      <c r="F118" s="25" t="s">
        <v>109</v>
      </c>
      <c r="G118" s="49">
        <v>50789</v>
      </c>
      <c r="H118" s="51">
        <v>327</v>
      </c>
      <c r="I118" s="56">
        <v>10</v>
      </c>
      <c r="J118" s="33">
        <v>48</v>
      </c>
      <c r="K118" s="33">
        <v>54</v>
      </c>
      <c r="L118" s="33">
        <v>46</v>
      </c>
      <c r="M118" s="33">
        <v>37</v>
      </c>
      <c r="N118" s="33">
        <v>36</v>
      </c>
      <c r="O118" s="33">
        <v>35</v>
      </c>
      <c r="P118" s="33">
        <v>32</v>
      </c>
      <c r="Q118" s="33">
        <v>37</v>
      </c>
      <c r="R118" s="33">
        <v>28</v>
      </c>
      <c r="S118" s="33">
        <v>3</v>
      </c>
      <c r="T118" s="32">
        <v>35.6</v>
      </c>
      <c r="U118" s="60"/>
    </row>
    <row r="119" spans="1:27" ht="15.75" customHeight="1">
      <c r="A119" s="47">
        <v>2</v>
      </c>
      <c r="B119" s="47">
        <v>4</v>
      </c>
      <c r="C119" s="47">
        <v>6</v>
      </c>
      <c r="D119" s="25" t="s">
        <v>132</v>
      </c>
      <c r="E119" s="25" t="s">
        <v>133</v>
      </c>
      <c r="F119" s="25" t="s">
        <v>34</v>
      </c>
      <c r="G119" s="49">
        <v>50710</v>
      </c>
      <c r="H119" s="51">
        <v>15</v>
      </c>
      <c r="I119" s="56">
        <v>3</v>
      </c>
      <c r="J119" s="33">
        <v>44</v>
      </c>
      <c r="K119" s="33">
        <v>39</v>
      </c>
      <c r="L119" s="33">
        <v>22</v>
      </c>
      <c r="M119" s="36"/>
      <c r="N119" s="36"/>
      <c r="O119" s="36"/>
      <c r="P119" s="36"/>
      <c r="Q119" s="36"/>
      <c r="R119" s="36"/>
      <c r="S119" s="36"/>
      <c r="T119" s="32">
        <v>35</v>
      </c>
      <c r="U119" s="60"/>
    </row>
    <row r="120" spans="1:27" ht="15.75" customHeight="1">
      <c r="A120" s="47">
        <v>2</v>
      </c>
      <c r="B120" s="47">
        <v>4</v>
      </c>
      <c r="C120" s="47">
        <v>7</v>
      </c>
      <c r="D120" s="25" t="s">
        <v>134</v>
      </c>
      <c r="E120" s="25" t="s">
        <v>135</v>
      </c>
      <c r="F120" s="25" t="s">
        <v>25</v>
      </c>
      <c r="G120" s="49">
        <v>50268</v>
      </c>
      <c r="H120" s="51">
        <v>411</v>
      </c>
      <c r="I120" s="56">
        <v>10</v>
      </c>
      <c r="J120" s="33">
        <v>16</v>
      </c>
      <c r="K120" s="33">
        <v>17</v>
      </c>
      <c r="L120" s="33">
        <v>46</v>
      </c>
      <c r="M120" s="33">
        <v>51</v>
      </c>
      <c r="N120" s="33">
        <v>41</v>
      </c>
      <c r="O120" s="33">
        <v>21</v>
      </c>
      <c r="P120" s="33">
        <v>39</v>
      </c>
      <c r="Q120" s="33">
        <v>41</v>
      </c>
      <c r="R120" s="33">
        <v>34</v>
      </c>
      <c r="S120" s="33">
        <v>24</v>
      </c>
      <c r="T120" s="32">
        <v>33</v>
      </c>
      <c r="U120" s="60"/>
    </row>
    <row r="121" spans="1:27" ht="15.75" customHeight="1">
      <c r="A121" s="71">
        <v>2</v>
      </c>
      <c r="B121" s="71">
        <v>4</v>
      </c>
      <c r="C121" s="71">
        <v>7</v>
      </c>
      <c r="D121" s="53" t="s">
        <v>134</v>
      </c>
      <c r="E121" s="53" t="s">
        <v>135</v>
      </c>
      <c r="F121" s="53" t="s">
        <v>68</v>
      </c>
      <c r="G121" s="73">
        <v>50169</v>
      </c>
      <c r="H121" s="74">
        <v>10</v>
      </c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94"/>
      <c r="U121" s="79" t="s">
        <v>55</v>
      </c>
    </row>
    <row r="122" spans="1:27" ht="15.75" customHeight="1">
      <c r="A122" s="47">
        <v>2</v>
      </c>
      <c r="B122" s="47">
        <v>4</v>
      </c>
      <c r="C122" s="47">
        <v>9</v>
      </c>
      <c r="D122" s="25" t="s">
        <v>136</v>
      </c>
      <c r="E122" s="25" t="s">
        <v>137</v>
      </c>
      <c r="F122" s="25" t="s">
        <v>68</v>
      </c>
      <c r="G122" s="49">
        <v>50830</v>
      </c>
      <c r="H122" s="51">
        <v>329</v>
      </c>
      <c r="I122" s="56">
        <v>10</v>
      </c>
      <c r="J122" s="33">
        <v>128</v>
      </c>
      <c r="K122" s="33">
        <v>139</v>
      </c>
      <c r="L122" s="33">
        <v>138</v>
      </c>
      <c r="M122" s="33">
        <v>127</v>
      </c>
      <c r="N122" s="33">
        <v>140</v>
      </c>
      <c r="O122" s="33">
        <v>123</v>
      </c>
      <c r="P122" s="33">
        <v>140</v>
      </c>
      <c r="Q122" s="33">
        <v>144.5</v>
      </c>
      <c r="R122" s="33">
        <v>118</v>
      </c>
      <c r="S122" s="33">
        <v>127</v>
      </c>
      <c r="T122" s="32">
        <v>132.44999999999999</v>
      </c>
      <c r="U122" s="60"/>
    </row>
    <row r="123" spans="1:27" ht="15.75" customHeight="1">
      <c r="A123" s="47">
        <v>2</v>
      </c>
      <c r="B123" s="47">
        <v>4</v>
      </c>
      <c r="C123" s="47">
        <v>9</v>
      </c>
      <c r="D123" s="25" t="s">
        <v>136</v>
      </c>
      <c r="E123" s="25" t="s">
        <v>137</v>
      </c>
      <c r="F123" s="25" t="s">
        <v>25</v>
      </c>
      <c r="G123" s="49">
        <v>50757</v>
      </c>
      <c r="H123" s="51">
        <v>10</v>
      </c>
      <c r="I123" s="56">
        <v>1</v>
      </c>
      <c r="J123" s="33">
        <v>30</v>
      </c>
      <c r="K123" s="36"/>
      <c r="L123" s="36"/>
      <c r="M123" s="36"/>
      <c r="N123" s="36"/>
      <c r="O123" s="36"/>
      <c r="P123" s="36"/>
      <c r="Q123" s="36"/>
      <c r="R123" s="36"/>
      <c r="S123" s="36"/>
      <c r="T123" s="32">
        <v>30</v>
      </c>
      <c r="U123" s="60"/>
    </row>
    <row r="124" spans="1:27" ht="15.75" customHeight="1">
      <c r="A124" s="47">
        <v>2</v>
      </c>
      <c r="B124" s="47">
        <v>4</v>
      </c>
      <c r="C124" s="47">
        <v>10</v>
      </c>
      <c r="D124" s="25" t="s">
        <v>138</v>
      </c>
      <c r="E124" s="25" t="s">
        <v>139</v>
      </c>
      <c r="F124" s="25" t="s">
        <v>68</v>
      </c>
      <c r="G124" s="49">
        <v>50828</v>
      </c>
      <c r="H124" s="51">
        <v>954</v>
      </c>
      <c r="I124" s="56">
        <v>10</v>
      </c>
      <c r="J124" s="33">
        <v>58</v>
      </c>
      <c r="K124" s="33">
        <v>42</v>
      </c>
      <c r="L124" s="33">
        <v>40</v>
      </c>
      <c r="M124" s="33">
        <v>36.5</v>
      </c>
      <c r="N124" s="33">
        <v>63.5</v>
      </c>
      <c r="O124" s="33">
        <v>90.5</v>
      </c>
      <c r="P124" s="33">
        <v>88</v>
      </c>
      <c r="Q124" s="33">
        <v>39</v>
      </c>
      <c r="R124" s="33">
        <v>72</v>
      </c>
      <c r="S124" s="33">
        <v>54</v>
      </c>
      <c r="T124" s="32">
        <v>58.35</v>
      </c>
      <c r="U124" s="60"/>
    </row>
    <row r="125" spans="1:27" ht="15.75" customHeight="1">
      <c r="A125" s="47">
        <v>2</v>
      </c>
      <c r="B125" s="47">
        <v>4</v>
      </c>
      <c r="C125" s="47">
        <v>10</v>
      </c>
      <c r="D125" s="25" t="s">
        <v>140</v>
      </c>
      <c r="E125" s="25" t="s">
        <v>141</v>
      </c>
      <c r="F125" s="25" t="s">
        <v>25</v>
      </c>
      <c r="G125" s="49">
        <v>50763</v>
      </c>
      <c r="H125" s="51">
        <v>19</v>
      </c>
      <c r="I125" s="56">
        <v>1</v>
      </c>
      <c r="J125" s="33">
        <v>35</v>
      </c>
      <c r="K125" s="36"/>
      <c r="L125" s="36"/>
      <c r="M125" s="36"/>
      <c r="N125" s="36"/>
      <c r="O125" s="36"/>
      <c r="P125" s="36"/>
      <c r="Q125" s="36"/>
      <c r="R125" s="36"/>
      <c r="S125" s="36"/>
      <c r="T125" s="32">
        <v>35</v>
      </c>
      <c r="U125" s="60"/>
    </row>
    <row r="126" spans="1:27" ht="15.75" customHeight="1">
      <c r="A126" s="47">
        <v>2</v>
      </c>
      <c r="B126" s="47">
        <v>4</v>
      </c>
      <c r="C126" s="47">
        <v>10</v>
      </c>
      <c r="D126" s="25" t="s">
        <v>138</v>
      </c>
      <c r="E126" s="25" t="s">
        <v>139</v>
      </c>
      <c r="F126" s="25" t="s">
        <v>68</v>
      </c>
      <c r="G126" s="49">
        <v>50295</v>
      </c>
      <c r="H126" s="51">
        <v>11</v>
      </c>
      <c r="I126" s="56">
        <v>2</v>
      </c>
      <c r="J126" s="33">
        <v>76</v>
      </c>
      <c r="K126" s="33">
        <v>45</v>
      </c>
      <c r="L126" s="36"/>
      <c r="M126" s="36"/>
      <c r="N126" s="36"/>
      <c r="O126" s="36"/>
      <c r="P126" s="36"/>
      <c r="Q126" s="36"/>
      <c r="R126" s="36"/>
      <c r="S126" s="36"/>
      <c r="T126" s="32">
        <v>60.5</v>
      </c>
      <c r="U126" s="60"/>
    </row>
    <row r="127" spans="1:27" ht="15.75" customHeight="1">
      <c r="A127" s="47">
        <v>2</v>
      </c>
      <c r="B127" s="47">
        <v>4</v>
      </c>
      <c r="C127" s="47">
        <v>10</v>
      </c>
      <c r="D127" s="25" t="s">
        <v>140</v>
      </c>
      <c r="E127" s="25" t="s">
        <v>141</v>
      </c>
      <c r="F127" s="25" t="s">
        <v>68</v>
      </c>
      <c r="G127" s="49">
        <v>50638</v>
      </c>
      <c r="H127" s="51">
        <v>52</v>
      </c>
      <c r="I127" s="56">
        <v>3</v>
      </c>
      <c r="J127" s="33">
        <v>58</v>
      </c>
      <c r="K127" s="33">
        <v>68</v>
      </c>
      <c r="L127" s="33">
        <v>66</v>
      </c>
      <c r="M127" s="36"/>
      <c r="N127" s="36"/>
      <c r="O127" s="36"/>
      <c r="P127" s="36"/>
      <c r="Q127" s="36"/>
      <c r="R127" s="36"/>
      <c r="S127" s="36"/>
      <c r="T127" s="62">
        <v>64</v>
      </c>
      <c r="U127" s="60"/>
    </row>
    <row r="128" spans="1:27" ht="15.75" customHeight="1">
      <c r="A128" s="47">
        <v>2</v>
      </c>
      <c r="B128" s="47">
        <v>4</v>
      </c>
      <c r="C128" s="47">
        <v>10</v>
      </c>
      <c r="D128" s="25" t="s">
        <v>138</v>
      </c>
      <c r="E128" s="25" t="s">
        <v>139</v>
      </c>
      <c r="F128" s="25" t="s">
        <v>25</v>
      </c>
      <c r="G128" s="49">
        <v>50750</v>
      </c>
      <c r="H128" s="51">
        <v>82</v>
      </c>
      <c r="I128" s="56">
        <v>1</v>
      </c>
      <c r="J128" s="33">
        <v>57.5</v>
      </c>
      <c r="K128" s="36"/>
      <c r="L128" s="36"/>
      <c r="M128" s="36"/>
      <c r="N128" s="36"/>
      <c r="O128" s="36"/>
      <c r="P128" s="36"/>
      <c r="Q128" s="36"/>
      <c r="R128" s="36"/>
      <c r="S128" s="36"/>
      <c r="T128" s="32">
        <v>57.5</v>
      </c>
      <c r="U128" s="60"/>
    </row>
    <row r="129" spans="1:21" ht="15.75" customHeight="1">
      <c r="A129" s="63">
        <v>2</v>
      </c>
      <c r="B129" s="63">
        <v>4</v>
      </c>
      <c r="C129" s="63">
        <v>11</v>
      </c>
      <c r="D129" s="38" t="s">
        <v>142</v>
      </c>
      <c r="E129" s="38" t="s">
        <v>143</v>
      </c>
      <c r="F129" s="38" t="s">
        <v>144</v>
      </c>
      <c r="G129" s="64">
        <v>50769</v>
      </c>
      <c r="H129" s="65">
        <v>2</v>
      </c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67" t="s">
        <v>43</v>
      </c>
    </row>
    <row r="130" spans="1:21" ht="15.75" customHeight="1">
      <c r="A130" s="47">
        <v>2</v>
      </c>
      <c r="B130" s="47">
        <v>4</v>
      </c>
      <c r="C130" s="47">
        <v>13</v>
      </c>
      <c r="D130" s="25" t="s">
        <v>32</v>
      </c>
      <c r="E130" s="25" t="s">
        <v>33</v>
      </c>
      <c r="F130" s="25" t="s">
        <v>68</v>
      </c>
      <c r="G130" s="49">
        <v>50819</v>
      </c>
      <c r="H130" s="51">
        <v>1285</v>
      </c>
      <c r="I130" s="56">
        <v>10</v>
      </c>
      <c r="J130" s="33">
        <v>116</v>
      </c>
      <c r="K130" s="33">
        <v>159</v>
      </c>
      <c r="L130" s="33">
        <v>152</v>
      </c>
      <c r="M130" s="33">
        <v>36.9</v>
      </c>
      <c r="N130" s="33">
        <v>85</v>
      </c>
      <c r="O130" s="33">
        <v>85</v>
      </c>
      <c r="P130" s="33">
        <v>119</v>
      </c>
      <c r="Q130" s="33">
        <v>98</v>
      </c>
      <c r="R130" s="33">
        <v>82</v>
      </c>
      <c r="S130" s="33">
        <v>47</v>
      </c>
      <c r="T130" s="32">
        <v>97.99</v>
      </c>
      <c r="U130" s="60"/>
    </row>
    <row r="131" spans="1:21" ht="15.75" customHeight="1">
      <c r="A131" s="47">
        <v>2</v>
      </c>
      <c r="B131" s="47">
        <v>4</v>
      </c>
      <c r="C131" s="47">
        <v>14</v>
      </c>
      <c r="D131" s="25" t="s">
        <v>145</v>
      </c>
      <c r="E131" s="25" t="s">
        <v>146</v>
      </c>
      <c r="F131" s="25" t="s">
        <v>31</v>
      </c>
      <c r="G131" s="49">
        <v>50809</v>
      </c>
      <c r="H131" s="51">
        <v>664</v>
      </c>
      <c r="I131" s="56">
        <v>10</v>
      </c>
      <c r="J131" s="33">
        <v>90</v>
      </c>
      <c r="K131" s="33">
        <v>99</v>
      </c>
      <c r="L131" s="33">
        <v>94</v>
      </c>
      <c r="M131" s="33">
        <v>91</v>
      </c>
      <c r="N131" s="33">
        <v>91</v>
      </c>
      <c r="O131" s="33">
        <v>93</v>
      </c>
      <c r="P131" s="33">
        <v>89</v>
      </c>
      <c r="Q131" s="33">
        <v>59</v>
      </c>
      <c r="R131" s="33">
        <v>79</v>
      </c>
      <c r="S131" s="33">
        <v>38.5</v>
      </c>
      <c r="T131" s="32">
        <v>82.35</v>
      </c>
      <c r="U131" s="60"/>
    </row>
    <row r="132" spans="1:21" ht="15.75" customHeight="1">
      <c r="A132" s="63">
        <v>2</v>
      </c>
      <c r="B132" s="63">
        <v>4</v>
      </c>
      <c r="C132" s="63">
        <v>15</v>
      </c>
      <c r="D132" s="38" t="s">
        <v>147</v>
      </c>
      <c r="E132" s="38" t="s">
        <v>148</v>
      </c>
      <c r="F132" s="38" t="s">
        <v>25</v>
      </c>
      <c r="G132" s="64">
        <v>50376</v>
      </c>
      <c r="H132" s="65">
        <v>6</v>
      </c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67" t="s">
        <v>43</v>
      </c>
    </row>
    <row r="133" spans="1:21" ht="15.75" customHeight="1">
      <c r="A133" s="47">
        <v>2</v>
      </c>
      <c r="B133" s="47">
        <v>4</v>
      </c>
      <c r="C133" s="47">
        <v>15</v>
      </c>
      <c r="D133" s="25" t="s">
        <v>149</v>
      </c>
      <c r="E133" s="25" t="s">
        <v>150</v>
      </c>
      <c r="F133" s="25" t="s">
        <v>31</v>
      </c>
      <c r="G133" s="49">
        <v>50815</v>
      </c>
      <c r="H133" s="51">
        <v>81</v>
      </c>
      <c r="I133" s="56">
        <v>3</v>
      </c>
      <c r="J133" s="33">
        <v>125</v>
      </c>
      <c r="K133" s="33">
        <v>149.9</v>
      </c>
      <c r="L133" s="33">
        <v>133.5</v>
      </c>
      <c r="M133" s="36"/>
      <c r="N133" s="36"/>
      <c r="O133" s="36"/>
      <c r="P133" s="36"/>
      <c r="Q133" s="36"/>
      <c r="R133" s="36"/>
      <c r="S133" s="36"/>
      <c r="T133" s="62">
        <v>136.13</v>
      </c>
      <c r="U133" s="60"/>
    </row>
    <row r="134" spans="1:21" ht="15.75" customHeight="1">
      <c r="A134" s="47">
        <v>2</v>
      </c>
      <c r="B134" s="47">
        <v>4</v>
      </c>
      <c r="C134" s="47">
        <v>15</v>
      </c>
      <c r="D134" s="25" t="s">
        <v>145</v>
      </c>
      <c r="E134" s="25" t="s">
        <v>146</v>
      </c>
      <c r="F134" s="25" t="s">
        <v>31</v>
      </c>
      <c r="G134" s="49">
        <v>50711</v>
      </c>
      <c r="H134" s="51">
        <v>100</v>
      </c>
      <c r="I134" s="56">
        <v>3</v>
      </c>
      <c r="J134" s="33">
        <v>84</v>
      </c>
      <c r="K134" s="33">
        <v>67</v>
      </c>
      <c r="L134" s="33">
        <v>40</v>
      </c>
      <c r="M134" s="36"/>
      <c r="N134" s="36"/>
      <c r="O134" s="36"/>
      <c r="P134" s="36"/>
      <c r="Q134" s="36"/>
      <c r="R134" s="36"/>
      <c r="S134" s="36"/>
      <c r="T134" s="62">
        <v>63.67</v>
      </c>
      <c r="U134" s="60"/>
    </row>
    <row r="135" spans="1:21" ht="15.75" customHeight="1">
      <c r="A135" s="47">
        <v>2</v>
      </c>
      <c r="B135" s="47">
        <v>4</v>
      </c>
      <c r="C135" s="47">
        <v>15</v>
      </c>
      <c r="D135" s="25" t="s">
        <v>145</v>
      </c>
      <c r="E135" s="25" t="s">
        <v>146</v>
      </c>
      <c r="F135" s="25" t="s">
        <v>68</v>
      </c>
      <c r="G135" s="49">
        <v>50701</v>
      </c>
      <c r="H135" s="51">
        <v>70</v>
      </c>
      <c r="I135" s="56">
        <v>3</v>
      </c>
      <c r="J135" s="33">
        <v>17</v>
      </c>
      <c r="K135" s="33">
        <v>27</v>
      </c>
      <c r="L135" s="33">
        <v>16</v>
      </c>
      <c r="M135" s="36"/>
      <c r="N135" s="36"/>
      <c r="O135" s="36"/>
      <c r="P135" s="36"/>
      <c r="Q135" s="36"/>
      <c r="R135" s="36"/>
      <c r="S135" s="36"/>
      <c r="T135" s="62">
        <v>20</v>
      </c>
      <c r="U135" s="60"/>
    </row>
    <row r="136" spans="1:21" ht="15.75" customHeight="1">
      <c r="A136" s="47">
        <v>2</v>
      </c>
      <c r="B136" s="47">
        <v>4</v>
      </c>
      <c r="C136" s="47">
        <v>15</v>
      </c>
      <c r="D136" s="25" t="s">
        <v>151</v>
      </c>
      <c r="E136" s="25" t="s">
        <v>152</v>
      </c>
      <c r="F136" s="25" t="s">
        <v>144</v>
      </c>
      <c r="G136" s="49">
        <v>50776</v>
      </c>
      <c r="H136" s="51">
        <v>28</v>
      </c>
      <c r="I136" s="56">
        <v>1</v>
      </c>
      <c r="J136" s="33">
        <v>30</v>
      </c>
      <c r="K136" s="36"/>
      <c r="L136" s="36"/>
      <c r="M136" s="36"/>
      <c r="N136" s="36"/>
      <c r="O136" s="36"/>
      <c r="P136" s="36"/>
      <c r="Q136" s="36"/>
      <c r="R136" s="36"/>
      <c r="S136" s="36"/>
      <c r="T136" s="62">
        <v>30</v>
      </c>
      <c r="U136" s="60"/>
    </row>
    <row r="137" spans="1:21" ht="15.75" customHeight="1">
      <c r="A137" s="63">
        <v>2</v>
      </c>
      <c r="B137" s="63">
        <v>4</v>
      </c>
      <c r="C137" s="63">
        <v>15</v>
      </c>
      <c r="D137" s="38" t="s">
        <v>151</v>
      </c>
      <c r="E137" s="38" t="s">
        <v>152</v>
      </c>
      <c r="F137" s="38" t="s">
        <v>31</v>
      </c>
      <c r="G137" s="64">
        <v>50811</v>
      </c>
      <c r="H137" s="65">
        <v>4</v>
      </c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67" t="s">
        <v>43</v>
      </c>
    </row>
    <row r="138" spans="1:21" ht="15.75" customHeight="1">
      <c r="A138" s="47">
        <v>2</v>
      </c>
      <c r="B138" s="47">
        <v>4</v>
      </c>
      <c r="C138" s="47">
        <v>15</v>
      </c>
      <c r="D138" s="25" t="s">
        <v>153</v>
      </c>
      <c r="E138" s="25" t="s">
        <v>154</v>
      </c>
      <c r="F138" s="25" t="s">
        <v>155</v>
      </c>
      <c r="G138" s="49">
        <v>50851</v>
      </c>
      <c r="H138" s="51">
        <v>15</v>
      </c>
      <c r="I138" s="56">
        <v>1</v>
      </c>
      <c r="J138" s="33">
        <v>28</v>
      </c>
      <c r="K138" s="36"/>
      <c r="L138" s="36"/>
      <c r="M138" s="36"/>
      <c r="N138" s="36"/>
      <c r="O138" s="36"/>
      <c r="P138" s="36"/>
      <c r="Q138" s="36"/>
      <c r="R138" s="36"/>
      <c r="S138" s="36"/>
      <c r="T138" s="32">
        <v>28</v>
      </c>
      <c r="U138" s="60"/>
    </row>
    <row r="139" spans="1:21" ht="15.75" customHeight="1">
      <c r="A139" s="47">
        <v>2</v>
      </c>
      <c r="B139" s="47">
        <v>4</v>
      </c>
      <c r="C139" s="47">
        <v>15</v>
      </c>
      <c r="D139" s="25" t="s">
        <v>156</v>
      </c>
      <c r="E139" s="25" t="s">
        <v>157</v>
      </c>
      <c r="F139" s="25" t="s">
        <v>31</v>
      </c>
      <c r="G139" s="49">
        <v>50805</v>
      </c>
      <c r="H139" s="51">
        <v>15</v>
      </c>
      <c r="I139" s="56">
        <v>1</v>
      </c>
      <c r="J139" s="33">
        <v>40</v>
      </c>
      <c r="K139" s="36"/>
      <c r="L139" s="36"/>
      <c r="M139" s="36"/>
      <c r="N139" s="36"/>
      <c r="O139" s="36"/>
      <c r="P139" s="36"/>
      <c r="Q139" s="36"/>
      <c r="R139" s="36"/>
      <c r="S139" s="36"/>
      <c r="T139" s="32">
        <v>40</v>
      </c>
      <c r="U139" s="60"/>
    </row>
    <row r="140" spans="1:21" ht="15.75" customHeight="1">
      <c r="A140" s="47">
        <v>2</v>
      </c>
      <c r="B140" s="47">
        <v>4</v>
      </c>
      <c r="C140" s="47">
        <v>15</v>
      </c>
      <c r="D140" s="25" t="s">
        <v>158</v>
      </c>
      <c r="E140" s="25" t="s">
        <v>159</v>
      </c>
      <c r="F140" s="25" t="s">
        <v>31</v>
      </c>
      <c r="G140" s="49">
        <v>50849</v>
      </c>
      <c r="H140" s="51">
        <v>27</v>
      </c>
      <c r="I140" s="56">
        <v>1</v>
      </c>
      <c r="J140" s="33">
        <v>36.5</v>
      </c>
      <c r="K140" s="36"/>
      <c r="L140" s="36"/>
      <c r="M140" s="36"/>
      <c r="N140" s="36"/>
      <c r="O140" s="36"/>
      <c r="P140" s="36"/>
      <c r="Q140" s="36"/>
      <c r="R140" s="36"/>
      <c r="S140" s="36"/>
      <c r="T140" s="32">
        <v>36.5</v>
      </c>
      <c r="U140" s="60"/>
    </row>
    <row r="141" spans="1:21" ht="15.75" customHeight="1">
      <c r="A141" s="47">
        <v>2</v>
      </c>
      <c r="B141" s="47">
        <v>4</v>
      </c>
      <c r="C141" s="47">
        <v>15</v>
      </c>
      <c r="D141" s="25" t="s">
        <v>160</v>
      </c>
      <c r="E141" s="25" t="s">
        <v>161</v>
      </c>
      <c r="F141" s="25" t="s">
        <v>34</v>
      </c>
      <c r="G141" s="49">
        <v>50707</v>
      </c>
      <c r="H141" s="51">
        <v>30</v>
      </c>
      <c r="I141" s="56">
        <v>1</v>
      </c>
      <c r="J141" s="33">
        <v>30</v>
      </c>
      <c r="K141" s="36"/>
      <c r="L141" s="36"/>
      <c r="M141" s="36"/>
      <c r="N141" s="36"/>
      <c r="O141" s="36"/>
      <c r="P141" s="36"/>
      <c r="Q141" s="36"/>
      <c r="R141" s="36"/>
      <c r="S141" s="36"/>
      <c r="T141" s="32">
        <v>30</v>
      </c>
      <c r="U141" s="60"/>
    </row>
    <row r="142" spans="1:21" ht="15.75" customHeight="1">
      <c r="A142" s="47">
        <v>2</v>
      </c>
      <c r="B142" s="47">
        <v>4</v>
      </c>
      <c r="C142" s="47">
        <v>15</v>
      </c>
      <c r="D142" s="25" t="s">
        <v>162</v>
      </c>
      <c r="E142" s="25" t="s">
        <v>163</v>
      </c>
      <c r="F142" s="25" t="s">
        <v>34</v>
      </c>
      <c r="G142" s="49">
        <v>50840</v>
      </c>
      <c r="H142" s="51">
        <v>1</v>
      </c>
      <c r="I142" s="56">
        <v>1</v>
      </c>
      <c r="J142" s="33">
        <v>24</v>
      </c>
      <c r="K142" s="36"/>
      <c r="L142" s="36"/>
      <c r="M142" s="36"/>
      <c r="N142" s="36"/>
      <c r="O142" s="36"/>
      <c r="P142" s="36"/>
      <c r="Q142" s="36"/>
      <c r="R142" s="36"/>
      <c r="S142" s="36"/>
      <c r="T142" s="32">
        <v>24</v>
      </c>
      <c r="U142" s="60"/>
    </row>
    <row r="143" spans="1:21" ht="15.75" customHeight="1">
      <c r="A143" s="71">
        <v>2</v>
      </c>
      <c r="B143" s="71">
        <v>4</v>
      </c>
      <c r="C143" s="71">
        <v>15</v>
      </c>
      <c r="D143" s="53" t="s">
        <v>164</v>
      </c>
      <c r="E143" s="53" t="s">
        <v>165</v>
      </c>
      <c r="F143" s="53" t="s">
        <v>166</v>
      </c>
      <c r="G143" s="73">
        <v>50775</v>
      </c>
      <c r="H143" s="74">
        <v>1</v>
      </c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79" t="s">
        <v>55</v>
      </c>
    </row>
    <row r="144" spans="1:21" ht="15.75" customHeight="1">
      <c r="A144" s="63">
        <v>2</v>
      </c>
      <c r="B144" s="63">
        <v>4</v>
      </c>
      <c r="C144" s="63">
        <v>15</v>
      </c>
      <c r="D144" s="38" t="s">
        <v>149</v>
      </c>
      <c r="E144" s="38" t="s">
        <v>150</v>
      </c>
      <c r="F144" s="38" t="s">
        <v>68</v>
      </c>
      <c r="G144" s="64">
        <v>50669</v>
      </c>
      <c r="H144" s="65">
        <v>4</v>
      </c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67" t="s">
        <v>43</v>
      </c>
    </row>
    <row r="145" spans="1:21" ht="15.75" customHeight="1">
      <c r="A145" s="63">
        <v>2</v>
      </c>
      <c r="B145" s="63">
        <v>4</v>
      </c>
      <c r="C145" s="63">
        <v>15</v>
      </c>
      <c r="D145" s="38" t="s">
        <v>149</v>
      </c>
      <c r="E145" s="38" t="s">
        <v>150</v>
      </c>
      <c r="F145" s="38" t="s">
        <v>34</v>
      </c>
      <c r="G145" s="64">
        <v>50433</v>
      </c>
      <c r="H145" s="65">
        <v>3</v>
      </c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67" t="s">
        <v>43</v>
      </c>
    </row>
    <row r="146" spans="1:21" ht="15.75" customHeight="1">
      <c r="A146" s="47">
        <v>2</v>
      </c>
      <c r="B146" s="47">
        <v>4</v>
      </c>
      <c r="C146" s="47">
        <v>16</v>
      </c>
      <c r="D146" s="25" t="s">
        <v>167</v>
      </c>
      <c r="E146" s="25" t="s">
        <v>168</v>
      </c>
      <c r="F146" s="25" t="s">
        <v>31</v>
      </c>
      <c r="G146" s="49">
        <v>50865</v>
      </c>
      <c r="H146" s="51">
        <v>628</v>
      </c>
      <c r="I146" s="56">
        <v>10</v>
      </c>
      <c r="J146" s="33">
        <v>40</v>
      </c>
      <c r="K146" s="33">
        <v>54</v>
      </c>
      <c r="L146" s="33">
        <v>34.5</v>
      </c>
      <c r="M146" s="33">
        <v>26</v>
      </c>
      <c r="N146" s="33">
        <v>33</v>
      </c>
      <c r="O146" s="33">
        <v>36</v>
      </c>
      <c r="P146" s="33">
        <v>15</v>
      </c>
      <c r="Q146" s="33">
        <v>32</v>
      </c>
      <c r="R146" s="33">
        <v>33.5</v>
      </c>
      <c r="S146" s="33">
        <v>35</v>
      </c>
      <c r="T146" s="32">
        <v>33.9</v>
      </c>
      <c r="U146" s="60"/>
    </row>
    <row r="147" spans="1:21" ht="15.75" customHeight="1">
      <c r="A147" s="47">
        <v>2</v>
      </c>
      <c r="B147" s="47">
        <v>4</v>
      </c>
      <c r="C147" s="47">
        <v>16</v>
      </c>
      <c r="D147" s="25" t="s">
        <v>145</v>
      </c>
      <c r="E147" s="25" t="s">
        <v>146</v>
      </c>
      <c r="F147" s="25" t="s">
        <v>31</v>
      </c>
      <c r="G147" s="49">
        <v>50866</v>
      </c>
      <c r="H147" s="51">
        <v>86</v>
      </c>
      <c r="I147" s="56">
        <v>4</v>
      </c>
      <c r="J147" s="33">
        <v>53</v>
      </c>
      <c r="K147" s="33">
        <v>50</v>
      </c>
      <c r="L147" s="33">
        <v>29</v>
      </c>
      <c r="M147" s="33">
        <v>32</v>
      </c>
      <c r="N147" s="36"/>
      <c r="O147" s="36"/>
      <c r="P147" s="36"/>
      <c r="Q147" s="36"/>
      <c r="R147" s="36"/>
      <c r="S147" s="36"/>
      <c r="T147" s="32">
        <v>41</v>
      </c>
      <c r="U147" s="60"/>
    </row>
    <row r="148" spans="1:21" ht="15.75" customHeight="1">
      <c r="A148" s="33">
        <v>2</v>
      </c>
      <c r="B148" s="47">
        <v>4</v>
      </c>
      <c r="C148" s="47">
        <v>17</v>
      </c>
      <c r="D148" s="25" t="s">
        <v>169</v>
      </c>
      <c r="E148" s="25" t="s">
        <v>170</v>
      </c>
      <c r="F148" s="25" t="s">
        <v>34</v>
      </c>
      <c r="G148" s="49">
        <v>50596</v>
      </c>
      <c r="H148" s="51">
        <v>110</v>
      </c>
      <c r="I148" s="56">
        <v>6</v>
      </c>
      <c r="J148" s="33">
        <v>101</v>
      </c>
      <c r="K148" s="33">
        <v>131</v>
      </c>
      <c r="L148" s="33">
        <v>106</v>
      </c>
      <c r="M148" s="33">
        <v>105.5</v>
      </c>
      <c r="N148" s="33">
        <v>73</v>
      </c>
      <c r="O148" s="33">
        <v>101</v>
      </c>
      <c r="P148" s="36"/>
      <c r="Q148" s="36"/>
      <c r="R148" s="36"/>
      <c r="S148" s="36"/>
      <c r="T148" s="32">
        <v>102.92</v>
      </c>
      <c r="U148" s="60"/>
    </row>
    <row r="149" spans="1:21" ht="15.75" customHeight="1">
      <c r="A149" s="47">
        <v>2</v>
      </c>
      <c r="B149" s="47">
        <v>4</v>
      </c>
      <c r="C149" s="47">
        <v>17</v>
      </c>
      <c r="D149" s="25" t="s">
        <v>169</v>
      </c>
      <c r="E149" s="25" t="s">
        <v>170</v>
      </c>
      <c r="F149" s="25" t="s">
        <v>34</v>
      </c>
      <c r="G149" s="49">
        <v>50571</v>
      </c>
      <c r="H149" s="51">
        <v>223</v>
      </c>
      <c r="I149" s="56">
        <v>8</v>
      </c>
      <c r="J149" s="33">
        <v>100</v>
      </c>
      <c r="K149" s="33">
        <v>114</v>
      </c>
      <c r="L149" s="33">
        <v>83</v>
      </c>
      <c r="M149" s="33">
        <v>129</v>
      </c>
      <c r="N149" s="33">
        <v>119</v>
      </c>
      <c r="O149" s="33">
        <v>122</v>
      </c>
      <c r="P149" s="33">
        <v>131</v>
      </c>
      <c r="Q149" s="33">
        <v>142</v>
      </c>
      <c r="R149" s="36"/>
      <c r="S149" s="36"/>
      <c r="T149" s="32">
        <v>117.5</v>
      </c>
      <c r="U149" s="60"/>
    </row>
    <row r="150" spans="1:21" ht="15.75" customHeight="1">
      <c r="A150" s="47">
        <v>2</v>
      </c>
      <c r="B150" s="47">
        <v>4</v>
      </c>
      <c r="C150" s="47">
        <v>18</v>
      </c>
      <c r="D150" s="25" t="s">
        <v>171</v>
      </c>
      <c r="E150" s="25" t="s">
        <v>172</v>
      </c>
      <c r="F150" s="25" t="s">
        <v>25</v>
      </c>
      <c r="G150" s="49">
        <v>50831</v>
      </c>
      <c r="H150" s="51">
        <v>249</v>
      </c>
      <c r="I150" s="56">
        <v>10</v>
      </c>
      <c r="J150" s="33">
        <v>38</v>
      </c>
      <c r="K150" s="33">
        <v>33</v>
      </c>
      <c r="L150" s="33">
        <v>42</v>
      </c>
      <c r="M150" s="33">
        <v>40</v>
      </c>
      <c r="N150" s="33">
        <v>48.5</v>
      </c>
      <c r="O150" s="33">
        <v>53</v>
      </c>
      <c r="P150" s="33">
        <v>49</v>
      </c>
      <c r="Q150" s="33">
        <v>59</v>
      </c>
      <c r="R150" s="33">
        <v>50</v>
      </c>
      <c r="S150" s="33">
        <v>32</v>
      </c>
      <c r="T150" s="32">
        <v>44.45</v>
      </c>
      <c r="U150" s="60"/>
    </row>
    <row r="151" spans="1:21" ht="15.75" customHeight="1">
      <c r="A151" s="47">
        <v>2</v>
      </c>
      <c r="B151" s="47">
        <v>4</v>
      </c>
      <c r="C151" s="47">
        <v>19</v>
      </c>
      <c r="D151" s="25" t="s">
        <v>107</v>
      </c>
      <c r="E151" s="25" t="s">
        <v>108</v>
      </c>
      <c r="F151" s="25" t="s">
        <v>31</v>
      </c>
      <c r="G151" s="49">
        <v>50862</v>
      </c>
      <c r="H151" s="51">
        <v>714</v>
      </c>
      <c r="I151" s="56">
        <v>10</v>
      </c>
      <c r="J151" s="33">
        <v>30</v>
      </c>
      <c r="K151" s="33">
        <v>64</v>
      </c>
      <c r="L151" s="33">
        <v>47</v>
      </c>
      <c r="M151" s="33">
        <v>47</v>
      </c>
      <c r="N151" s="33">
        <v>49</v>
      </c>
      <c r="O151" s="33">
        <v>52</v>
      </c>
      <c r="P151" s="33">
        <v>34</v>
      </c>
      <c r="Q151" s="33">
        <v>34</v>
      </c>
      <c r="R151" s="33">
        <v>14</v>
      </c>
      <c r="S151" s="33">
        <v>43</v>
      </c>
      <c r="T151" s="32">
        <v>41.4</v>
      </c>
      <c r="U151" s="60"/>
    </row>
    <row r="152" spans="1:21" ht="15.75" customHeight="1">
      <c r="A152" s="47">
        <v>2</v>
      </c>
      <c r="B152" s="47">
        <v>4</v>
      </c>
      <c r="C152" s="47">
        <v>20</v>
      </c>
      <c r="D152" s="25" t="s">
        <v>173</v>
      </c>
      <c r="E152" s="25" t="s">
        <v>174</v>
      </c>
      <c r="F152" s="25" t="s">
        <v>25</v>
      </c>
      <c r="G152" s="49">
        <v>50678</v>
      </c>
      <c r="H152" s="51">
        <v>4</v>
      </c>
      <c r="I152" s="56">
        <v>1</v>
      </c>
      <c r="J152" s="33">
        <v>24</v>
      </c>
      <c r="K152" s="36"/>
      <c r="L152" s="36"/>
      <c r="M152" s="36"/>
      <c r="N152" s="36"/>
      <c r="O152" s="36"/>
      <c r="P152" s="36"/>
      <c r="Q152" s="36"/>
      <c r="R152" s="36"/>
      <c r="S152" s="36"/>
      <c r="T152" s="32">
        <v>24</v>
      </c>
      <c r="U152" s="60"/>
    </row>
    <row r="153" spans="1:21" ht="15.75" customHeight="1">
      <c r="A153" s="47">
        <v>2</v>
      </c>
      <c r="B153" s="47">
        <v>4</v>
      </c>
      <c r="C153" s="47">
        <v>20</v>
      </c>
      <c r="D153" s="25" t="s">
        <v>175</v>
      </c>
      <c r="E153" s="25" t="s">
        <v>176</v>
      </c>
      <c r="F153" s="25" t="s">
        <v>31</v>
      </c>
      <c r="G153" s="49">
        <v>50867</v>
      </c>
      <c r="H153" s="51">
        <v>303</v>
      </c>
      <c r="I153" s="56">
        <v>8</v>
      </c>
      <c r="J153" s="33">
        <v>10</v>
      </c>
      <c r="K153" s="33">
        <v>18</v>
      </c>
      <c r="L153" s="33">
        <v>17</v>
      </c>
      <c r="M153" s="33">
        <v>16</v>
      </c>
      <c r="N153" s="33">
        <v>15</v>
      </c>
      <c r="O153" s="33">
        <v>16</v>
      </c>
      <c r="P153" s="33">
        <v>10.5</v>
      </c>
      <c r="Q153" s="33">
        <v>14</v>
      </c>
      <c r="R153" s="36"/>
      <c r="S153" s="36"/>
      <c r="T153" s="32">
        <v>14.56</v>
      </c>
      <c r="U153" s="60"/>
    </row>
    <row r="154" spans="1:21" ht="15.75" customHeight="1">
      <c r="A154" s="47">
        <v>2</v>
      </c>
      <c r="B154" s="47">
        <v>4</v>
      </c>
      <c r="C154" s="47">
        <v>21</v>
      </c>
      <c r="D154" s="25" t="s">
        <v>177</v>
      </c>
      <c r="E154" s="25" t="s">
        <v>178</v>
      </c>
      <c r="F154" s="25" t="s">
        <v>31</v>
      </c>
      <c r="G154" s="49">
        <v>50861</v>
      </c>
      <c r="H154" s="51">
        <v>714</v>
      </c>
      <c r="I154" s="56">
        <v>10</v>
      </c>
      <c r="J154" s="33">
        <v>34</v>
      </c>
      <c r="K154" s="33">
        <v>43.5</v>
      </c>
      <c r="L154" s="33">
        <v>40</v>
      </c>
      <c r="M154" s="33">
        <v>34</v>
      </c>
      <c r="N154" s="33">
        <v>47</v>
      </c>
      <c r="O154" s="33">
        <v>28</v>
      </c>
      <c r="P154" s="33">
        <v>20</v>
      </c>
      <c r="Q154" s="33">
        <v>39.5</v>
      </c>
      <c r="R154" s="33">
        <v>39</v>
      </c>
      <c r="S154" s="33">
        <v>27</v>
      </c>
      <c r="T154" s="32">
        <v>35.200000000000003</v>
      </c>
      <c r="U154" s="60"/>
    </row>
    <row r="155" spans="1:21" ht="15.75" customHeight="1">
      <c r="A155" s="47">
        <v>2</v>
      </c>
      <c r="B155" s="47">
        <v>4</v>
      </c>
      <c r="C155" s="47">
        <v>22</v>
      </c>
      <c r="D155" s="25" t="s">
        <v>179</v>
      </c>
      <c r="E155" s="25" t="s">
        <v>180</v>
      </c>
      <c r="F155" s="25" t="s">
        <v>31</v>
      </c>
      <c r="G155" s="49">
        <v>50843</v>
      </c>
      <c r="H155" s="51">
        <v>330</v>
      </c>
      <c r="I155" s="56">
        <v>10</v>
      </c>
      <c r="J155" s="33">
        <v>32</v>
      </c>
      <c r="K155" s="33">
        <v>31</v>
      </c>
      <c r="L155" s="33">
        <v>20</v>
      </c>
      <c r="M155" s="33">
        <v>23</v>
      </c>
      <c r="N155" s="33">
        <v>21</v>
      </c>
      <c r="O155" s="33">
        <v>16</v>
      </c>
      <c r="P155" s="33">
        <v>16</v>
      </c>
      <c r="Q155" s="33">
        <v>41</v>
      </c>
      <c r="R155" s="33">
        <v>19</v>
      </c>
      <c r="S155" s="33">
        <v>25</v>
      </c>
      <c r="T155" s="32">
        <v>24.4</v>
      </c>
      <c r="U155" s="60"/>
    </row>
    <row r="156" spans="1:21" ht="15.75" customHeight="1">
      <c r="A156" s="47">
        <v>2</v>
      </c>
      <c r="B156" s="47">
        <v>5</v>
      </c>
      <c r="C156" s="47">
        <v>1</v>
      </c>
      <c r="D156" s="25" t="s">
        <v>95</v>
      </c>
      <c r="E156" s="25" t="s">
        <v>96</v>
      </c>
      <c r="F156" s="25" t="s">
        <v>68</v>
      </c>
      <c r="G156" s="49">
        <v>50620</v>
      </c>
      <c r="H156" s="51">
        <v>260</v>
      </c>
      <c r="I156" s="56">
        <v>6</v>
      </c>
      <c r="J156" s="33">
        <v>36</v>
      </c>
      <c r="K156" s="33">
        <v>50</v>
      </c>
      <c r="L156" s="33">
        <v>56</v>
      </c>
      <c r="M156" s="33">
        <v>54</v>
      </c>
      <c r="N156" s="33">
        <v>76</v>
      </c>
      <c r="O156" s="33">
        <v>71</v>
      </c>
      <c r="P156" s="36"/>
      <c r="Q156" s="36"/>
      <c r="R156" s="36"/>
      <c r="S156" s="36"/>
      <c r="T156" s="32">
        <v>57.17</v>
      </c>
      <c r="U156" s="60"/>
    </row>
    <row r="157" spans="1:21" ht="15.75" customHeight="1">
      <c r="A157" s="47">
        <v>2</v>
      </c>
      <c r="B157" s="47">
        <v>5</v>
      </c>
      <c r="C157" s="47">
        <v>1</v>
      </c>
      <c r="D157" s="25" t="s">
        <v>181</v>
      </c>
      <c r="E157" s="25" t="s">
        <v>182</v>
      </c>
      <c r="F157" s="25" t="s">
        <v>31</v>
      </c>
      <c r="G157" s="49">
        <v>50782</v>
      </c>
      <c r="H157" s="51">
        <v>162</v>
      </c>
      <c r="I157" s="56">
        <v>5</v>
      </c>
      <c r="J157" s="33">
        <v>31.5</v>
      </c>
      <c r="K157" s="33">
        <v>41</v>
      </c>
      <c r="L157" s="33">
        <v>41</v>
      </c>
      <c r="M157" s="33">
        <v>36</v>
      </c>
      <c r="N157" s="33">
        <v>58</v>
      </c>
      <c r="O157" s="36"/>
      <c r="P157" s="36"/>
      <c r="Q157" s="36"/>
      <c r="R157" s="36"/>
      <c r="S157" s="36"/>
      <c r="T157" s="32">
        <v>41.5</v>
      </c>
      <c r="U157" s="60"/>
    </row>
    <row r="158" spans="1:21" ht="15.75" customHeight="1">
      <c r="A158" s="47">
        <v>2</v>
      </c>
      <c r="B158" s="47">
        <v>5</v>
      </c>
      <c r="C158" s="47">
        <v>2</v>
      </c>
      <c r="D158" s="25" t="s">
        <v>56</v>
      </c>
      <c r="E158" s="25" t="s">
        <v>57</v>
      </c>
      <c r="F158" s="25" t="s">
        <v>68</v>
      </c>
      <c r="G158" s="49">
        <v>50664</v>
      </c>
      <c r="H158" s="51">
        <v>125</v>
      </c>
      <c r="I158" s="56">
        <v>6</v>
      </c>
      <c r="J158" s="33">
        <v>78</v>
      </c>
      <c r="K158" s="33">
        <v>45</v>
      </c>
      <c r="L158" s="33">
        <v>62</v>
      </c>
      <c r="M158" s="33">
        <v>93</v>
      </c>
      <c r="N158" s="33">
        <v>70</v>
      </c>
      <c r="O158" s="33">
        <v>100</v>
      </c>
      <c r="P158" s="36"/>
      <c r="Q158" s="36"/>
      <c r="R158" s="36"/>
      <c r="S158" s="36"/>
      <c r="T158" s="32">
        <v>74.67</v>
      </c>
      <c r="U158" s="60"/>
    </row>
    <row r="159" spans="1:21" ht="15.75" customHeight="1">
      <c r="A159" s="47">
        <v>2</v>
      </c>
      <c r="B159" s="47">
        <v>5</v>
      </c>
      <c r="C159" s="47">
        <v>3</v>
      </c>
      <c r="D159" s="25" t="s">
        <v>37</v>
      </c>
      <c r="E159" s="25" t="s">
        <v>38</v>
      </c>
      <c r="F159" s="25" t="s">
        <v>31</v>
      </c>
      <c r="G159" s="49">
        <v>50785</v>
      </c>
      <c r="H159" s="51">
        <v>128</v>
      </c>
      <c r="I159" s="56">
        <v>8</v>
      </c>
      <c r="J159" s="33">
        <v>113</v>
      </c>
      <c r="K159" s="33">
        <v>100</v>
      </c>
      <c r="L159" s="33">
        <v>92</v>
      </c>
      <c r="M159" s="33">
        <v>140</v>
      </c>
      <c r="N159" s="33">
        <v>125</v>
      </c>
      <c r="O159" s="33">
        <v>145</v>
      </c>
      <c r="P159" s="33">
        <v>130</v>
      </c>
      <c r="Q159" s="33">
        <v>115</v>
      </c>
      <c r="R159" s="36"/>
      <c r="S159" s="36"/>
      <c r="T159" s="32">
        <v>120</v>
      </c>
      <c r="U159" s="60"/>
    </row>
    <row r="160" spans="1:21" ht="15.75" customHeight="1">
      <c r="A160" s="47">
        <v>2</v>
      </c>
      <c r="B160" s="47">
        <v>5</v>
      </c>
      <c r="C160" s="47">
        <v>4</v>
      </c>
      <c r="D160" s="25" t="s">
        <v>35</v>
      </c>
      <c r="E160" s="25" t="s">
        <v>36</v>
      </c>
      <c r="F160" s="25" t="s">
        <v>31</v>
      </c>
      <c r="G160" s="49">
        <v>50806</v>
      </c>
      <c r="H160" s="51">
        <v>284</v>
      </c>
      <c r="I160" s="56">
        <v>10</v>
      </c>
      <c r="J160" s="33">
        <v>51</v>
      </c>
      <c r="K160" s="33">
        <v>107</v>
      </c>
      <c r="L160" s="33">
        <v>225</v>
      </c>
      <c r="M160" s="33">
        <v>115</v>
      </c>
      <c r="N160" s="33">
        <v>238</v>
      </c>
      <c r="O160" s="33">
        <v>174</v>
      </c>
      <c r="P160" s="33">
        <v>144</v>
      </c>
      <c r="Q160" s="33">
        <v>190</v>
      </c>
      <c r="R160" s="33">
        <v>230</v>
      </c>
      <c r="S160" s="33">
        <v>220</v>
      </c>
      <c r="T160" s="32">
        <v>169.4</v>
      </c>
      <c r="U160" s="60"/>
    </row>
    <row r="161" spans="1:27" ht="15.75" customHeight="1">
      <c r="A161" s="47">
        <v>2</v>
      </c>
      <c r="B161" s="47">
        <v>5</v>
      </c>
      <c r="C161" s="47">
        <v>4</v>
      </c>
      <c r="D161" s="25" t="s">
        <v>35</v>
      </c>
      <c r="E161" s="25" t="s">
        <v>36</v>
      </c>
      <c r="F161" s="25" t="s">
        <v>68</v>
      </c>
      <c r="G161" s="49">
        <v>50829</v>
      </c>
      <c r="H161" s="51">
        <v>418</v>
      </c>
      <c r="I161" s="56">
        <v>10</v>
      </c>
      <c r="J161" s="33">
        <v>173</v>
      </c>
      <c r="K161" s="33">
        <v>108</v>
      </c>
      <c r="L161" s="33">
        <v>198</v>
      </c>
      <c r="M161" s="33">
        <v>199.5</v>
      </c>
      <c r="N161" s="33">
        <v>108</v>
      </c>
      <c r="O161" s="33">
        <v>113</v>
      </c>
      <c r="P161" s="33">
        <v>170</v>
      </c>
      <c r="Q161" s="33">
        <v>73</v>
      </c>
      <c r="R161" s="33">
        <v>134</v>
      </c>
      <c r="S161" s="33">
        <v>115</v>
      </c>
      <c r="T161" s="32">
        <v>139.15</v>
      </c>
      <c r="U161" s="60"/>
    </row>
    <row r="162" spans="1:27" ht="15.75" customHeight="1">
      <c r="A162" s="47">
        <v>2</v>
      </c>
      <c r="B162" s="47">
        <v>5</v>
      </c>
      <c r="C162" s="47">
        <v>5</v>
      </c>
      <c r="D162" s="25" t="s">
        <v>183</v>
      </c>
      <c r="E162" s="25" t="s">
        <v>184</v>
      </c>
      <c r="F162" s="25" t="s">
        <v>31</v>
      </c>
      <c r="G162" s="49">
        <v>50808</v>
      </c>
      <c r="H162" s="51">
        <v>363</v>
      </c>
      <c r="I162" s="56">
        <v>10</v>
      </c>
      <c r="J162" s="33">
        <v>46</v>
      </c>
      <c r="K162" s="33">
        <v>56</v>
      </c>
      <c r="L162" s="33">
        <v>55</v>
      </c>
      <c r="M162" s="33">
        <v>72</v>
      </c>
      <c r="N162" s="33">
        <v>70.5</v>
      </c>
      <c r="O162" s="33">
        <v>80</v>
      </c>
      <c r="P162" s="33">
        <v>82</v>
      </c>
      <c r="Q162" s="33">
        <v>82</v>
      </c>
      <c r="R162" s="33">
        <v>94.3</v>
      </c>
      <c r="S162" s="33">
        <v>108</v>
      </c>
      <c r="T162" s="32">
        <v>74.58</v>
      </c>
      <c r="U162" s="60"/>
    </row>
    <row r="163" spans="1:27" ht="15.75" customHeight="1">
      <c r="A163" s="47">
        <v>2</v>
      </c>
      <c r="B163" s="47">
        <v>5</v>
      </c>
      <c r="C163" s="47">
        <v>5</v>
      </c>
      <c r="D163" s="25" t="s">
        <v>183</v>
      </c>
      <c r="E163" s="25" t="s">
        <v>184</v>
      </c>
      <c r="F163" s="25" t="s">
        <v>25</v>
      </c>
      <c r="G163" s="49">
        <v>50774</v>
      </c>
      <c r="H163" s="51">
        <v>2</v>
      </c>
      <c r="I163" s="56">
        <v>2</v>
      </c>
      <c r="J163" s="33">
        <v>130.08000000000001</v>
      </c>
      <c r="K163" s="33">
        <v>100</v>
      </c>
      <c r="L163" s="36"/>
      <c r="M163" s="36"/>
      <c r="N163" s="36"/>
      <c r="O163" s="36"/>
      <c r="P163" s="36"/>
      <c r="Q163" s="36"/>
      <c r="R163" s="36"/>
      <c r="S163" s="36"/>
      <c r="T163" s="32">
        <v>115.04</v>
      </c>
      <c r="U163" s="60"/>
    </row>
    <row r="164" spans="1:27" ht="15.75" customHeight="1">
      <c r="A164" s="47">
        <v>2</v>
      </c>
      <c r="B164" s="47">
        <v>5</v>
      </c>
      <c r="C164" s="47">
        <v>6</v>
      </c>
      <c r="D164" s="25" t="s">
        <v>49</v>
      </c>
      <c r="E164" s="25" t="s">
        <v>50</v>
      </c>
      <c r="F164" s="25" t="s">
        <v>68</v>
      </c>
      <c r="G164" s="49">
        <v>50838</v>
      </c>
      <c r="H164" s="51">
        <v>1374</v>
      </c>
      <c r="I164" s="56">
        <v>10</v>
      </c>
      <c r="J164" s="33">
        <v>14</v>
      </c>
      <c r="K164" s="33">
        <v>15</v>
      </c>
      <c r="L164" s="33">
        <v>15.5</v>
      </c>
      <c r="M164" s="33">
        <v>12.5</v>
      </c>
      <c r="N164" s="33">
        <v>12.5</v>
      </c>
      <c r="O164" s="33">
        <v>15.5</v>
      </c>
      <c r="P164" s="33">
        <v>11</v>
      </c>
      <c r="Q164" s="33">
        <v>12</v>
      </c>
      <c r="R164" s="33">
        <v>7.5</v>
      </c>
      <c r="S164" s="33">
        <v>12</v>
      </c>
      <c r="T164" s="32">
        <v>12.75</v>
      </c>
      <c r="U164" s="60"/>
    </row>
    <row r="165" spans="1:27" ht="15.75" customHeight="1">
      <c r="A165" s="47">
        <v>2</v>
      </c>
      <c r="B165" s="47">
        <v>5</v>
      </c>
      <c r="C165" s="47">
        <v>7</v>
      </c>
      <c r="D165" s="25" t="s">
        <v>185</v>
      </c>
      <c r="E165" s="25" t="s">
        <v>186</v>
      </c>
      <c r="F165" s="25" t="s">
        <v>31</v>
      </c>
      <c r="G165" s="49">
        <v>50844</v>
      </c>
      <c r="H165" s="51">
        <v>515</v>
      </c>
      <c r="I165" s="56">
        <v>10</v>
      </c>
      <c r="J165" s="33">
        <v>32</v>
      </c>
      <c r="K165" s="33">
        <v>31.08</v>
      </c>
      <c r="L165" s="33">
        <v>33</v>
      </c>
      <c r="M165" s="33">
        <v>29</v>
      </c>
      <c r="N165" s="33">
        <v>26</v>
      </c>
      <c r="O165" s="33">
        <v>34.5</v>
      </c>
      <c r="P165" s="33">
        <v>22</v>
      </c>
      <c r="Q165" s="33">
        <v>24</v>
      </c>
      <c r="R165" s="33">
        <v>21.5</v>
      </c>
      <c r="S165" s="33">
        <v>21</v>
      </c>
      <c r="T165" s="32">
        <v>27.41</v>
      </c>
      <c r="U165" s="60"/>
    </row>
    <row r="166" spans="1:27" ht="15.75" customHeight="1">
      <c r="A166" s="47">
        <v>2</v>
      </c>
      <c r="B166" s="47">
        <v>5</v>
      </c>
      <c r="C166" s="47">
        <v>8</v>
      </c>
      <c r="D166" s="25" t="s">
        <v>187</v>
      </c>
      <c r="E166" s="25" t="s">
        <v>188</v>
      </c>
      <c r="F166" s="25" t="s">
        <v>68</v>
      </c>
      <c r="G166" s="49">
        <v>50881</v>
      </c>
      <c r="H166" s="51">
        <v>738</v>
      </c>
      <c r="I166" s="56">
        <v>10</v>
      </c>
      <c r="J166" s="33">
        <v>38</v>
      </c>
      <c r="K166" s="33">
        <v>38</v>
      </c>
      <c r="L166" s="33">
        <v>31</v>
      </c>
      <c r="M166" s="33">
        <v>14</v>
      </c>
      <c r="N166" s="33">
        <v>21.5</v>
      </c>
      <c r="O166" s="33">
        <v>19</v>
      </c>
      <c r="P166" s="33">
        <v>6.5</v>
      </c>
      <c r="Q166" s="33">
        <v>9</v>
      </c>
      <c r="R166" s="33">
        <v>7.5</v>
      </c>
      <c r="S166" s="33">
        <v>5</v>
      </c>
      <c r="T166" s="32">
        <v>18.95</v>
      </c>
      <c r="U166" s="60"/>
    </row>
    <row r="167" spans="1:27" ht="15.75" customHeight="1">
      <c r="A167" s="47">
        <v>2</v>
      </c>
      <c r="B167" s="47">
        <v>5</v>
      </c>
      <c r="C167" s="47">
        <v>8</v>
      </c>
      <c r="D167" s="25" t="s">
        <v>102</v>
      </c>
      <c r="E167" s="25" t="s">
        <v>103</v>
      </c>
      <c r="F167" s="25" t="s">
        <v>68</v>
      </c>
      <c r="G167" s="49">
        <v>50882</v>
      </c>
      <c r="H167" s="51">
        <v>549</v>
      </c>
      <c r="I167" s="56">
        <v>9</v>
      </c>
      <c r="J167" s="33">
        <v>18</v>
      </c>
      <c r="K167" s="33">
        <v>19</v>
      </c>
      <c r="L167" s="33">
        <v>9</v>
      </c>
      <c r="M167" s="33">
        <v>18</v>
      </c>
      <c r="N167" s="33">
        <v>38.5</v>
      </c>
      <c r="O167" s="33">
        <v>17</v>
      </c>
      <c r="P167" s="33">
        <v>22</v>
      </c>
      <c r="Q167" s="33">
        <v>25.5</v>
      </c>
      <c r="R167" s="33">
        <v>29</v>
      </c>
      <c r="S167" s="36"/>
      <c r="T167" s="32">
        <v>21.78</v>
      </c>
      <c r="U167" s="60"/>
    </row>
    <row r="168" spans="1:27" ht="15.75" customHeight="1">
      <c r="A168" s="47">
        <v>2</v>
      </c>
      <c r="B168" s="47">
        <v>5</v>
      </c>
      <c r="C168" s="47">
        <v>9</v>
      </c>
      <c r="D168" s="25" t="s">
        <v>189</v>
      </c>
      <c r="E168" s="25" t="s">
        <v>190</v>
      </c>
      <c r="F168" s="25" t="s">
        <v>31</v>
      </c>
      <c r="G168" s="49">
        <v>50798</v>
      </c>
      <c r="H168" s="51">
        <v>182</v>
      </c>
      <c r="I168" s="56">
        <v>6</v>
      </c>
      <c r="J168" s="33">
        <v>67</v>
      </c>
      <c r="K168" s="33">
        <v>92</v>
      </c>
      <c r="L168" s="33">
        <v>88</v>
      </c>
      <c r="M168" s="33">
        <v>88</v>
      </c>
      <c r="N168" s="33">
        <v>57</v>
      </c>
      <c r="O168" s="33">
        <v>71</v>
      </c>
      <c r="P168" s="36"/>
      <c r="Q168" s="36"/>
      <c r="R168" s="36"/>
      <c r="S168" s="36"/>
      <c r="T168" s="32">
        <v>77.17</v>
      </c>
      <c r="U168" s="60"/>
    </row>
    <row r="169" spans="1:27" ht="15.75" customHeight="1">
      <c r="A169" s="47">
        <v>2</v>
      </c>
      <c r="B169" s="47">
        <v>5</v>
      </c>
      <c r="C169" s="47">
        <v>9</v>
      </c>
      <c r="D169" s="25" t="s">
        <v>189</v>
      </c>
      <c r="E169" s="25" t="s">
        <v>190</v>
      </c>
      <c r="F169" s="25" t="s">
        <v>31</v>
      </c>
      <c r="G169" s="49">
        <v>50856</v>
      </c>
      <c r="H169" s="51">
        <v>162</v>
      </c>
      <c r="I169" s="56">
        <v>6</v>
      </c>
      <c r="J169" s="33">
        <v>66</v>
      </c>
      <c r="K169" s="33">
        <v>71</v>
      </c>
      <c r="L169" s="33">
        <v>51</v>
      </c>
      <c r="M169" s="33">
        <v>33</v>
      </c>
      <c r="N169" s="33">
        <v>26</v>
      </c>
      <c r="O169" s="33">
        <v>19</v>
      </c>
      <c r="P169" s="36"/>
      <c r="Q169" s="36"/>
      <c r="R169" s="36"/>
      <c r="S169" s="36"/>
      <c r="T169" s="32">
        <v>44.33</v>
      </c>
      <c r="U169" s="60"/>
    </row>
    <row r="170" spans="1:27" ht="15.75" customHeight="1">
      <c r="A170" s="47">
        <v>2</v>
      </c>
      <c r="B170" s="47">
        <v>5</v>
      </c>
      <c r="C170" s="47">
        <v>9</v>
      </c>
      <c r="D170" s="25" t="s">
        <v>189</v>
      </c>
      <c r="E170" s="25" t="s">
        <v>190</v>
      </c>
      <c r="F170" s="25" t="s">
        <v>68</v>
      </c>
      <c r="G170" s="49">
        <v>50698</v>
      </c>
      <c r="H170" s="51">
        <v>87</v>
      </c>
      <c r="I170" s="56">
        <v>5</v>
      </c>
      <c r="J170" s="33">
        <v>56</v>
      </c>
      <c r="K170" s="33">
        <v>37</v>
      </c>
      <c r="L170" s="33">
        <v>93</v>
      </c>
      <c r="M170" s="33">
        <v>103</v>
      </c>
      <c r="N170" s="33">
        <v>72</v>
      </c>
      <c r="O170" s="36"/>
      <c r="P170" s="36"/>
      <c r="Q170" s="36"/>
      <c r="R170" s="36"/>
      <c r="S170" s="36"/>
      <c r="T170" s="32">
        <v>72.2</v>
      </c>
      <c r="U170" s="60"/>
    </row>
    <row r="171" spans="1:27" ht="15.75" customHeight="1">
      <c r="A171" s="63">
        <v>2</v>
      </c>
      <c r="B171" s="63">
        <v>5</v>
      </c>
      <c r="C171" s="63">
        <v>10</v>
      </c>
      <c r="D171" s="38" t="s">
        <v>112</v>
      </c>
      <c r="E171" s="38" t="s">
        <v>113</v>
      </c>
      <c r="F171" s="38" t="s">
        <v>31</v>
      </c>
      <c r="G171" s="64">
        <v>50538</v>
      </c>
      <c r="H171" s="173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67" t="s">
        <v>43</v>
      </c>
    </row>
    <row r="172" spans="1:27" ht="15.75" customHeight="1">
      <c r="A172" s="47">
        <v>2</v>
      </c>
      <c r="B172" s="47">
        <v>5</v>
      </c>
      <c r="C172" s="47">
        <v>10</v>
      </c>
      <c r="D172" s="25" t="s">
        <v>191</v>
      </c>
      <c r="E172" s="25" t="s">
        <v>192</v>
      </c>
      <c r="F172" s="25" t="s">
        <v>68</v>
      </c>
      <c r="G172" s="49">
        <v>50837</v>
      </c>
      <c r="H172" s="51">
        <v>330</v>
      </c>
      <c r="I172" s="56">
        <v>10</v>
      </c>
      <c r="J172" s="33">
        <v>165</v>
      </c>
      <c r="K172" s="33">
        <v>103</v>
      </c>
      <c r="L172" s="33">
        <v>124</v>
      </c>
      <c r="M172" s="33">
        <v>126.5</v>
      </c>
      <c r="N172" s="33">
        <v>163</v>
      </c>
      <c r="O172" s="33">
        <v>107</v>
      </c>
      <c r="P172" s="33">
        <v>126</v>
      </c>
      <c r="Q172" s="33">
        <v>173</v>
      </c>
      <c r="R172" s="33">
        <v>189</v>
      </c>
      <c r="S172" s="33">
        <v>61.5</v>
      </c>
      <c r="T172" s="32">
        <v>133.80000000000001</v>
      </c>
      <c r="U172" s="60"/>
    </row>
    <row r="173" spans="1:27" ht="15.75" customHeight="1">
      <c r="A173" s="159">
        <v>2</v>
      </c>
      <c r="B173" s="159">
        <v>5</v>
      </c>
      <c r="C173" s="159">
        <v>12</v>
      </c>
      <c r="D173" s="153" t="s">
        <v>49</v>
      </c>
      <c r="E173" s="153" t="s">
        <v>50</v>
      </c>
      <c r="F173" s="153" t="s">
        <v>31</v>
      </c>
      <c r="G173" s="161">
        <v>50566</v>
      </c>
      <c r="H173" s="162">
        <v>90</v>
      </c>
      <c r="I173" s="153">
        <v>1</v>
      </c>
      <c r="J173" s="153">
        <v>25</v>
      </c>
      <c r="K173" s="160"/>
      <c r="L173" s="160"/>
      <c r="M173" s="160"/>
      <c r="N173" s="160"/>
      <c r="O173" s="160"/>
      <c r="P173" s="160"/>
      <c r="Q173" s="160"/>
      <c r="R173" s="160"/>
      <c r="S173" s="160"/>
      <c r="T173" s="159">
        <v>25</v>
      </c>
      <c r="U173" s="163" t="s">
        <v>193</v>
      </c>
      <c r="V173" s="90"/>
      <c r="W173" s="90"/>
      <c r="X173" s="90"/>
      <c r="Y173" s="90"/>
      <c r="Z173" s="90"/>
      <c r="AA173" s="90"/>
    </row>
    <row r="174" spans="1:27" ht="15.75" customHeight="1">
      <c r="A174" s="47">
        <v>2</v>
      </c>
      <c r="B174" s="47">
        <v>5</v>
      </c>
      <c r="C174" s="47">
        <v>12</v>
      </c>
      <c r="D174" s="25" t="s">
        <v>49</v>
      </c>
      <c r="E174" s="25" t="s">
        <v>50</v>
      </c>
      <c r="F174" s="25" t="s">
        <v>34</v>
      </c>
      <c r="G174" s="49">
        <v>50476</v>
      </c>
      <c r="H174" s="51">
        <v>192</v>
      </c>
      <c r="I174" s="56">
        <v>8</v>
      </c>
      <c r="J174" s="33">
        <v>27</v>
      </c>
      <c r="K174" s="33">
        <v>15</v>
      </c>
      <c r="L174" s="33">
        <v>18</v>
      </c>
      <c r="M174" s="33">
        <v>18</v>
      </c>
      <c r="N174" s="33">
        <v>16</v>
      </c>
      <c r="O174" s="33">
        <v>21</v>
      </c>
      <c r="P174" s="33">
        <v>18</v>
      </c>
      <c r="Q174" s="33">
        <v>19.5</v>
      </c>
      <c r="R174" s="36"/>
      <c r="S174" s="36"/>
      <c r="T174" s="32">
        <v>19.059999999999999</v>
      </c>
      <c r="U174" s="60"/>
    </row>
    <row r="175" spans="1:27" ht="15.75" customHeight="1">
      <c r="A175" s="47">
        <v>2</v>
      </c>
      <c r="B175" s="47">
        <v>5</v>
      </c>
      <c r="C175" s="47">
        <v>12</v>
      </c>
      <c r="D175" s="25" t="s">
        <v>49</v>
      </c>
      <c r="E175" s="25" t="s">
        <v>194</v>
      </c>
      <c r="F175" s="25" t="s">
        <v>34</v>
      </c>
      <c r="G175" s="49">
        <v>50634</v>
      </c>
      <c r="H175" s="51">
        <v>74</v>
      </c>
      <c r="I175" s="56">
        <v>1</v>
      </c>
      <c r="J175" s="33" t="s">
        <v>55</v>
      </c>
      <c r="K175" s="33">
        <v>13.5</v>
      </c>
      <c r="L175" s="36"/>
      <c r="M175" s="36"/>
      <c r="N175" s="36"/>
      <c r="O175" s="36"/>
      <c r="P175" s="36"/>
      <c r="Q175" s="36"/>
      <c r="R175" s="36"/>
      <c r="S175" s="36"/>
      <c r="T175" s="32">
        <v>13.5</v>
      </c>
      <c r="U175" s="60"/>
    </row>
    <row r="176" spans="1:27" ht="15.75" customHeight="1">
      <c r="A176" s="47">
        <v>2</v>
      </c>
      <c r="B176" s="47">
        <v>5</v>
      </c>
      <c r="C176" s="47">
        <v>12</v>
      </c>
      <c r="D176" s="25" t="s">
        <v>49</v>
      </c>
      <c r="E176" s="25" t="s">
        <v>50</v>
      </c>
      <c r="F176" s="25" t="s">
        <v>68</v>
      </c>
      <c r="G176" s="49">
        <v>50633</v>
      </c>
      <c r="H176" s="51">
        <v>158</v>
      </c>
      <c r="I176" s="56">
        <v>6</v>
      </c>
      <c r="J176" s="33">
        <v>14</v>
      </c>
      <c r="K176" s="33">
        <v>20</v>
      </c>
      <c r="L176" s="33">
        <v>11</v>
      </c>
      <c r="M176" s="33">
        <v>8</v>
      </c>
      <c r="N176" s="33">
        <v>13</v>
      </c>
      <c r="O176" s="33">
        <v>25</v>
      </c>
      <c r="P176" s="36"/>
      <c r="Q176" s="36"/>
      <c r="R176" s="36"/>
      <c r="S176" s="36"/>
      <c r="T176" s="32">
        <v>15.17</v>
      </c>
      <c r="U176" s="60"/>
    </row>
    <row r="177" spans="1:21" ht="15.75" customHeight="1">
      <c r="A177" s="47">
        <v>2</v>
      </c>
      <c r="B177" s="47">
        <v>5</v>
      </c>
      <c r="C177" s="47">
        <v>13</v>
      </c>
      <c r="D177" s="25" t="s">
        <v>37</v>
      </c>
      <c r="E177" s="25" t="s">
        <v>38</v>
      </c>
      <c r="F177" s="25" t="s">
        <v>25</v>
      </c>
      <c r="G177" s="49">
        <v>50342</v>
      </c>
      <c r="H177" s="51">
        <v>3</v>
      </c>
      <c r="I177" s="56">
        <v>1</v>
      </c>
      <c r="J177" s="33">
        <v>89</v>
      </c>
      <c r="K177" s="36"/>
      <c r="L177" s="36"/>
      <c r="M177" s="36"/>
      <c r="N177" s="36"/>
      <c r="O177" s="36"/>
      <c r="P177" s="36"/>
      <c r="Q177" s="36"/>
      <c r="R177" s="36"/>
      <c r="S177" s="36"/>
      <c r="T177" s="32">
        <v>89</v>
      </c>
      <c r="U177" s="60"/>
    </row>
    <row r="178" spans="1:21" ht="15.75" customHeight="1">
      <c r="A178" s="47">
        <v>2</v>
      </c>
      <c r="B178" s="47">
        <v>5</v>
      </c>
      <c r="C178" s="47">
        <v>13</v>
      </c>
      <c r="D178" s="25" t="s">
        <v>37</v>
      </c>
      <c r="E178" s="25" t="s">
        <v>38</v>
      </c>
      <c r="F178" s="25" t="s">
        <v>31</v>
      </c>
      <c r="G178" s="49">
        <v>50785</v>
      </c>
      <c r="H178" s="51">
        <v>131</v>
      </c>
      <c r="I178" s="56">
        <v>5</v>
      </c>
      <c r="J178" s="33">
        <v>85</v>
      </c>
      <c r="K178" s="33">
        <v>133.5</v>
      </c>
      <c r="L178" s="33">
        <v>127</v>
      </c>
      <c r="M178" s="33">
        <v>109</v>
      </c>
      <c r="N178" s="33">
        <v>114</v>
      </c>
      <c r="O178" s="36"/>
      <c r="P178" s="36"/>
      <c r="Q178" s="36"/>
      <c r="R178" s="36"/>
      <c r="S178" s="36"/>
      <c r="T178" s="32">
        <v>113.7</v>
      </c>
      <c r="U178" s="60"/>
    </row>
    <row r="179" spans="1:21" ht="15.75" customHeight="1">
      <c r="A179" s="47">
        <v>2</v>
      </c>
      <c r="B179" s="47">
        <v>5</v>
      </c>
      <c r="C179" s="47">
        <v>13</v>
      </c>
      <c r="D179" s="25" t="s">
        <v>37</v>
      </c>
      <c r="E179" s="25" t="s">
        <v>38</v>
      </c>
      <c r="F179" s="25" t="s">
        <v>25</v>
      </c>
      <c r="G179" s="49">
        <v>50694</v>
      </c>
      <c r="H179" s="51">
        <v>161</v>
      </c>
      <c r="I179" s="56">
        <v>3</v>
      </c>
      <c r="J179" s="33">
        <v>89</v>
      </c>
      <c r="K179" s="33">
        <v>115</v>
      </c>
      <c r="L179" s="33">
        <v>85</v>
      </c>
      <c r="M179" s="36"/>
      <c r="N179" s="36"/>
      <c r="O179" s="36"/>
      <c r="P179" s="36"/>
      <c r="Q179" s="36"/>
      <c r="R179" s="36"/>
      <c r="S179" s="36"/>
      <c r="T179" s="32">
        <v>96.33</v>
      </c>
      <c r="U179" s="60"/>
    </row>
    <row r="180" spans="1:21" ht="15.75" customHeight="1">
      <c r="A180" s="47">
        <v>2</v>
      </c>
      <c r="B180" s="47">
        <v>5</v>
      </c>
      <c r="C180" s="47">
        <v>13</v>
      </c>
      <c r="D180" s="25" t="s">
        <v>37</v>
      </c>
      <c r="E180" s="25" t="s">
        <v>38</v>
      </c>
      <c r="F180" s="25" t="s">
        <v>68</v>
      </c>
      <c r="G180" s="49">
        <v>50600</v>
      </c>
      <c r="H180" s="51">
        <v>36</v>
      </c>
      <c r="I180" s="56">
        <v>1</v>
      </c>
      <c r="J180" s="33">
        <v>72</v>
      </c>
      <c r="K180" s="36"/>
      <c r="L180" s="36"/>
      <c r="M180" s="36"/>
      <c r="N180" s="36"/>
      <c r="O180" s="36"/>
      <c r="P180" s="36"/>
      <c r="Q180" s="36"/>
      <c r="R180" s="36"/>
      <c r="S180" s="36"/>
      <c r="T180" s="32">
        <v>72</v>
      </c>
      <c r="U180" s="60"/>
    </row>
    <row r="181" spans="1:21" ht="15.75" customHeight="1">
      <c r="A181" s="47">
        <v>2</v>
      </c>
      <c r="B181" s="47">
        <v>5</v>
      </c>
      <c r="C181" s="47">
        <v>13</v>
      </c>
      <c r="D181" s="25" t="s">
        <v>37</v>
      </c>
      <c r="E181" s="25" t="s">
        <v>38</v>
      </c>
      <c r="F181" s="25" t="s">
        <v>34</v>
      </c>
      <c r="G181" s="49">
        <v>50663</v>
      </c>
      <c r="H181" s="51">
        <v>14</v>
      </c>
      <c r="I181" s="56">
        <v>1</v>
      </c>
      <c r="J181" s="33">
        <v>99</v>
      </c>
      <c r="K181" s="36"/>
      <c r="L181" s="36"/>
      <c r="M181" s="36"/>
      <c r="N181" s="36"/>
      <c r="O181" s="36"/>
      <c r="P181" s="36"/>
      <c r="Q181" s="36"/>
      <c r="R181" s="36"/>
      <c r="S181" s="36"/>
      <c r="T181" s="32">
        <v>99</v>
      </c>
      <c r="U181" s="60"/>
    </row>
    <row r="182" spans="1:21" ht="15.75" customHeight="1">
      <c r="A182" s="47">
        <v>2</v>
      </c>
      <c r="B182" s="47">
        <v>5</v>
      </c>
      <c r="C182" s="47">
        <v>13</v>
      </c>
      <c r="D182" s="25" t="s">
        <v>37</v>
      </c>
      <c r="E182" s="25" t="s">
        <v>38</v>
      </c>
      <c r="F182" s="25" t="s">
        <v>68</v>
      </c>
      <c r="G182" s="49">
        <v>50696</v>
      </c>
      <c r="H182" s="51">
        <v>45</v>
      </c>
      <c r="I182" s="56">
        <v>1</v>
      </c>
      <c r="J182" s="33">
        <v>100</v>
      </c>
      <c r="K182" s="36"/>
      <c r="L182" s="36"/>
      <c r="M182" s="36"/>
      <c r="N182" s="36"/>
      <c r="O182" s="36"/>
      <c r="P182" s="36"/>
      <c r="Q182" s="36"/>
      <c r="R182" s="36"/>
      <c r="S182" s="36"/>
      <c r="T182" s="32">
        <v>100</v>
      </c>
      <c r="U182" s="60"/>
    </row>
    <row r="183" spans="1:21" ht="15.75" customHeight="1">
      <c r="A183" s="47">
        <v>2</v>
      </c>
      <c r="B183" s="47">
        <v>6</v>
      </c>
      <c r="C183" s="47">
        <v>1</v>
      </c>
      <c r="D183" s="25" t="s">
        <v>195</v>
      </c>
      <c r="E183" s="25" t="s">
        <v>196</v>
      </c>
      <c r="F183" s="25" t="s">
        <v>34</v>
      </c>
      <c r="G183" s="49">
        <v>50703</v>
      </c>
      <c r="H183" s="51">
        <v>190</v>
      </c>
      <c r="I183" s="56">
        <v>7</v>
      </c>
      <c r="J183" s="33">
        <v>102</v>
      </c>
      <c r="K183" s="33">
        <v>153</v>
      </c>
      <c r="L183" s="33">
        <v>94.5</v>
      </c>
      <c r="M183" s="33">
        <v>147</v>
      </c>
      <c r="N183" s="33">
        <v>147</v>
      </c>
      <c r="O183" s="33">
        <v>122</v>
      </c>
      <c r="P183" s="33">
        <v>104</v>
      </c>
      <c r="Q183" s="36"/>
      <c r="R183" s="36"/>
      <c r="S183" s="36"/>
      <c r="T183" s="62">
        <v>124.21</v>
      </c>
      <c r="U183" s="60"/>
    </row>
    <row r="184" spans="1:21" ht="15.75" customHeight="1">
      <c r="A184" s="47">
        <v>2</v>
      </c>
      <c r="B184" s="47">
        <v>6</v>
      </c>
      <c r="C184" s="47">
        <v>2</v>
      </c>
      <c r="D184" s="25" t="s">
        <v>197</v>
      </c>
      <c r="E184" s="25" t="s">
        <v>198</v>
      </c>
      <c r="F184" s="25" t="s">
        <v>25</v>
      </c>
      <c r="G184" s="49">
        <v>50771</v>
      </c>
      <c r="H184" s="51">
        <v>9</v>
      </c>
      <c r="I184" s="56">
        <v>1</v>
      </c>
      <c r="J184" s="33">
        <v>70</v>
      </c>
      <c r="K184" s="36"/>
      <c r="L184" s="36"/>
      <c r="M184" s="36"/>
      <c r="N184" s="36"/>
      <c r="O184" s="36"/>
      <c r="P184" s="36"/>
      <c r="Q184" s="36"/>
      <c r="R184" s="36"/>
      <c r="S184" s="36"/>
      <c r="T184" s="32">
        <v>70</v>
      </c>
      <c r="U184" s="60"/>
    </row>
    <row r="185" spans="1:21" ht="15.75" customHeight="1">
      <c r="A185" s="47">
        <v>2</v>
      </c>
      <c r="B185" s="47">
        <v>6</v>
      </c>
      <c r="C185" s="47">
        <v>2</v>
      </c>
      <c r="D185" s="25" t="s">
        <v>37</v>
      </c>
      <c r="E185" s="25" t="s">
        <v>38</v>
      </c>
      <c r="F185" s="25" t="s">
        <v>34</v>
      </c>
      <c r="G185" s="49">
        <v>50622</v>
      </c>
      <c r="H185" s="51">
        <v>47</v>
      </c>
      <c r="I185" s="56">
        <v>1</v>
      </c>
      <c r="J185" s="33">
        <v>57</v>
      </c>
      <c r="K185" s="36"/>
      <c r="L185" s="36"/>
      <c r="M185" s="36"/>
      <c r="N185" s="36"/>
      <c r="O185" s="36"/>
      <c r="P185" s="36"/>
      <c r="Q185" s="36"/>
      <c r="R185" s="36"/>
      <c r="S185" s="36"/>
      <c r="T185" s="32">
        <v>57</v>
      </c>
      <c r="U185" s="60"/>
    </row>
    <row r="186" spans="1:21" ht="15.75" customHeight="1">
      <c r="A186" s="71">
        <v>2</v>
      </c>
      <c r="B186" s="71">
        <v>6</v>
      </c>
      <c r="C186" s="71">
        <v>2</v>
      </c>
      <c r="D186" s="53" t="s">
        <v>37</v>
      </c>
      <c r="E186" s="53" t="s">
        <v>38</v>
      </c>
      <c r="F186" s="53" t="s">
        <v>25</v>
      </c>
      <c r="G186" s="73">
        <v>50694</v>
      </c>
      <c r="H186" s="74">
        <v>81</v>
      </c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79" t="s">
        <v>55</v>
      </c>
    </row>
    <row r="187" spans="1:21" ht="15.75" customHeight="1">
      <c r="A187" s="71">
        <v>2</v>
      </c>
      <c r="B187" s="71">
        <v>6</v>
      </c>
      <c r="C187" s="71">
        <v>2</v>
      </c>
      <c r="D187" s="53" t="s">
        <v>199</v>
      </c>
      <c r="E187" s="53" t="s">
        <v>200</v>
      </c>
      <c r="F187" s="53" t="s">
        <v>34</v>
      </c>
      <c r="G187" s="73">
        <v>50603</v>
      </c>
      <c r="H187" s="74">
        <v>65</v>
      </c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79" t="s">
        <v>55</v>
      </c>
    </row>
    <row r="188" spans="1:21" ht="15.75" customHeight="1">
      <c r="A188" s="71">
        <v>2</v>
      </c>
      <c r="B188" s="71">
        <v>6</v>
      </c>
      <c r="C188" s="71">
        <v>2</v>
      </c>
      <c r="D188" s="53" t="s">
        <v>199</v>
      </c>
      <c r="E188" s="53" t="s">
        <v>200</v>
      </c>
      <c r="F188" s="53" t="s">
        <v>34</v>
      </c>
      <c r="G188" s="73">
        <v>50656</v>
      </c>
      <c r="H188" s="74">
        <v>23</v>
      </c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79" t="s">
        <v>55</v>
      </c>
    </row>
    <row r="189" spans="1:21" ht="15.75" customHeight="1">
      <c r="A189" s="47">
        <v>2</v>
      </c>
      <c r="B189" s="47">
        <v>6</v>
      </c>
      <c r="C189" s="47">
        <v>3</v>
      </c>
      <c r="D189" s="25" t="s">
        <v>201</v>
      </c>
      <c r="E189" s="25" t="s">
        <v>202</v>
      </c>
      <c r="F189" s="25" t="s">
        <v>34</v>
      </c>
      <c r="G189" s="49">
        <v>50601</v>
      </c>
      <c r="H189" s="51">
        <v>146</v>
      </c>
      <c r="I189" s="56">
        <v>6</v>
      </c>
      <c r="J189" s="33">
        <v>70.5</v>
      </c>
      <c r="K189" s="33">
        <v>93</v>
      </c>
      <c r="L189" s="33">
        <v>81</v>
      </c>
      <c r="M189" s="33">
        <v>72</v>
      </c>
      <c r="N189" s="33">
        <v>66</v>
      </c>
      <c r="O189" s="33">
        <v>42</v>
      </c>
      <c r="P189" s="36"/>
      <c r="Q189" s="36"/>
      <c r="R189" s="36"/>
      <c r="S189" s="36"/>
      <c r="T189" s="62">
        <v>70.75</v>
      </c>
      <c r="U189" s="60"/>
    </row>
    <row r="190" spans="1:21" ht="15.75" customHeight="1">
      <c r="A190" s="47">
        <v>2</v>
      </c>
      <c r="B190" s="47">
        <v>6</v>
      </c>
      <c r="C190" s="47">
        <v>3</v>
      </c>
      <c r="D190" s="25" t="s">
        <v>201</v>
      </c>
      <c r="E190" s="25" t="s">
        <v>202</v>
      </c>
      <c r="F190" s="25" t="s">
        <v>25</v>
      </c>
      <c r="G190" s="49">
        <v>50525</v>
      </c>
      <c r="H190" s="51">
        <v>42</v>
      </c>
      <c r="I190" s="56">
        <v>2</v>
      </c>
      <c r="J190" s="33">
        <v>76</v>
      </c>
      <c r="K190" s="33">
        <v>75</v>
      </c>
      <c r="L190" s="36"/>
      <c r="M190" s="36"/>
      <c r="N190" s="36"/>
      <c r="O190" s="36"/>
      <c r="P190" s="36"/>
      <c r="Q190" s="36"/>
      <c r="R190" s="36"/>
      <c r="S190" s="36"/>
      <c r="T190" s="62">
        <v>75.5</v>
      </c>
      <c r="U190" s="60"/>
    </row>
    <row r="191" spans="1:21" ht="15.75" customHeight="1">
      <c r="A191" s="47">
        <v>2</v>
      </c>
      <c r="B191" s="47">
        <v>6</v>
      </c>
      <c r="C191" s="47">
        <v>3</v>
      </c>
      <c r="D191" s="25" t="s">
        <v>199</v>
      </c>
      <c r="E191" s="25" t="s">
        <v>200</v>
      </c>
      <c r="F191" s="25" t="s">
        <v>34</v>
      </c>
      <c r="G191" s="49">
        <v>50603</v>
      </c>
      <c r="H191" s="51">
        <v>32</v>
      </c>
      <c r="I191" s="56">
        <v>2</v>
      </c>
      <c r="J191" s="33">
        <v>77</v>
      </c>
      <c r="K191" s="33">
        <v>50</v>
      </c>
      <c r="L191" s="36"/>
      <c r="M191" s="36"/>
      <c r="N191" s="36"/>
      <c r="O191" s="36"/>
      <c r="P191" s="36"/>
      <c r="Q191" s="36"/>
      <c r="R191" s="36"/>
      <c r="S191" s="36"/>
      <c r="T191" s="62">
        <v>63.5</v>
      </c>
      <c r="U191" s="60"/>
    </row>
    <row r="192" spans="1:21" ht="15.75" customHeight="1">
      <c r="A192" s="47">
        <v>2</v>
      </c>
      <c r="B192" s="47">
        <v>6</v>
      </c>
      <c r="C192" s="47">
        <v>4</v>
      </c>
      <c r="D192" s="25" t="s">
        <v>203</v>
      </c>
      <c r="E192" s="25" t="s">
        <v>204</v>
      </c>
      <c r="F192" s="25" t="s">
        <v>68</v>
      </c>
      <c r="G192" s="49">
        <v>50835</v>
      </c>
      <c r="H192" s="51">
        <v>580</v>
      </c>
      <c r="I192" s="56">
        <v>10</v>
      </c>
      <c r="J192" s="33">
        <v>127.5</v>
      </c>
      <c r="K192" s="33">
        <v>162</v>
      </c>
      <c r="L192" s="33">
        <v>153.5</v>
      </c>
      <c r="M192" s="33">
        <v>79</v>
      </c>
      <c r="N192" s="33">
        <v>80.5</v>
      </c>
      <c r="O192" s="33">
        <v>128</v>
      </c>
      <c r="P192" s="33">
        <v>140.5</v>
      </c>
      <c r="Q192" s="33">
        <v>62</v>
      </c>
      <c r="R192" s="33">
        <v>156</v>
      </c>
      <c r="S192" s="33">
        <v>99</v>
      </c>
      <c r="T192" s="62">
        <v>118.8</v>
      </c>
      <c r="U192" s="60"/>
    </row>
    <row r="193" spans="1:21" ht="15.75" customHeight="1">
      <c r="A193" s="47">
        <v>2</v>
      </c>
      <c r="B193" s="47">
        <v>6</v>
      </c>
      <c r="C193" s="47">
        <v>5</v>
      </c>
      <c r="D193" s="25" t="s">
        <v>203</v>
      </c>
      <c r="E193" s="25" t="s">
        <v>204</v>
      </c>
      <c r="F193" s="25" t="s">
        <v>68</v>
      </c>
      <c r="G193" s="49">
        <v>50835</v>
      </c>
      <c r="H193" s="51">
        <v>308</v>
      </c>
      <c r="I193" s="56">
        <v>8</v>
      </c>
      <c r="J193" s="33">
        <v>128</v>
      </c>
      <c r="K193" s="33">
        <v>128</v>
      </c>
      <c r="L193" s="33">
        <v>147</v>
      </c>
      <c r="M193" s="33">
        <v>103</v>
      </c>
      <c r="N193" s="33">
        <v>119.5</v>
      </c>
      <c r="O193" s="33">
        <v>141</v>
      </c>
      <c r="P193" s="33">
        <v>107</v>
      </c>
      <c r="Q193" s="33">
        <v>135.5</v>
      </c>
      <c r="R193" s="36"/>
      <c r="S193" s="36"/>
      <c r="T193" s="62">
        <v>126.13</v>
      </c>
      <c r="U193" s="60"/>
    </row>
    <row r="194" spans="1:21" ht="15.75" customHeight="1">
      <c r="A194" s="47">
        <v>2</v>
      </c>
      <c r="B194" s="47">
        <v>6</v>
      </c>
      <c r="C194" s="47">
        <v>5</v>
      </c>
      <c r="D194" s="25" t="s">
        <v>167</v>
      </c>
      <c r="E194" s="25" t="s">
        <v>168</v>
      </c>
      <c r="F194" s="25" t="s">
        <v>25</v>
      </c>
      <c r="G194" s="49">
        <v>50744</v>
      </c>
      <c r="H194" s="51">
        <v>1</v>
      </c>
      <c r="I194" s="56">
        <v>1</v>
      </c>
      <c r="J194" s="33">
        <v>47</v>
      </c>
      <c r="K194" s="36"/>
      <c r="L194" s="36"/>
      <c r="M194" s="36"/>
      <c r="N194" s="36"/>
      <c r="O194" s="36"/>
      <c r="P194" s="36"/>
      <c r="Q194" s="36"/>
      <c r="R194" s="36"/>
      <c r="S194" s="36"/>
      <c r="T194" s="62">
        <v>47</v>
      </c>
      <c r="U194" s="60"/>
    </row>
    <row r="195" spans="1:21" ht="15.75" customHeight="1">
      <c r="A195" s="47">
        <v>2</v>
      </c>
      <c r="B195" s="47">
        <v>7</v>
      </c>
      <c r="C195" s="47">
        <v>1</v>
      </c>
      <c r="D195" s="25" t="s">
        <v>177</v>
      </c>
      <c r="E195" s="25" t="s">
        <v>178</v>
      </c>
      <c r="F195" s="25" t="s">
        <v>68</v>
      </c>
      <c r="G195" s="49">
        <v>50852</v>
      </c>
      <c r="H195" s="51">
        <v>256</v>
      </c>
      <c r="I195" s="56">
        <v>8</v>
      </c>
      <c r="J195" s="33">
        <v>52.5</v>
      </c>
      <c r="K195" s="33">
        <v>47</v>
      </c>
      <c r="L195" s="33">
        <v>46.5</v>
      </c>
      <c r="M195" s="33">
        <v>46.5</v>
      </c>
      <c r="N195" s="33">
        <v>41</v>
      </c>
      <c r="O195" s="33">
        <v>43</v>
      </c>
      <c r="P195" s="33">
        <v>26</v>
      </c>
      <c r="Q195" s="33">
        <v>27</v>
      </c>
      <c r="R195" s="36"/>
      <c r="S195" s="36"/>
      <c r="T195" s="62">
        <v>41.19</v>
      </c>
      <c r="U195" s="60"/>
    </row>
    <row r="196" spans="1:21" ht="15.75" customHeight="1">
      <c r="A196" s="33">
        <v>2</v>
      </c>
      <c r="B196" s="47">
        <v>7</v>
      </c>
      <c r="C196" s="47">
        <v>2</v>
      </c>
      <c r="D196" s="25" t="s">
        <v>205</v>
      </c>
      <c r="E196" s="25" t="s">
        <v>206</v>
      </c>
      <c r="F196" s="25" t="s">
        <v>34</v>
      </c>
      <c r="G196" s="49">
        <v>50853</v>
      </c>
      <c r="H196" s="51">
        <v>642</v>
      </c>
      <c r="I196" s="56">
        <v>10</v>
      </c>
      <c r="J196" s="33">
        <v>53</v>
      </c>
      <c r="K196" s="33">
        <v>54</v>
      </c>
      <c r="L196" s="33">
        <v>46.5</v>
      </c>
      <c r="M196" s="33">
        <v>45</v>
      </c>
      <c r="N196" s="33">
        <v>40</v>
      </c>
      <c r="O196" s="33">
        <v>41</v>
      </c>
      <c r="P196" s="33">
        <v>31</v>
      </c>
      <c r="Q196" s="33">
        <v>34</v>
      </c>
      <c r="R196" s="33">
        <v>21</v>
      </c>
      <c r="S196" s="33">
        <v>20.5</v>
      </c>
      <c r="T196" s="62">
        <v>38.6</v>
      </c>
      <c r="U196" s="60"/>
    </row>
    <row r="197" spans="1:21" ht="15.75" customHeight="1">
      <c r="A197" s="47">
        <v>2</v>
      </c>
      <c r="B197" s="47">
        <v>7</v>
      </c>
      <c r="C197" s="47">
        <v>3</v>
      </c>
      <c r="D197" s="25" t="s">
        <v>208</v>
      </c>
      <c r="E197" s="25" t="s">
        <v>209</v>
      </c>
      <c r="F197" s="25" t="s">
        <v>68</v>
      </c>
      <c r="G197" s="49">
        <v>50635</v>
      </c>
      <c r="H197" s="51">
        <v>311</v>
      </c>
      <c r="I197" s="56">
        <v>10</v>
      </c>
      <c r="J197" s="33">
        <v>67</v>
      </c>
      <c r="K197" s="33">
        <v>51</v>
      </c>
      <c r="L197" s="33">
        <v>61</v>
      </c>
      <c r="M197" s="33">
        <v>24</v>
      </c>
      <c r="N197" s="33">
        <v>18</v>
      </c>
      <c r="O197" s="33">
        <v>80</v>
      </c>
      <c r="P197" s="33">
        <v>72</v>
      </c>
      <c r="Q197" s="33">
        <v>74</v>
      </c>
      <c r="R197" s="33">
        <v>56</v>
      </c>
      <c r="S197" s="33">
        <v>38</v>
      </c>
      <c r="T197" s="62">
        <v>54.1</v>
      </c>
      <c r="U197" s="60"/>
    </row>
    <row r="198" spans="1:21" ht="15.75" customHeight="1">
      <c r="A198" s="47">
        <v>2</v>
      </c>
      <c r="B198" s="47">
        <v>7</v>
      </c>
      <c r="C198" s="47">
        <v>3</v>
      </c>
      <c r="D198" s="25" t="s">
        <v>81</v>
      </c>
      <c r="E198" s="25" t="s">
        <v>82</v>
      </c>
      <c r="F198" s="25" t="s">
        <v>34</v>
      </c>
      <c r="G198" s="49">
        <v>50555</v>
      </c>
      <c r="H198" s="51">
        <v>5</v>
      </c>
      <c r="I198" s="56">
        <v>1</v>
      </c>
      <c r="J198" s="33">
        <v>44</v>
      </c>
      <c r="K198" s="36"/>
      <c r="L198" s="36"/>
      <c r="M198" s="36"/>
      <c r="N198" s="36"/>
      <c r="O198" s="36"/>
      <c r="P198" s="36"/>
      <c r="Q198" s="36"/>
      <c r="R198" s="36"/>
      <c r="S198" s="36"/>
      <c r="T198" s="62">
        <v>44</v>
      </c>
      <c r="U198" s="60"/>
    </row>
    <row r="199" spans="1:21" ht="15.75" customHeight="1">
      <c r="A199" s="47">
        <v>2</v>
      </c>
      <c r="B199" s="47">
        <v>7</v>
      </c>
      <c r="C199" s="47">
        <v>3</v>
      </c>
      <c r="D199" s="25" t="s">
        <v>208</v>
      </c>
      <c r="E199" s="25" t="s">
        <v>209</v>
      </c>
      <c r="F199" s="25" t="s">
        <v>34</v>
      </c>
      <c r="G199" s="49">
        <v>50617</v>
      </c>
      <c r="H199" s="51">
        <v>75</v>
      </c>
      <c r="I199" s="56">
        <v>1</v>
      </c>
      <c r="J199" s="33">
        <v>59</v>
      </c>
      <c r="K199" s="36"/>
      <c r="L199" s="36"/>
      <c r="M199" s="36"/>
      <c r="N199" s="36"/>
      <c r="O199" s="36"/>
      <c r="P199" s="36"/>
      <c r="Q199" s="36"/>
      <c r="R199" s="36"/>
      <c r="S199" s="36"/>
      <c r="T199" s="62">
        <v>59</v>
      </c>
      <c r="U199" s="60"/>
    </row>
    <row r="200" spans="1:21" ht="15.75" customHeight="1">
      <c r="A200" s="71">
        <v>2</v>
      </c>
      <c r="B200" s="71">
        <v>7</v>
      </c>
      <c r="C200" s="71">
        <v>4</v>
      </c>
      <c r="D200" s="53" t="s">
        <v>210</v>
      </c>
      <c r="E200" s="53" t="s">
        <v>211</v>
      </c>
      <c r="F200" s="53" t="s">
        <v>34</v>
      </c>
      <c r="G200" s="73">
        <v>50578</v>
      </c>
      <c r="H200" s="74">
        <v>4</v>
      </c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79" t="s">
        <v>55</v>
      </c>
    </row>
    <row r="201" spans="1:21" ht="15.75" customHeight="1">
      <c r="A201" s="71">
        <v>2</v>
      </c>
      <c r="B201" s="71">
        <v>7</v>
      </c>
      <c r="C201" s="71">
        <v>4</v>
      </c>
      <c r="D201" s="178" t="s">
        <v>212</v>
      </c>
      <c r="E201" s="53" t="s">
        <v>213</v>
      </c>
      <c r="F201" s="53" t="s">
        <v>34</v>
      </c>
      <c r="G201" s="73">
        <v>50579</v>
      </c>
      <c r="H201" s="74">
        <v>1</v>
      </c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79" t="s">
        <v>55</v>
      </c>
    </row>
    <row r="202" spans="1:21" ht="15.75" customHeight="1">
      <c r="A202" s="47">
        <v>2</v>
      </c>
      <c r="B202" s="47">
        <v>7</v>
      </c>
      <c r="C202" s="47">
        <v>4</v>
      </c>
      <c r="D202" s="25" t="s">
        <v>214</v>
      </c>
      <c r="E202" s="25" t="s">
        <v>215</v>
      </c>
      <c r="F202" s="25" t="s">
        <v>34</v>
      </c>
      <c r="G202" s="49">
        <v>50580</v>
      </c>
      <c r="H202" s="51">
        <v>25</v>
      </c>
      <c r="I202" s="56">
        <v>1</v>
      </c>
      <c r="J202" s="33">
        <v>137.5</v>
      </c>
      <c r="K202" s="36"/>
      <c r="L202" s="36"/>
      <c r="M202" s="36"/>
      <c r="N202" s="36"/>
      <c r="O202" s="36"/>
      <c r="P202" s="36"/>
      <c r="Q202" s="36"/>
      <c r="R202" s="36"/>
      <c r="S202" s="36"/>
      <c r="T202" s="62">
        <v>137.5</v>
      </c>
      <c r="U202" s="60"/>
    </row>
    <row r="203" spans="1:21" ht="15.75" customHeight="1">
      <c r="A203" s="47">
        <v>2</v>
      </c>
      <c r="B203" s="47">
        <v>7</v>
      </c>
      <c r="C203" s="47">
        <v>4</v>
      </c>
      <c r="D203" s="25" t="s">
        <v>216</v>
      </c>
      <c r="E203" s="25" t="s">
        <v>217</v>
      </c>
      <c r="F203" s="25" t="s">
        <v>34</v>
      </c>
      <c r="G203" s="49">
        <v>50584</v>
      </c>
      <c r="H203" s="51">
        <v>92</v>
      </c>
      <c r="I203" s="56">
        <v>4</v>
      </c>
      <c r="J203" s="33">
        <v>71</v>
      </c>
      <c r="K203" s="33">
        <v>57</v>
      </c>
      <c r="L203" s="33">
        <v>53</v>
      </c>
      <c r="M203" s="33">
        <v>35.5</v>
      </c>
      <c r="N203" s="36"/>
      <c r="O203" s="36"/>
      <c r="P203" s="36"/>
      <c r="Q203" s="36"/>
      <c r="R203" s="36"/>
      <c r="S203" s="36"/>
      <c r="T203" s="62">
        <v>54.13</v>
      </c>
      <c r="U203" s="60"/>
    </row>
    <row r="204" spans="1:21" ht="15.75" customHeight="1">
      <c r="A204" s="47">
        <v>2</v>
      </c>
      <c r="B204" s="47">
        <v>7</v>
      </c>
      <c r="C204" s="47">
        <v>4</v>
      </c>
      <c r="D204" s="25" t="s">
        <v>218</v>
      </c>
      <c r="E204" s="25" t="s">
        <v>219</v>
      </c>
      <c r="F204" s="25" t="s">
        <v>34</v>
      </c>
      <c r="G204" s="49">
        <v>50547</v>
      </c>
      <c r="H204" s="51">
        <v>73</v>
      </c>
      <c r="I204" s="56">
        <v>3</v>
      </c>
      <c r="J204" s="33">
        <v>81</v>
      </c>
      <c r="K204" s="33">
        <v>33</v>
      </c>
      <c r="L204" s="33">
        <v>69.5</v>
      </c>
      <c r="M204" s="36"/>
      <c r="N204" s="36"/>
      <c r="O204" s="36"/>
      <c r="P204" s="36"/>
      <c r="Q204" s="36"/>
      <c r="R204" s="36"/>
      <c r="S204" s="36"/>
      <c r="T204" s="62">
        <v>61.17</v>
      </c>
      <c r="U204" s="60"/>
    </row>
    <row r="205" spans="1:21" ht="15.75" customHeight="1">
      <c r="A205" s="47">
        <v>2</v>
      </c>
      <c r="B205" s="47">
        <v>7</v>
      </c>
      <c r="C205" s="47">
        <v>4</v>
      </c>
      <c r="D205" s="25" t="s">
        <v>218</v>
      </c>
      <c r="E205" s="25" t="s">
        <v>219</v>
      </c>
      <c r="F205" s="25" t="s">
        <v>25</v>
      </c>
      <c r="G205" s="49">
        <v>50389</v>
      </c>
      <c r="H205" s="51">
        <v>14</v>
      </c>
      <c r="I205" s="56">
        <v>1</v>
      </c>
      <c r="J205" s="33">
        <v>162</v>
      </c>
      <c r="K205" s="36"/>
      <c r="L205" s="36"/>
      <c r="M205" s="36"/>
      <c r="N205" s="36"/>
      <c r="O205" s="36"/>
      <c r="P205" s="36"/>
      <c r="Q205" s="36"/>
      <c r="R205" s="36"/>
      <c r="S205" s="36"/>
      <c r="T205" s="62">
        <v>162</v>
      </c>
      <c r="U205" s="60"/>
    </row>
    <row r="206" spans="1:21" ht="15.75" customHeight="1">
      <c r="A206" s="47">
        <v>2</v>
      </c>
      <c r="B206" s="47">
        <v>7</v>
      </c>
      <c r="C206" s="47">
        <v>4</v>
      </c>
      <c r="D206" s="25" t="s">
        <v>218</v>
      </c>
      <c r="E206" s="25" t="s">
        <v>219</v>
      </c>
      <c r="F206" s="25" t="s">
        <v>25</v>
      </c>
      <c r="G206" s="49">
        <v>50676</v>
      </c>
      <c r="H206" s="51">
        <v>3</v>
      </c>
      <c r="I206" s="56">
        <v>1</v>
      </c>
      <c r="J206" s="33">
        <v>210</v>
      </c>
      <c r="K206" s="36"/>
      <c r="L206" s="36"/>
      <c r="M206" s="36"/>
      <c r="N206" s="36"/>
      <c r="O206" s="36"/>
      <c r="P206" s="36"/>
      <c r="Q206" s="36"/>
      <c r="R206" s="36"/>
      <c r="S206" s="36"/>
      <c r="T206" s="62">
        <v>210</v>
      </c>
      <c r="U206" s="60"/>
    </row>
    <row r="207" spans="1:21" ht="15.75" customHeight="1">
      <c r="A207" s="47">
        <v>2</v>
      </c>
      <c r="B207" s="47">
        <v>7</v>
      </c>
      <c r="C207" s="47">
        <v>5</v>
      </c>
      <c r="D207" s="25" t="s">
        <v>160</v>
      </c>
      <c r="E207" s="25" t="s">
        <v>161</v>
      </c>
      <c r="F207" s="25" t="s">
        <v>25</v>
      </c>
      <c r="G207" s="49">
        <v>50863</v>
      </c>
      <c r="H207" s="51">
        <v>168</v>
      </c>
      <c r="I207" s="56">
        <v>5</v>
      </c>
      <c r="J207" s="33">
        <v>47</v>
      </c>
      <c r="K207" s="33">
        <v>58</v>
      </c>
      <c r="L207" s="33">
        <v>77</v>
      </c>
      <c r="M207" s="33">
        <v>78</v>
      </c>
      <c r="N207" s="33">
        <v>60</v>
      </c>
      <c r="O207" s="36"/>
      <c r="P207" s="36"/>
      <c r="Q207" s="36"/>
      <c r="R207" s="36"/>
      <c r="S207" s="36"/>
      <c r="T207" s="62">
        <v>64</v>
      </c>
      <c r="U207" s="60"/>
    </row>
    <row r="208" spans="1:21" ht="15.75" customHeight="1">
      <c r="A208" s="47">
        <v>2</v>
      </c>
      <c r="B208" s="47">
        <v>7</v>
      </c>
      <c r="C208" s="47">
        <v>5</v>
      </c>
      <c r="D208" s="25" t="s">
        <v>189</v>
      </c>
      <c r="E208" s="25" t="s">
        <v>190</v>
      </c>
      <c r="F208" s="25" t="s">
        <v>25</v>
      </c>
      <c r="G208" s="49">
        <v>50864</v>
      </c>
      <c r="H208" s="51">
        <v>279</v>
      </c>
      <c r="I208" s="56">
        <v>8</v>
      </c>
      <c r="J208" s="33">
        <v>61</v>
      </c>
      <c r="K208" s="33">
        <v>67.5</v>
      </c>
      <c r="L208" s="33">
        <v>71</v>
      </c>
      <c r="M208" s="33">
        <v>62.5</v>
      </c>
      <c r="N208" s="33">
        <v>88</v>
      </c>
      <c r="O208" s="33">
        <v>56</v>
      </c>
      <c r="P208" s="33">
        <v>60.2</v>
      </c>
      <c r="Q208" s="33">
        <v>95</v>
      </c>
      <c r="R208" s="36"/>
      <c r="S208" s="36"/>
      <c r="T208" s="62">
        <v>70.150000000000006</v>
      </c>
      <c r="U208" s="60"/>
    </row>
    <row r="209" spans="1:27" ht="15.75" customHeight="1">
      <c r="A209" s="47">
        <v>2</v>
      </c>
      <c r="B209" s="47">
        <v>7</v>
      </c>
      <c r="C209" s="47">
        <v>6</v>
      </c>
      <c r="D209" s="25" t="s">
        <v>100</v>
      </c>
      <c r="E209" s="25" t="s">
        <v>101</v>
      </c>
      <c r="F209" s="25" t="s">
        <v>31</v>
      </c>
      <c r="G209" s="49">
        <v>50692</v>
      </c>
      <c r="H209" s="51">
        <v>462</v>
      </c>
      <c r="I209" s="56">
        <v>10</v>
      </c>
      <c r="J209" s="33">
        <v>20</v>
      </c>
      <c r="K209" s="33">
        <v>23</v>
      </c>
      <c r="L209" s="33">
        <v>8</v>
      </c>
      <c r="M209" s="33">
        <v>11</v>
      </c>
      <c r="N209" s="33">
        <v>9</v>
      </c>
      <c r="O209" s="33">
        <v>7</v>
      </c>
      <c r="P209" s="33">
        <v>14.5</v>
      </c>
      <c r="Q209" s="33">
        <v>14.5</v>
      </c>
      <c r="R209" s="33">
        <v>6</v>
      </c>
      <c r="S209" s="33">
        <v>6.5</v>
      </c>
      <c r="T209" s="62">
        <v>11.95</v>
      </c>
      <c r="U209" s="60"/>
    </row>
    <row r="210" spans="1:27" ht="15.75" customHeight="1">
      <c r="A210" s="47">
        <v>2</v>
      </c>
      <c r="B210" s="47">
        <v>7</v>
      </c>
      <c r="C210" s="47">
        <v>7</v>
      </c>
      <c r="D210" s="25" t="s">
        <v>58</v>
      </c>
      <c r="E210" s="25" t="s">
        <v>59</v>
      </c>
      <c r="F210" s="25" t="s">
        <v>25</v>
      </c>
      <c r="G210" s="49">
        <v>50868</v>
      </c>
      <c r="H210" s="51">
        <v>416</v>
      </c>
      <c r="I210" s="56">
        <v>10</v>
      </c>
      <c r="J210" s="33">
        <v>120</v>
      </c>
      <c r="K210" s="33">
        <v>99</v>
      </c>
      <c r="L210" s="33">
        <v>113</v>
      </c>
      <c r="M210" s="33">
        <v>55</v>
      </c>
      <c r="N210" s="33">
        <v>112</v>
      </c>
      <c r="O210" s="33">
        <v>42</v>
      </c>
      <c r="P210" s="33">
        <v>58</v>
      </c>
      <c r="Q210" s="33">
        <v>62</v>
      </c>
      <c r="R210" s="33">
        <v>54</v>
      </c>
      <c r="S210" s="33">
        <v>20</v>
      </c>
      <c r="T210" s="62">
        <v>73.5</v>
      </c>
      <c r="U210" s="60"/>
    </row>
    <row r="211" spans="1:27" ht="15.75" customHeight="1">
      <c r="A211" s="153">
        <v>2</v>
      </c>
      <c r="B211" s="153">
        <v>7</v>
      </c>
      <c r="C211" s="153">
        <v>7</v>
      </c>
      <c r="D211" s="153" t="s">
        <v>97</v>
      </c>
      <c r="E211" s="153" t="s">
        <v>220</v>
      </c>
      <c r="F211" s="153" t="s">
        <v>25</v>
      </c>
      <c r="G211" s="161">
        <v>50869</v>
      </c>
      <c r="H211" s="179">
        <v>214</v>
      </c>
      <c r="I211" s="153">
        <v>4</v>
      </c>
      <c r="J211" s="153">
        <v>16.5</v>
      </c>
      <c r="K211" s="153">
        <v>12</v>
      </c>
      <c r="L211" s="153">
        <v>12</v>
      </c>
      <c r="M211" s="153">
        <v>9</v>
      </c>
      <c r="N211" s="180"/>
      <c r="O211" s="180"/>
      <c r="P211" s="180"/>
      <c r="Q211" s="180"/>
      <c r="R211" s="180"/>
      <c r="S211" s="180"/>
      <c r="T211" s="164">
        <v>12.38</v>
      </c>
      <c r="U211" s="163" t="s">
        <v>221</v>
      </c>
      <c r="V211" s="170"/>
      <c r="W211" s="170"/>
      <c r="X211" s="170"/>
      <c r="Y211" s="170"/>
      <c r="Z211" s="170"/>
      <c r="AA211" s="170"/>
    </row>
    <row r="212" spans="1:27" ht="15.75" customHeight="1">
      <c r="A212" s="47">
        <v>2</v>
      </c>
      <c r="B212" s="47">
        <v>7</v>
      </c>
      <c r="C212" s="47">
        <v>9</v>
      </c>
      <c r="D212" s="25" t="s">
        <v>222</v>
      </c>
      <c r="E212" s="25" t="s">
        <v>223</v>
      </c>
      <c r="F212" s="25" t="s">
        <v>25</v>
      </c>
      <c r="G212" s="49">
        <v>50870</v>
      </c>
      <c r="H212" s="51">
        <v>93</v>
      </c>
      <c r="I212" s="56">
        <v>4</v>
      </c>
      <c r="J212" s="33">
        <v>38.5</v>
      </c>
      <c r="K212" s="33">
        <v>47</v>
      </c>
      <c r="L212" s="33">
        <v>14</v>
      </c>
      <c r="M212" s="33">
        <v>25.5</v>
      </c>
      <c r="N212" s="36"/>
      <c r="O212" s="36"/>
      <c r="P212" s="36"/>
      <c r="Q212" s="36"/>
      <c r="R212" s="36"/>
      <c r="S212" s="36"/>
      <c r="T212" s="62">
        <v>31.25</v>
      </c>
      <c r="U212" s="60"/>
    </row>
    <row r="213" spans="1:27" ht="15.75" customHeight="1">
      <c r="A213" s="47">
        <v>2</v>
      </c>
      <c r="B213" s="47">
        <v>7</v>
      </c>
      <c r="C213" s="47">
        <v>9</v>
      </c>
      <c r="D213" s="25" t="s">
        <v>138</v>
      </c>
      <c r="E213" s="25" t="s">
        <v>139</v>
      </c>
      <c r="F213" s="25" t="s">
        <v>25</v>
      </c>
      <c r="G213" s="49">
        <v>50871</v>
      </c>
      <c r="H213" s="51">
        <v>433</v>
      </c>
      <c r="I213" s="56">
        <v>10</v>
      </c>
      <c r="J213" s="33">
        <v>88</v>
      </c>
      <c r="K213" s="33">
        <v>69.599999999999994</v>
      </c>
      <c r="L213" s="33">
        <v>38</v>
      </c>
      <c r="M213" s="33">
        <v>49</v>
      </c>
      <c r="N213" s="33">
        <v>71</v>
      </c>
      <c r="O213" s="33">
        <v>35</v>
      </c>
      <c r="P213" s="33">
        <v>34</v>
      </c>
      <c r="Q213" s="33">
        <v>18</v>
      </c>
      <c r="R213" s="33">
        <v>43</v>
      </c>
      <c r="S213" s="33">
        <v>33</v>
      </c>
      <c r="T213" s="62">
        <v>47.86</v>
      </c>
      <c r="U213" s="60"/>
    </row>
    <row r="214" spans="1:27" ht="15.75" customHeight="1">
      <c r="A214" s="153">
        <v>2</v>
      </c>
      <c r="B214" s="153">
        <v>7</v>
      </c>
      <c r="C214" s="153">
        <v>11</v>
      </c>
      <c r="D214" s="153" t="s">
        <v>224</v>
      </c>
      <c r="E214" s="153" t="s">
        <v>225</v>
      </c>
      <c r="F214" s="153" t="s">
        <v>25</v>
      </c>
      <c r="G214" s="161">
        <v>50872</v>
      </c>
      <c r="H214" s="179">
        <v>200</v>
      </c>
      <c r="I214" s="153">
        <v>1</v>
      </c>
      <c r="J214" s="153">
        <v>36.5</v>
      </c>
      <c r="K214" s="180"/>
      <c r="L214" s="160"/>
      <c r="M214" s="160"/>
      <c r="N214" s="160"/>
      <c r="O214" s="160"/>
      <c r="P214" s="160"/>
      <c r="Q214" s="160"/>
      <c r="R214" s="160"/>
      <c r="S214" s="160"/>
      <c r="T214" s="164">
        <v>36.5</v>
      </c>
      <c r="U214" s="163" t="s">
        <v>221</v>
      </c>
      <c r="V214" s="170"/>
      <c r="W214" s="170"/>
      <c r="X214" s="170"/>
      <c r="Y214" s="170"/>
      <c r="Z214" s="170"/>
      <c r="AA214" s="170"/>
    </row>
    <row r="215" spans="1:27" ht="15.75" customHeight="1">
      <c r="A215" s="71">
        <v>2</v>
      </c>
      <c r="B215" s="71">
        <v>7</v>
      </c>
      <c r="C215" s="71">
        <v>11</v>
      </c>
      <c r="D215" s="53" t="s">
        <v>212</v>
      </c>
      <c r="E215" s="53" t="s">
        <v>213</v>
      </c>
      <c r="F215" s="53" t="s">
        <v>25</v>
      </c>
      <c r="G215" s="73">
        <v>50873</v>
      </c>
      <c r="H215" s="74">
        <v>186</v>
      </c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79" t="s">
        <v>55</v>
      </c>
    </row>
    <row r="216" spans="1:27" ht="15.75" customHeight="1">
      <c r="A216" s="47">
        <v>2</v>
      </c>
      <c r="B216" s="47">
        <v>7</v>
      </c>
      <c r="C216" s="47">
        <v>11</v>
      </c>
      <c r="D216" s="25" t="s">
        <v>74</v>
      </c>
      <c r="E216" s="25" t="s">
        <v>75</v>
      </c>
      <c r="F216" s="25" t="s">
        <v>25</v>
      </c>
      <c r="G216" s="49">
        <v>50885</v>
      </c>
      <c r="H216" s="51">
        <v>222</v>
      </c>
      <c r="I216" s="56">
        <v>10</v>
      </c>
      <c r="J216" s="33">
        <v>33</v>
      </c>
      <c r="K216" s="33">
        <v>15</v>
      </c>
      <c r="L216" s="33">
        <v>24</v>
      </c>
      <c r="M216" s="33">
        <v>17</v>
      </c>
      <c r="N216" s="33">
        <v>37</v>
      </c>
      <c r="O216" s="33">
        <v>26</v>
      </c>
      <c r="P216" s="33">
        <v>14</v>
      </c>
      <c r="Q216" s="33">
        <v>9.5</v>
      </c>
      <c r="R216" s="33">
        <v>16.5</v>
      </c>
      <c r="S216" s="33">
        <v>7.5</v>
      </c>
      <c r="T216" s="62">
        <v>19.95</v>
      </c>
      <c r="U216" s="60"/>
    </row>
    <row r="217" spans="1:27" ht="15.75" customHeight="1">
      <c r="A217" s="47">
        <v>2</v>
      </c>
      <c r="B217" s="47">
        <v>7</v>
      </c>
      <c r="C217" s="47">
        <v>12</v>
      </c>
      <c r="D217" s="25" t="s">
        <v>226</v>
      </c>
      <c r="E217" s="25" t="s">
        <v>227</v>
      </c>
      <c r="F217" s="25" t="s">
        <v>34</v>
      </c>
      <c r="G217" s="49">
        <v>50662</v>
      </c>
      <c r="H217" s="51">
        <v>31</v>
      </c>
      <c r="I217" s="56">
        <v>1</v>
      </c>
      <c r="J217" s="33">
        <v>43</v>
      </c>
      <c r="K217" s="36"/>
      <c r="L217" s="36"/>
      <c r="M217" s="36"/>
      <c r="N217" s="36"/>
      <c r="O217" s="36"/>
      <c r="P217" s="36"/>
      <c r="Q217" s="36"/>
      <c r="R217" s="36"/>
      <c r="S217" s="36"/>
      <c r="T217" s="62">
        <v>43</v>
      </c>
      <c r="U217" s="60"/>
    </row>
    <row r="218" spans="1:27" ht="15.75" customHeight="1">
      <c r="A218" s="47">
        <v>2</v>
      </c>
      <c r="B218" s="47">
        <v>7</v>
      </c>
      <c r="C218" s="47">
        <v>12</v>
      </c>
      <c r="D218" s="25" t="s">
        <v>212</v>
      </c>
      <c r="E218" s="25" t="s">
        <v>213</v>
      </c>
      <c r="F218" s="25" t="s">
        <v>48</v>
      </c>
      <c r="G218" s="49">
        <v>10995</v>
      </c>
      <c r="H218" s="51">
        <v>170</v>
      </c>
      <c r="I218" s="56">
        <v>6</v>
      </c>
      <c r="J218" s="33">
        <v>109</v>
      </c>
      <c r="K218" s="33">
        <v>62.5</v>
      </c>
      <c r="L218" s="33">
        <v>21</v>
      </c>
      <c r="M218" s="33">
        <v>22</v>
      </c>
      <c r="N218" s="33">
        <v>28</v>
      </c>
      <c r="O218" s="33">
        <v>64</v>
      </c>
      <c r="P218" s="36"/>
      <c r="Q218" s="36"/>
      <c r="R218" s="36"/>
      <c r="S218" s="36"/>
      <c r="T218" s="62">
        <v>51.08</v>
      </c>
      <c r="U218" s="60"/>
    </row>
    <row r="219" spans="1:27" ht="15.75" customHeight="1">
      <c r="A219" s="47">
        <v>2</v>
      </c>
      <c r="B219" s="47">
        <v>7</v>
      </c>
      <c r="C219" s="47">
        <v>13</v>
      </c>
      <c r="D219" s="25" t="s">
        <v>66</v>
      </c>
      <c r="E219" s="25" t="s">
        <v>67</v>
      </c>
      <c r="F219" s="25" t="s">
        <v>31</v>
      </c>
      <c r="G219" s="49">
        <v>50323</v>
      </c>
      <c r="H219" s="51">
        <v>143</v>
      </c>
      <c r="I219" s="56">
        <v>6</v>
      </c>
      <c r="J219" s="33">
        <v>21</v>
      </c>
      <c r="K219" s="33">
        <v>16</v>
      </c>
      <c r="L219" s="33">
        <v>22</v>
      </c>
      <c r="M219" s="33">
        <v>32</v>
      </c>
      <c r="N219" s="33">
        <v>35</v>
      </c>
      <c r="O219" s="33">
        <v>29</v>
      </c>
      <c r="P219" s="36"/>
      <c r="Q219" s="36"/>
      <c r="R219" s="36"/>
      <c r="S219" s="36"/>
      <c r="T219" s="62">
        <v>25.83</v>
      </c>
      <c r="U219" s="60"/>
    </row>
    <row r="220" spans="1:27" ht="15.75" customHeight="1">
      <c r="A220" s="47">
        <v>2</v>
      </c>
      <c r="B220" s="47">
        <v>7</v>
      </c>
      <c r="C220" s="47">
        <v>13</v>
      </c>
      <c r="D220" s="25" t="s">
        <v>66</v>
      </c>
      <c r="E220" s="25" t="s">
        <v>67</v>
      </c>
      <c r="F220" s="25" t="s">
        <v>31</v>
      </c>
      <c r="G220" s="49">
        <v>50726</v>
      </c>
      <c r="H220" s="51">
        <v>166</v>
      </c>
      <c r="I220" s="56">
        <v>8</v>
      </c>
      <c r="J220" s="33">
        <v>37</v>
      </c>
      <c r="K220" s="33">
        <v>24</v>
      </c>
      <c r="L220" s="33">
        <v>47</v>
      </c>
      <c r="M220" s="33">
        <v>26</v>
      </c>
      <c r="N220" s="33">
        <v>16</v>
      </c>
      <c r="O220" s="33">
        <v>10.5</v>
      </c>
      <c r="P220" s="33">
        <v>15</v>
      </c>
      <c r="Q220" s="33">
        <v>46</v>
      </c>
      <c r="R220" s="36"/>
      <c r="S220" s="36"/>
      <c r="T220" s="62">
        <v>27.69</v>
      </c>
      <c r="U220" s="60"/>
    </row>
    <row r="221" spans="1:27" ht="15.75" customHeight="1">
      <c r="A221" s="47">
        <v>2</v>
      </c>
      <c r="B221" s="47">
        <v>7</v>
      </c>
      <c r="C221" s="47">
        <v>13</v>
      </c>
      <c r="D221" s="25" t="s">
        <v>66</v>
      </c>
      <c r="E221" s="25" t="s">
        <v>67</v>
      </c>
      <c r="F221" s="25" t="s">
        <v>34</v>
      </c>
      <c r="G221" s="49">
        <v>50087</v>
      </c>
      <c r="H221" s="51">
        <v>132</v>
      </c>
      <c r="I221" s="56">
        <v>8</v>
      </c>
      <c r="J221" s="33">
        <v>39</v>
      </c>
      <c r="K221" s="33">
        <v>35</v>
      </c>
      <c r="L221" s="33">
        <v>20</v>
      </c>
      <c r="M221" s="33">
        <v>24</v>
      </c>
      <c r="N221" s="33">
        <v>37.5</v>
      </c>
      <c r="O221" s="33">
        <v>46</v>
      </c>
      <c r="P221" s="33">
        <v>51</v>
      </c>
      <c r="Q221" s="33">
        <v>47</v>
      </c>
      <c r="R221" s="36"/>
      <c r="S221" s="36"/>
      <c r="T221" s="62">
        <v>37.44</v>
      </c>
      <c r="U221" s="60"/>
    </row>
    <row r="222" spans="1:27" ht="15.75" customHeight="1">
      <c r="A222" s="47">
        <v>2</v>
      </c>
      <c r="B222" s="47">
        <v>7</v>
      </c>
      <c r="C222" s="47">
        <v>13</v>
      </c>
      <c r="D222" s="25" t="s">
        <v>66</v>
      </c>
      <c r="E222" s="25" t="s">
        <v>67</v>
      </c>
      <c r="F222" s="25" t="s">
        <v>31</v>
      </c>
      <c r="G222" s="49">
        <v>50724</v>
      </c>
      <c r="H222" s="51">
        <v>224</v>
      </c>
      <c r="I222" s="56">
        <v>10</v>
      </c>
      <c r="J222" s="33">
        <v>20</v>
      </c>
      <c r="K222" s="33">
        <v>24</v>
      </c>
      <c r="L222" s="33">
        <v>23</v>
      </c>
      <c r="M222" s="33">
        <v>39.5</v>
      </c>
      <c r="N222" s="33">
        <v>46</v>
      </c>
      <c r="O222" s="33">
        <v>48</v>
      </c>
      <c r="P222" s="33">
        <v>53.5</v>
      </c>
      <c r="Q222" s="33">
        <v>70</v>
      </c>
      <c r="R222" s="33">
        <v>18</v>
      </c>
      <c r="S222" s="33">
        <v>18</v>
      </c>
      <c r="T222" s="62">
        <v>36</v>
      </c>
      <c r="U222" s="60"/>
    </row>
    <row r="223" spans="1:27" ht="15.75" customHeight="1">
      <c r="A223" s="71">
        <v>2</v>
      </c>
      <c r="B223" s="71">
        <v>7</v>
      </c>
      <c r="C223" s="71">
        <v>14</v>
      </c>
      <c r="D223" s="53" t="s">
        <v>228</v>
      </c>
      <c r="E223" s="53" t="s">
        <v>229</v>
      </c>
      <c r="F223" s="53" t="s">
        <v>25</v>
      </c>
      <c r="G223" s="73">
        <v>50855</v>
      </c>
      <c r="H223" s="74">
        <v>26</v>
      </c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79" t="s">
        <v>55</v>
      </c>
    </row>
    <row r="224" spans="1:27" ht="15.75" customHeight="1">
      <c r="A224" s="47">
        <v>2</v>
      </c>
      <c r="B224" s="47">
        <v>7</v>
      </c>
      <c r="C224" s="47">
        <v>16</v>
      </c>
      <c r="D224" s="25" t="s">
        <v>138</v>
      </c>
      <c r="E224" s="25" t="s">
        <v>139</v>
      </c>
      <c r="F224" s="25" t="s">
        <v>25</v>
      </c>
      <c r="G224" s="49">
        <v>50879</v>
      </c>
      <c r="H224" s="51">
        <v>477</v>
      </c>
      <c r="I224" s="56">
        <v>10</v>
      </c>
      <c r="J224" s="33">
        <v>13</v>
      </c>
      <c r="K224" s="33">
        <v>16</v>
      </c>
      <c r="L224" s="33">
        <v>18</v>
      </c>
      <c r="M224" s="33">
        <v>17.5</v>
      </c>
      <c r="N224" s="33">
        <v>26.3</v>
      </c>
      <c r="O224" s="33">
        <v>25</v>
      </c>
      <c r="P224" s="33">
        <v>35</v>
      </c>
      <c r="Q224" s="33">
        <v>82</v>
      </c>
      <c r="R224" s="33">
        <v>66.5</v>
      </c>
      <c r="S224" s="33">
        <v>41</v>
      </c>
      <c r="T224" s="32">
        <v>34.03</v>
      </c>
      <c r="U224" s="60"/>
    </row>
    <row r="225" spans="1:21" ht="15.75" customHeight="1">
      <c r="A225" s="47">
        <v>2</v>
      </c>
      <c r="B225" s="47">
        <v>7</v>
      </c>
      <c r="C225" s="47">
        <v>16</v>
      </c>
      <c r="D225" s="25" t="s">
        <v>122</v>
      </c>
      <c r="E225" s="25" t="s">
        <v>123</v>
      </c>
      <c r="F225" s="25" t="s">
        <v>25</v>
      </c>
      <c r="G225" s="49">
        <v>50888</v>
      </c>
      <c r="H225" s="51">
        <v>135</v>
      </c>
      <c r="I225" s="56">
        <v>6</v>
      </c>
      <c r="J225" s="33">
        <v>11.8</v>
      </c>
      <c r="K225" s="33">
        <v>11</v>
      </c>
      <c r="L225" s="33">
        <v>6</v>
      </c>
      <c r="M225" s="33">
        <v>21</v>
      </c>
      <c r="N225" s="33">
        <v>11.8</v>
      </c>
      <c r="O225" s="33">
        <v>13</v>
      </c>
      <c r="P225" s="36"/>
      <c r="Q225" s="36"/>
      <c r="R225" s="36"/>
      <c r="S225" s="36"/>
      <c r="T225" s="32">
        <v>12.43</v>
      </c>
      <c r="U225" s="60"/>
    </row>
    <row r="226" spans="1:21" ht="15.75" customHeight="1">
      <c r="A226" s="47">
        <v>2</v>
      </c>
      <c r="B226" s="47">
        <v>7</v>
      </c>
      <c r="C226" s="47">
        <v>17</v>
      </c>
      <c r="D226" s="25" t="s">
        <v>66</v>
      </c>
      <c r="E226" s="25" t="s">
        <v>67</v>
      </c>
      <c r="F226" s="25" t="s">
        <v>34</v>
      </c>
      <c r="G226" s="49">
        <v>50459</v>
      </c>
      <c r="H226" s="51">
        <v>126</v>
      </c>
      <c r="I226" s="56">
        <v>6</v>
      </c>
      <c r="J226" s="33">
        <v>46</v>
      </c>
      <c r="K226" s="33">
        <v>32</v>
      </c>
      <c r="L226" s="33">
        <v>42</v>
      </c>
      <c r="M226" s="33">
        <v>37</v>
      </c>
      <c r="N226" s="33">
        <v>47.5</v>
      </c>
      <c r="O226" s="33">
        <v>60</v>
      </c>
      <c r="P226" s="36"/>
      <c r="Q226" s="36"/>
      <c r="R226" s="36"/>
      <c r="S226" s="36"/>
      <c r="T226" s="32">
        <v>44.08</v>
      </c>
      <c r="U226" s="60"/>
    </row>
    <row r="227" spans="1:21" ht="15.75" customHeight="1">
      <c r="A227" s="47">
        <v>2</v>
      </c>
      <c r="B227" s="47">
        <v>7</v>
      </c>
      <c r="C227" s="47">
        <v>17</v>
      </c>
      <c r="D227" s="25" t="s">
        <v>66</v>
      </c>
      <c r="E227" s="25" t="s">
        <v>67</v>
      </c>
      <c r="F227" s="25" t="s">
        <v>34</v>
      </c>
      <c r="G227" s="49">
        <v>50602</v>
      </c>
      <c r="H227" s="51">
        <v>42</v>
      </c>
      <c r="I227" s="56">
        <v>2</v>
      </c>
      <c r="J227" s="33">
        <v>46</v>
      </c>
      <c r="K227" s="33">
        <v>12</v>
      </c>
      <c r="L227" s="36"/>
      <c r="M227" s="36"/>
      <c r="N227" s="36"/>
      <c r="O227" s="36"/>
      <c r="P227" s="36"/>
      <c r="Q227" s="36"/>
      <c r="R227" s="36"/>
      <c r="S227" s="36"/>
      <c r="T227" s="32">
        <v>29</v>
      </c>
      <c r="U227" s="60"/>
    </row>
    <row r="228" spans="1:21" ht="15.75" customHeight="1">
      <c r="A228" s="47">
        <v>2</v>
      </c>
      <c r="B228" s="47">
        <v>7</v>
      </c>
      <c r="C228" s="47">
        <v>18</v>
      </c>
      <c r="D228" s="25" t="s">
        <v>230</v>
      </c>
      <c r="E228" s="25" t="s">
        <v>231</v>
      </c>
      <c r="F228" s="25" t="s">
        <v>48</v>
      </c>
      <c r="G228" s="49">
        <v>50206</v>
      </c>
      <c r="H228" s="51">
        <v>73</v>
      </c>
      <c r="I228" s="56">
        <v>4</v>
      </c>
      <c r="J228" s="33">
        <v>46.7</v>
      </c>
      <c r="K228" s="33">
        <v>76</v>
      </c>
      <c r="L228" s="33">
        <v>45</v>
      </c>
      <c r="M228" s="33">
        <v>47</v>
      </c>
      <c r="N228" s="36"/>
      <c r="O228" s="36"/>
      <c r="P228" s="36"/>
      <c r="Q228" s="36"/>
      <c r="R228" s="36"/>
      <c r="S228" s="36"/>
      <c r="T228" s="32">
        <v>53.68</v>
      </c>
      <c r="U228" s="60"/>
    </row>
    <row r="229" spans="1:21" ht="15.75" customHeight="1">
      <c r="A229" s="47">
        <v>2</v>
      </c>
      <c r="B229" s="47">
        <v>7</v>
      </c>
      <c r="C229" s="47">
        <v>18</v>
      </c>
      <c r="D229" s="25" t="s">
        <v>232</v>
      </c>
      <c r="E229" s="114"/>
      <c r="F229" s="25" t="s">
        <v>68</v>
      </c>
      <c r="G229" s="49">
        <v>50779</v>
      </c>
      <c r="H229" s="51">
        <v>91</v>
      </c>
      <c r="I229" s="56">
        <v>4</v>
      </c>
      <c r="J229" s="33">
        <v>37</v>
      </c>
      <c r="K229" s="33">
        <v>36.5</v>
      </c>
      <c r="L229" s="33">
        <v>33</v>
      </c>
      <c r="M229" s="33">
        <v>37</v>
      </c>
      <c r="N229" s="36"/>
      <c r="O229" s="36"/>
      <c r="P229" s="36"/>
      <c r="Q229" s="36"/>
      <c r="R229" s="36"/>
      <c r="S229" s="36"/>
      <c r="T229" s="32">
        <v>35.880000000000003</v>
      </c>
      <c r="U229" s="60"/>
    </row>
    <row r="230" spans="1:21" ht="15.75" customHeight="1">
      <c r="A230" s="47">
        <v>2</v>
      </c>
      <c r="B230" s="47">
        <v>8</v>
      </c>
      <c r="C230" s="47">
        <v>2</v>
      </c>
      <c r="D230" s="25" t="s">
        <v>233</v>
      </c>
      <c r="E230" s="25" t="s">
        <v>234</v>
      </c>
      <c r="F230" s="25" t="s">
        <v>48</v>
      </c>
      <c r="G230" s="49">
        <v>50778</v>
      </c>
      <c r="H230" s="51">
        <v>118</v>
      </c>
      <c r="I230" s="56">
        <v>2</v>
      </c>
      <c r="J230" s="33">
        <v>37</v>
      </c>
      <c r="K230" s="33">
        <v>60</v>
      </c>
      <c r="L230" s="36"/>
      <c r="M230" s="36"/>
      <c r="N230" s="36"/>
      <c r="O230" s="36"/>
      <c r="P230" s="36"/>
      <c r="Q230" s="36"/>
      <c r="R230" s="36"/>
      <c r="S230" s="36"/>
      <c r="T230" s="32">
        <v>48.5</v>
      </c>
      <c r="U230" s="60"/>
    </row>
    <row r="231" spans="1:21" ht="15.75" customHeight="1">
      <c r="A231" s="47">
        <v>2</v>
      </c>
      <c r="B231" s="47">
        <v>8</v>
      </c>
      <c r="C231" s="47">
        <v>2</v>
      </c>
      <c r="D231" s="25" t="s">
        <v>233</v>
      </c>
      <c r="E231" s="25" t="s">
        <v>234</v>
      </c>
      <c r="F231" s="25" t="s">
        <v>34</v>
      </c>
      <c r="G231" s="49">
        <v>50587</v>
      </c>
      <c r="H231" s="51">
        <v>47</v>
      </c>
      <c r="I231" s="56">
        <v>2</v>
      </c>
      <c r="J231" s="33">
        <v>76</v>
      </c>
      <c r="K231" s="33">
        <v>30</v>
      </c>
      <c r="L231" s="36"/>
      <c r="M231" s="36"/>
      <c r="N231" s="36"/>
      <c r="O231" s="36"/>
      <c r="P231" s="36"/>
      <c r="Q231" s="36"/>
      <c r="R231" s="36"/>
      <c r="S231" s="36"/>
      <c r="T231" s="32">
        <v>53</v>
      </c>
      <c r="U231" s="60"/>
    </row>
    <row r="232" spans="1:21" ht="15.75" customHeight="1">
      <c r="A232" s="47">
        <v>2</v>
      </c>
      <c r="B232" s="47">
        <v>8</v>
      </c>
      <c r="C232" s="47">
        <v>3</v>
      </c>
      <c r="D232" s="25" t="s">
        <v>134</v>
      </c>
      <c r="E232" s="25" t="s">
        <v>135</v>
      </c>
      <c r="F232" s="25" t="s">
        <v>25</v>
      </c>
      <c r="G232" s="49">
        <v>50268</v>
      </c>
      <c r="H232" s="51">
        <v>210</v>
      </c>
      <c r="I232" s="56">
        <v>8</v>
      </c>
      <c r="J232" s="33">
        <v>15</v>
      </c>
      <c r="K232" s="33">
        <v>20</v>
      </c>
      <c r="L232" s="33">
        <v>33</v>
      </c>
      <c r="M232" s="33">
        <v>29</v>
      </c>
      <c r="N232" s="33">
        <v>45</v>
      </c>
      <c r="O232" s="33">
        <v>36</v>
      </c>
      <c r="P232" s="33">
        <v>49</v>
      </c>
      <c r="Q232" s="33">
        <v>29</v>
      </c>
      <c r="R232" s="36"/>
      <c r="S232" s="36"/>
      <c r="T232" s="32">
        <v>32</v>
      </c>
      <c r="U232" s="60"/>
    </row>
    <row r="233" spans="1:21" ht="15.75" customHeight="1">
      <c r="A233" s="47">
        <v>2</v>
      </c>
      <c r="B233" s="47">
        <v>8</v>
      </c>
      <c r="C233" s="47">
        <v>4</v>
      </c>
      <c r="D233" s="25" t="s">
        <v>132</v>
      </c>
      <c r="E233" s="25" t="s">
        <v>133</v>
      </c>
      <c r="F233" s="25" t="s">
        <v>68</v>
      </c>
      <c r="G233" s="49">
        <v>50454</v>
      </c>
      <c r="H233" s="51">
        <v>273</v>
      </c>
      <c r="I233" s="56">
        <v>6</v>
      </c>
      <c r="J233" s="33">
        <v>11</v>
      </c>
      <c r="K233" s="33">
        <v>10</v>
      </c>
      <c r="L233" s="33">
        <v>11</v>
      </c>
      <c r="M233" s="33">
        <v>14</v>
      </c>
      <c r="N233" s="33">
        <v>14</v>
      </c>
      <c r="O233" s="33">
        <v>13</v>
      </c>
      <c r="P233" s="36"/>
      <c r="Q233" s="36"/>
      <c r="R233" s="36"/>
      <c r="S233" s="36"/>
      <c r="T233" s="32">
        <v>12.17</v>
      </c>
      <c r="U233" s="60"/>
    </row>
    <row r="234" spans="1:21" ht="15.75" customHeight="1">
      <c r="A234" s="47">
        <v>2</v>
      </c>
      <c r="B234" s="47">
        <v>8</v>
      </c>
      <c r="C234" s="47">
        <v>4</v>
      </c>
      <c r="D234" s="25" t="s">
        <v>132</v>
      </c>
      <c r="E234" s="25" t="s">
        <v>133</v>
      </c>
      <c r="F234" s="25" t="s">
        <v>34</v>
      </c>
      <c r="G234" s="49">
        <v>50570</v>
      </c>
      <c r="H234" s="51">
        <v>226</v>
      </c>
      <c r="I234" s="56">
        <v>8</v>
      </c>
      <c r="J234" s="33">
        <v>8</v>
      </c>
      <c r="K234" s="33">
        <v>8.8000000000000007</v>
      </c>
      <c r="L234" s="33">
        <v>2.5</v>
      </c>
      <c r="M234" s="33">
        <v>7</v>
      </c>
      <c r="N234" s="33">
        <v>6.5</v>
      </c>
      <c r="O234" s="33">
        <v>8</v>
      </c>
      <c r="P234" s="33">
        <v>4.4000000000000004</v>
      </c>
      <c r="Q234" s="33">
        <v>12</v>
      </c>
      <c r="R234" s="36"/>
      <c r="S234" s="36"/>
      <c r="T234" s="32">
        <v>7.15</v>
      </c>
      <c r="U234" s="60"/>
    </row>
    <row r="235" spans="1:21" ht="15.75" customHeight="1">
      <c r="A235" s="47">
        <v>2</v>
      </c>
      <c r="B235" s="47">
        <v>8</v>
      </c>
      <c r="C235" s="47">
        <v>5</v>
      </c>
      <c r="D235" s="25" t="s">
        <v>142</v>
      </c>
      <c r="E235" s="25" t="s">
        <v>143</v>
      </c>
      <c r="F235" s="25" t="s">
        <v>31</v>
      </c>
      <c r="G235" s="49">
        <v>50824</v>
      </c>
      <c r="H235" s="51">
        <v>67</v>
      </c>
      <c r="I235" s="56">
        <v>1</v>
      </c>
      <c r="J235" s="33">
        <v>59</v>
      </c>
      <c r="K235" s="36"/>
      <c r="L235" s="36"/>
      <c r="M235" s="36"/>
      <c r="N235" s="36"/>
      <c r="O235" s="36"/>
      <c r="P235" s="36"/>
      <c r="Q235" s="36"/>
      <c r="R235" s="36"/>
      <c r="S235" s="36"/>
      <c r="T235" s="32">
        <v>59</v>
      </c>
      <c r="U235" s="60"/>
    </row>
    <row r="236" spans="1:21" ht="15.75" customHeight="1">
      <c r="A236" s="47">
        <v>2</v>
      </c>
      <c r="B236" s="47">
        <v>8</v>
      </c>
      <c r="C236" s="47">
        <v>5</v>
      </c>
      <c r="D236" s="25" t="s">
        <v>142</v>
      </c>
      <c r="E236" s="25" t="s">
        <v>143</v>
      </c>
      <c r="F236" s="25" t="s">
        <v>25</v>
      </c>
      <c r="G236" s="49">
        <v>50766</v>
      </c>
      <c r="H236" s="51">
        <v>26</v>
      </c>
      <c r="I236" s="56">
        <v>1</v>
      </c>
      <c r="J236" s="33">
        <v>52</v>
      </c>
      <c r="K236" s="36"/>
      <c r="L236" s="36"/>
      <c r="M236" s="36"/>
      <c r="N236" s="36"/>
      <c r="O236" s="36"/>
      <c r="P236" s="36"/>
      <c r="Q236" s="36"/>
      <c r="R236" s="36"/>
      <c r="S236" s="36"/>
      <c r="T236" s="32">
        <v>52</v>
      </c>
      <c r="U236" s="60"/>
    </row>
    <row r="237" spans="1:21" ht="15.75" customHeight="1">
      <c r="A237" s="47">
        <v>2</v>
      </c>
      <c r="B237" s="47">
        <v>8</v>
      </c>
      <c r="C237" s="47">
        <v>6</v>
      </c>
      <c r="D237" s="25" t="s">
        <v>37</v>
      </c>
      <c r="E237" s="25" t="s">
        <v>38</v>
      </c>
      <c r="F237" s="25" t="s">
        <v>31</v>
      </c>
      <c r="G237" s="49">
        <v>50826</v>
      </c>
      <c r="H237" s="51">
        <v>185</v>
      </c>
      <c r="I237" s="56">
        <v>6</v>
      </c>
      <c r="J237" s="33">
        <v>120</v>
      </c>
      <c r="K237" s="33">
        <v>90</v>
      </c>
      <c r="L237" s="33">
        <v>85.5</v>
      </c>
      <c r="M237" s="33">
        <v>83</v>
      </c>
      <c r="N237" s="33">
        <v>60</v>
      </c>
      <c r="O237" s="33">
        <v>70</v>
      </c>
      <c r="P237" s="36"/>
      <c r="Q237" s="36"/>
      <c r="R237" s="36"/>
      <c r="S237" s="36"/>
      <c r="T237" s="32">
        <v>84.75</v>
      </c>
      <c r="U237" s="60"/>
    </row>
    <row r="238" spans="1:21" ht="15.75" customHeight="1">
      <c r="A238" s="47">
        <v>2</v>
      </c>
      <c r="B238" s="47">
        <v>8</v>
      </c>
      <c r="C238" s="47">
        <v>6</v>
      </c>
      <c r="D238" s="25" t="s">
        <v>58</v>
      </c>
      <c r="E238" s="25" t="s">
        <v>59</v>
      </c>
      <c r="F238" s="25" t="s">
        <v>31</v>
      </c>
      <c r="G238" s="49">
        <v>50839</v>
      </c>
      <c r="H238" s="51">
        <v>215</v>
      </c>
      <c r="I238" s="56">
        <v>6</v>
      </c>
      <c r="J238" s="33">
        <v>130</v>
      </c>
      <c r="K238" s="33">
        <v>100</v>
      </c>
      <c r="L238" s="33">
        <v>70</v>
      </c>
      <c r="M238" s="33">
        <v>69</v>
      </c>
      <c r="N238" s="33">
        <v>36</v>
      </c>
      <c r="O238" s="33">
        <v>35</v>
      </c>
      <c r="P238" s="36"/>
      <c r="Q238" s="36"/>
      <c r="R238" s="36"/>
      <c r="S238" s="36"/>
      <c r="T238" s="32">
        <v>73.33</v>
      </c>
      <c r="U238" s="60"/>
    </row>
    <row r="239" spans="1:21" ht="15.75" customHeight="1">
      <c r="A239" s="47">
        <v>2</v>
      </c>
      <c r="B239" s="47">
        <v>8</v>
      </c>
      <c r="C239" s="47">
        <v>6</v>
      </c>
      <c r="D239" s="25" t="s">
        <v>173</v>
      </c>
      <c r="E239" s="25" t="s">
        <v>174</v>
      </c>
      <c r="F239" s="25" t="s">
        <v>31</v>
      </c>
      <c r="G239" s="49">
        <v>50825</v>
      </c>
      <c r="H239" s="51">
        <v>132</v>
      </c>
      <c r="I239" s="56">
        <v>6</v>
      </c>
      <c r="J239" s="33">
        <v>78</v>
      </c>
      <c r="K239" s="33">
        <v>66</v>
      </c>
      <c r="L239" s="33">
        <v>60</v>
      </c>
      <c r="M239" s="33">
        <v>46</v>
      </c>
      <c r="N239" s="33">
        <v>42</v>
      </c>
      <c r="O239" s="33">
        <v>30</v>
      </c>
      <c r="P239" s="36"/>
      <c r="Q239" s="36"/>
      <c r="R239" s="36"/>
      <c r="S239" s="36"/>
      <c r="T239" s="32">
        <v>53.67</v>
      </c>
      <c r="U239" s="60"/>
    </row>
    <row r="240" spans="1:21" ht="15.75" customHeight="1">
      <c r="A240" s="47">
        <v>2</v>
      </c>
      <c r="B240" s="47">
        <v>8</v>
      </c>
      <c r="C240" s="47">
        <v>7</v>
      </c>
      <c r="D240" s="25" t="s">
        <v>171</v>
      </c>
      <c r="E240" s="25" t="s">
        <v>172</v>
      </c>
      <c r="F240" s="25" t="s">
        <v>25</v>
      </c>
      <c r="G240" s="49">
        <v>50878</v>
      </c>
      <c r="H240" s="51">
        <v>396</v>
      </c>
      <c r="I240" s="56">
        <v>6</v>
      </c>
      <c r="J240" s="33">
        <v>12</v>
      </c>
      <c r="K240" s="33">
        <v>16</v>
      </c>
      <c r="L240" s="33">
        <v>22</v>
      </c>
      <c r="M240" s="33">
        <v>23</v>
      </c>
      <c r="N240" s="33">
        <v>20</v>
      </c>
      <c r="O240" s="33">
        <v>25</v>
      </c>
      <c r="P240" s="36"/>
      <c r="Q240" s="36"/>
      <c r="R240" s="36"/>
      <c r="S240" s="36"/>
      <c r="T240" s="32">
        <v>19.670000000000002</v>
      </c>
      <c r="U240" s="60"/>
    </row>
    <row r="241" spans="1:21" ht="15.75" customHeight="1">
      <c r="A241" s="63">
        <v>2</v>
      </c>
      <c r="B241" s="63">
        <v>8</v>
      </c>
      <c r="C241" s="63">
        <v>8</v>
      </c>
      <c r="D241" s="38" t="s">
        <v>235</v>
      </c>
      <c r="E241" s="38" t="s">
        <v>236</v>
      </c>
      <c r="F241" s="38" t="s">
        <v>34</v>
      </c>
      <c r="G241" s="64">
        <v>50569</v>
      </c>
      <c r="H241" s="65">
        <v>7</v>
      </c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67" t="s">
        <v>43</v>
      </c>
    </row>
    <row r="242" spans="1:21" ht="15.75" customHeight="1">
      <c r="A242" s="47">
        <v>2</v>
      </c>
      <c r="B242" s="47">
        <v>8</v>
      </c>
      <c r="C242" s="47">
        <v>8</v>
      </c>
      <c r="D242" s="25" t="s">
        <v>85</v>
      </c>
      <c r="E242" s="25" t="s">
        <v>86</v>
      </c>
      <c r="F242" s="25" t="s">
        <v>31</v>
      </c>
      <c r="G242" s="49">
        <v>50796</v>
      </c>
      <c r="H242" s="51">
        <v>256</v>
      </c>
      <c r="I242" s="56">
        <v>2</v>
      </c>
      <c r="J242" s="33">
        <v>89</v>
      </c>
      <c r="K242" s="33">
        <v>75</v>
      </c>
      <c r="L242" s="36"/>
      <c r="M242" s="36"/>
      <c r="N242" s="36"/>
      <c r="O242" s="36"/>
      <c r="P242" s="36"/>
      <c r="Q242" s="36"/>
      <c r="R242" s="36"/>
      <c r="S242" s="36"/>
      <c r="T242" s="32">
        <v>82</v>
      </c>
      <c r="U242" s="60"/>
    </row>
    <row r="243" spans="1:21" ht="15.75" customHeight="1">
      <c r="A243" s="47">
        <v>2</v>
      </c>
      <c r="B243" s="47">
        <v>8</v>
      </c>
      <c r="C243" s="47">
        <v>10</v>
      </c>
      <c r="D243" s="25" t="s">
        <v>169</v>
      </c>
      <c r="E243" s="25" t="s">
        <v>170</v>
      </c>
      <c r="F243" s="25" t="s">
        <v>25</v>
      </c>
      <c r="G243" s="49">
        <v>50883</v>
      </c>
      <c r="H243" s="51">
        <v>158</v>
      </c>
      <c r="I243" s="56">
        <v>8</v>
      </c>
      <c r="J243" s="33">
        <v>15</v>
      </c>
      <c r="K243" s="33">
        <v>20</v>
      </c>
      <c r="L243" s="33">
        <v>28</v>
      </c>
      <c r="M243" s="33">
        <v>18</v>
      </c>
      <c r="N243" s="33">
        <v>16</v>
      </c>
      <c r="O243" s="33">
        <v>22.5</v>
      </c>
      <c r="P243" s="33">
        <v>35</v>
      </c>
      <c r="Q243" s="33">
        <v>22.5</v>
      </c>
      <c r="R243" s="36"/>
      <c r="S243" s="36"/>
      <c r="T243" s="32">
        <v>22.13</v>
      </c>
      <c r="U243" s="60"/>
    </row>
    <row r="244" spans="1:21" ht="15.75" customHeight="1">
      <c r="A244" s="33">
        <v>2</v>
      </c>
      <c r="B244" s="47">
        <v>8</v>
      </c>
      <c r="C244" s="47">
        <v>10</v>
      </c>
      <c r="D244" s="25" t="s">
        <v>218</v>
      </c>
      <c r="E244" s="25" t="s">
        <v>219</v>
      </c>
      <c r="F244" s="25" t="s">
        <v>25</v>
      </c>
      <c r="G244" s="49">
        <v>50884</v>
      </c>
      <c r="H244" s="51">
        <v>262</v>
      </c>
      <c r="I244" s="56">
        <v>8</v>
      </c>
      <c r="J244" s="33">
        <v>12</v>
      </c>
      <c r="K244" s="33">
        <v>16</v>
      </c>
      <c r="L244" s="33">
        <v>8.5</v>
      </c>
      <c r="M244" s="33">
        <v>11</v>
      </c>
      <c r="N244" s="33">
        <v>10.5</v>
      </c>
      <c r="O244" s="33">
        <v>14</v>
      </c>
      <c r="P244" s="33">
        <v>10.5</v>
      </c>
      <c r="Q244" s="33">
        <v>14</v>
      </c>
      <c r="R244" s="36"/>
      <c r="S244" s="36"/>
      <c r="T244" s="32">
        <v>12.06</v>
      </c>
      <c r="U244" s="60"/>
    </row>
    <row r="245" spans="1:21" ht="15.75" customHeight="1">
      <c r="A245" s="47">
        <v>2</v>
      </c>
      <c r="B245" s="47">
        <v>8</v>
      </c>
      <c r="C245" s="47">
        <v>11</v>
      </c>
      <c r="D245" s="25" t="s">
        <v>237</v>
      </c>
      <c r="E245" s="25" t="s">
        <v>238</v>
      </c>
      <c r="F245" s="25" t="s">
        <v>25</v>
      </c>
      <c r="G245" s="49">
        <v>50751</v>
      </c>
      <c r="H245" s="51">
        <v>239</v>
      </c>
      <c r="I245" s="56">
        <v>8</v>
      </c>
      <c r="J245" s="33">
        <v>82</v>
      </c>
      <c r="K245" s="33">
        <v>86</v>
      </c>
      <c r="L245" s="33">
        <v>96</v>
      </c>
      <c r="M245" s="158"/>
      <c r="N245" s="33">
        <v>98</v>
      </c>
      <c r="O245" s="33">
        <v>33</v>
      </c>
      <c r="P245" s="33">
        <v>32</v>
      </c>
      <c r="Q245" s="33">
        <v>61</v>
      </c>
      <c r="R245" s="36"/>
      <c r="S245" s="36"/>
      <c r="T245" s="32">
        <v>69.709999999999994</v>
      </c>
      <c r="U245" s="60"/>
    </row>
    <row r="246" spans="1:21" ht="15.75" customHeight="1">
      <c r="A246" s="47">
        <v>2</v>
      </c>
      <c r="B246" s="47">
        <v>8</v>
      </c>
      <c r="C246" s="47">
        <v>11</v>
      </c>
      <c r="D246" s="25" t="s">
        <v>237</v>
      </c>
      <c r="E246" s="25" t="s">
        <v>238</v>
      </c>
      <c r="F246" s="25" t="s">
        <v>68</v>
      </c>
      <c r="G246" s="49">
        <v>50737</v>
      </c>
      <c r="H246" s="51">
        <v>31</v>
      </c>
      <c r="I246" s="56">
        <v>1</v>
      </c>
      <c r="J246" s="33">
        <v>32</v>
      </c>
      <c r="K246" s="36"/>
      <c r="L246" s="36"/>
      <c r="M246" s="36"/>
      <c r="N246" s="36"/>
      <c r="O246" s="36"/>
      <c r="P246" s="36"/>
      <c r="Q246" s="36"/>
      <c r="R246" s="36"/>
      <c r="S246" s="36"/>
      <c r="T246" s="32">
        <v>32</v>
      </c>
      <c r="U246" s="60"/>
    </row>
    <row r="247" spans="1:21" ht="15.75" customHeight="1">
      <c r="A247" s="71">
        <v>2</v>
      </c>
      <c r="B247" s="71">
        <v>8</v>
      </c>
      <c r="C247" s="71">
        <v>11</v>
      </c>
      <c r="D247" s="53" t="s">
        <v>237</v>
      </c>
      <c r="E247" s="53" t="s">
        <v>238</v>
      </c>
      <c r="F247" s="53" t="s">
        <v>34</v>
      </c>
      <c r="G247" s="73">
        <v>50543</v>
      </c>
      <c r="H247" s="74">
        <v>38</v>
      </c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79" t="s">
        <v>55</v>
      </c>
    </row>
    <row r="248" spans="1:21" ht="15.75" customHeight="1">
      <c r="A248" s="47">
        <v>2</v>
      </c>
      <c r="B248" s="47">
        <v>8</v>
      </c>
      <c r="C248" s="47">
        <v>11</v>
      </c>
      <c r="D248" s="25" t="s">
        <v>237</v>
      </c>
      <c r="E248" s="25" t="s">
        <v>238</v>
      </c>
      <c r="F248" s="25" t="s">
        <v>34</v>
      </c>
      <c r="G248" s="49">
        <v>50738</v>
      </c>
      <c r="H248" s="51">
        <v>54</v>
      </c>
      <c r="I248" s="56">
        <v>2</v>
      </c>
      <c r="J248" s="33">
        <v>30</v>
      </c>
      <c r="K248" s="33">
        <v>41</v>
      </c>
      <c r="L248" s="36"/>
      <c r="M248" s="36"/>
      <c r="N248" s="36"/>
      <c r="O248" s="36"/>
      <c r="P248" s="36"/>
      <c r="Q248" s="36"/>
      <c r="R248" s="36"/>
      <c r="S248" s="36"/>
      <c r="T248" s="32">
        <v>35.5</v>
      </c>
      <c r="U248" s="60"/>
    </row>
    <row r="249" spans="1:21" ht="15.75" customHeight="1">
      <c r="A249" s="47">
        <v>2</v>
      </c>
      <c r="B249" s="47">
        <v>8</v>
      </c>
      <c r="C249" s="47">
        <v>11</v>
      </c>
      <c r="D249" s="25" t="s">
        <v>237</v>
      </c>
      <c r="E249" s="25" t="s">
        <v>238</v>
      </c>
      <c r="F249" s="25" t="s">
        <v>68</v>
      </c>
      <c r="G249" s="49">
        <v>50644</v>
      </c>
      <c r="H249" s="51">
        <v>14</v>
      </c>
      <c r="I249" s="56">
        <v>1</v>
      </c>
      <c r="J249" s="33">
        <v>29</v>
      </c>
      <c r="K249" s="36"/>
      <c r="L249" s="36"/>
      <c r="M249" s="36"/>
      <c r="N249" s="36"/>
      <c r="O249" s="36"/>
      <c r="P249" s="36"/>
      <c r="Q249" s="36"/>
      <c r="R249" s="36"/>
      <c r="S249" s="36"/>
      <c r="T249" s="32">
        <v>29</v>
      </c>
      <c r="U249" s="60"/>
    </row>
    <row r="250" spans="1:21" ht="15.75" customHeight="1">
      <c r="A250" s="63">
        <v>2</v>
      </c>
      <c r="B250" s="63">
        <v>8</v>
      </c>
      <c r="C250" s="63">
        <v>11</v>
      </c>
      <c r="D250" s="38" t="s">
        <v>237</v>
      </c>
      <c r="E250" s="38" t="s">
        <v>238</v>
      </c>
      <c r="F250" s="38" t="s">
        <v>25</v>
      </c>
      <c r="G250" s="64">
        <v>50275</v>
      </c>
      <c r="H250" s="65">
        <v>24</v>
      </c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67" t="s">
        <v>43</v>
      </c>
    </row>
    <row r="251" spans="1:21" ht="15.75" customHeight="1">
      <c r="A251" s="63">
        <v>2</v>
      </c>
      <c r="B251" s="63">
        <v>8</v>
      </c>
      <c r="C251" s="63">
        <v>11</v>
      </c>
      <c r="D251" s="38" t="s">
        <v>237</v>
      </c>
      <c r="E251" s="38" t="s">
        <v>238</v>
      </c>
      <c r="F251" s="38" t="s">
        <v>34</v>
      </c>
      <c r="G251" s="64">
        <v>50709</v>
      </c>
      <c r="H251" s="65">
        <v>31</v>
      </c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67" t="s">
        <v>43</v>
      </c>
    </row>
    <row r="252" spans="1:21" ht="15.75" customHeight="1">
      <c r="A252" s="35">
        <v>2</v>
      </c>
      <c r="B252" s="35">
        <v>8</v>
      </c>
      <c r="C252" s="35">
        <v>12</v>
      </c>
      <c r="D252" s="16" t="s">
        <v>239</v>
      </c>
      <c r="E252" s="16" t="s">
        <v>240</v>
      </c>
      <c r="F252" s="16" t="s">
        <v>25</v>
      </c>
      <c r="G252" s="37">
        <v>30885</v>
      </c>
      <c r="H252" s="39">
        <v>408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45" t="s">
        <v>26</v>
      </c>
    </row>
    <row r="253" spans="1:21" ht="15.75" customHeight="1">
      <c r="A253" s="47">
        <v>2</v>
      </c>
      <c r="B253" s="47">
        <v>8</v>
      </c>
      <c r="C253" s="47">
        <v>13</v>
      </c>
      <c r="D253" s="25" t="s">
        <v>134</v>
      </c>
      <c r="E253" s="25" t="s">
        <v>135</v>
      </c>
      <c r="F253" s="25" t="s">
        <v>25</v>
      </c>
      <c r="G253" s="49">
        <v>50142</v>
      </c>
      <c r="H253" s="51">
        <v>224</v>
      </c>
      <c r="I253" s="56">
        <v>8</v>
      </c>
      <c r="J253" s="33">
        <v>50</v>
      </c>
      <c r="K253" s="33">
        <v>66</v>
      </c>
      <c r="L253" s="33">
        <v>56</v>
      </c>
      <c r="M253" s="33">
        <v>62</v>
      </c>
      <c r="N253" s="33">
        <v>60</v>
      </c>
      <c r="O253" s="33">
        <v>64</v>
      </c>
      <c r="P253" s="33">
        <v>43</v>
      </c>
      <c r="Q253" s="33">
        <v>55</v>
      </c>
      <c r="R253" s="36"/>
      <c r="S253" s="36"/>
      <c r="T253" s="32">
        <v>57</v>
      </c>
      <c r="U253" s="60"/>
    </row>
    <row r="254" spans="1:21" ht="15.75" customHeight="1">
      <c r="A254" s="47">
        <v>2</v>
      </c>
      <c r="B254" s="47">
        <v>8</v>
      </c>
      <c r="C254" s="47">
        <v>13</v>
      </c>
      <c r="D254" s="25" t="s">
        <v>136</v>
      </c>
      <c r="E254" s="25" t="s">
        <v>137</v>
      </c>
      <c r="F254" s="25" t="s">
        <v>25</v>
      </c>
      <c r="G254" s="49">
        <v>50857</v>
      </c>
      <c r="H254" s="51">
        <v>106</v>
      </c>
      <c r="I254" s="56">
        <v>4</v>
      </c>
      <c r="J254" s="33">
        <v>79</v>
      </c>
      <c r="K254" s="33">
        <v>134</v>
      </c>
      <c r="L254" s="33">
        <v>132</v>
      </c>
      <c r="M254" s="33">
        <v>98</v>
      </c>
      <c r="N254" s="36"/>
      <c r="O254" s="36"/>
      <c r="P254" s="36"/>
      <c r="Q254" s="36"/>
      <c r="R254" s="36"/>
      <c r="S254" s="36"/>
      <c r="T254" s="32">
        <v>110.75</v>
      </c>
      <c r="U254" s="60"/>
    </row>
    <row r="255" spans="1:21" ht="15.75" customHeight="1">
      <c r="A255" s="47">
        <v>2</v>
      </c>
      <c r="B255" s="47">
        <v>8</v>
      </c>
      <c r="C255" s="47">
        <v>14</v>
      </c>
      <c r="D255" s="25" t="s">
        <v>241</v>
      </c>
      <c r="E255" s="25" t="s">
        <v>242</v>
      </c>
      <c r="F255" s="25" t="s">
        <v>25</v>
      </c>
      <c r="G255" s="49">
        <v>50876</v>
      </c>
      <c r="H255" s="51">
        <v>420</v>
      </c>
      <c r="I255" s="56">
        <v>10</v>
      </c>
      <c r="J255" s="33">
        <v>20</v>
      </c>
      <c r="K255" s="33">
        <v>23</v>
      </c>
      <c r="L255" s="33">
        <v>48</v>
      </c>
      <c r="M255" s="33">
        <v>31</v>
      </c>
      <c r="N255" s="33">
        <v>29.5</v>
      </c>
      <c r="O255" s="33">
        <v>36</v>
      </c>
      <c r="P255" s="33">
        <v>34</v>
      </c>
      <c r="Q255" s="33">
        <v>44</v>
      </c>
      <c r="R255" s="33">
        <v>44</v>
      </c>
      <c r="S255" s="33">
        <v>40.5</v>
      </c>
      <c r="T255" s="32">
        <v>35</v>
      </c>
      <c r="U255" s="60"/>
    </row>
    <row r="256" spans="1:21" ht="15.75" customHeight="1">
      <c r="A256" s="47">
        <v>2</v>
      </c>
      <c r="B256" s="47">
        <v>8</v>
      </c>
      <c r="C256" s="47">
        <v>15</v>
      </c>
      <c r="D256" s="25" t="s">
        <v>203</v>
      </c>
      <c r="E256" s="25" t="s">
        <v>204</v>
      </c>
      <c r="F256" s="25" t="s">
        <v>31</v>
      </c>
      <c r="G256" s="49">
        <v>50841</v>
      </c>
      <c r="H256" s="51">
        <v>390</v>
      </c>
      <c r="I256" s="56">
        <v>10</v>
      </c>
      <c r="J256" s="33">
        <v>86</v>
      </c>
      <c r="K256" s="33">
        <v>98</v>
      </c>
      <c r="L256" s="33">
        <v>174</v>
      </c>
      <c r="M256" s="33">
        <v>125</v>
      </c>
      <c r="N256" s="33">
        <v>117</v>
      </c>
      <c r="O256" s="33">
        <v>149</v>
      </c>
      <c r="P256" s="33">
        <v>80</v>
      </c>
      <c r="Q256" s="33">
        <v>72</v>
      </c>
      <c r="R256" s="33">
        <v>63</v>
      </c>
      <c r="S256" s="33">
        <v>45</v>
      </c>
      <c r="T256" s="32">
        <v>100.9</v>
      </c>
      <c r="U256" s="60"/>
    </row>
    <row r="257" spans="1:21" ht="15.75" customHeight="1">
      <c r="A257" s="47">
        <v>2</v>
      </c>
      <c r="B257" s="47">
        <v>8</v>
      </c>
      <c r="C257" s="47">
        <v>15</v>
      </c>
      <c r="D257" s="25" t="s">
        <v>203</v>
      </c>
      <c r="E257" s="25" t="s">
        <v>204</v>
      </c>
      <c r="F257" s="25" t="s">
        <v>25</v>
      </c>
      <c r="G257" s="49">
        <v>50657</v>
      </c>
      <c r="H257" s="51">
        <v>8</v>
      </c>
      <c r="I257" s="56">
        <v>1</v>
      </c>
      <c r="J257" s="33">
        <v>112</v>
      </c>
      <c r="K257" s="36"/>
      <c r="L257" s="36"/>
      <c r="M257" s="36"/>
      <c r="N257" s="36"/>
      <c r="O257" s="36"/>
      <c r="P257" s="36"/>
      <c r="Q257" s="36"/>
      <c r="R257" s="36"/>
      <c r="S257" s="36"/>
      <c r="T257" s="32">
        <v>112</v>
      </c>
      <c r="U257" s="60"/>
    </row>
    <row r="258" spans="1:21" ht="15.75" customHeight="1">
      <c r="A258" s="47">
        <v>2</v>
      </c>
      <c r="B258" s="47">
        <v>8</v>
      </c>
      <c r="C258" s="47">
        <v>15</v>
      </c>
      <c r="D258" s="25" t="s">
        <v>203</v>
      </c>
      <c r="E258" s="25" t="s">
        <v>204</v>
      </c>
      <c r="F258" s="25" t="s">
        <v>31</v>
      </c>
      <c r="G258" s="49">
        <v>50777</v>
      </c>
      <c r="H258" s="51">
        <v>9</v>
      </c>
      <c r="I258" s="56">
        <v>1</v>
      </c>
      <c r="J258" s="33">
        <v>70</v>
      </c>
      <c r="K258" s="36"/>
      <c r="L258" s="36"/>
      <c r="M258" s="36"/>
      <c r="N258" s="36"/>
      <c r="O258" s="36"/>
      <c r="P258" s="36"/>
      <c r="Q258" s="36"/>
      <c r="R258" s="36"/>
      <c r="S258" s="36"/>
      <c r="T258" s="32">
        <v>70</v>
      </c>
      <c r="U258" s="60"/>
    </row>
    <row r="259" spans="1:21" ht="15.75" customHeight="1">
      <c r="A259" s="47">
        <v>2</v>
      </c>
      <c r="B259" s="47">
        <v>8</v>
      </c>
      <c r="C259" s="47">
        <v>15</v>
      </c>
      <c r="D259" s="25" t="s">
        <v>203</v>
      </c>
      <c r="E259" s="25" t="s">
        <v>204</v>
      </c>
      <c r="F259" s="25" t="s">
        <v>31</v>
      </c>
      <c r="G259" s="49">
        <v>50799</v>
      </c>
      <c r="H259" s="51">
        <v>7</v>
      </c>
      <c r="I259" s="56">
        <v>1</v>
      </c>
      <c r="J259" s="33">
        <v>90</v>
      </c>
      <c r="K259" s="36"/>
      <c r="L259" s="36"/>
      <c r="M259" s="36"/>
      <c r="N259" s="36"/>
      <c r="O259" s="36"/>
      <c r="P259" s="36"/>
      <c r="Q259" s="36"/>
      <c r="R259" s="36"/>
      <c r="S259" s="36"/>
      <c r="T259" s="32">
        <v>90</v>
      </c>
      <c r="U259" s="60"/>
    </row>
    <row r="260" spans="1:21" ht="15.75" customHeight="1">
      <c r="A260" s="63">
        <v>2</v>
      </c>
      <c r="B260" s="63">
        <v>12</v>
      </c>
      <c r="C260" s="63">
        <v>22</v>
      </c>
      <c r="D260" s="38" t="s">
        <v>243</v>
      </c>
      <c r="E260" s="38" t="s">
        <v>244</v>
      </c>
      <c r="F260" s="38" t="s">
        <v>109</v>
      </c>
      <c r="G260" s="64">
        <v>30655</v>
      </c>
      <c r="H260" s="65">
        <v>6</v>
      </c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67" t="s">
        <v>43</v>
      </c>
    </row>
    <row r="261" spans="1:21" ht="15.75" customHeight="1">
      <c r="A261" s="36"/>
      <c r="B261" s="36"/>
      <c r="C261" s="36"/>
      <c r="D261" s="36"/>
      <c r="E261" s="36"/>
      <c r="F261" s="36"/>
      <c r="G261" s="36"/>
      <c r="H261" s="36"/>
      <c r="I261" s="182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60"/>
    </row>
    <row r="262" spans="1:21" ht="15.75" customHeight="1">
      <c r="A262" s="3"/>
      <c r="B262" s="3"/>
      <c r="C262" s="3"/>
      <c r="D262" s="3"/>
      <c r="E262" s="4"/>
      <c r="F262" s="3"/>
      <c r="G262" s="3"/>
      <c r="H262" s="10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176"/>
    </row>
    <row r="263" spans="1:21">
      <c r="A263" s="177" t="s">
        <v>245</v>
      </c>
      <c r="B263" s="3"/>
      <c r="C263" s="3"/>
      <c r="D263" s="3"/>
      <c r="E263" s="4"/>
      <c r="F263" s="3"/>
      <c r="G263" s="3"/>
      <c r="H263" s="10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176"/>
    </row>
    <row r="264" spans="1:21">
      <c r="A264" s="3"/>
      <c r="B264" s="3"/>
      <c r="C264" s="3"/>
      <c r="D264" s="3"/>
      <c r="E264" s="4"/>
      <c r="F264" s="3"/>
      <c r="G264" s="3"/>
      <c r="H264" s="10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176"/>
    </row>
    <row r="265" spans="1:21">
      <c r="A265" s="3"/>
      <c r="B265" s="3"/>
      <c r="C265" s="3"/>
      <c r="D265" s="3"/>
      <c r="E265" s="4"/>
      <c r="F265" s="3"/>
      <c r="G265" s="3"/>
      <c r="H265" s="10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176"/>
    </row>
    <row r="266" spans="1:21">
      <c r="A266" s="3"/>
      <c r="B266" s="3"/>
      <c r="C266" s="3"/>
      <c r="D266" s="3"/>
      <c r="E266" s="4"/>
      <c r="F266" s="3"/>
      <c r="G266" s="3"/>
      <c r="H266" s="10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176"/>
    </row>
    <row r="267" spans="1:21">
      <c r="A267" s="3"/>
      <c r="B267" s="3"/>
      <c r="C267" s="3"/>
      <c r="D267" s="3"/>
      <c r="E267" s="4"/>
      <c r="F267" s="3"/>
      <c r="G267" s="3"/>
      <c r="H267" s="10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176"/>
    </row>
    <row r="268" spans="1:21">
      <c r="A268" s="3"/>
      <c r="B268" s="3"/>
      <c r="C268" s="3"/>
      <c r="D268" s="3"/>
      <c r="E268" s="4"/>
      <c r="F268" s="3"/>
      <c r="G268" s="3"/>
      <c r="H268" s="10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176"/>
    </row>
    <row r="269" spans="1:21">
      <c r="A269" s="3"/>
      <c r="B269" s="3"/>
      <c r="C269" s="3"/>
      <c r="D269" s="3"/>
      <c r="E269" s="4"/>
      <c r="F269" s="3"/>
      <c r="G269" s="3"/>
      <c r="H269" s="10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176"/>
    </row>
    <row r="270" spans="1:21">
      <c r="A270" s="3"/>
      <c r="B270" s="3"/>
      <c r="C270" s="3"/>
      <c r="D270" s="3"/>
      <c r="E270" s="4"/>
      <c r="F270" s="3"/>
      <c r="G270" s="3"/>
      <c r="H270" s="10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176"/>
    </row>
    <row r="271" spans="1:21">
      <c r="A271" s="3"/>
      <c r="B271" s="3"/>
      <c r="C271" s="3"/>
      <c r="D271" s="3"/>
      <c r="E271" s="4"/>
      <c r="F271" s="3"/>
      <c r="G271" s="3"/>
      <c r="H271" s="10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176"/>
    </row>
    <row r="272" spans="1:21">
      <c r="A272" s="3"/>
      <c r="B272" s="3"/>
      <c r="C272" s="3"/>
      <c r="D272" s="3"/>
      <c r="E272" s="4"/>
      <c r="F272" s="3"/>
      <c r="G272" s="3"/>
      <c r="H272" s="10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176"/>
    </row>
    <row r="273" spans="1:21">
      <c r="A273" s="3"/>
      <c r="B273" s="3"/>
      <c r="C273" s="3"/>
      <c r="D273" s="3"/>
      <c r="E273" s="4"/>
      <c r="F273" s="3"/>
      <c r="G273" s="3"/>
      <c r="H273" s="10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176"/>
    </row>
    <row r="274" spans="1:21">
      <c r="A274" s="3"/>
      <c r="B274" s="3"/>
      <c r="C274" s="3"/>
      <c r="D274" s="3"/>
      <c r="E274" s="4"/>
      <c r="F274" s="3"/>
      <c r="G274" s="3"/>
      <c r="H274" s="10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176"/>
    </row>
    <row r="275" spans="1:21">
      <c r="A275" s="3"/>
      <c r="B275" s="3"/>
      <c r="C275" s="3"/>
      <c r="D275" s="3"/>
      <c r="E275" s="4"/>
      <c r="F275" s="3"/>
      <c r="G275" s="3"/>
      <c r="H275" s="1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176"/>
    </row>
    <row r="276" spans="1:21">
      <c r="A276" s="3"/>
      <c r="B276" s="3"/>
      <c r="C276" s="3"/>
      <c r="D276" s="3"/>
      <c r="E276" s="4"/>
      <c r="F276" s="3"/>
      <c r="G276" s="3"/>
      <c r="H276" s="1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176"/>
    </row>
    <row r="277" spans="1:21">
      <c r="A277" s="3"/>
      <c r="B277" s="3"/>
      <c r="C277" s="3"/>
      <c r="D277" s="3"/>
      <c r="E277" s="4"/>
      <c r="F277" s="3"/>
      <c r="G277" s="3"/>
      <c r="H277" s="1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176"/>
    </row>
    <row r="278" spans="1:21">
      <c r="A278" s="3"/>
      <c r="B278" s="3"/>
      <c r="C278" s="3"/>
      <c r="D278" s="3"/>
      <c r="E278" s="4"/>
      <c r="F278" s="3"/>
      <c r="G278" s="3"/>
      <c r="H278" s="1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176"/>
    </row>
    <row r="279" spans="1:21">
      <c r="A279" s="3"/>
      <c r="B279" s="3"/>
      <c r="C279" s="3"/>
      <c r="D279" s="3"/>
      <c r="E279" s="4"/>
      <c r="F279" s="3"/>
      <c r="G279" s="3"/>
      <c r="H279" s="1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176"/>
    </row>
    <row r="280" spans="1:21">
      <c r="A280" s="3"/>
      <c r="B280" s="3"/>
      <c r="C280" s="3"/>
      <c r="D280" s="3"/>
      <c r="E280" s="4"/>
      <c r="F280" s="3"/>
      <c r="G280" s="3"/>
      <c r="H280" s="1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176"/>
    </row>
    <row r="281" spans="1:21">
      <c r="A281" s="3"/>
      <c r="B281" s="3"/>
      <c r="C281" s="3"/>
      <c r="D281" s="3"/>
      <c r="E281" s="4"/>
      <c r="F281" s="3"/>
      <c r="G281" s="3"/>
      <c r="H281" s="1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176"/>
    </row>
    <row r="282" spans="1:21">
      <c r="A282" s="3"/>
      <c r="B282" s="3"/>
      <c r="C282" s="3"/>
      <c r="D282" s="3"/>
      <c r="E282" s="4"/>
      <c r="F282" s="3"/>
      <c r="G282" s="3"/>
      <c r="H282" s="1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176"/>
    </row>
    <row r="283" spans="1:21">
      <c r="A283" s="3"/>
      <c r="B283" s="3"/>
      <c r="C283" s="3"/>
      <c r="D283" s="3"/>
      <c r="E283" s="4"/>
      <c r="F283" s="3"/>
      <c r="G283" s="3"/>
      <c r="H283" s="1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176"/>
    </row>
    <row r="284" spans="1:21">
      <c r="A284" s="3"/>
      <c r="B284" s="3"/>
      <c r="C284" s="3"/>
      <c r="D284" s="3"/>
      <c r="E284" s="4"/>
      <c r="F284" s="3"/>
      <c r="G284" s="3"/>
      <c r="H284" s="1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176"/>
    </row>
    <row r="285" spans="1:21">
      <c r="A285" s="3"/>
      <c r="B285" s="3"/>
      <c r="C285" s="3"/>
      <c r="D285" s="3"/>
      <c r="E285" s="4"/>
      <c r="F285" s="3"/>
      <c r="G285" s="3"/>
      <c r="H285" s="1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176"/>
    </row>
    <row r="286" spans="1:21">
      <c r="A286" s="3"/>
      <c r="B286" s="3"/>
      <c r="C286" s="3"/>
      <c r="D286" s="3"/>
      <c r="E286" s="4"/>
      <c r="F286" s="3"/>
      <c r="G286" s="3"/>
      <c r="H286" s="1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176"/>
    </row>
    <row r="287" spans="1:21">
      <c r="A287" s="3"/>
      <c r="B287" s="3"/>
      <c r="C287" s="3"/>
      <c r="D287" s="3"/>
      <c r="E287" s="4"/>
      <c r="F287" s="3"/>
      <c r="G287" s="3"/>
      <c r="H287" s="1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176"/>
    </row>
    <row r="288" spans="1:21">
      <c r="A288" s="3"/>
      <c r="B288" s="3"/>
      <c r="C288" s="3"/>
      <c r="D288" s="3"/>
      <c r="E288" s="4"/>
      <c r="F288" s="3"/>
      <c r="G288" s="3"/>
      <c r="H288" s="1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176"/>
    </row>
    <row r="289" spans="1:21">
      <c r="A289" s="3"/>
      <c r="B289" s="3"/>
      <c r="C289" s="3"/>
      <c r="D289" s="3"/>
      <c r="E289" s="4"/>
      <c r="F289" s="3"/>
      <c r="G289" s="3"/>
      <c r="H289" s="1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176"/>
    </row>
    <row r="290" spans="1:21">
      <c r="A290" s="3"/>
      <c r="B290" s="3"/>
      <c r="C290" s="3"/>
      <c r="D290" s="3"/>
      <c r="E290" s="4"/>
      <c r="F290" s="3"/>
      <c r="G290" s="3"/>
      <c r="H290" s="1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176"/>
    </row>
    <row r="291" spans="1:21">
      <c r="A291" s="3"/>
      <c r="B291" s="3"/>
      <c r="C291" s="3"/>
      <c r="D291" s="3"/>
      <c r="E291" s="4"/>
      <c r="F291" s="3"/>
      <c r="G291" s="3"/>
      <c r="H291" s="1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176"/>
    </row>
    <row r="292" spans="1:21">
      <c r="A292" s="3"/>
      <c r="B292" s="3"/>
      <c r="C292" s="3"/>
      <c r="D292" s="3"/>
      <c r="E292" s="4"/>
      <c r="F292" s="3"/>
      <c r="G292" s="3"/>
      <c r="H292" s="10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176"/>
    </row>
    <row r="293" spans="1:21">
      <c r="A293" s="3"/>
      <c r="B293" s="3"/>
      <c r="C293" s="3"/>
      <c r="D293" s="3"/>
      <c r="E293" s="4"/>
      <c r="F293" s="3"/>
      <c r="G293" s="3"/>
      <c r="H293" s="1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176"/>
    </row>
    <row r="294" spans="1:21">
      <c r="A294" s="3"/>
      <c r="B294" s="3"/>
      <c r="C294" s="3"/>
      <c r="D294" s="3"/>
      <c r="E294" s="4"/>
      <c r="F294" s="3"/>
      <c r="G294" s="3"/>
      <c r="H294" s="1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176"/>
    </row>
    <row r="295" spans="1:21">
      <c r="A295" s="3"/>
      <c r="B295" s="3"/>
      <c r="C295" s="3"/>
      <c r="D295" s="3"/>
      <c r="E295" s="4"/>
      <c r="F295" s="3"/>
      <c r="G295" s="3"/>
      <c r="H295" s="1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176"/>
    </row>
    <row r="296" spans="1:21">
      <c r="A296" s="3"/>
      <c r="B296" s="3"/>
      <c r="C296" s="3"/>
      <c r="D296" s="3"/>
      <c r="E296" s="4"/>
      <c r="F296" s="3"/>
      <c r="G296" s="3"/>
      <c r="H296" s="1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176"/>
    </row>
    <row r="297" spans="1:21">
      <c r="A297" s="3"/>
      <c r="B297" s="3"/>
      <c r="C297" s="3"/>
      <c r="D297" s="3"/>
      <c r="E297" s="4"/>
      <c r="F297" s="3"/>
      <c r="G297" s="3"/>
      <c r="H297" s="1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176"/>
    </row>
    <row r="298" spans="1:21">
      <c r="A298" s="3"/>
      <c r="B298" s="3"/>
      <c r="C298" s="3"/>
      <c r="D298" s="3"/>
      <c r="E298" s="4"/>
      <c r="F298" s="3"/>
      <c r="G298" s="3"/>
      <c r="H298" s="1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176"/>
    </row>
    <row r="299" spans="1:21">
      <c r="A299" s="3"/>
      <c r="B299" s="3"/>
      <c r="C299" s="3"/>
      <c r="D299" s="3"/>
      <c r="E299" s="4"/>
      <c r="F299" s="3"/>
      <c r="G299" s="3"/>
      <c r="H299" s="1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176"/>
    </row>
    <row r="300" spans="1:21">
      <c r="A300" s="3"/>
      <c r="B300" s="3"/>
      <c r="C300" s="3"/>
      <c r="D300" s="3"/>
      <c r="E300" s="4"/>
      <c r="F300" s="3"/>
      <c r="G300" s="3"/>
      <c r="H300" s="1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176"/>
    </row>
    <row r="301" spans="1:21">
      <c r="A301" s="3"/>
      <c r="B301" s="3"/>
      <c r="C301" s="3"/>
      <c r="D301" s="3"/>
      <c r="E301" s="4"/>
      <c r="F301" s="3"/>
      <c r="G301" s="3"/>
      <c r="H301" s="1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176"/>
    </row>
    <row r="302" spans="1:21">
      <c r="A302" s="3"/>
      <c r="B302" s="3"/>
      <c r="C302" s="3"/>
      <c r="D302" s="3"/>
      <c r="E302" s="4"/>
      <c r="F302" s="3"/>
      <c r="G302" s="3"/>
      <c r="H302" s="1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176"/>
    </row>
    <row r="303" spans="1:21">
      <c r="A303" s="3"/>
      <c r="B303" s="3"/>
      <c r="C303" s="3"/>
      <c r="D303" s="3"/>
      <c r="E303" s="4"/>
      <c r="F303" s="3"/>
      <c r="G303" s="3"/>
      <c r="H303" s="1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176"/>
    </row>
    <row r="304" spans="1:21">
      <c r="A304" s="3"/>
      <c r="B304" s="3"/>
      <c r="C304" s="3"/>
      <c r="D304" s="3"/>
      <c r="E304" s="4"/>
      <c r="F304" s="3"/>
      <c r="G304" s="3"/>
      <c r="H304" s="1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176"/>
    </row>
    <row r="305" spans="1:21">
      <c r="A305" s="3"/>
      <c r="B305" s="3"/>
      <c r="C305" s="3"/>
      <c r="D305" s="3"/>
      <c r="E305" s="4"/>
      <c r="F305" s="3"/>
      <c r="G305" s="3"/>
      <c r="H305" s="1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176"/>
    </row>
    <row r="306" spans="1:21">
      <c r="A306" s="3"/>
      <c r="B306" s="3"/>
      <c r="C306" s="3"/>
      <c r="D306" s="3"/>
      <c r="E306" s="4"/>
      <c r="F306" s="3"/>
      <c r="G306" s="3"/>
      <c r="H306" s="1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176"/>
    </row>
    <row r="307" spans="1:21">
      <c r="A307" s="3"/>
      <c r="B307" s="3"/>
      <c r="C307" s="3"/>
      <c r="D307" s="3"/>
      <c r="E307" s="4"/>
      <c r="F307" s="3"/>
      <c r="G307" s="3"/>
      <c r="H307" s="1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176"/>
    </row>
    <row r="308" spans="1:21">
      <c r="A308" s="3"/>
      <c r="B308" s="3"/>
      <c r="C308" s="3"/>
      <c r="D308" s="3"/>
      <c r="E308" s="4"/>
      <c r="F308" s="3"/>
      <c r="G308" s="3"/>
      <c r="H308" s="1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176"/>
    </row>
    <row r="309" spans="1:21">
      <c r="A309" s="3"/>
      <c r="B309" s="3"/>
      <c r="C309" s="3"/>
      <c r="D309" s="3"/>
      <c r="E309" s="4"/>
      <c r="F309" s="3"/>
      <c r="G309" s="3"/>
      <c r="H309" s="1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176"/>
    </row>
    <row r="310" spans="1:21">
      <c r="A310" s="3"/>
      <c r="B310" s="3"/>
      <c r="C310" s="3"/>
      <c r="D310" s="3"/>
      <c r="E310" s="4"/>
      <c r="F310" s="3"/>
      <c r="G310" s="3"/>
      <c r="H310" s="10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176"/>
    </row>
    <row r="311" spans="1:21">
      <c r="A311" s="3"/>
      <c r="B311" s="3"/>
      <c r="C311" s="3"/>
      <c r="D311" s="3"/>
      <c r="E311" s="4"/>
      <c r="F311" s="3"/>
      <c r="G311" s="3"/>
      <c r="H311" s="1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176"/>
    </row>
    <row r="312" spans="1:21">
      <c r="A312" s="3"/>
      <c r="B312" s="3"/>
      <c r="C312" s="3"/>
      <c r="D312" s="3"/>
      <c r="E312" s="4"/>
      <c r="F312" s="3"/>
      <c r="G312" s="3"/>
      <c r="H312" s="1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176"/>
    </row>
    <row r="313" spans="1:21">
      <c r="A313" s="3"/>
      <c r="B313" s="3"/>
      <c r="C313" s="3"/>
      <c r="D313" s="3"/>
      <c r="E313" s="4"/>
      <c r="F313" s="3"/>
      <c r="G313" s="3"/>
      <c r="H313" s="1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176"/>
    </row>
    <row r="314" spans="1:21">
      <c r="A314" s="3"/>
      <c r="B314" s="3"/>
      <c r="C314" s="3"/>
      <c r="D314" s="3"/>
      <c r="E314" s="4"/>
      <c r="F314" s="3"/>
      <c r="G314" s="3"/>
      <c r="H314" s="1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176"/>
    </row>
    <row r="315" spans="1:21">
      <c r="A315" s="3"/>
      <c r="B315" s="3"/>
      <c r="C315" s="3"/>
      <c r="D315" s="3"/>
      <c r="E315" s="4"/>
      <c r="F315" s="3"/>
      <c r="G315" s="3"/>
      <c r="H315" s="1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176"/>
    </row>
    <row r="316" spans="1:21">
      <c r="A316" s="3"/>
      <c r="B316" s="3"/>
      <c r="C316" s="3"/>
      <c r="D316" s="3"/>
      <c r="E316" s="4"/>
      <c r="F316" s="3"/>
      <c r="G316" s="3"/>
      <c r="H316" s="1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176"/>
    </row>
    <row r="317" spans="1:21">
      <c r="A317" s="3"/>
      <c r="B317" s="3"/>
      <c r="C317" s="3"/>
      <c r="D317" s="3"/>
      <c r="E317" s="4"/>
      <c r="F317" s="3"/>
      <c r="G317" s="3"/>
      <c r="H317" s="1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176"/>
    </row>
    <row r="318" spans="1:21">
      <c r="A318" s="3"/>
      <c r="B318" s="3"/>
      <c r="C318" s="3"/>
      <c r="D318" s="3"/>
      <c r="E318" s="4"/>
      <c r="F318" s="3"/>
      <c r="G318" s="3"/>
      <c r="H318" s="1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176"/>
    </row>
    <row r="319" spans="1:21">
      <c r="A319" s="3"/>
      <c r="B319" s="3"/>
      <c r="C319" s="3"/>
      <c r="D319" s="3"/>
      <c r="E319" s="4"/>
      <c r="F319" s="3"/>
      <c r="G319" s="3"/>
      <c r="H319" s="1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176"/>
    </row>
    <row r="320" spans="1:21">
      <c r="A320" s="3"/>
      <c r="B320" s="3"/>
      <c r="C320" s="3"/>
      <c r="D320" s="3"/>
      <c r="E320" s="4"/>
      <c r="F320" s="3"/>
      <c r="G320" s="3"/>
      <c r="H320" s="1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176"/>
    </row>
    <row r="321" spans="1:21">
      <c r="A321" s="3"/>
      <c r="B321" s="3"/>
      <c r="C321" s="3"/>
      <c r="D321" s="3"/>
      <c r="E321" s="4"/>
      <c r="F321" s="3"/>
      <c r="G321" s="3"/>
      <c r="H321" s="1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176"/>
    </row>
    <row r="322" spans="1:21">
      <c r="A322" s="3"/>
      <c r="B322" s="3"/>
      <c r="C322" s="3"/>
      <c r="D322" s="3"/>
      <c r="E322" s="4"/>
      <c r="F322" s="3"/>
      <c r="G322" s="3"/>
      <c r="H322" s="1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176"/>
    </row>
    <row r="323" spans="1:21">
      <c r="A323" s="3"/>
      <c r="B323" s="3"/>
      <c r="C323" s="3"/>
      <c r="D323" s="3"/>
      <c r="E323" s="4"/>
      <c r="F323" s="3"/>
      <c r="G323" s="3"/>
      <c r="H323" s="1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176"/>
    </row>
    <row r="324" spans="1:21">
      <c r="A324" s="3"/>
      <c r="B324" s="3"/>
      <c r="C324" s="3"/>
      <c r="D324" s="3"/>
      <c r="E324" s="4"/>
      <c r="F324" s="3"/>
      <c r="G324" s="3"/>
      <c r="H324" s="1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176"/>
    </row>
    <row r="325" spans="1:21">
      <c r="A325" s="3"/>
      <c r="B325" s="3"/>
      <c r="C325" s="3"/>
      <c r="D325" s="3"/>
      <c r="E325" s="4"/>
      <c r="F325" s="3"/>
      <c r="G325" s="3"/>
      <c r="H325" s="1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176"/>
    </row>
    <row r="326" spans="1:21">
      <c r="A326" s="3"/>
      <c r="B326" s="3"/>
      <c r="C326" s="3"/>
      <c r="D326" s="3"/>
      <c r="E326" s="4"/>
      <c r="F326" s="3"/>
      <c r="G326" s="3"/>
      <c r="H326" s="1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176"/>
    </row>
    <row r="327" spans="1:21">
      <c r="A327" s="3"/>
      <c r="B327" s="3"/>
      <c r="C327" s="3"/>
      <c r="D327" s="3"/>
      <c r="E327" s="4"/>
      <c r="F327" s="3"/>
      <c r="G327" s="3"/>
      <c r="H327" s="1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176"/>
    </row>
    <row r="328" spans="1:21">
      <c r="A328" s="3"/>
      <c r="B328" s="3"/>
      <c r="C328" s="3"/>
      <c r="D328" s="3"/>
      <c r="E328" s="4"/>
      <c r="F328" s="3"/>
      <c r="G328" s="3"/>
      <c r="H328" s="10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176"/>
    </row>
    <row r="329" spans="1:21">
      <c r="A329" s="3"/>
      <c r="B329" s="3"/>
      <c r="C329" s="3"/>
      <c r="D329" s="3"/>
      <c r="E329" s="4"/>
      <c r="F329" s="3"/>
      <c r="G329" s="3"/>
      <c r="H329" s="10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176"/>
    </row>
    <row r="330" spans="1:21">
      <c r="A330" s="3"/>
      <c r="B330" s="3"/>
      <c r="C330" s="3"/>
      <c r="D330" s="3"/>
      <c r="E330" s="4"/>
      <c r="F330" s="3"/>
      <c r="G330" s="3"/>
      <c r="H330" s="10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176"/>
    </row>
    <row r="331" spans="1:21">
      <c r="A331" s="3"/>
      <c r="B331" s="3"/>
      <c r="C331" s="3"/>
      <c r="D331" s="3"/>
      <c r="E331" s="4"/>
      <c r="F331" s="3"/>
      <c r="G331" s="3"/>
      <c r="H331" s="10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176"/>
    </row>
    <row r="332" spans="1:21">
      <c r="A332" s="3"/>
      <c r="B332" s="3"/>
      <c r="C332" s="3"/>
      <c r="D332" s="3"/>
      <c r="E332" s="4"/>
      <c r="F332" s="3"/>
      <c r="G332" s="3"/>
      <c r="H332" s="10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176"/>
    </row>
    <row r="333" spans="1:21">
      <c r="A333" s="3"/>
      <c r="B333" s="3"/>
      <c r="C333" s="3"/>
      <c r="D333" s="3"/>
      <c r="E333" s="4"/>
      <c r="F333" s="3"/>
      <c r="G333" s="3"/>
      <c r="H333" s="10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176"/>
    </row>
    <row r="334" spans="1:21">
      <c r="A334" s="3"/>
      <c r="B334" s="3"/>
      <c r="C334" s="3"/>
      <c r="D334" s="3"/>
      <c r="E334" s="4"/>
      <c r="F334" s="3"/>
      <c r="G334" s="3"/>
      <c r="H334" s="10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176"/>
    </row>
    <row r="335" spans="1:21">
      <c r="A335" s="3"/>
      <c r="B335" s="3"/>
      <c r="C335" s="3"/>
      <c r="D335" s="3"/>
      <c r="E335" s="4"/>
      <c r="F335" s="3"/>
      <c r="G335" s="3"/>
      <c r="H335" s="10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176"/>
    </row>
    <row r="336" spans="1:21">
      <c r="A336" s="3"/>
      <c r="B336" s="3"/>
      <c r="C336" s="3"/>
      <c r="D336" s="3"/>
      <c r="E336" s="4"/>
      <c r="F336" s="3"/>
      <c r="G336" s="3"/>
      <c r="H336" s="10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176"/>
    </row>
    <row r="337" spans="1:21">
      <c r="A337" s="3"/>
      <c r="B337" s="3"/>
      <c r="C337" s="3"/>
      <c r="D337" s="3"/>
      <c r="E337" s="4"/>
      <c r="F337" s="3"/>
      <c r="G337" s="3"/>
      <c r="H337" s="10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176"/>
    </row>
    <row r="338" spans="1:21">
      <c r="A338" s="3"/>
      <c r="B338" s="3"/>
      <c r="C338" s="3"/>
      <c r="D338" s="3"/>
      <c r="E338" s="4"/>
      <c r="F338" s="3"/>
      <c r="G338" s="3"/>
      <c r="H338" s="10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176"/>
    </row>
    <row r="339" spans="1:21">
      <c r="A339" s="3"/>
      <c r="B339" s="3"/>
      <c r="C339" s="3"/>
      <c r="D339" s="3"/>
      <c r="E339" s="4"/>
      <c r="F339" s="3"/>
      <c r="G339" s="3"/>
      <c r="H339" s="10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176"/>
    </row>
    <row r="340" spans="1:21">
      <c r="A340" s="3"/>
      <c r="B340" s="3"/>
      <c r="C340" s="3"/>
      <c r="D340" s="3"/>
      <c r="E340" s="4"/>
      <c r="F340" s="3"/>
      <c r="G340" s="3"/>
      <c r="H340" s="10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176"/>
    </row>
    <row r="341" spans="1:21">
      <c r="A341" s="3"/>
      <c r="B341" s="3"/>
      <c r="C341" s="3"/>
      <c r="D341" s="3"/>
      <c r="E341" s="4"/>
      <c r="F341" s="3"/>
      <c r="G341" s="3"/>
      <c r="H341" s="10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176"/>
    </row>
    <row r="342" spans="1:21">
      <c r="A342" s="3"/>
      <c r="B342" s="3"/>
      <c r="C342" s="3"/>
      <c r="D342" s="3"/>
      <c r="E342" s="4"/>
      <c r="F342" s="3"/>
      <c r="G342" s="3"/>
      <c r="H342" s="10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176"/>
    </row>
    <row r="343" spans="1:21">
      <c r="A343" s="3"/>
      <c r="B343" s="3"/>
      <c r="C343" s="3"/>
      <c r="D343" s="3"/>
      <c r="E343" s="4"/>
      <c r="F343" s="3"/>
      <c r="G343" s="3"/>
      <c r="H343" s="10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176"/>
    </row>
    <row r="344" spans="1:21">
      <c r="A344" s="3"/>
      <c r="B344" s="3"/>
      <c r="C344" s="3"/>
      <c r="D344" s="3"/>
      <c r="E344" s="4"/>
      <c r="F344" s="3"/>
      <c r="G344" s="3"/>
      <c r="H344" s="10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176"/>
    </row>
    <row r="345" spans="1:21">
      <c r="A345" s="3"/>
      <c r="B345" s="3"/>
      <c r="C345" s="3"/>
      <c r="D345" s="3"/>
      <c r="E345" s="4"/>
      <c r="F345" s="3"/>
      <c r="G345" s="3"/>
      <c r="H345" s="10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176"/>
    </row>
    <row r="346" spans="1:21">
      <c r="A346" s="3"/>
      <c r="B346" s="3"/>
      <c r="C346" s="3"/>
      <c r="D346" s="3"/>
      <c r="E346" s="4"/>
      <c r="F346" s="3"/>
      <c r="G346" s="3"/>
      <c r="H346" s="10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176"/>
    </row>
    <row r="347" spans="1:21">
      <c r="A347" s="3"/>
      <c r="B347" s="3"/>
      <c r="C347" s="3"/>
      <c r="D347" s="3"/>
      <c r="E347" s="4"/>
      <c r="F347" s="3"/>
      <c r="G347" s="3"/>
      <c r="H347" s="10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176"/>
    </row>
    <row r="348" spans="1:21">
      <c r="A348" s="3"/>
      <c r="B348" s="3"/>
      <c r="C348" s="3"/>
      <c r="D348" s="3"/>
      <c r="E348" s="4"/>
      <c r="F348" s="3"/>
      <c r="G348" s="3"/>
      <c r="H348" s="10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176"/>
    </row>
    <row r="349" spans="1:21">
      <c r="A349" s="3"/>
      <c r="B349" s="3"/>
      <c r="C349" s="3"/>
      <c r="D349" s="3"/>
      <c r="E349" s="4"/>
      <c r="F349" s="3"/>
      <c r="G349" s="3"/>
      <c r="H349" s="10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176"/>
    </row>
    <row r="350" spans="1:21">
      <c r="A350" s="3"/>
      <c r="B350" s="3"/>
      <c r="C350" s="3"/>
      <c r="D350" s="3"/>
      <c r="E350" s="4"/>
      <c r="F350" s="3"/>
      <c r="G350" s="3"/>
      <c r="H350" s="10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176"/>
    </row>
    <row r="351" spans="1:21">
      <c r="A351" s="3"/>
      <c r="B351" s="3"/>
      <c r="C351" s="3"/>
      <c r="D351" s="3"/>
      <c r="E351" s="4"/>
      <c r="F351" s="3"/>
      <c r="G351" s="3"/>
      <c r="H351" s="10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176"/>
    </row>
    <row r="352" spans="1:21">
      <c r="A352" s="3"/>
      <c r="B352" s="3"/>
      <c r="C352" s="3"/>
      <c r="D352" s="3"/>
      <c r="E352" s="4"/>
      <c r="F352" s="3"/>
      <c r="G352" s="3"/>
      <c r="H352" s="10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176"/>
    </row>
    <row r="353" spans="1:21">
      <c r="A353" s="3"/>
      <c r="B353" s="3"/>
      <c r="C353" s="3"/>
      <c r="D353" s="3"/>
      <c r="E353" s="4"/>
      <c r="F353" s="3"/>
      <c r="G353" s="3"/>
      <c r="H353" s="10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176"/>
    </row>
    <row r="354" spans="1:21">
      <c r="A354" s="3"/>
      <c r="B354" s="3"/>
      <c r="C354" s="3"/>
      <c r="D354" s="3"/>
      <c r="E354" s="4"/>
      <c r="F354" s="3"/>
      <c r="G354" s="3"/>
      <c r="H354" s="10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176"/>
    </row>
    <row r="355" spans="1:21">
      <c r="A355" s="3"/>
      <c r="B355" s="3"/>
      <c r="C355" s="3"/>
      <c r="D355" s="3"/>
      <c r="E355" s="4"/>
      <c r="F355" s="3"/>
      <c r="G355" s="3"/>
      <c r="H355" s="10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176"/>
    </row>
    <row r="356" spans="1:21">
      <c r="A356" s="3"/>
      <c r="B356" s="3"/>
      <c r="C356" s="3"/>
      <c r="D356" s="3"/>
      <c r="E356" s="4"/>
      <c r="F356" s="3"/>
      <c r="G356" s="3"/>
      <c r="H356" s="10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176"/>
    </row>
    <row r="357" spans="1:21">
      <c r="A357" s="3"/>
      <c r="B357" s="3"/>
      <c r="C357" s="3"/>
      <c r="D357" s="3"/>
      <c r="E357" s="4"/>
      <c r="F357" s="3"/>
      <c r="G357" s="3"/>
      <c r="H357" s="10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176"/>
    </row>
    <row r="358" spans="1:21">
      <c r="A358" s="3"/>
      <c r="B358" s="3"/>
      <c r="C358" s="3"/>
      <c r="D358" s="3"/>
      <c r="E358" s="4"/>
      <c r="F358" s="3"/>
      <c r="G358" s="3"/>
      <c r="H358" s="10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176"/>
    </row>
    <row r="359" spans="1:21">
      <c r="A359" s="3"/>
      <c r="B359" s="3"/>
      <c r="C359" s="3"/>
      <c r="D359" s="3"/>
      <c r="E359" s="4"/>
      <c r="F359" s="3"/>
      <c r="G359" s="3"/>
      <c r="H359" s="10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176"/>
    </row>
    <row r="360" spans="1:21">
      <c r="A360" s="3"/>
      <c r="B360" s="3"/>
      <c r="C360" s="3"/>
      <c r="D360" s="3"/>
      <c r="E360" s="4"/>
      <c r="F360" s="3"/>
      <c r="G360" s="3"/>
      <c r="H360" s="10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176"/>
    </row>
    <row r="361" spans="1:21">
      <c r="A361" s="3"/>
      <c r="B361" s="3"/>
      <c r="C361" s="3"/>
      <c r="D361" s="3"/>
      <c r="E361" s="4"/>
      <c r="F361" s="3"/>
      <c r="G361" s="3"/>
      <c r="H361" s="10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176"/>
    </row>
    <row r="362" spans="1:21">
      <c r="A362" s="3"/>
      <c r="B362" s="3"/>
      <c r="C362" s="3"/>
      <c r="D362" s="3"/>
      <c r="E362" s="4"/>
      <c r="F362" s="3"/>
      <c r="G362" s="3"/>
      <c r="H362" s="10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176"/>
    </row>
    <row r="363" spans="1:21">
      <c r="A363" s="3"/>
      <c r="B363" s="3"/>
      <c r="C363" s="3"/>
      <c r="D363" s="3"/>
      <c r="E363" s="4"/>
      <c r="F363" s="3"/>
      <c r="G363" s="3"/>
      <c r="H363" s="10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176"/>
    </row>
    <row r="364" spans="1:21">
      <c r="A364" s="3"/>
      <c r="B364" s="3"/>
      <c r="C364" s="3"/>
      <c r="D364" s="3"/>
      <c r="E364" s="4"/>
      <c r="F364" s="3"/>
      <c r="G364" s="3"/>
      <c r="H364" s="10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176"/>
    </row>
    <row r="365" spans="1:21">
      <c r="A365" s="3"/>
      <c r="B365" s="3"/>
      <c r="C365" s="3"/>
      <c r="D365" s="3"/>
      <c r="E365" s="4"/>
      <c r="F365" s="3"/>
      <c r="G365" s="3"/>
      <c r="H365" s="10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176"/>
    </row>
    <row r="366" spans="1:21">
      <c r="A366" s="3"/>
      <c r="B366" s="3"/>
      <c r="C366" s="3"/>
      <c r="D366" s="3"/>
      <c r="E366" s="4"/>
      <c r="F366" s="3"/>
      <c r="G366" s="3"/>
      <c r="H366" s="10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176"/>
    </row>
    <row r="367" spans="1:21">
      <c r="A367" s="3"/>
      <c r="B367" s="3"/>
      <c r="C367" s="3"/>
      <c r="D367" s="3"/>
      <c r="E367" s="4"/>
      <c r="F367" s="3"/>
      <c r="G367" s="3"/>
      <c r="H367" s="10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176"/>
    </row>
    <row r="368" spans="1:21">
      <c r="A368" s="3"/>
      <c r="B368" s="3"/>
      <c r="C368" s="3"/>
      <c r="D368" s="3"/>
      <c r="E368" s="4"/>
      <c r="F368" s="3"/>
      <c r="G368" s="3"/>
      <c r="H368" s="10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176"/>
    </row>
    <row r="369" spans="1:21">
      <c r="A369" s="3"/>
      <c r="B369" s="3"/>
      <c r="C369" s="3"/>
      <c r="D369" s="3"/>
      <c r="E369" s="4"/>
      <c r="F369" s="3"/>
      <c r="G369" s="3"/>
      <c r="H369" s="10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176"/>
    </row>
    <row r="370" spans="1:21">
      <c r="A370" s="3"/>
      <c r="B370" s="3"/>
      <c r="C370" s="3"/>
      <c r="D370" s="3"/>
      <c r="E370" s="4"/>
      <c r="F370" s="3"/>
      <c r="G370" s="3"/>
      <c r="H370" s="10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176"/>
    </row>
    <row r="371" spans="1:21">
      <c r="A371" s="3"/>
      <c r="B371" s="3"/>
      <c r="C371" s="3"/>
      <c r="D371" s="3"/>
      <c r="E371" s="4"/>
      <c r="F371" s="3"/>
      <c r="G371" s="3"/>
      <c r="H371" s="10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176"/>
    </row>
    <row r="372" spans="1:21">
      <c r="A372" s="3"/>
      <c r="B372" s="3"/>
      <c r="C372" s="3"/>
      <c r="D372" s="3"/>
      <c r="E372" s="4"/>
      <c r="F372" s="3"/>
      <c r="G372" s="3"/>
      <c r="H372" s="10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176"/>
    </row>
    <row r="373" spans="1:21">
      <c r="A373" s="3"/>
      <c r="B373" s="3"/>
      <c r="C373" s="3"/>
      <c r="D373" s="3"/>
      <c r="E373" s="4"/>
      <c r="F373" s="3"/>
      <c r="G373" s="3"/>
      <c r="H373" s="10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176"/>
    </row>
    <row r="374" spans="1:21">
      <c r="A374" s="3"/>
      <c r="B374" s="3"/>
      <c r="C374" s="3"/>
      <c r="D374" s="3"/>
      <c r="E374" s="4"/>
      <c r="F374" s="3"/>
      <c r="G374" s="3"/>
      <c r="H374" s="10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176"/>
    </row>
    <row r="375" spans="1:21">
      <c r="A375" s="3"/>
      <c r="B375" s="3"/>
      <c r="C375" s="3"/>
      <c r="D375" s="3"/>
      <c r="E375" s="4"/>
      <c r="F375" s="3"/>
      <c r="G375" s="3"/>
      <c r="H375" s="10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176"/>
    </row>
    <row r="376" spans="1:21">
      <c r="A376" s="3"/>
      <c r="B376" s="3"/>
      <c r="C376" s="3"/>
      <c r="D376" s="3"/>
      <c r="E376" s="4"/>
      <c r="F376" s="3"/>
      <c r="G376" s="3"/>
      <c r="H376" s="10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176"/>
    </row>
    <row r="377" spans="1:21">
      <c r="A377" s="3"/>
      <c r="B377" s="3"/>
      <c r="C377" s="3"/>
      <c r="D377" s="3"/>
      <c r="E377" s="4"/>
      <c r="F377" s="3"/>
      <c r="G377" s="3"/>
      <c r="H377" s="10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176"/>
    </row>
    <row r="378" spans="1:21">
      <c r="A378" s="3"/>
      <c r="B378" s="3"/>
      <c r="C378" s="3"/>
      <c r="D378" s="3"/>
      <c r="E378" s="4"/>
      <c r="F378" s="3"/>
      <c r="G378" s="3"/>
      <c r="H378" s="10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176"/>
    </row>
    <row r="379" spans="1:21">
      <c r="A379" s="3"/>
      <c r="B379" s="3"/>
      <c r="C379" s="3"/>
      <c r="D379" s="3"/>
      <c r="E379" s="4"/>
      <c r="F379" s="3"/>
      <c r="G379" s="3"/>
      <c r="H379" s="10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176"/>
    </row>
    <row r="380" spans="1:21">
      <c r="A380" s="3"/>
      <c r="B380" s="3"/>
      <c r="C380" s="3"/>
      <c r="D380" s="3"/>
      <c r="E380" s="4"/>
      <c r="F380" s="3"/>
      <c r="G380" s="3"/>
      <c r="H380" s="10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176"/>
    </row>
    <row r="381" spans="1:21">
      <c r="A381" s="3"/>
      <c r="B381" s="3"/>
      <c r="C381" s="3"/>
      <c r="D381" s="3"/>
      <c r="E381" s="4"/>
      <c r="F381" s="3"/>
      <c r="G381" s="3"/>
      <c r="H381" s="10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176"/>
    </row>
    <row r="382" spans="1:21">
      <c r="A382" s="3"/>
      <c r="B382" s="3"/>
      <c r="C382" s="3"/>
      <c r="D382" s="3"/>
      <c r="E382" s="4"/>
      <c r="F382" s="3"/>
      <c r="G382" s="3"/>
      <c r="H382" s="10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176"/>
    </row>
    <row r="383" spans="1:21">
      <c r="A383" s="3"/>
      <c r="B383" s="3"/>
      <c r="C383" s="3"/>
      <c r="D383" s="3"/>
      <c r="E383" s="4"/>
      <c r="F383" s="3"/>
      <c r="G383" s="3"/>
      <c r="H383" s="10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176"/>
    </row>
    <row r="384" spans="1:21">
      <c r="A384" s="3"/>
      <c r="B384" s="3"/>
      <c r="C384" s="3"/>
      <c r="D384" s="3"/>
      <c r="E384" s="4"/>
      <c r="F384" s="3"/>
      <c r="G384" s="3"/>
      <c r="H384" s="10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176"/>
    </row>
    <row r="385" spans="1:21">
      <c r="A385" s="3"/>
      <c r="B385" s="3"/>
      <c r="C385" s="3"/>
      <c r="D385" s="3"/>
      <c r="E385" s="4"/>
      <c r="F385" s="3"/>
      <c r="G385" s="3"/>
      <c r="H385" s="10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176"/>
    </row>
    <row r="386" spans="1:21">
      <c r="A386" s="3"/>
      <c r="B386" s="3"/>
      <c r="C386" s="3"/>
      <c r="D386" s="3"/>
      <c r="E386" s="4"/>
      <c r="F386" s="3"/>
      <c r="G386" s="3"/>
      <c r="H386" s="10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176"/>
    </row>
    <row r="387" spans="1:21">
      <c r="A387" s="3"/>
      <c r="B387" s="3"/>
      <c r="C387" s="3"/>
      <c r="D387" s="3"/>
      <c r="E387" s="4"/>
      <c r="F387" s="3"/>
      <c r="G387" s="3"/>
      <c r="H387" s="10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176"/>
    </row>
    <row r="388" spans="1:21">
      <c r="A388" s="3"/>
      <c r="B388" s="3"/>
      <c r="C388" s="3"/>
      <c r="D388" s="3"/>
      <c r="E388" s="4"/>
      <c r="F388" s="3"/>
      <c r="G388" s="3"/>
      <c r="H388" s="10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176"/>
    </row>
    <row r="389" spans="1:21">
      <c r="A389" s="3"/>
      <c r="B389" s="3"/>
      <c r="C389" s="3"/>
      <c r="D389" s="3"/>
      <c r="E389" s="4"/>
      <c r="F389" s="3"/>
      <c r="G389" s="3"/>
      <c r="H389" s="10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176"/>
    </row>
    <row r="390" spans="1:21">
      <c r="A390" s="3"/>
      <c r="B390" s="3"/>
      <c r="C390" s="3"/>
      <c r="D390" s="3"/>
      <c r="E390" s="4"/>
      <c r="F390" s="3"/>
      <c r="G390" s="3"/>
      <c r="H390" s="10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176"/>
    </row>
    <row r="391" spans="1:21">
      <c r="A391" s="3"/>
      <c r="B391" s="3"/>
      <c r="C391" s="3"/>
      <c r="D391" s="3"/>
      <c r="E391" s="4"/>
      <c r="F391" s="3"/>
      <c r="G391" s="3"/>
      <c r="H391" s="10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176"/>
    </row>
    <row r="392" spans="1:21">
      <c r="A392" s="3"/>
      <c r="B392" s="3"/>
      <c r="C392" s="3"/>
      <c r="D392" s="3"/>
      <c r="E392" s="4"/>
      <c r="F392" s="3"/>
      <c r="G392" s="3"/>
      <c r="H392" s="10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176"/>
    </row>
    <row r="393" spans="1:21">
      <c r="A393" s="3"/>
      <c r="B393" s="3"/>
      <c r="C393" s="3"/>
      <c r="D393" s="3"/>
      <c r="E393" s="4"/>
      <c r="F393" s="3"/>
      <c r="G393" s="3"/>
      <c r="H393" s="10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176"/>
    </row>
    <row r="394" spans="1:21">
      <c r="A394" s="3"/>
      <c r="B394" s="3"/>
      <c r="C394" s="3"/>
      <c r="D394" s="3"/>
      <c r="E394" s="4"/>
      <c r="F394" s="3"/>
      <c r="G394" s="3"/>
      <c r="H394" s="10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176"/>
    </row>
    <row r="395" spans="1:21">
      <c r="A395" s="3"/>
      <c r="B395" s="3"/>
      <c r="C395" s="3"/>
      <c r="D395" s="3"/>
      <c r="E395" s="4"/>
      <c r="F395" s="3"/>
      <c r="G395" s="3"/>
      <c r="H395" s="10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176"/>
    </row>
    <row r="396" spans="1:21">
      <c r="A396" s="3"/>
      <c r="B396" s="3"/>
      <c r="C396" s="3"/>
      <c r="D396" s="3"/>
      <c r="E396" s="4"/>
      <c r="F396" s="3"/>
      <c r="G396" s="3"/>
      <c r="H396" s="10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176"/>
    </row>
    <row r="397" spans="1:21">
      <c r="A397" s="3"/>
      <c r="B397" s="3"/>
      <c r="C397" s="3"/>
      <c r="D397" s="3"/>
      <c r="E397" s="4"/>
      <c r="F397" s="3"/>
      <c r="G397" s="3"/>
      <c r="H397" s="10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176"/>
    </row>
    <row r="398" spans="1:21">
      <c r="A398" s="3"/>
      <c r="B398" s="3"/>
      <c r="C398" s="3"/>
      <c r="D398" s="3"/>
      <c r="E398" s="4"/>
      <c r="F398" s="3"/>
      <c r="G398" s="3"/>
      <c r="H398" s="10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176"/>
    </row>
    <row r="399" spans="1:21">
      <c r="A399" s="3"/>
      <c r="B399" s="3"/>
      <c r="C399" s="3"/>
      <c r="D399" s="3"/>
      <c r="E399" s="4"/>
      <c r="F399" s="3"/>
      <c r="G399" s="3"/>
      <c r="H399" s="10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176"/>
    </row>
    <row r="400" spans="1:21">
      <c r="A400" s="3"/>
      <c r="B400" s="3"/>
      <c r="C400" s="3"/>
      <c r="D400" s="3"/>
      <c r="E400" s="4"/>
      <c r="F400" s="3"/>
      <c r="G400" s="3"/>
      <c r="H400" s="10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176"/>
    </row>
    <row r="401" spans="1:21">
      <c r="A401" s="3"/>
      <c r="B401" s="3"/>
      <c r="C401" s="3"/>
      <c r="D401" s="3"/>
      <c r="E401" s="4"/>
      <c r="F401" s="3"/>
      <c r="G401" s="3"/>
      <c r="H401" s="10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176"/>
    </row>
    <row r="402" spans="1:21">
      <c r="A402" s="3"/>
      <c r="B402" s="3"/>
      <c r="C402" s="3"/>
      <c r="D402" s="3"/>
      <c r="E402" s="4"/>
      <c r="F402" s="3"/>
      <c r="G402" s="3"/>
      <c r="H402" s="10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176"/>
    </row>
    <row r="403" spans="1:21">
      <c r="A403" s="3"/>
      <c r="B403" s="3"/>
      <c r="C403" s="3"/>
      <c r="D403" s="3"/>
      <c r="E403" s="4"/>
      <c r="F403" s="3"/>
      <c r="G403" s="3"/>
      <c r="H403" s="10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176"/>
    </row>
    <row r="404" spans="1:21">
      <c r="A404" s="3"/>
      <c r="B404" s="3"/>
      <c r="C404" s="3"/>
      <c r="D404" s="3"/>
      <c r="E404" s="4"/>
      <c r="F404" s="3"/>
      <c r="G404" s="3"/>
      <c r="H404" s="10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176"/>
    </row>
    <row r="405" spans="1:21">
      <c r="A405" s="3"/>
      <c r="B405" s="3"/>
      <c r="C405" s="3"/>
      <c r="D405" s="3"/>
      <c r="E405" s="4"/>
      <c r="F405" s="3"/>
      <c r="G405" s="3"/>
      <c r="H405" s="10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176"/>
    </row>
    <row r="406" spans="1:21">
      <c r="A406" s="3"/>
      <c r="B406" s="3"/>
      <c r="C406" s="3"/>
      <c r="D406" s="3"/>
      <c r="E406" s="4"/>
      <c r="F406" s="3"/>
      <c r="G406" s="3"/>
      <c r="H406" s="10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176"/>
    </row>
    <row r="407" spans="1:21">
      <c r="A407" s="3"/>
      <c r="B407" s="3"/>
      <c r="C407" s="3"/>
      <c r="D407" s="3"/>
      <c r="E407" s="4"/>
      <c r="F407" s="3"/>
      <c r="G407" s="3"/>
      <c r="H407" s="10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176"/>
    </row>
    <row r="408" spans="1:21">
      <c r="A408" s="3"/>
      <c r="B408" s="3"/>
      <c r="C408" s="3"/>
      <c r="D408" s="3"/>
      <c r="E408" s="4"/>
      <c r="F408" s="3"/>
      <c r="G408" s="3"/>
      <c r="H408" s="10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176"/>
    </row>
    <row r="409" spans="1:21">
      <c r="A409" s="3"/>
      <c r="B409" s="3"/>
      <c r="C409" s="3"/>
      <c r="D409" s="3"/>
      <c r="E409" s="4"/>
      <c r="F409" s="3"/>
      <c r="G409" s="3"/>
      <c r="H409" s="10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176"/>
    </row>
    <row r="410" spans="1:21">
      <c r="A410" s="3"/>
      <c r="B410" s="3"/>
      <c r="C410" s="3"/>
      <c r="D410" s="3"/>
      <c r="E410" s="4"/>
      <c r="F410" s="3"/>
      <c r="G410" s="3"/>
      <c r="H410" s="10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176"/>
    </row>
    <row r="411" spans="1:21">
      <c r="A411" s="3"/>
      <c r="B411" s="3"/>
      <c r="C411" s="3"/>
      <c r="D411" s="3"/>
      <c r="E411" s="4"/>
      <c r="F411" s="3"/>
      <c r="G411" s="3"/>
      <c r="H411" s="10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176"/>
    </row>
    <row r="412" spans="1:21">
      <c r="A412" s="3"/>
      <c r="B412" s="3"/>
      <c r="C412" s="3"/>
      <c r="D412" s="3"/>
      <c r="E412" s="4"/>
      <c r="F412" s="3"/>
      <c r="G412" s="3"/>
      <c r="H412" s="10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176"/>
    </row>
    <row r="413" spans="1:21">
      <c r="A413" s="3"/>
      <c r="B413" s="3"/>
      <c r="C413" s="3"/>
      <c r="D413" s="3"/>
      <c r="E413" s="4"/>
      <c r="F413" s="3"/>
      <c r="G413" s="3"/>
      <c r="H413" s="10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176"/>
    </row>
    <row r="414" spans="1:21">
      <c r="A414" s="3"/>
      <c r="B414" s="3"/>
      <c r="C414" s="3"/>
      <c r="D414" s="3"/>
      <c r="E414" s="4"/>
      <c r="F414" s="3"/>
      <c r="G414" s="3"/>
      <c r="H414" s="10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176"/>
    </row>
    <row r="415" spans="1:21">
      <c r="A415" s="3"/>
      <c r="B415" s="3"/>
      <c r="C415" s="3"/>
      <c r="D415" s="3"/>
      <c r="E415" s="4"/>
      <c r="F415" s="3"/>
      <c r="G415" s="3"/>
      <c r="H415" s="10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176"/>
    </row>
    <row r="416" spans="1:21">
      <c r="A416" s="3"/>
      <c r="B416" s="3"/>
      <c r="C416" s="3"/>
      <c r="D416" s="3"/>
      <c r="E416" s="4"/>
      <c r="F416" s="3"/>
      <c r="G416" s="3"/>
      <c r="H416" s="10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176"/>
    </row>
    <row r="417" spans="1:21">
      <c r="A417" s="3"/>
      <c r="B417" s="3"/>
      <c r="C417" s="3"/>
      <c r="D417" s="3"/>
      <c r="E417" s="4"/>
      <c r="F417" s="3"/>
      <c r="G417" s="3"/>
      <c r="H417" s="10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176"/>
    </row>
    <row r="418" spans="1:21">
      <c r="A418" s="3"/>
      <c r="B418" s="3"/>
      <c r="C418" s="3"/>
      <c r="D418" s="3"/>
      <c r="E418" s="4"/>
      <c r="F418" s="3"/>
      <c r="G418" s="3"/>
      <c r="H418" s="10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176"/>
    </row>
    <row r="419" spans="1:21">
      <c r="A419" s="3"/>
      <c r="B419" s="3"/>
      <c r="C419" s="3"/>
      <c r="D419" s="3"/>
      <c r="E419" s="4"/>
      <c r="F419" s="3"/>
      <c r="G419" s="3"/>
      <c r="H419" s="10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176"/>
    </row>
    <row r="420" spans="1:21">
      <c r="A420" s="3"/>
      <c r="B420" s="3"/>
      <c r="C420" s="3"/>
      <c r="D420" s="3"/>
      <c r="E420" s="4"/>
      <c r="F420" s="3"/>
      <c r="G420" s="3"/>
      <c r="H420" s="10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176"/>
    </row>
    <row r="421" spans="1:21">
      <c r="A421" s="3"/>
      <c r="B421" s="3"/>
      <c r="C421" s="3"/>
      <c r="D421" s="3"/>
      <c r="E421" s="4"/>
      <c r="F421" s="3"/>
      <c r="G421" s="3"/>
      <c r="H421" s="10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176"/>
    </row>
    <row r="422" spans="1:21">
      <c r="A422" s="3"/>
      <c r="B422" s="3"/>
      <c r="C422" s="3"/>
      <c r="D422" s="3"/>
      <c r="E422" s="4"/>
      <c r="F422" s="3"/>
      <c r="G422" s="3"/>
      <c r="H422" s="10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176"/>
    </row>
    <row r="423" spans="1:21">
      <c r="A423" s="3"/>
      <c r="B423" s="3"/>
      <c r="C423" s="3"/>
      <c r="D423" s="3"/>
      <c r="E423" s="4"/>
      <c r="F423" s="3"/>
      <c r="G423" s="3"/>
      <c r="H423" s="10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176"/>
    </row>
    <row r="424" spans="1:21">
      <c r="A424" s="3"/>
      <c r="B424" s="3"/>
      <c r="C424" s="3"/>
      <c r="D424" s="3"/>
      <c r="E424" s="4"/>
      <c r="F424" s="3"/>
      <c r="G424" s="3"/>
      <c r="H424" s="10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176"/>
    </row>
    <row r="425" spans="1:21">
      <c r="A425" s="3"/>
      <c r="B425" s="3"/>
      <c r="C425" s="3"/>
      <c r="D425" s="3"/>
      <c r="E425" s="4"/>
      <c r="F425" s="3"/>
      <c r="G425" s="3"/>
      <c r="H425" s="10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176"/>
    </row>
    <row r="426" spans="1:21">
      <c r="A426" s="3"/>
      <c r="B426" s="3"/>
      <c r="C426" s="3"/>
      <c r="D426" s="3"/>
      <c r="E426" s="4"/>
      <c r="F426" s="3"/>
      <c r="G426" s="3"/>
      <c r="H426" s="10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176"/>
    </row>
    <row r="427" spans="1:21">
      <c r="A427" s="3"/>
      <c r="B427" s="3"/>
      <c r="C427" s="3"/>
      <c r="D427" s="3"/>
      <c r="E427" s="4"/>
      <c r="F427" s="3"/>
      <c r="G427" s="3"/>
      <c r="H427" s="10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176"/>
    </row>
    <row r="428" spans="1:21">
      <c r="A428" s="3"/>
      <c r="B428" s="3"/>
      <c r="C428" s="3"/>
      <c r="D428" s="3"/>
      <c r="E428" s="4"/>
      <c r="F428" s="3"/>
      <c r="G428" s="3"/>
      <c r="H428" s="10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176"/>
    </row>
    <row r="429" spans="1:21">
      <c r="A429" s="3"/>
      <c r="B429" s="3"/>
      <c r="C429" s="3"/>
      <c r="D429" s="3"/>
      <c r="E429" s="4"/>
      <c r="F429" s="3"/>
      <c r="G429" s="3"/>
      <c r="H429" s="10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176"/>
    </row>
    <row r="430" spans="1:21">
      <c r="A430" s="3"/>
      <c r="B430" s="3"/>
      <c r="C430" s="3"/>
      <c r="D430" s="3"/>
      <c r="E430" s="4"/>
      <c r="F430" s="3"/>
      <c r="G430" s="3"/>
      <c r="H430" s="10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176"/>
    </row>
    <row r="431" spans="1:21">
      <c r="A431" s="3"/>
      <c r="B431" s="3"/>
      <c r="C431" s="3"/>
      <c r="D431" s="3"/>
      <c r="E431" s="4"/>
      <c r="F431" s="3"/>
      <c r="G431" s="3"/>
      <c r="H431" s="10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176"/>
    </row>
    <row r="432" spans="1:21">
      <c r="A432" s="3"/>
      <c r="B432" s="3"/>
      <c r="C432" s="3"/>
      <c r="D432" s="3"/>
      <c r="E432" s="4"/>
      <c r="F432" s="3"/>
      <c r="G432" s="3"/>
      <c r="H432" s="10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176"/>
    </row>
    <row r="433" spans="1:21">
      <c r="A433" s="3"/>
      <c r="B433" s="3"/>
      <c r="C433" s="3"/>
      <c r="D433" s="3"/>
      <c r="E433" s="4"/>
      <c r="F433" s="3"/>
      <c r="G433" s="3"/>
      <c r="H433" s="10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176"/>
    </row>
    <row r="434" spans="1:21">
      <c r="A434" s="3"/>
      <c r="B434" s="3"/>
      <c r="C434" s="3"/>
      <c r="D434" s="3"/>
      <c r="E434" s="4"/>
      <c r="F434" s="3"/>
      <c r="G434" s="3"/>
      <c r="H434" s="10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176"/>
    </row>
    <row r="435" spans="1:21">
      <c r="A435" s="3"/>
      <c r="B435" s="3"/>
      <c r="C435" s="3"/>
      <c r="D435" s="3"/>
      <c r="E435" s="4"/>
      <c r="F435" s="3"/>
      <c r="G435" s="3"/>
      <c r="H435" s="10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176"/>
    </row>
    <row r="436" spans="1:21">
      <c r="A436" s="3"/>
      <c r="B436" s="3"/>
      <c r="C436" s="3"/>
      <c r="D436" s="3"/>
      <c r="E436" s="4"/>
      <c r="F436" s="3"/>
      <c r="G436" s="3"/>
      <c r="H436" s="10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176"/>
    </row>
    <row r="437" spans="1:21">
      <c r="A437" s="3"/>
      <c r="B437" s="3"/>
      <c r="C437" s="3"/>
      <c r="D437" s="3"/>
      <c r="E437" s="4"/>
      <c r="F437" s="3"/>
      <c r="G437" s="3"/>
      <c r="H437" s="10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176"/>
    </row>
    <row r="438" spans="1:21">
      <c r="A438" s="3"/>
      <c r="B438" s="3"/>
      <c r="C438" s="3"/>
      <c r="D438" s="3"/>
      <c r="E438" s="4"/>
      <c r="F438" s="3"/>
      <c r="G438" s="3"/>
      <c r="H438" s="10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176"/>
    </row>
    <row r="439" spans="1:21">
      <c r="A439" s="3"/>
      <c r="B439" s="3"/>
      <c r="C439" s="3"/>
      <c r="D439" s="3"/>
      <c r="E439" s="4"/>
      <c r="F439" s="3"/>
      <c r="G439" s="3"/>
      <c r="H439" s="1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176"/>
    </row>
    <row r="440" spans="1:21">
      <c r="A440" s="3"/>
      <c r="B440" s="3"/>
      <c r="C440" s="3"/>
      <c r="D440" s="3"/>
      <c r="E440" s="4"/>
      <c r="F440" s="3"/>
      <c r="G440" s="3"/>
      <c r="H440" s="1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176"/>
    </row>
    <row r="441" spans="1:21">
      <c r="A441" s="3"/>
      <c r="B441" s="3"/>
      <c r="C441" s="3"/>
      <c r="D441" s="3"/>
      <c r="E441" s="4"/>
      <c r="F441" s="3"/>
      <c r="G441" s="3"/>
      <c r="H441" s="1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176"/>
    </row>
    <row r="442" spans="1:21">
      <c r="A442" s="3"/>
      <c r="B442" s="3"/>
      <c r="C442" s="3"/>
      <c r="D442" s="3"/>
      <c r="E442" s="4"/>
      <c r="F442" s="3"/>
      <c r="G442" s="3"/>
      <c r="H442" s="1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176"/>
    </row>
    <row r="443" spans="1:21">
      <c r="A443" s="3"/>
      <c r="B443" s="3"/>
      <c r="C443" s="3"/>
      <c r="D443" s="3"/>
      <c r="E443" s="4"/>
      <c r="F443" s="3"/>
      <c r="G443" s="3"/>
      <c r="H443" s="1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176"/>
    </row>
    <row r="444" spans="1:21">
      <c r="A444" s="3"/>
      <c r="B444" s="3"/>
      <c r="C444" s="3"/>
      <c r="D444" s="3"/>
      <c r="E444" s="4"/>
      <c r="F444" s="3"/>
      <c r="G444" s="3"/>
      <c r="H444" s="1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176"/>
    </row>
    <row r="445" spans="1:21">
      <c r="A445" s="3"/>
      <c r="B445" s="3"/>
      <c r="C445" s="3"/>
      <c r="D445" s="3"/>
      <c r="E445" s="4"/>
      <c r="F445" s="3"/>
      <c r="G445" s="3"/>
      <c r="H445" s="1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176"/>
    </row>
    <row r="446" spans="1:21">
      <c r="A446" s="3"/>
      <c r="B446" s="3"/>
      <c r="C446" s="3"/>
      <c r="D446" s="3"/>
      <c r="E446" s="4"/>
      <c r="F446" s="3"/>
      <c r="G446" s="3"/>
      <c r="H446" s="1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176"/>
    </row>
    <row r="447" spans="1:21">
      <c r="A447" s="3"/>
      <c r="B447" s="3"/>
      <c r="C447" s="3"/>
      <c r="D447" s="3"/>
      <c r="E447" s="4"/>
      <c r="F447" s="3"/>
      <c r="G447" s="3"/>
      <c r="H447" s="1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176"/>
    </row>
    <row r="448" spans="1:21">
      <c r="A448" s="3"/>
      <c r="B448" s="3"/>
      <c r="C448" s="3"/>
      <c r="D448" s="3"/>
      <c r="E448" s="4"/>
      <c r="F448" s="3"/>
      <c r="G448" s="3"/>
      <c r="H448" s="1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176"/>
    </row>
    <row r="449" spans="1:21">
      <c r="A449" s="3"/>
      <c r="B449" s="3"/>
      <c r="C449" s="3"/>
      <c r="D449" s="3"/>
      <c r="E449" s="4"/>
      <c r="F449" s="3"/>
      <c r="G449" s="3"/>
      <c r="H449" s="1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176"/>
    </row>
    <row r="450" spans="1:21">
      <c r="A450" s="3"/>
      <c r="B450" s="3"/>
      <c r="C450" s="3"/>
      <c r="D450" s="3"/>
      <c r="E450" s="4"/>
      <c r="F450" s="3"/>
      <c r="G450" s="3"/>
      <c r="H450" s="1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176"/>
    </row>
    <row r="451" spans="1:21">
      <c r="A451" s="3"/>
      <c r="B451" s="3"/>
      <c r="C451" s="3"/>
      <c r="D451" s="3"/>
      <c r="E451" s="4"/>
      <c r="F451" s="3"/>
      <c r="G451" s="3"/>
      <c r="H451" s="1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176"/>
    </row>
    <row r="452" spans="1:21">
      <c r="A452" s="3"/>
      <c r="B452" s="3"/>
      <c r="C452" s="3"/>
      <c r="D452" s="3"/>
      <c r="E452" s="4"/>
      <c r="F452" s="3"/>
      <c r="G452" s="3"/>
      <c r="H452" s="1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176"/>
    </row>
    <row r="453" spans="1:21">
      <c r="A453" s="3"/>
      <c r="B453" s="3"/>
      <c r="C453" s="3"/>
      <c r="D453" s="3"/>
      <c r="E453" s="4"/>
      <c r="F453" s="3"/>
      <c r="G453" s="3"/>
      <c r="H453" s="1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176"/>
    </row>
    <row r="454" spans="1:21">
      <c r="A454" s="3"/>
      <c r="B454" s="3"/>
      <c r="C454" s="3"/>
      <c r="D454" s="3"/>
      <c r="E454" s="4"/>
      <c r="F454" s="3"/>
      <c r="G454" s="3"/>
      <c r="H454" s="1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176"/>
    </row>
    <row r="455" spans="1:21">
      <c r="A455" s="3"/>
      <c r="B455" s="3"/>
      <c r="C455" s="3"/>
      <c r="D455" s="3"/>
      <c r="E455" s="4"/>
      <c r="F455" s="3"/>
      <c r="G455" s="3"/>
      <c r="H455" s="1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176"/>
    </row>
    <row r="456" spans="1:21">
      <c r="A456" s="3"/>
      <c r="B456" s="3"/>
      <c r="C456" s="3"/>
      <c r="D456" s="3"/>
      <c r="E456" s="4"/>
      <c r="F456" s="3"/>
      <c r="G456" s="3"/>
      <c r="H456" s="1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176"/>
    </row>
    <row r="457" spans="1:21">
      <c r="A457" s="3"/>
      <c r="B457" s="3"/>
      <c r="C457" s="3"/>
      <c r="D457" s="3"/>
      <c r="E457" s="4"/>
      <c r="F457" s="3"/>
      <c r="G457" s="3"/>
      <c r="H457" s="10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176"/>
    </row>
    <row r="458" spans="1:21">
      <c r="A458" s="3"/>
      <c r="B458" s="3"/>
      <c r="C458" s="3"/>
      <c r="D458" s="3"/>
      <c r="E458" s="4"/>
      <c r="F458" s="3"/>
      <c r="G458" s="3"/>
      <c r="H458" s="10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176"/>
    </row>
    <row r="459" spans="1:21">
      <c r="A459" s="3"/>
      <c r="B459" s="3"/>
      <c r="C459" s="3"/>
      <c r="D459" s="3"/>
      <c r="E459" s="4"/>
      <c r="F459" s="3"/>
      <c r="G459" s="3"/>
      <c r="H459" s="10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176"/>
    </row>
    <row r="460" spans="1:21">
      <c r="A460" s="3"/>
      <c r="B460" s="3"/>
      <c r="C460" s="3"/>
      <c r="D460" s="3"/>
      <c r="E460" s="4"/>
      <c r="F460" s="3"/>
      <c r="G460" s="3"/>
      <c r="H460" s="10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176"/>
    </row>
    <row r="461" spans="1:21">
      <c r="A461" s="3"/>
      <c r="B461" s="3"/>
      <c r="C461" s="3"/>
      <c r="D461" s="3"/>
      <c r="E461" s="4"/>
      <c r="F461" s="3"/>
      <c r="G461" s="3"/>
      <c r="H461" s="10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176"/>
    </row>
    <row r="462" spans="1:21">
      <c r="A462" s="3"/>
      <c r="B462" s="3"/>
      <c r="C462" s="3"/>
      <c r="D462" s="3"/>
      <c r="E462" s="4"/>
      <c r="F462" s="3"/>
      <c r="G462" s="3"/>
      <c r="H462" s="10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176"/>
    </row>
    <row r="463" spans="1:21">
      <c r="A463" s="3"/>
      <c r="B463" s="3"/>
      <c r="C463" s="3"/>
      <c r="D463" s="3"/>
      <c r="E463" s="4"/>
      <c r="F463" s="3"/>
      <c r="G463" s="3"/>
      <c r="H463" s="10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176"/>
    </row>
    <row r="464" spans="1:21">
      <c r="A464" s="3"/>
      <c r="B464" s="3"/>
      <c r="C464" s="3"/>
      <c r="D464" s="3"/>
      <c r="E464" s="4"/>
      <c r="F464" s="3"/>
      <c r="G464" s="3"/>
      <c r="H464" s="10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176"/>
    </row>
    <row r="465" spans="1:21">
      <c r="A465" s="3"/>
      <c r="B465" s="3"/>
      <c r="C465" s="3"/>
      <c r="D465" s="3"/>
      <c r="E465" s="4"/>
      <c r="F465" s="3"/>
      <c r="G465" s="3"/>
      <c r="H465" s="10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176"/>
    </row>
    <row r="466" spans="1:21">
      <c r="A466" s="3"/>
      <c r="B466" s="3"/>
      <c r="C466" s="3"/>
      <c r="D466" s="3"/>
      <c r="E466" s="4"/>
      <c r="F466" s="3"/>
      <c r="G466" s="3"/>
      <c r="H466" s="10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176"/>
    </row>
    <row r="467" spans="1:21">
      <c r="A467" s="3"/>
      <c r="B467" s="3"/>
      <c r="C467" s="3"/>
      <c r="D467" s="3"/>
      <c r="E467" s="4"/>
      <c r="F467" s="3"/>
      <c r="G467" s="3"/>
      <c r="H467" s="10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176"/>
    </row>
    <row r="468" spans="1:21">
      <c r="A468" s="3"/>
      <c r="B468" s="3"/>
      <c r="C468" s="3"/>
      <c r="D468" s="3"/>
      <c r="E468" s="4"/>
      <c r="F468" s="3"/>
      <c r="G468" s="3"/>
      <c r="H468" s="10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176"/>
    </row>
    <row r="469" spans="1:21">
      <c r="A469" s="3"/>
      <c r="B469" s="3"/>
      <c r="C469" s="3"/>
      <c r="D469" s="3"/>
      <c r="E469" s="4"/>
      <c r="F469" s="3"/>
      <c r="G469" s="3"/>
      <c r="H469" s="10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176"/>
    </row>
    <row r="470" spans="1:21">
      <c r="A470" s="3"/>
      <c r="B470" s="3"/>
      <c r="C470" s="3"/>
      <c r="D470" s="3"/>
      <c r="E470" s="4"/>
      <c r="F470" s="3"/>
      <c r="G470" s="3"/>
      <c r="H470" s="10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176"/>
    </row>
    <row r="471" spans="1:21">
      <c r="A471" s="3"/>
      <c r="B471" s="3"/>
      <c r="C471" s="3"/>
      <c r="D471" s="3"/>
      <c r="E471" s="4"/>
      <c r="F471" s="3"/>
      <c r="G471" s="3"/>
      <c r="H471" s="10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176"/>
    </row>
    <row r="472" spans="1:21">
      <c r="A472" s="3"/>
      <c r="B472" s="3"/>
      <c r="C472" s="3"/>
      <c r="D472" s="3"/>
      <c r="E472" s="4"/>
      <c r="F472" s="3"/>
      <c r="G472" s="3"/>
      <c r="H472" s="10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176"/>
    </row>
    <row r="473" spans="1:21">
      <c r="A473" s="3"/>
      <c r="B473" s="3"/>
      <c r="C473" s="3"/>
      <c r="D473" s="3"/>
      <c r="E473" s="4"/>
      <c r="F473" s="3"/>
      <c r="G473" s="3"/>
      <c r="H473" s="10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176"/>
    </row>
    <row r="474" spans="1:21">
      <c r="A474" s="3"/>
      <c r="B474" s="3"/>
      <c r="C474" s="3"/>
      <c r="D474" s="3"/>
      <c r="E474" s="4"/>
      <c r="F474" s="3"/>
      <c r="G474" s="3"/>
      <c r="H474" s="10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176"/>
    </row>
    <row r="475" spans="1:21">
      <c r="A475" s="3"/>
      <c r="B475" s="3"/>
      <c r="C475" s="3"/>
      <c r="D475" s="3"/>
      <c r="E475" s="4"/>
      <c r="F475" s="3"/>
      <c r="G475" s="3"/>
      <c r="H475" s="10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176"/>
    </row>
    <row r="476" spans="1:21">
      <c r="A476" s="3"/>
      <c r="B476" s="3"/>
      <c r="C476" s="3"/>
      <c r="D476" s="3"/>
      <c r="E476" s="4"/>
      <c r="F476" s="3"/>
      <c r="G476" s="3"/>
      <c r="H476" s="10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176"/>
    </row>
    <row r="477" spans="1:21">
      <c r="A477" s="3"/>
      <c r="B477" s="3"/>
      <c r="C477" s="3"/>
      <c r="D477" s="3"/>
      <c r="E477" s="4"/>
      <c r="F477" s="3"/>
      <c r="G477" s="3"/>
      <c r="H477" s="10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176"/>
    </row>
    <row r="478" spans="1:21">
      <c r="A478" s="3"/>
      <c r="B478" s="3"/>
      <c r="C478" s="3"/>
      <c r="D478" s="3"/>
      <c r="E478" s="4"/>
      <c r="F478" s="3"/>
      <c r="G478" s="3"/>
      <c r="H478" s="10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176"/>
    </row>
    <row r="479" spans="1:21">
      <c r="A479" s="3"/>
      <c r="B479" s="3"/>
      <c r="C479" s="3"/>
      <c r="D479" s="3"/>
      <c r="E479" s="4"/>
      <c r="F479" s="3"/>
      <c r="G479" s="3"/>
      <c r="H479" s="10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176"/>
    </row>
    <row r="480" spans="1:21">
      <c r="A480" s="3"/>
      <c r="B480" s="3"/>
      <c r="C480" s="3"/>
      <c r="D480" s="3"/>
      <c r="E480" s="4"/>
      <c r="F480" s="3"/>
      <c r="G480" s="3"/>
      <c r="H480" s="10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176"/>
    </row>
    <row r="481" spans="1:21">
      <c r="A481" s="3"/>
      <c r="B481" s="3"/>
      <c r="C481" s="3"/>
      <c r="D481" s="3"/>
      <c r="E481" s="4"/>
      <c r="F481" s="3"/>
      <c r="G481" s="3"/>
      <c r="H481" s="10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176"/>
    </row>
    <row r="482" spans="1:21">
      <c r="A482" s="3"/>
      <c r="B482" s="3"/>
      <c r="C482" s="3"/>
      <c r="D482" s="3"/>
      <c r="E482" s="4"/>
      <c r="F482" s="3"/>
      <c r="G482" s="3"/>
      <c r="H482" s="10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176"/>
    </row>
    <row r="483" spans="1:21">
      <c r="A483" s="3"/>
      <c r="B483" s="3"/>
      <c r="C483" s="3"/>
      <c r="D483" s="3"/>
      <c r="E483" s="4"/>
      <c r="F483" s="3"/>
      <c r="G483" s="3"/>
      <c r="H483" s="10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176"/>
    </row>
    <row r="484" spans="1:21">
      <c r="A484" s="3"/>
      <c r="B484" s="3"/>
      <c r="C484" s="3"/>
      <c r="D484" s="3"/>
      <c r="E484" s="4"/>
      <c r="F484" s="3"/>
      <c r="G484" s="3"/>
      <c r="H484" s="10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176"/>
    </row>
    <row r="485" spans="1:21">
      <c r="A485" s="3"/>
      <c r="B485" s="3"/>
      <c r="C485" s="3"/>
      <c r="D485" s="3"/>
      <c r="E485" s="4"/>
      <c r="F485" s="3"/>
      <c r="G485" s="3"/>
      <c r="H485" s="10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176"/>
    </row>
    <row r="486" spans="1:21">
      <c r="A486" s="3"/>
      <c r="B486" s="3"/>
      <c r="C486" s="3"/>
      <c r="D486" s="3"/>
      <c r="E486" s="4"/>
      <c r="F486" s="3"/>
      <c r="G486" s="3"/>
      <c r="H486" s="10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176"/>
    </row>
    <row r="487" spans="1:21">
      <c r="A487" s="3"/>
      <c r="B487" s="3"/>
      <c r="C487" s="3"/>
      <c r="D487" s="3"/>
      <c r="E487" s="4"/>
      <c r="F487" s="3"/>
      <c r="G487" s="3"/>
      <c r="H487" s="10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176"/>
    </row>
    <row r="488" spans="1:21">
      <c r="A488" s="3"/>
      <c r="B488" s="3"/>
      <c r="C488" s="3"/>
      <c r="D488" s="3"/>
      <c r="E488" s="4"/>
      <c r="F488" s="3"/>
      <c r="G488" s="3"/>
      <c r="H488" s="10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176"/>
    </row>
    <row r="489" spans="1:21">
      <c r="A489" s="3"/>
      <c r="B489" s="3"/>
      <c r="C489" s="3"/>
      <c r="D489" s="3"/>
      <c r="E489" s="4"/>
      <c r="F489" s="3"/>
      <c r="G489" s="3"/>
      <c r="H489" s="10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176"/>
    </row>
    <row r="490" spans="1:21">
      <c r="A490" s="3"/>
      <c r="B490" s="3"/>
      <c r="C490" s="3"/>
      <c r="D490" s="3"/>
      <c r="E490" s="4"/>
      <c r="F490" s="3"/>
      <c r="G490" s="3"/>
      <c r="H490" s="10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176"/>
    </row>
    <row r="491" spans="1:21">
      <c r="A491" s="3"/>
      <c r="B491" s="3"/>
      <c r="C491" s="3"/>
      <c r="D491" s="3"/>
      <c r="E491" s="4"/>
      <c r="F491" s="3"/>
      <c r="G491" s="3"/>
      <c r="H491" s="10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176"/>
    </row>
    <row r="492" spans="1:21">
      <c r="A492" s="3"/>
      <c r="B492" s="3"/>
      <c r="C492" s="3"/>
      <c r="D492" s="3"/>
      <c r="E492" s="4"/>
      <c r="F492" s="3"/>
      <c r="G492" s="3"/>
      <c r="H492" s="10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176"/>
    </row>
    <row r="493" spans="1:21">
      <c r="A493" s="3"/>
      <c r="B493" s="3"/>
      <c r="C493" s="3"/>
      <c r="D493" s="3"/>
      <c r="E493" s="4"/>
      <c r="F493" s="3"/>
      <c r="G493" s="3"/>
      <c r="H493" s="10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176"/>
    </row>
    <row r="494" spans="1:21">
      <c r="A494" s="3"/>
      <c r="B494" s="3"/>
      <c r="C494" s="3"/>
      <c r="D494" s="3"/>
      <c r="E494" s="4"/>
      <c r="F494" s="3"/>
      <c r="G494" s="3"/>
      <c r="H494" s="10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176"/>
    </row>
    <row r="495" spans="1:21">
      <c r="A495" s="3"/>
      <c r="B495" s="3"/>
      <c r="C495" s="3"/>
      <c r="D495" s="3"/>
      <c r="E495" s="4"/>
      <c r="F495" s="3"/>
      <c r="G495" s="3"/>
      <c r="H495" s="10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176"/>
    </row>
    <row r="496" spans="1:21">
      <c r="A496" s="3"/>
      <c r="B496" s="3"/>
      <c r="C496" s="3"/>
      <c r="D496" s="3"/>
      <c r="E496" s="4"/>
      <c r="F496" s="3"/>
      <c r="G496" s="3"/>
      <c r="H496" s="10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176"/>
    </row>
    <row r="497" spans="1:21">
      <c r="A497" s="3"/>
      <c r="B497" s="3"/>
      <c r="C497" s="3"/>
      <c r="D497" s="3"/>
      <c r="E497" s="4"/>
      <c r="F497" s="3"/>
      <c r="G497" s="3"/>
      <c r="H497" s="10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176"/>
    </row>
    <row r="498" spans="1:21">
      <c r="A498" s="3"/>
      <c r="B498" s="3"/>
      <c r="C498" s="3"/>
      <c r="D498" s="3"/>
      <c r="E498" s="4"/>
      <c r="F498" s="3"/>
      <c r="G498" s="3"/>
      <c r="H498" s="10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176"/>
    </row>
    <row r="499" spans="1:21">
      <c r="A499" s="3"/>
      <c r="B499" s="3"/>
      <c r="C499" s="3"/>
      <c r="D499" s="3"/>
      <c r="E499" s="4"/>
      <c r="F499" s="3"/>
      <c r="G499" s="3"/>
      <c r="H499" s="10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176"/>
    </row>
    <row r="500" spans="1:21">
      <c r="A500" s="3"/>
      <c r="B500" s="3"/>
      <c r="C500" s="3"/>
      <c r="D500" s="3"/>
      <c r="E500" s="4"/>
      <c r="F500" s="3"/>
      <c r="G500" s="3"/>
      <c r="H500" s="10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176"/>
    </row>
    <row r="501" spans="1:21">
      <c r="A501" s="3"/>
      <c r="B501" s="3"/>
      <c r="C501" s="3"/>
      <c r="D501" s="3"/>
      <c r="E501" s="4"/>
      <c r="F501" s="3"/>
      <c r="G501" s="3"/>
      <c r="H501" s="10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176"/>
    </row>
    <row r="502" spans="1:21">
      <c r="A502" s="3"/>
      <c r="B502" s="3"/>
      <c r="C502" s="3"/>
      <c r="D502" s="3"/>
      <c r="E502" s="4"/>
      <c r="F502" s="3"/>
      <c r="G502" s="3"/>
      <c r="H502" s="10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176"/>
    </row>
    <row r="503" spans="1:21">
      <c r="A503" s="3"/>
      <c r="B503" s="3"/>
      <c r="C503" s="3"/>
      <c r="D503" s="3"/>
      <c r="E503" s="4"/>
      <c r="F503" s="3"/>
      <c r="G503" s="3"/>
      <c r="H503" s="10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176"/>
    </row>
    <row r="504" spans="1:21">
      <c r="A504" s="3"/>
      <c r="B504" s="3"/>
      <c r="C504" s="3"/>
      <c r="D504" s="3"/>
      <c r="E504" s="4"/>
      <c r="F504" s="3"/>
      <c r="G504" s="3"/>
      <c r="H504" s="10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176"/>
    </row>
    <row r="505" spans="1:21">
      <c r="A505" s="3"/>
      <c r="B505" s="3"/>
      <c r="C505" s="3"/>
      <c r="D505" s="3"/>
      <c r="E505" s="4"/>
      <c r="F505" s="3"/>
      <c r="G505" s="3"/>
      <c r="H505" s="10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176"/>
    </row>
    <row r="506" spans="1:21">
      <c r="A506" s="3"/>
      <c r="B506" s="3"/>
      <c r="C506" s="3"/>
      <c r="D506" s="3"/>
      <c r="E506" s="4"/>
      <c r="F506" s="3"/>
      <c r="G506" s="3"/>
      <c r="H506" s="10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176"/>
    </row>
    <row r="507" spans="1:21">
      <c r="A507" s="3"/>
      <c r="B507" s="3"/>
      <c r="C507" s="3"/>
      <c r="D507" s="3"/>
      <c r="E507" s="4"/>
      <c r="F507" s="3"/>
      <c r="G507" s="3"/>
      <c r="H507" s="10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176"/>
    </row>
    <row r="508" spans="1:21">
      <c r="A508" s="3"/>
      <c r="B508" s="3"/>
      <c r="C508" s="3"/>
      <c r="D508" s="3"/>
      <c r="E508" s="4"/>
      <c r="F508" s="3"/>
      <c r="G508" s="3"/>
      <c r="H508" s="10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176"/>
    </row>
    <row r="509" spans="1:21">
      <c r="A509" s="3"/>
      <c r="B509" s="3"/>
      <c r="C509" s="3"/>
      <c r="D509" s="3"/>
      <c r="E509" s="4"/>
      <c r="F509" s="3"/>
      <c r="G509" s="3"/>
      <c r="H509" s="10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176"/>
    </row>
    <row r="510" spans="1:21">
      <c r="A510" s="3"/>
      <c r="B510" s="3"/>
      <c r="C510" s="3"/>
      <c r="D510" s="3"/>
      <c r="E510" s="4"/>
      <c r="F510" s="3"/>
      <c r="G510" s="3"/>
      <c r="H510" s="10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176"/>
    </row>
    <row r="511" spans="1:21">
      <c r="A511" s="3"/>
      <c r="B511" s="3"/>
      <c r="C511" s="3"/>
      <c r="D511" s="3"/>
      <c r="E511" s="4"/>
      <c r="F511" s="3"/>
      <c r="G511" s="3"/>
      <c r="H511" s="10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176"/>
    </row>
    <row r="512" spans="1:21">
      <c r="A512" s="3"/>
      <c r="B512" s="3"/>
      <c r="C512" s="3"/>
      <c r="D512" s="3"/>
      <c r="E512" s="4"/>
      <c r="F512" s="3"/>
      <c r="G512" s="3"/>
      <c r="H512" s="10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176"/>
    </row>
    <row r="513" spans="1:21">
      <c r="A513" s="3"/>
      <c r="B513" s="3"/>
      <c r="C513" s="3"/>
      <c r="D513" s="3"/>
      <c r="E513" s="4"/>
      <c r="F513" s="3"/>
      <c r="G513" s="3"/>
      <c r="H513" s="10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176"/>
    </row>
    <row r="514" spans="1:21">
      <c r="A514" s="3"/>
      <c r="B514" s="3"/>
      <c r="C514" s="3"/>
      <c r="D514" s="3"/>
      <c r="E514" s="4"/>
      <c r="F514" s="3"/>
      <c r="G514" s="3"/>
      <c r="H514" s="10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176"/>
    </row>
    <row r="515" spans="1:21">
      <c r="A515" s="3"/>
      <c r="B515" s="3"/>
      <c r="C515" s="3"/>
      <c r="D515" s="3"/>
      <c r="E515" s="4"/>
      <c r="F515" s="3"/>
      <c r="G515" s="3"/>
      <c r="H515" s="10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176"/>
    </row>
    <row r="516" spans="1:21">
      <c r="A516" s="3"/>
      <c r="B516" s="3"/>
      <c r="C516" s="3"/>
      <c r="D516" s="3"/>
      <c r="E516" s="4"/>
      <c r="F516" s="3"/>
      <c r="G516" s="3"/>
      <c r="H516" s="10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176"/>
    </row>
    <row r="517" spans="1:21">
      <c r="A517" s="3"/>
      <c r="B517" s="3"/>
      <c r="C517" s="3"/>
      <c r="D517" s="3"/>
      <c r="E517" s="4"/>
      <c r="F517" s="3"/>
      <c r="G517" s="3"/>
      <c r="H517" s="10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176"/>
    </row>
    <row r="518" spans="1:21">
      <c r="A518" s="3"/>
      <c r="B518" s="3"/>
      <c r="C518" s="3"/>
      <c r="D518" s="3"/>
      <c r="E518" s="4"/>
      <c r="F518" s="3"/>
      <c r="G518" s="3"/>
      <c r="H518" s="10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176"/>
    </row>
    <row r="519" spans="1:21">
      <c r="A519" s="3"/>
      <c r="B519" s="3"/>
      <c r="C519" s="3"/>
      <c r="D519" s="3"/>
      <c r="E519" s="4"/>
      <c r="F519" s="3"/>
      <c r="G519" s="3"/>
      <c r="H519" s="10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176"/>
    </row>
    <row r="520" spans="1:21">
      <c r="A520" s="3"/>
      <c r="B520" s="3"/>
      <c r="C520" s="3"/>
      <c r="D520" s="3"/>
      <c r="E520" s="4"/>
      <c r="F520" s="3"/>
      <c r="G520" s="3"/>
      <c r="H520" s="10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176"/>
    </row>
    <row r="521" spans="1:21">
      <c r="A521" s="3"/>
      <c r="B521" s="3"/>
      <c r="C521" s="3"/>
      <c r="D521" s="3"/>
      <c r="E521" s="4"/>
      <c r="F521" s="3"/>
      <c r="G521" s="3"/>
      <c r="H521" s="10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176"/>
    </row>
    <row r="522" spans="1:21">
      <c r="A522" s="3"/>
      <c r="B522" s="3"/>
      <c r="C522" s="3"/>
      <c r="D522" s="3"/>
      <c r="E522" s="4"/>
      <c r="F522" s="3"/>
      <c r="G522" s="3"/>
      <c r="H522" s="10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176"/>
    </row>
    <row r="523" spans="1:21">
      <c r="A523" s="3"/>
      <c r="B523" s="3"/>
      <c r="C523" s="3"/>
      <c r="D523" s="3"/>
      <c r="E523" s="4"/>
      <c r="F523" s="3"/>
      <c r="G523" s="3"/>
      <c r="H523" s="10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176"/>
    </row>
    <row r="524" spans="1:21">
      <c r="A524" s="3"/>
      <c r="B524" s="3"/>
      <c r="C524" s="3"/>
      <c r="D524" s="3"/>
      <c r="E524" s="4"/>
      <c r="F524" s="3"/>
      <c r="G524" s="3"/>
      <c r="H524" s="10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176"/>
    </row>
    <row r="525" spans="1:21">
      <c r="A525" s="3"/>
      <c r="B525" s="3"/>
      <c r="C525" s="3"/>
      <c r="D525" s="3"/>
      <c r="E525" s="4"/>
      <c r="F525" s="3"/>
      <c r="G525" s="3"/>
      <c r="H525" s="10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176"/>
    </row>
    <row r="526" spans="1:21">
      <c r="A526" s="3"/>
      <c r="B526" s="3"/>
      <c r="C526" s="3"/>
      <c r="D526" s="3"/>
      <c r="E526" s="4"/>
      <c r="F526" s="3"/>
      <c r="G526" s="3"/>
      <c r="H526" s="10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176"/>
    </row>
    <row r="527" spans="1:21">
      <c r="A527" s="3"/>
      <c r="B527" s="3"/>
      <c r="C527" s="3"/>
      <c r="D527" s="3"/>
      <c r="E527" s="4"/>
      <c r="F527" s="3"/>
      <c r="G527" s="3"/>
      <c r="H527" s="10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176"/>
    </row>
    <row r="528" spans="1:21">
      <c r="A528" s="3"/>
      <c r="B528" s="3"/>
      <c r="C528" s="3"/>
      <c r="D528" s="3"/>
      <c r="E528" s="4"/>
      <c r="F528" s="3"/>
      <c r="G528" s="3"/>
      <c r="H528" s="10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176"/>
    </row>
    <row r="529" spans="1:21">
      <c r="A529" s="3"/>
      <c r="B529" s="3"/>
      <c r="C529" s="3"/>
      <c r="D529" s="3"/>
      <c r="E529" s="4"/>
      <c r="F529" s="3"/>
      <c r="G529" s="3"/>
      <c r="H529" s="10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176"/>
    </row>
    <row r="530" spans="1:21">
      <c r="A530" s="3"/>
      <c r="B530" s="3"/>
      <c r="C530" s="3"/>
      <c r="D530" s="3"/>
      <c r="E530" s="4"/>
      <c r="F530" s="3"/>
      <c r="G530" s="3"/>
      <c r="H530" s="10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176"/>
    </row>
    <row r="531" spans="1:21">
      <c r="A531" s="3"/>
      <c r="B531" s="3"/>
      <c r="C531" s="3"/>
      <c r="D531" s="3"/>
      <c r="E531" s="4"/>
      <c r="F531" s="3"/>
      <c r="G531" s="3"/>
      <c r="H531" s="10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176"/>
    </row>
    <row r="532" spans="1:21">
      <c r="A532" s="3"/>
      <c r="B532" s="3"/>
      <c r="C532" s="3"/>
      <c r="D532" s="3"/>
      <c r="E532" s="4"/>
      <c r="F532" s="3"/>
      <c r="G532" s="3"/>
      <c r="H532" s="10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176"/>
    </row>
    <row r="533" spans="1:21">
      <c r="A533" s="3"/>
      <c r="B533" s="3"/>
      <c r="C533" s="3"/>
      <c r="D533" s="3"/>
      <c r="E533" s="4"/>
      <c r="F533" s="3"/>
      <c r="G533" s="3"/>
      <c r="H533" s="10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176"/>
    </row>
    <row r="534" spans="1:21">
      <c r="A534" s="3"/>
      <c r="B534" s="3"/>
      <c r="C534" s="3"/>
      <c r="D534" s="3"/>
      <c r="E534" s="4"/>
      <c r="F534" s="3"/>
      <c r="G534" s="3"/>
      <c r="H534" s="10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176"/>
    </row>
    <row r="535" spans="1:21">
      <c r="A535" s="3"/>
      <c r="B535" s="3"/>
      <c r="C535" s="3"/>
      <c r="D535" s="3"/>
      <c r="E535" s="4"/>
      <c r="F535" s="3"/>
      <c r="G535" s="3"/>
      <c r="H535" s="10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176"/>
    </row>
    <row r="536" spans="1:21">
      <c r="A536" s="3"/>
      <c r="B536" s="3"/>
      <c r="C536" s="3"/>
      <c r="D536" s="3"/>
      <c r="E536" s="4"/>
      <c r="F536" s="3"/>
      <c r="G536" s="3"/>
      <c r="H536" s="10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176"/>
    </row>
    <row r="537" spans="1:21">
      <c r="A537" s="3"/>
      <c r="B537" s="3"/>
      <c r="C537" s="3"/>
      <c r="D537" s="3"/>
      <c r="E537" s="4"/>
      <c r="F537" s="3"/>
      <c r="G537" s="3"/>
      <c r="H537" s="10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176"/>
    </row>
    <row r="538" spans="1:21">
      <c r="A538" s="3"/>
      <c r="B538" s="3"/>
      <c r="C538" s="3"/>
      <c r="D538" s="3"/>
      <c r="E538" s="4"/>
      <c r="F538" s="3"/>
      <c r="G538" s="3"/>
      <c r="H538" s="10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176"/>
    </row>
    <row r="539" spans="1:21">
      <c r="A539" s="3"/>
      <c r="B539" s="3"/>
      <c r="C539" s="3"/>
      <c r="D539" s="3"/>
      <c r="E539" s="4"/>
      <c r="F539" s="3"/>
      <c r="G539" s="3"/>
      <c r="H539" s="10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176"/>
    </row>
    <row r="540" spans="1:21">
      <c r="A540" s="3"/>
      <c r="B540" s="3"/>
      <c r="C540" s="3"/>
      <c r="D540" s="3"/>
      <c r="E540" s="4"/>
      <c r="F540" s="3"/>
      <c r="G540" s="3"/>
      <c r="H540" s="10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176"/>
    </row>
    <row r="541" spans="1:21">
      <c r="A541" s="3"/>
      <c r="B541" s="3"/>
      <c r="C541" s="3"/>
      <c r="D541" s="3"/>
      <c r="E541" s="4"/>
      <c r="F541" s="3"/>
      <c r="G541" s="3"/>
      <c r="H541" s="10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176"/>
    </row>
    <row r="542" spans="1:21">
      <c r="A542" s="3"/>
      <c r="B542" s="3"/>
      <c r="C542" s="3"/>
      <c r="D542" s="3"/>
      <c r="E542" s="4"/>
      <c r="F542" s="3"/>
      <c r="G542" s="3"/>
      <c r="H542" s="10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176"/>
    </row>
    <row r="543" spans="1:21">
      <c r="A543" s="3"/>
      <c r="B543" s="3"/>
      <c r="C543" s="3"/>
      <c r="D543" s="3"/>
      <c r="E543" s="4"/>
      <c r="F543" s="3"/>
      <c r="G543" s="3"/>
      <c r="H543" s="10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176"/>
    </row>
    <row r="544" spans="1:21">
      <c r="A544" s="3"/>
      <c r="B544" s="3"/>
      <c r="C544" s="3"/>
      <c r="D544" s="3"/>
      <c r="E544" s="4"/>
      <c r="F544" s="3"/>
      <c r="G544" s="3"/>
      <c r="H544" s="10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176"/>
    </row>
    <row r="545" spans="1:21">
      <c r="A545" s="3"/>
      <c r="B545" s="3"/>
      <c r="C545" s="3"/>
      <c r="D545" s="3"/>
      <c r="E545" s="4"/>
      <c r="F545" s="3"/>
      <c r="G545" s="3"/>
      <c r="H545" s="10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176"/>
    </row>
    <row r="546" spans="1:21">
      <c r="A546" s="3"/>
      <c r="B546" s="3"/>
      <c r="C546" s="3"/>
      <c r="D546" s="3"/>
      <c r="E546" s="4"/>
      <c r="F546" s="3"/>
      <c r="G546" s="3"/>
      <c r="H546" s="10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176"/>
    </row>
    <row r="547" spans="1:21">
      <c r="A547" s="3"/>
      <c r="B547" s="3"/>
      <c r="C547" s="3"/>
      <c r="D547" s="3"/>
      <c r="E547" s="4"/>
      <c r="F547" s="3"/>
      <c r="G547" s="3"/>
      <c r="H547" s="10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176"/>
    </row>
    <row r="548" spans="1:21">
      <c r="A548" s="3"/>
      <c r="B548" s="3"/>
      <c r="C548" s="3"/>
      <c r="D548" s="3"/>
      <c r="E548" s="4"/>
      <c r="F548" s="3"/>
      <c r="G548" s="3"/>
      <c r="H548" s="10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176"/>
    </row>
    <row r="549" spans="1:21">
      <c r="A549" s="3"/>
      <c r="B549" s="3"/>
      <c r="C549" s="3"/>
      <c r="D549" s="3"/>
      <c r="E549" s="4"/>
      <c r="F549" s="3"/>
      <c r="G549" s="3"/>
      <c r="H549" s="10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176"/>
    </row>
    <row r="550" spans="1:21">
      <c r="A550" s="3"/>
      <c r="B550" s="3"/>
      <c r="C550" s="3"/>
      <c r="D550" s="3"/>
      <c r="E550" s="4"/>
      <c r="F550" s="3"/>
      <c r="G550" s="3"/>
      <c r="H550" s="10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176"/>
    </row>
    <row r="551" spans="1:21">
      <c r="A551" s="3"/>
      <c r="B551" s="3"/>
      <c r="C551" s="3"/>
      <c r="D551" s="3"/>
      <c r="E551" s="4"/>
      <c r="F551" s="3"/>
      <c r="G551" s="3"/>
      <c r="H551" s="10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176"/>
    </row>
    <row r="552" spans="1:21">
      <c r="A552" s="3"/>
      <c r="B552" s="3"/>
      <c r="C552" s="3"/>
      <c r="D552" s="3"/>
      <c r="E552" s="4"/>
      <c r="F552" s="3"/>
      <c r="G552" s="3"/>
      <c r="H552" s="10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176"/>
    </row>
    <row r="553" spans="1:21">
      <c r="A553" s="3"/>
      <c r="B553" s="3"/>
      <c r="C553" s="3"/>
      <c r="D553" s="3"/>
      <c r="E553" s="4"/>
      <c r="F553" s="3"/>
      <c r="G553" s="3"/>
      <c r="H553" s="10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176"/>
    </row>
    <row r="554" spans="1:21">
      <c r="A554" s="3"/>
      <c r="B554" s="3"/>
      <c r="C554" s="3"/>
      <c r="D554" s="3"/>
      <c r="E554" s="4"/>
      <c r="F554" s="3"/>
      <c r="G554" s="3"/>
      <c r="H554" s="10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176"/>
    </row>
    <row r="555" spans="1:21">
      <c r="A555" s="3"/>
      <c r="B555" s="3"/>
      <c r="C555" s="3"/>
      <c r="D555" s="3"/>
      <c r="E555" s="4"/>
      <c r="F555" s="3"/>
      <c r="G555" s="3"/>
      <c r="H555" s="10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176"/>
    </row>
    <row r="556" spans="1:21">
      <c r="A556" s="3"/>
      <c r="B556" s="3"/>
      <c r="C556" s="3"/>
      <c r="D556" s="3"/>
      <c r="E556" s="4"/>
      <c r="F556" s="3"/>
      <c r="G556" s="3"/>
      <c r="H556" s="10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176"/>
    </row>
    <row r="557" spans="1:21">
      <c r="A557" s="3"/>
      <c r="B557" s="3"/>
      <c r="C557" s="3"/>
      <c r="D557" s="3"/>
      <c r="E557" s="4"/>
      <c r="F557" s="3"/>
      <c r="G557" s="3"/>
      <c r="H557" s="10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176"/>
    </row>
    <row r="558" spans="1:21">
      <c r="A558" s="3"/>
      <c r="B558" s="3"/>
      <c r="C558" s="3"/>
      <c r="D558" s="3"/>
      <c r="E558" s="4"/>
      <c r="F558" s="3"/>
      <c r="G558" s="3"/>
      <c r="H558" s="10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176"/>
    </row>
    <row r="559" spans="1:21">
      <c r="A559" s="3"/>
      <c r="B559" s="3"/>
      <c r="C559" s="3"/>
      <c r="D559" s="3"/>
      <c r="E559" s="4"/>
      <c r="F559" s="3"/>
      <c r="G559" s="3"/>
      <c r="H559" s="10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176"/>
    </row>
    <row r="560" spans="1:21">
      <c r="A560" s="3"/>
      <c r="B560" s="3"/>
      <c r="C560" s="3"/>
      <c r="D560" s="3"/>
      <c r="E560" s="4"/>
      <c r="F560" s="3"/>
      <c r="G560" s="3"/>
      <c r="H560" s="10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176"/>
    </row>
    <row r="561" spans="1:21">
      <c r="A561" s="3"/>
      <c r="B561" s="3"/>
      <c r="C561" s="3"/>
      <c r="D561" s="3"/>
      <c r="E561" s="4"/>
      <c r="F561" s="3"/>
      <c r="G561" s="3"/>
      <c r="H561" s="10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176"/>
    </row>
    <row r="562" spans="1:21">
      <c r="A562" s="3"/>
      <c r="B562" s="3"/>
      <c r="C562" s="3"/>
      <c r="D562" s="3"/>
      <c r="E562" s="4"/>
      <c r="F562" s="3"/>
      <c r="G562" s="3"/>
      <c r="H562" s="10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176"/>
    </row>
    <row r="563" spans="1:21">
      <c r="A563" s="3"/>
      <c r="B563" s="3"/>
      <c r="C563" s="3"/>
      <c r="D563" s="3"/>
      <c r="E563" s="4"/>
      <c r="F563" s="3"/>
      <c r="G563" s="3"/>
      <c r="H563" s="10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176"/>
    </row>
    <row r="564" spans="1:21">
      <c r="A564" s="3"/>
      <c r="B564" s="3"/>
      <c r="C564" s="3"/>
      <c r="D564" s="3"/>
      <c r="E564" s="4"/>
      <c r="F564" s="3"/>
      <c r="G564" s="3"/>
      <c r="H564" s="10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176"/>
    </row>
    <row r="565" spans="1:21">
      <c r="A565" s="3"/>
      <c r="B565" s="3"/>
      <c r="C565" s="3"/>
      <c r="D565" s="3"/>
      <c r="E565" s="4"/>
      <c r="F565" s="3"/>
      <c r="G565" s="3"/>
      <c r="H565" s="10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176"/>
    </row>
    <row r="566" spans="1:21">
      <c r="A566" s="3"/>
      <c r="B566" s="3"/>
      <c r="C566" s="3"/>
      <c r="D566" s="3"/>
      <c r="E566" s="4"/>
      <c r="F566" s="3"/>
      <c r="G566" s="3"/>
      <c r="H566" s="10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176"/>
    </row>
    <row r="567" spans="1:21">
      <c r="A567" s="3"/>
      <c r="B567" s="3"/>
      <c r="C567" s="3"/>
      <c r="D567" s="3"/>
      <c r="E567" s="4"/>
      <c r="F567" s="3"/>
      <c r="G567" s="3"/>
      <c r="H567" s="10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176"/>
    </row>
    <row r="568" spans="1:21">
      <c r="A568" s="3"/>
      <c r="B568" s="3"/>
      <c r="C568" s="3"/>
      <c r="D568" s="3"/>
      <c r="E568" s="4"/>
      <c r="F568" s="3"/>
      <c r="G568" s="3"/>
      <c r="H568" s="10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176"/>
    </row>
    <row r="569" spans="1:21">
      <c r="A569" s="3"/>
      <c r="B569" s="3"/>
      <c r="C569" s="3"/>
      <c r="D569" s="3"/>
      <c r="E569" s="4"/>
      <c r="F569" s="3"/>
      <c r="G569" s="3"/>
      <c r="H569" s="10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176"/>
    </row>
    <row r="570" spans="1:21">
      <c r="A570" s="3"/>
      <c r="B570" s="3"/>
      <c r="C570" s="3"/>
      <c r="D570" s="3"/>
      <c r="E570" s="4"/>
      <c r="F570" s="3"/>
      <c r="G570" s="3"/>
      <c r="H570" s="10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176"/>
    </row>
    <row r="571" spans="1:21">
      <c r="A571" s="3"/>
      <c r="B571" s="3"/>
      <c r="C571" s="3"/>
      <c r="D571" s="3"/>
      <c r="E571" s="4"/>
      <c r="F571" s="3"/>
      <c r="G571" s="3"/>
      <c r="H571" s="10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176"/>
    </row>
    <row r="572" spans="1:21">
      <c r="A572" s="3"/>
      <c r="B572" s="3"/>
      <c r="C572" s="3"/>
      <c r="D572" s="3"/>
      <c r="E572" s="4"/>
      <c r="F572" s="3"/>
      <c r="G572" s="3"/>
      <c r="H572" s="10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176"/>
    </row>
    <row r="573" spans="1:21">
      <c r="A573" s="3"/>
      <c r="B573" s="3"/>
      <c r="C573" s="3"/>
      <c r="D573" s="3"/>
      <c r="E573" s="4"/>
      <c r="F573" s="3"/>
      <c r="G573" s="3"/>
      <c r="H573" s="10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176"/>
    </row>
    <row r="574" spans="1:21">
      <c r="A574" s="3"/>
      <c r="B574" s="3"/>
      <c r="C574" s="3"/>
      <c r="D574" s="3"/>
      <c r="E574" s="4"/>
      <c r="F574" s="3"/>
      <c r="G574" s="3"/>
      <c r="H574" s="10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176"/>
    </row>
    <row r="575" spans="1:21">
      <c r="A575" s="3"/>
      <c r="B575" s="3"/>
      <c r="C575" s="3"/>
      <c r="D575" s="3"/>
      <c r="E575" s="4"/>
      <c r="F575" s="3"/>
      <c r="G575" s="3"/>
      <c r="H575" s="10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176"/>
    </row>
    <row r="576" spans="1:21">
      <c r="A576" s="3"/>
      <c r="B576" s="3"/>
      <c r="C576" s="3"/>
      <c r="D576" s="3"/>
      <c r="E576" s="4"/>
      <c r="F576" s="3"/>
      <c r="G576" s="3"/>
      <c r="H576" s="10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176"/>
    </row>
    <row r="577" spans="1:21">
      <c r="A577" s="3"/>
      <c r="B577" s="3"/>
      <c r="C577" s="3"/>
      <c r="D577" s="3"/>
      <c r="E577" s="4"/>
      <c r="F577" s="3"/>
      <c r="G577" s="3"/>
      <c r="H577" s="10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176"/>
    </row>
    <row r="578" spans="1:21">
      <c r="A578" s="3"/>
      <c r="B578" s="3"/>
      <c r="C578" s="3"/>
      <c r="D578" s="3"/>
      <c r="E578" s="4"/>
      <c r="F578" s="3"/>
      <c r="G578" s="3"/>
      <c r="H578" s="10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176"/>
    </row>
    <row r="579" spans="1:21">
      <c r="A579" s="3"/>
      <c r="B579" s="3"/>
      <c r="C579" s="3"/>
      <c r="D579" s="3"/>
      <c r="E579" s="4"/>
      <c r="F579" s="3"/>
      <c r="G579" s="3"/>
      <c r="H579" s="10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176"/>
    </row>
    <row r="580" spans="1:21">
      <c r="A580" s="3"/>
      <c r="B580" s="3"/>
      <c r="C580" s="3"/>
      <c r="D580" s="3"/>
      <c r="E580" s="4"/>
      <c r="F580" s="3"/>
      <c r="G580" s="3"/>
      <c r="H580" s="10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176"/>
    </row>
    <row r="581" spans="1:21">
      <c r="A581" s="3"/>
      <c r="B581" s="3"/>
      <c r="C581" s="3"/>
      <c r="D581" s="3"/>
      <c r="E581" s="4"/>
      <c r="F581" s="3"/>
      <c r="G581" s="3"/>
      <c r="H581" s="10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176"/>
    </row>
    <row r="582" spans="1:21">
      <c r="A582" s="3"/>
      <c r="B582" s="3"/>
      <c r="C582" s="3"/>
      <c r="D582" s="3"/>
      <c r="E582" s="4"/>
      <c r="F582" s="3"/>
      <c r="G582" s="3"/>
      <c r="H582" s="10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176"/>
    </row>
    <row r="583" spans="1:21">
      <c r="A583" s="3"/>
      <c r="B583" s="3"/>
      <c r="C583" s="3"/>
      <c r="D583" s="3"/>
      <c r="E583" s="4"/>
      <c r="F583" s="3"/>
      <c r="G583" s="3"/>
      <c r="H583" s="10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176"/>
    </row>
    <row r="584" spans="1:21">
      <c r="A584" s="3"/>
      <c r="B584" s="3"/>
      <c r="C584" s="3"/>
      <c r="D584" s="3"/>
      <c r="E584" s="4"/>
      <c r="F584" s="3"/>
      <c r="G584" s="3"/>
      <c r="H584" s="10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176"/>
    </row>
    <row r="585" spans="1:21">
      <c r="A585" s="3"/>
      <c r="B585" s="3"/>
      <c r="C585" s="3"/>
      <c r="D585" s="3"/>
      <c r="E585" s="4"/>
      <c r="F585" s="3"/>
      <c r="G585" s="3"/>
      <c r="H585" s="10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176"/>
    </row>
    <row r="586" spans="1:21">
      <c r="A586" s="3"/>
      <c r="B586" s="3"/>
      <c r="C586" s="3"/>
      <c r="D586" s="3"/>
      <c r="E586" s="4"/>
      <c r="F586" s="3"/>
      <c r="G586" s="3"/>
      <c r="H586" s="10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176"/>
    </row>
    <row r="587" spans="1:21">
      <c r="A587" s="3"/>
      <c r="B587" s="3"/>
      <c r="C587" s="3"/>
      <c r="D587" s="3"/>
      <c r="E587" s="4"/>
      <c r="F587" s="3"/>
      <c r="G587" s="3"/>
      <c r="H587" s="10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176"/>
    </row>
    <row r="588" spans="1:21">
      <c r="A588" s="3"/>
      <c r="B588" s="3"/>
      <c r="C588" s="3"/>
      <c r="D588" s="3"/>
      <c r="E588" s="4"/>
      <c r="F588" s="3"/>
      <c r="G588" s="3"/>
      <c r="H588" s="10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176"/>
    </row>
    <row r="589" spans="1:21">
      <c r="A589" s="3"/>
      <c r="B589" s="3"/>
      <c r="C589" s="3"/>
      <c r="D589" s="3"/>
      <c r="E589" s="4"/>
      <c r="F589" s="3"/>
      <c r="G589" s="3"/>
      <c r="H589" s="10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176"/>
    </row>
    <row r="590" spans="1:21">
      <c r="A590" s="3"/>
      <c r="B590" s="3"/>
      <c r="C590" s="3"/>
      <c r="D590" s="3"/>
      <c r="E590" s="4"/>
      <c r="F590" s="3"/>
      <c r="G590" s="3"/>
      <c r="H590" s="10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176"/>
    </row>
    <row r="591" spans="1:21">
      <c r="A591" s="3"/>
      <c r="B591" s="3"/>
      <c r="C591" s="3"/>
      <c r="D591" s="3"/>
      <c r="E591" s="4"/>
      <c r="F591" s="3"/>
      <c r="G591" s="3"/>
      <c r="H591" s="10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176"/>
    </row>
    <row r="592" spans="1:21">
      <c r="A592" s="3"/>
      <c r="B592" s="3"/>
      <c r="C592" s="3"/>
      <c r="D592" s="3"/>
      <c r="E592" s="4"/>
      <c r="F592" s="3"/>
      <c r="G592" s="3"/>
      <c r="H592" s="10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176"/>
    </row>
    <row r="593" spans="1:21">
      <c r="A593" s="3"/>
      <c r="B593" s="3"/>
      <c r="C593" s="3"/>
      <c r="D593" s="3"/>
      <c r="E593" s="4"/>
      <c r="F593" s="3"/>
      <c r="G593" s="3"/>
      <c r="H593" s="10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176"/>
    </row>
    <row r="594" spans="1:21">
      <c r="A594" s="3"/>
      <c r="B594" s="3"/>
      <c r="C594" s="3"/>
      <c r="D594" s="3"/>
      <c r="E594" s="4"/>
      <c r="F594" s="3"/>
      <c r="G594" s="3"/>
      <c r="H594" s="10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176"/>
    </row>
    <row r="595" spans="1:21">
      <c r="A595" s="3"/>
      <c r="B595" s="3"/>
      <c r="C595" s="3"/>
      <c r="D595" s="3"/>
      <c r="E595" s="4"/>
      <c r="F595" s="3"/>
      <c r="G595" s="3"/>
      <c r="H595" s="10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176"/>
    </row>
    <row r="596" spans="1:21">
      <c r="A596" s="3"/>
      <c r="B596" s="3"/>
      <c r="C596" s="3"/>
      <c r="D596" s="3"/>
      <c r="E596" s="4"/>
      <c r="F596" s="3"/>
      <c r="G596" s="3"/>
      <c r="H596" s="10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176"/>
    </row>
    <row r="597" spans="1:21">
      <c r="A597" s="3"/>
      <c r="B597" s="3"/>
      <c r="C597" s="3"/>
      <c r="D597" s="3"/>
      <c r="E597" s="4"/>
      <c r="F597" s="3"/>
      <c r="G597" s="3"/>
      <c r="H597" s="10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176"/>
    </row>
    <row r="598" spans="1:21">
      <c r="A598" s="3"/>
      <c r="B598" s="3"/>
      <c r="C598" s="3"/>
      <c r="D598" s="3"/>
      <c r="E598" s="4"/>
      <c r="F598" s="3"/>
      <c r="G598" s="3"/>
      <c r="H598" s="10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176"/>
    </row>
    <row r="599" spans="1:21">
      <c r="A599" s="3"/>
      <c r="B599" s="3"/>
      <c r="C599" s="3"/>
      <c r="D599" s="3"/>
      <c r="E599" s="4"/>
      <c r="F599" s="3"/>
      <c r="G599" s="3"/>
      <c r="H599" s="10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176"/>
    </row>
    <row r="600" spans="1:21">
      <c r="A600" s="3"/>
      <c r="B600" s="3"/>
      <c r="C600" s="3"/>
      <c r="D600" s="3"/>
      <c r="E600" s="4"/>
      <c r="F600" s="3"/>
      <c r="G600" s="3"/>
      <c r="H600" s="10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176"/>
    </row>
    <row r="601" spans="1:21">
      <c r="A601" s="3"/>
      <c r="B601" s="3"/>
      <c r="C601" s="3"/>
      <c r="D601" s="3"/>
      <c r="E601" s="4"/>
      <c r="F601" s="3"/>
      <c r="G601" s="3"/>
      <c r="H601" s="10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176"/>
    </row>
    <row r="602" spans="1:21">
      <c r="A602" s="3"/>
      <c r="B602" s="3"/>
      <c r="C602" s="3"/>
      <c r="D602" s="3"/>
      <c r="E602" s="4"/>
      <c r="F602" s="3"/>
      <c r="G602" s="3"/>
      <c r="H602" s="10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176"/>
    </row>
    <row r="603" spans="1:21">
      <c r="A603" s="3"/>
      <c r="B603" s="3"/>
      <c r="C603" s="3"/>
      <c r="D603" s="3"/>
      <c r="E603" s="4"/>
      <c r="F603" s="3"/>
      <c r="G603" s="3"/>
      <c r="H603" s="10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176"/>
    </row>
    <row r="604" spans="1:21">
      <c r="A604" s="3"/>
      <c r="B604" s="3"/>
      <c r="C604" s="3"/>
      <c r="D604" s="3"/>
      <c r="E604" s="4"/>
      <c r="F604" s="3"/>
      <c r="G604" s="3"/>
      <c r="H604" s="10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176"/>
    </row>
    <row r="605" spans="1:21">
      <c r="A605" s="3"/>
      <c r="B605" s="3"/>
      <c r="C605" s="3"/>
      <c r="D605" s="3"/>
      <c r="E605" s="4"/>
      <c r="F605" s="3"/>
      <c r="G605" s="3"/>
      <c r="H605" s="10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176"/>
    </row>
    <row r="606" spans="1:21">
      <c r="A606" s="3"/>
      <c r="B606" s="3"/>
      <c r="C606" s="3"/>
      <c r="D606" s="3"/>
      <c r="E606" s="4"/>
      <c r="F606" s="3"/>
      <c r="G606" s="3"/>
      <c r="H606" s="10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176"/>
    </row>
    <row r="607" spans="1:21">
      <c r="A607" s="3"/>
      <c r="B607" s="3"/>
      <c r="C607" s="3"/>
      <c r="D607" s="3"/>
      <c r="E607" s="4"/>
      <c r="F607" s="3"/>
      <c r="G607" s="3"/>
      <c r="H607" s="10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176"/>
    </row>
    <row r="608" spans="1:21">
      <c r="A608" s="3"/>
      <c r="B608" s="3"/>
      <c r="C608" s="3"/>
      <c r="D608" s="3"/>
      <c r="E608" s="4"/>
      <c r="F608" s="3"/>
      <c r="G608" s="3"/>
      <c r="H608" s="10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176"/>
    </row>
    <row r="609" spans="1:21">
      <c r="A609" s="3"/>
      <c r="B609" s="3"/>
      <c r="C609" s="3"/>
      <c r="D609" s="3"/>
      <c r="E609" s="4"/>
      <c r="F609" s="3"/>
      <c r="G609" s="3"/>
      <c r="H609" s="10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176"/>
    </row>
    <row r="610" spans="1:21">
      <c r="A610" s="3"/>
      <c r="B610" s="3"/>
      <c r="C610" s="3"/>
      <c r="D610" s="3"/>
      <c r="E610" s="4"/>
      <c r="F610" s="3"/>
      <c r="G610" s="3"/>
      <c r="H610" s="10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176"/>
    </row>
    <row r="611" spans="1:21">
      <c r="A611" s="3"/>
      <c r="B611" s="3"/>
      <c r="C611" s="3"/>
      <c r="D611" s="3"/>
      <c r="E611" s="4"/>
      <c r="F611" s="3"/>
      <c r="G611" s="3"/>
      <c r="H611" s="10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176"/>
    </row>
    <row r="612" spans="1:21">
      <c r="A612" s="3"/>
      <c r="B612" s="3"/>
      <c r="C612" s="3"/>
      <c r="D612" s="3"/>
      <c r="E612" s="4"/>
      <c r="F612" s="3"/>
      <c r="G612" s="3"/>
      <c r="H612" s="10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176"/>
    </row>
    <row r="613" spans="1:21">
      <c r="A613" s="3"/>
      <c r="B613" s="3"/>
      <c r="C613" s="3"/>
      <c r="D613" s="3"/>
      <c r="E613" s="4"/>
      <c r="F613" s="3"/>
      <c r="G613" s="3"/>
      <c r="H613" s="10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176"/>
    </row>
    <row r="614" spans="1:21">
      <c r="A614" s="3"/>
      <c r="B614" s="3"/>
      <c r="C614" s="3"/>
      <c r="D614" s="3"/>
      <c r="E614" s="4"/>
      <c r="F614" s="3"/>
      <c r="G614" s="3"/>
      <c r="H614" s="10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176"/>
    </row>
    <row r="615" spans="1:21">
      <c r="A615" s="3"/>
      <c r="B615" s="3"/>
      <c r="C615" s="3"/>
      <c r="D615" s="3"/>
      <c r="E615" s="4"/>
      <c r="F615" s="3"/>
      <c r="G615" s="3"/>
      <c r="H615" s="10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176"/>
    </row>
    <row r="616" spans="1:21">
      <c r="A616" s="3"/>
      <c r="B616" s="3"/>
      <c r="C616" s="3"/>
      <c r="D616" s="3"/>
      <c r="E616" s="4"/>
      <c r="F616" s="3"/>
      <c r="G616" s="3"/>
      <c r="H616" s="10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176"/>
    </row>
    <row r="617" spans="1:21">
      <c r="A617" s="3"/>
      <c r="B617" s="3"/>
      <c r="C617" s="3"/>
      <c r="D617" s="3"/>
      <c r="E617" s="4"/>
      <c r="F617" s="3"/>
      <c r="G617" s="3"/>
      <c r="H617" s="10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176"/>
    </row>
    <row r="618" spans="1:21">
      <c r="A618" s="3"/>
      <c r="B618" s="3"/>
      <c r="C618" s="3"/>
      <c r="D618" s="3"/>
      <c r="E618" s="4"/>
      <c r="F618" s="3"/>
      <c r="G618" s="3"/>
      <c r="H618" s="10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176"/>
    </row>
    <row r="619" spans="1:21">
      <c r="A619" s="3"/>
      <c r="B619" s="3"/>
      <c r="C619" s="3"/>
      <c r="D619" s="3"/>
      <c r="E619" s="4"/>
      <c r="F619" s="3"/>
      <c r="G619" s="3"/>
      <c r="H619" s="10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176"/>
    </row>
    <row r="620" spans="1:21">
      <c r="A620" s="3"/>
      <c r="B620" s="3"/>
      <c r="C620" s="3"/>
      <c r="D620" s="3"/>
      <c r="E620" s="4"/>
      <c r="F620" s="3"/>
      <c r="G620" s="3"/>
      <c r="H620" s="10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176"/>
    </row>
    <row r="621" spans="1:21">
      <c r="A621" s="3"/>
      <c r="B621" s="3"/>
      <c r="C621" s="3"/>
      <c r="D621" s="3"/>
      <c r="E621" s="4"/>
      <c r="F621" s="3"/>
      <c r="G621" s="3"/>
      <c r="H621" s="10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176"/>
    </row>
    <row r="622" spans="1:21">
      <c r="A622" s="3"/>
      <c r="B622" s="3"/>
      <c r="C622" s="3"/>
      <c r="D622" s="3"/>
      <c r="E622" s="4"/>
      <c r="F622" s="3"/>
      <c r="G622" s="3"/>
      <c r="H622" s="10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176"/>
    </row>
    <row r="623" spans="1:21">
      <c r="A623" s="3"/>
      <c r="B623" s="3"/>
      <c r="C623" s="3"/>
      <c r="D623" s="3"/>
      <c r="E623" s="4"/>
      <c r="F623" s="3"/>
      <c r="G623" s="3"/>
      <c r="H623" s="10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176"/>
    </row>
    <row r="624" spans="1:21">
      <c r="A624" s="3"/>
      <c r="B624" s="3"/>
      <c r="C624" s="3"/>
      <c r="D624" s="3"/>
      <c r="E624" s="4"/>
      <c r="F624" s="3"/>
      <c r="G624" s="3"/>
      <c r="H624" s="10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176"/>
    </row>
    <row r="625" spans="1:21">
      <c r="A625" s="3"/>
      <c r="B625" s="3"/>
      <c r="C625" s="3"/>
      <c r="D625" s="3"/>
      <c r="E625" s="4"/>
      <c r="F625" s="3"/>
      <c r="G625" s="3"/>
      <c r="H625" s="10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176"/>
    </row>
    <row r="626" spans="1:21">
      <c r="A626" s="3"/>
      <c r="B626" s="3"/>
      <c r="C626" s="3"/>
      <c r="D626" s="3"/>
      <c r="E626" s="4"/>
      <c r="F626" s="3"/>
      <c r="G626" s="3"/>
      <c r="H626" s="10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176"/>
    </row>
    <row r="627" spans="1:21">
      <c r="A627" s="3"/>
      <c r="B627" s="3"/>
      <c r="C627" s="3"/>
      <c r="D627" s="3"/>
      <c r="E627" s="4"/>
      <c r="F627" s="3"/>
      <c r="G627" s="3"/>
      <c r="H627" s="10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176"/>
    </row>
    <row r="628" spans="1:21">
      <c r="A628" s="3"/>
      <c r="B628" s="3"/>
      <c r="C628" s="3"/>
      <c r="D628" s="3"/>
      <c r="E628" s="4"/>
      <c r="F628" s="3"/>
      <c r="G628" s="3"/>
      <c r="H628" s="10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176"/>
    </row>
    <row r="629" spans="1:21">
      <c r="A629" s="3"/>
      <c r="B629" s="3"/>
      <c r="C629" s="3"/>
      <c r="D629" s="3"/>
      <c r="E629" s="4"/>
      <c r="F629" s="3"/>
      <c r="G629" s="3"/>
      <c r="H629" s="10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176"/>
    </row>
    <row r="630" spans="1:21">
      <c r="A630" s="3"/>
      <c r="B630" s="3"/>
      <c r="C630" s="3"/>
      <c r="D630" s="3"/>
      <c r="E630" s="4"/>
      <c r="F630" s="3"/>
      <c r="G630" s="3"/>
      <c r="H630" s="10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176"/>
    </row>
    <row r="631" spans="1:21">
      <c r="A631" s="3"/>
      <c r="B631" s="3"/>
      <c r="C631" s="3"/>
      <c r="D631" s="3"/>
      <c r="E631" s="4"/>
      <c r="F631" s="3"/>
      <c r="G631" s="3"/>
      <c r="H631" s="10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176"/>
    </row>
    <row r="632" spans="1:21">
      <c r="A632" s="3"/>
      <c r="B632" s="3"/>
      <c r="C632" s="3"/>
      <c r="D632" s="3"/>
      <c r="E632" s="4"/>
      <c r="F632" s="3"/>
      <c r="G632" s="3"/>
      <c r="H632" s="10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176"/>
    </row>
    <row r="633" spans="1:21">
      <c r="A633" s="3"/>
      <c r="B633" s="3"/>
      <c r="C633" s="3"/>
      <c r="D633" s="3"/>
      <c r="E633" s="4"/>
      <c r="F633" s="3"/>
      <c r="G633" s="3"/>
      <c r="H633" s="10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176"/>
    </row>
    <row r="634" spans="1:21">
      <c r="A634" s="3"/>
      <c r="B634" s="3"/>
      <c r="C634" s="3"/>
      <c r="D634" s="3"/>
      <c r="E634" s="4"/>
      <c r="F634" s="3"/>
      <c r="G634" s="3"/>
      <c r="H634" s="10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176"/>
    </row>
    <row r="635" spans="1:21">
      <c r="A635" s="3"/>
      <c r="B635" s="3"/>
      <c r="C635" s="3"/>
      <c r="D635" s="3"/>
      <c r="E635" s="4"/>
      <c r="F635" s="3"/>
      <c r="G635" s="3"/>
      <c r="H635" s="10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176"/>
    </row>
    <row r="636" spans="1:21">
      <c r="A636" s="3"/>
      <c r="B636" s="3"/>
      <c r="C636" s="3"/>
      <c r="D636" s="3"/>
      <c r="E636" s="4"/>
      <c r="F636" s="3"/>
      <c r="G636" s="3"/>
      <c r="H636" s="10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176"/>
    </row>
    <row r="637" spans="1:21">
      <c r="A637" s="3"/>
      <c r="B637" s="3"/>
      <c r="C637" s="3"/>
      <c r="D637" s="3"/>
      <c r="E637" s="4"/>
      <c r="F637" s="3"/>
      <c r="G637" s="3"/>
      <c r="H637" s="10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176"/>
    </row>
    <row r="638" spans="1:21">
      <c r="A638" s="3"/>
      <c r="B638" s="3"/>
      <c r="C638" s="3"/>
      <c r="D638" s="3"/>
      <c r="E638" s="4"/>
      <c r="F638" s="3"/>
      <c r="G638" s="3"/>
      <c r="H638" s="10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176"/>
    </row>
    <row r="639" spans="1:21">
      <c r="A639" s="3"/>
      <c r="B639" s="3"/>
      <c r="C639" s="3"/>
      <c r="D639" s="3"/>
      <c r="E639" s="4"/>
      <c r="F639" s="3"/>
      <c r="G639" s="3"/>
      <c r="H639" s="10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176"/>
    </row>
    <row r="640" spans="1:21">
      <c r="A640" s="3"/>
      <c r="B640" s="3"/>
      <c r="C640" s="3"/>
      <c r="D640" s="3"/>
      <c r="E640" s="4"/>
      <c r="F640" s="3"/>
      <c r="G640" s="3"/>
      <c r="H640" s="1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176"/>
    </row>
    <row r="641" spans="1:21">
      <c r="A641" s="3"/>
      <c r="B641" s="3"/>
      <c r="C641" s="3"/>
      <c r="D641" s="3"/>
      <c r="E641" s="4"/>
      <c r="F641" s="3"/>
      <c r="G641" s="3"/>
      <c r="H641" s="1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176"/>
    </row>
    <row r="642" spans="1:21">
      <c r="A642" s="3"/>
      <c r="B642" s="3"/>
      <c r="C642" s="3"/>
      <c r="D642" s="3"/>
      <c r="E642" s="4"/>
      <c r="F642" s="3"/>
      <c r="G642" s="3"/>
      <c r="H642" s="1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176"/>
    </row>
    <row r="643" spans="1:21">
      <c r="A643" s="3"/>
      <c r="B643" s="3"/>
      <c r="C643" s="3"/>
      <c r="D643" s="3"/>
      <c r="E643" s="4"/>
      <c r="F643" s="3"/>
      <c r="G643" s="3"/>
      <c r="H643" s="1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176"/>
    </row>
    <row r="644" spans="1:21">
      <c r="A644" s="3"/>
      <c r="B644" s="3"/>
      <c r="C644" s="3"/>
      <c r="D644" s="3"/>
      <c r="E644" s="4"/>
      <c r="F644" s="3"/>
      <c r="G644" s="3"/>
      <c r="H644" s="1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176"/>
    </row>
    <row r="645" spans="1:21">
      <c r="A645" s="3"/>
      <c r="B645" s="3"/>
      <c r="C645" s="3"/>
      <c r="D645" s="3"/>
      <c r="E645" s="4"/>
      <c r="F645" s="3"/>
      <c r="G645" s="3"/>
      <c r="H645" s="1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176"/>
    </row>
    <row r="646" spans="1:21">
      <c r="A646" s="3"/>
      <c r="B646" s="3"/>
      <c r="C646" s="3"/>
      <c r="D646" s="3"/>
      <c r="E646" s="4"/>
      <c r="F646" s="3"/>
      <c r="G646" s="3"/>
      <c r="H646" s="1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176"/>
    </row>
    <row r="647" spans="1:21">
      <c r="A647" s="3"/>
      <c r="B647" s="3"/>
      <c r="C647" s="3"/>
      <c r="D647" s="3"/>
      <c r="E647" s="4"/>
      <c r="F647" s="3"/>
      <c r="G647" s="3"/>
      <c r="H647" s="1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176"/>
    </row>
    <row r="648" spans="1:21">
      <c r="A648" s="3"/>
      <c r="B648" s="3"/>
      <c r="C648" s="3"/>
      <c r="D648" s="3"/>
      <c r="E648" s="4"/>
      <c r="F648" s="3"/>
      <c r="G648" s="3"/>
      <c r="H648" s="1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176"/>
    </row>
    <row r="649" spans="1:21">
      <c r="A649" s="3"/>
      <c r="B649" s="3"/>
      <c r="C649" s="3"/>
      <c r="D649" s="3"/>
      <c r="E649" s="4"/>
      <c r="F649" s="3"/>
      <c r="G649" s="3"/>
      <c r="H649" s="1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176"/>
    </row>
    <row r="650" spans="1:21">
      <c r="A650" s="3"/>
      <c r="B650" s="3"/>
      <c r="C650" s="3"/>
      <c r="D650" s="3"/>
      <c r="E650" s="4"/>
      <c r="F650" s="3"/>
      <c r="G650" s="3"/>
      <c r="H650" s="1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176"/>
    </row>
    <row r="651" spans="1:21">
      <c r="A651" s="3"/>
      <c r="B651" s="3"/>
      <c r="C651" s="3"/>
      <c r="D651" s="3"/>
      <c r="E651" s="4"/>
      <c r="F651" s="3"/>
      <c r="G651" s="3"/>
      <c r="H651" s="1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176"/>
    </row>
    <row r="652" spans="1:21">
      <c r="A652" s="3"/>
      <c r="B652" s="3"/>
      <c r="C652" s="3"/>
      <c r="D652" s="3"/>
      <c r="E652" s="4"/>
      <c r="F652" s="3"/>
      <c r="G652" s="3"/>
      <c r="H652" s="1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176"/>
    </row>
    <row r="653" spans="1:21">
      <c r="A653" s="3"/>
      <c r="B653" s="3"/>
      <c r="C653" s="3"/>
      <c r="D653" s="3"/>
      <c r="E653" s="4"/>
      <c r="F653" s="3"/>
      <c r="G653" s="3"/>
      <c r="H653" s="1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176"/>
    </row>
    <row r="654" spans="1:21">
      <c r="A654" s="3"/>
      <c r="B654" s="3"/>
      <c r="C654" s="3"/>
      <c r="D654" s="3"/>
      <c r="E654" s="4"/>
      <c r="F654" s="3"/>
      <c r="G654" s="3"/>
      <c r="H654" s="1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176"/>
    </row>
    <row r="655" spans="1:21">
      <c r="A655" s="3"/>
      <c r="B655" s="3"/>
      <c r="C655" s="3"/>
      <c r="D655" s="3"/>
      <c r="E655" s="4"/>
      <c r="F655" s="3"/>
      <c r="G655" s="3"/>
      <c r="H655" s="1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176"/>
    </row>
    <row r="656" spans="1:21">
      <c r="A656" s="3"/>
      <c r="B656" s="3"/>
      <c r="C656" s="3"/>
      <c r="D656" s="3"/>
      <c r="E656" s="4"/>
      <c r="F656" s="3"/>
      <c r="G656" s="3"/>
      <c r="H656" s="1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176"/>
    </row>
    <row r="657" spans="1:21">
      <c r="A657" s="3"/>
      <c r="B657" s="3"/>
      <c r="C657" s="3"/>
      <c r="D657" s="3"/>
      <c r="E657" s="4"/>
      <c r="F657" s="3"/>
      <c r="G657" s="3"/>
      <c r="H657" s="10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176"/>
    </row>
    <row r="658" spans="1:21">
      <c r="A658" s="3"/>
      <c r="B658" s="3"/>
      <c r="C658" s="3"/>
      <c r="D658" s="3"/>
      <c r="E658" s="4"/>
      <c r="F658" s="3"/>
      <c r="G658" s="3"/>
      <c r="H658" s="10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176"/>
    </row>
    <row r="659" spans="1:21">
      <c r="A659" s="3"/>
      <c r="B659" s="3"/>
      <c r="C659" s="3"/>
      <c r="D659" s="3"/>
      <c r="E659" s="4"/>
      <c r="F659" s="3"/>
      <c r="G659" s="3"/>
      <c r="H659" s="10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176"/>
    </row>
    <row r="660" spans="1:21">
      <c r="A660" s="3"/>
      <c r="B660" s="3"/>
      <c r="C660" s="3"/>
      <c r="D660" s="3"/>
      <c r="E660" s="4"/>
      <c r="F660" s="3"/>
      <c r="G660" s="3"/>
      <c r="H660" s="10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176"/>
    </row>
    <row r="661" spans="1:21">
      <c r="A661" s="3"/>
      <c r="B661" s="3"/>
      <c r="C661" s="3"/>
      <c r="D661" s="3"/>
      <c r="E661" s="4"/>
      <c r="F661" s="3"/>
      <c r="G661" s="3"/>
      <c r="H661" s="10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176"/>
    </row>
    <row r="662" spans="1:21">
      <c r="A662" s="3"/>
      <c r="B662" s="3"/>
      <c r="C662" s="3"/>
      <c r="D662" s="3"/>
      <c r="E662" s="4"/>
      <c r="F662" s="3"/>
      <c r="G662" s="3"/>
      <c r="H662" s="10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176"/>
    </row>
    <row r="663" spans="1:21">
      <c r="A663" s="3"/>
      <c r="B663" s="3"/>
      <c r="C663" s="3"/>
      <c r="D663" s="3"/>
      <c r="E663" s="4"/>
      <c r="F663" s="3"/>
      <c r="G663" s="3"/>
      <c r="H663" s="10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176"/>
    </row>
    <row r="664" spans="1:21">
      <c r="A664" s="3"/>
      <c r="B664" s="3"/>
      <c r="C664" s="3"/>
      <c r="D664" s="3"/>
      <c r="E664" s="4"/>
      <c r="F664" s="3"/>
      <c r="G664" s="3"/>
      <c r="H664" s="10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176"/>
    </row>
    <row r="665" spans="1:21">
      <c r="A665" s="3"/>
      <c r="B665" s="3"/>
      <c r="C665" s="3"/>
      <c r="D665" s="3"/>
      <c r="E665" s="4"/>
      <c r="F665" s="3"/>
      <c r="G665" s="3"/>
      <c r="H665" s="10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176"/>
    </row>
    <row r="666" spans="1:21">
      <c r="A666" s="3"/>
      <c r="B666" s="3"/>
      <c r="C666" s="3"/>
      <c r="D666" s="3"/>
      <c r="E666" s="4"/>
      <c r="F666" s="3"/>
      <c r="G666" s="3"/>
      <c r="H666" s="10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176"/>
    </row>
    <row r="667" spans="1:21">
      <c r="A667" s="3"/>
      <c r="B667" s="3"/>
      <c r="C667" s="3"/>
      <c r="D667" s="3"/>
      <c r="E667" s="4"/>
      <c r="F667" s="3"/>
      <c r="G667" s="3"/>
      <c r="H667" s="10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176"/>
    </row>
    <row r="668" spans="1:21">
      <c r="A668" s="3"/>
      <c r="B668" s="3"/>
      <c r="C668" s="3"/>
      <c r="D668" s="3"/>
      <c r="E668" s="4"/>
      <c r="F668" s="3"/>
      <c r="G668" s="3"/>
      <c r="H668" s="10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176"/>
    </row>
    <row r="669" spans="1:21">
      <c r="A669" s="3"/>
      <c r="B669" s="3"/>
      <c r="C669" s="3"/>
      <c r="D669" s="3"/>
      <c r="E669" s="4"/>
      <c r="F669" s="3"/>
      <c r="G669" s="3"/>
      <c r="H669" s="10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176"/>
    </row>
    <row r="670" spans="1:21">
      <c r="A670" s="3"/>
      <c r="B670" s="3"/>
      <c r="C670" s="3"/>
      <c r="D670" s="3"/>
      <c r="E670" s="4"/>
      <c r="F670" s="3"/>
      <c r="G670" s="3"/>
      <c r="H670" s="10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176"/>
    </row>
    <row r="671" spans="1:21">
      <c r="A671" s="3"/>
      <c r="B671" s="3"/>
      <c r="C671" s="3"/>
      <c r="D671" s="3"/>
      <c r="E671" s="4"/>
      <c r="F671" s="3"/>
      <c r="G671" s="3"/>
      <c r="H671" s="10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176"/>
    </row>
    <row r="672" spans="1:21">
      <c r="A672" s="3"/>
      <c r="B672" s="3"/>
      <c r="C672" s="3"/>
      <c r="D672" s="3"/>
      <c r="E672" s="4"/>
      <c r="F672" s="3"/>
      <c r="G672" s="3"/>
      <c r="H672" s="10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176"/>
    </row>
    <row r="673" spans="1:21">
      <c r="A673" s="3"/>
      <c r="B673" s="3"/>
      <c r="C673" s="3"/>
      <c r="D673" s="3"/>
      <c r="E673" s="4"/>
      <c r="F673" s="3"/>
      <c r="G673" s="3"/>
      <c r="H673" s="10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176"/>
    </row>
    <row r="674" spans="1:21">
      <c r="A674" s="3"/>
      <c r="B674" s="3"/>
      <c r="C674" s="3"/>
      <c r="D674" s="3"/>
      <c r="E674" s="4"/>
      <c r="F674" s="3"/>
      <c r="G674" s="3"/>
      <c r="H674" s="10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176"/>
    </row>
    <row r="675" spans="1:21">
      <c r="A675" s="3"/>
      <c r="B675" s="3"/>
      <c r="C675" s="3"/>
      <c r="D675" s="3"/>
      <c r="E675" s="4"/>
      <c r="F675" s="3"/>
      <c r="G675" s="3"/>
      <c r="H675" s="10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176"/>
    </row>
    <row r="676" spans="1:21">
      <c r="A676" s="3"/>
      <c r="B676" s="3"/>
      <c r="C676" s="3"/>
      <c r="D676" s="3"/>
      <c r="E676" s="4"/>
      <c r="F676" s="3"/>
      <c r="G676" s="3"/>
      <c r="H676" s="10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176"/>
    </row>
    <row r="677" spans="1:21">
      <c r="A677" s="3"/>
      <c r="B677" s="3"/>
      <c r="C677" s="3"/>
      <c r="D677" s="3"/>
      <c r="E677" s="4"/>
      <c r="F677" s="3"/>
      <c r="G677" s="3"/>
      <c r="H677" s="10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176"/>
    </row>
    <row r="678" spans="1:21">
      <c r="A678" s="3"/>
      <c r="B678" s="3"/>
      <c r="C678" s="3"/>
      <c r="D678" s="3"/>
      <c r="E678" s="4"/>
      <c r="F678" s="3"/>
      <c r="G678" s="3"/>
      <c r="H678" s="10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176"/>
    </row>
    <row r="679" spans="1:21">
      <c r="A679" s="3"/>
      <c r="B679" s="3"/>
      <c r="C679" s="3"/>
      <c r="D679" s="3"/>
      <c r="E679" s="4"/>
      <c r="F679" s="3"/>
      <c r="G679" s="3"/>
      <c r="H679" s="10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176"/>
    </row>
    <row r="680" spans="1:21">
      <c r="A680" s="3"/>
      <c r="B680" s="3"/>
      <c r="C680" s="3"/>
      <c r="D680" s="3"/>
      <c r="E680" s="4"/>
      <c r="F680" s="3"/>
      <c r="G680" s="3"/>
      <c r="H680" s="10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176"/>
    </row>
    <row r="681" spans="1:21">
      <c r="A681" s="3"/>
      <c r="B681" s="3"/>
      <c r="C681" s="3"/>
      <c r="D681" s="3"/>
      <c r="E681" s="4"/>
      <c r="F681" s="3"/>
      <c r="G681" s="3"/>
      <c r="H681" s="10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176"/>
    </row>
    <row r="682" spans="1:21">
      <c r="A682" s="3"/>
      <c r="B682" s="3"/>
      <c r="C682" s="3"/>
      <c r="D682" s="3"/>
      <c r="E682" s="4"/>
      <c r="F682" s="3"/>
      <c r="G682" s="3"/>
      <c r="H682" s="10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176"/>
    </row>
    <row r="683" spans="1:21">
      <c r="A683" s="3"/>
      <c r="B683" s="3"/>
      <c r="C683" s="3"/>
      <c r="D683" s="3"/>
      <c r="E683" s="4"/>
      <c r="F683" s="3"/>
      <c r="G683" s="3"/>
      <c r="H683" s="10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176"/>
    </row>
    <row r="684" spans="1:21">
      <c r="A684" s="3"/>
      <c r="B684" s="3"/>
      <c r="C684" s="3"/>
      <c r="D684" s="3"/>
      <c r="E684" s="4"/>
      <c r="F684" s="3"/>
      <c r="G684" s="3"/>
      <c r="H684" s="10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176"/>
    </row>
    <row r="685" spans="1:21">
      <c r="A685" s="3"/>
      <c r="B685" s="3"/>
      <c r="C685" s="3"/>
      <c r="D685" s="3"/>
      <c r="E685" s="4"/>
      <c r="F685" s="3"/>
      <c r="G685" s="3"/>
      <c r="H685" s="10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176"/>
    </row>
    <row r="686" spans="1:21">
      <c r="A686" s="3"/>
      <c r="B686" s="3"/>
      <c r="C686" s="3"/>
      <c r="D686" s="3"/>
      <c r="E686" s="4"/>
      <c r="F686" s="3"/>
      <c r="G686" s="3"/>
      <c r="H686" s="10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176"/>
    </row>
    <row r="687" spans="1:21">
      <c r="A687" s="3"/>
      <c r="B687" s="3"/>
      <c r="C687" s="3"/>
      <c r="D687" s="3"/>
      <c r="E687" s="4"/>
      <c r="F687" s="3"/>
      <c r="G687" s="3"/>
      <c r="H687" s="10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176"/>
    </row>
    <row r="688" spans="1:21">
      <c r="A688" s="3"/>
      <c r="B688" s="3"/>
      <c r="C688" s="3"/>
      <c r="D688" s="3"/>
      <c r="E688" s="4"/>
      <c r="F688" s="3"/>
      <c r="G688" s="3"/>
      <c r="H688" s="10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176"/>
    </row>
    <row r="689" spans="1:21">
      <c r="A689" s="3"/>
      <c r="B689" s="3"/>
      <c r="C689" s="3"/>
      <c r="D689" s="3"/>
      <c r="E689" s="4"/>
      <c r="F689" s="3"/>
      <c r="G689" s="3"/>
      <c r="H689" s="10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176"/>
    </row>
    <row r="690" spans="1:21">
      <c r="A690" s="3"/>
      <c r="B690" s="3"/>
      <c r="C690" s="3"/>
      <c r="D690" s="3"/>
      <c r="E690" s="4"/>
      <c r="F690" s="3"/>
      <c r="G690" s="3"/>
      <c r="H690" s="10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176"/>
    </row>
    <row r="691" spans="1:21">
      <c r="A691" s="3"/>
      <c r="B691" s="3"/>
      <c r="C691" s="3"/>
      <c r="D691" s="3"/>
      <c r="E691" s="4"/>
      <c r="F691" s="3"/>
      <c r="G691" s="3"/>
      <c r="H691" s="10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176"/>
    </row>
    <row r="692" spans="1:21">
      <c r="A692" s="3"/>
      <c r="B692" s="3"/>
      <c r="C692" s="3"/>
      <c r="D692" s="3"/>
      <c r="E692" s="4"/>
      <c r="F692" s="3"/>
      <c r="G692" s="3"/>
      <c r="H692" s="10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176"/>
    </row>
    <row r="693" spans="1:21">
      <c r="A693" s="3"/>
      <c r="B693" s="3"/>
      <c r="C693" s="3"/>
      <c r="D693" s="3"/>
      <c r="E693" s="4"/>
      <c r="F693" s="3"/>
      <c r="G693" s="3"/>
      <c r="H693" s="10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176"/>
    </row>
    <row r="694" spans="1:21">
      <c r="A694" s="3"/>
      <c r="B694" s="3"/>
      <c r="C694" s="3"/>
      <c r="D694" s="3"/>
      <c r="E694" s="4"/>
      <c r="F694" s="3"/>
      <c r="G694" s="3"/>
      <c r="H694" s="10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176"/>
    </row>
    <row r="695" spans="1:21">
      <c r="A695" s="3"/>
      <c r="B695" s="3"/>
      <c r="C695" s="3"/>
      <c r="D695" s="3"/>
      <c r="E695" s="4"/>
      <c r="F695" s="3"/>
      <c r="G695" s="3"/>
      <c r="H695" s="10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176"/>
    </row>
    <row r="696" spans="1:21">
      <c r="A696" s="3"/>
      <c r="B696" s="3"/>
      <c r="C696" s="3"/>
      <c r="D696" s="3"/>
      <c r="E696" s="4"/>
      <c r="F696" s="3"/>
      <c r="G696" s="3"/>
      <c r="H696" s="10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176"/>
    </row>
    <row r="697" spans="1:21">
      <c r="A697" s="3"/>
      <c r="B697" s="3"/>
      <c r="C697" s="3"/>
      <c r="D697" s="3"/>
      <c r="E697" s="4"/>
      <c r="F697" s="3"/>
      <c r="G697" s="3"/>
      <c r="H697" s="10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176"/>
    </row>
    <row r="698" spans="1:21">
      <c r="A698" s="3"/>
      <c r="B698" s="3"/>
      <c r="C698" s="3"/>
      <c r="D698" s="3"/>
      <c r="E698" s="4"/>
      <c r="F698" s="3"/>
      <c r="G698" s="3"/>
      <c r="H698" s="10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176"/>
    </row>
    <row r="699" spans="1:21">
      <c r="A699" s="3"/>
      <c r="B699" s="3"/>
      <c r="C699" s="3"/>
      <c r="D699" s="3"/>
      <c r="E699" s="4"/>
      <c r="F699" s="3"/>
      <c r="G699" s="3"/>
      <c r="H699" s="10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176"/>
    </row>
    <row r="700" spans="1:21">
      <c r="A700" s="3"/>
      <c r="B700" s="3"/>
      <c r="C700" s="3"/>
      <c r="D700" s="3"/>
      <c r="E700" s="4"/>
      <c r="F700" s="3"/>
      <c r="G700" s="3"/>
      <c r="H700" s="10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176"/>
    </row>
    <row r="701" spans="1:21">
      <c r="A701" s="3"/>
      <c r="B701" s="3"/>
      <c r="C701" s="3"/>
      <c r="D701" s="3"/>
      <c r="E701" s="4"/>
      <c r="F701" s="3"/>
      <c r="G701" s="3"/>
      <c r="H701" s="10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176"/>
    </row>
    <row r="702" spans="1:21">
      <c r="A702" s="3"/>
      <c r="B702" s="3"/>
      <c r="C702" s="3"/>
      <c r="D702" s="3"/>
      <c r="E702" s="4"/>
      <c r="F702" s="3"/>
      <c r="G702" s="3"/>
      <c r="H702" s="10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176"/>
    </row>
    <row r="703" spans="1:21">
      <c r="A703" s="3"/>
      <c r="B703" s="3"/>
      <c r="C703" s="3"/>
      <c r="D703" s="3"/>
      <c r="E703" s="4"/>
      <c r="F703" s="3"/>
      <c r="G703" s="3"/>
      <c r="H703" s="10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176"/>
    </row>
    <row r="704" spans="1:21">
      <c r="A704" s="3"/>
      <c r="B704" s="3"/>
      <c r="C704" s="3"/>
      <c r="D704" s="3"/>
      <c r="E704" s="4"/>
      <c r="F704" s="3"/>
      <c r="G704" s="3"/>
      <c r="H704" s="10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176"/>
    </row>
    <row r="705" spans="1:21">
      <c r="A705" s="3"/>
      <c r="B705" s="3"/>
      <c r="C705" s="3"/>
      <c r="D705" s="3"/>
      <c r="E705" s="4"/>
      <c r="F705" s="3"/>
      <c r="G705" s="3"/>
      <c r="H705" s="10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176"/>
    </row>
    <row r="706" spans="1:21">
      <c r="A706" s="3"/>
      <c r="B706" s="3"/>
      <c r="C706" s="3"/>
      <c r="D706" s="3"/>
      <c r="E706" s="4"/>
      <c r="F706" s="3"/>
      <c r="G706" s="3"/>
      <c r="H706" s="10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176"/>
    </row>
    <row r="707" spans="1:21">
      <c r="A707" s="3"/>
      <c r="B707" s="3"/>
      <c r="C707" s="3"/>
      <c r="D707" s="3"/>
      <c r="E707" s="4"/>
      <c r="F707" s="3"/>
      <c r="G707" s="3"/>
      <c r="H707" s="10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176"/>
    </row>
    <row r="708" spans="1:21">
      <c r="A708" s="3"/>
      <c r="B708" s="3"/>
      <c r="C708" s="3"/>
      <c r="D708" s="3"/>
      <c r="E708" s="4"/>
      <c r="F708" s="3"/>
      <c r="G708" s="3"/>
      <c r="H708" s="10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176"/>
    </row>
    <row r="709" spans="1:21">
      <c r="A709" s="3"/>
      <c r="B709" s="3"/>
      <c r="C709" s="3"/>
      <c r="D709" s="3"/>
      <c r="E709" s="4"/>
      <c r="F709" s="3"/>
      <c r="G709" s="3"/>
      <c r="H709" s="10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176"/>
    </row>
    <row r="710" spans="1:21">
      <c r="A710" s="3"/>
      <c r="B710" s="3"/>
      <c r="C710" s="3"/>
      <c r="D710" s="3"/>
      <c r="E710" s="4"/>
      <c r="F710" s="3"/>
      <c r="G710" s="3"/>
      <c r="H710" s="10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176"/>
    </row>
    <row r="711" spans="1:21">
      <c r="A711" s="3"/>
      <c r="B711" s="3"/>
      <c r="C711" s="3"/>
      <c r="D711" s="3"/>
      <c r="E711" s="4"/>
      <c r="F711" s="3"/>
      <c r="G711" s="3"/>
      <c r="H711" s="10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176"/>
    </row>
    <row r="712" spans="1:21">
      <c r="A712" s="3"/>
      <c r="B712" s="3"/>
      <c r="C712" s="3"/>
      <c r="D712" s="3"/>
      <c r="E712" s="4"/>
      <c r="F712" s="3"/>
      <c r="G712" s="3"/>
      <c r="H712" s="10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176"/>
    </row>
    <row r="713" spans="1:21">
      <c r="A713" s="3"/>
      <c r="B713" s="3"/>
      <c r="C713" s="3"/>
      <c r="D713" s="3"/>
      <c r="E713" s="4"/>
      <c r="F713" s="3"/>
      <c r="G713" s="3"/>
      <c r="H713" s="10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176"/>
    </row>
    <row r="714" spans="1:21">
      <c r="A714" s="3"/>
      <c r="B714" s="3"/>
      <c r="C714" s="3"/>
      <c r="D714" s="3"/>
      <c r="E714" s="4"/>
      <c r="F714" s="3"/>
      <c r="G714" s="3"/>
      <c r="H714" s="10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176"/>
    </row>
    <row r="715" spans="1:21">
      <c r="A715" s="3"/>
      <c r="B715" s="3"/>
      <c r="C715" s="3"/>
      <c r="D715" s="3"/>
      <c r="E715" s="4"/>
      <c r="F715" s="3"/>
      <c r="G715" s="3"/>
      <c r="H715" s="10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176"/>
    </row>
    <row r="716" spans="1:21">
      <c r="A716" s="3"/>
      <c r="B716" s="3"/>
      <c r="C716" s="3"/>
      <c r="D716" s="3"/>
      <c r="E716" s="4"/>
      <c r="F716" s="3"/>
      <c r="G716" s="3"/>
      <c r="H716" s="10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176"/>
    </row>
    <row r="717" spans="1:21">
      <c r="A717" s="3"/>
      <c r="B717" s="3"/>
      <c r="C717" s="3"/>
      <c r="D717" s="3"/>
      <c r="E717" s="4"/>
      <c r="F717" s="3"/>
      <c r="G717" s="3"/>
      <c r="H717" s="10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176"/>
    </row>
    <row r="718" spans="1:21">
      <c r="A718" s="3"/>
      <c r="B718" s="3"/>
      <c r="C718" s="3"/>
      <c r="D718" s="3"/>
      <c r="E718" s="4"/>
      <c r="F718" s="3"/>
      <c r="G718" s="3"/>
      <c r="H718" s="10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176"/>
    </row>
    <row r="719" spans="1:21">
      <c r="A719" s="3"/>
      <c r="B719" s="3"/>
      <c r="C719" s="3"/>
      <c r="D719" s="3"/>
      <c r="E719" s="4"/>
      <c r="F719" s="3"/>
      <c r="G719" s="3"/>
      <c r="H719" s="10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176"/>
    </row>
    <row r="720" spans="1:21">
      <c r="A720" s="3"/>
      <c r="B720" s="3"/>
      <c r="C720" s="3"/>
      <c r="D720" s="3"/>
      <c r="E720" s="4"/>
      <c r="F720" s="3"/>
      <c r="G720" s="3"/>
      <c r="H720" s="10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176"/>
    </row>
    <row r="721" spans="1:21">
      <c r="A721" s="3"/>
      <c r="B721" s="3"/>
      <c r="C721" s="3"/>
      <c r="D721" s="3"/>
      <c r="E721" s="4"/>
      <c r="F721" s="3"/>
      <c r="G721" s="3"/>
      <c r="H721" s="10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176"/>
    </row>
    <row r="722" spans="1:21">
      <c r="A722" s="3"/>
      <c r="B722" s="3"/>
      <c r="C722" s="3"/>
      <c r="D722" s="3"/>
      <c r="E722" s="4"/>
      <c r="F722" s="3"/>
      <c r="G722" s="3"/>
      <c r="H722" s="10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176"/>
    </row>
    <row r="723" spans="1:21">
      <c r="A723" s="3"/>
      <c r="B723" s="3"/>
      <c r="C723" s="3"/>
      <c r="D723" s="3"/>
      <c r="E723" s="4"/>
      <c r="F723" s="3"/>
      <c r="G723" s="3"/>
      <c r="H723" s="10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176"/>
    </row>
    <row r="724" spans="1:21">
      <c r="A724" s="3"/>
      <c r="B724" s="3"/>
      <c r="C724" s="3"/>
      <c r="D724" s="3"/>
      <c r="E724" s="4"/>
      <c r="F724" s="3"/>
      <c r="G724" s="3"/>
      <c r="H724" s="10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176"/>
    </row>
    <row r="725" spans="1:21">
      <c r="A725" s="3"/>
      <c r="B725" s="3"/>
      <c r="C725" s="3"/>
      <c r="D725" s="3"/>
      <c r="E725" s="4"/>
      <c r="F725" s="3"/>
      <c r="G725" s="3"/>
      <c r="H725" s="10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176"/>
    </row>
    <row r="726" spans="1:21">
      <c r="A726" s="3"/>
      <c r="B726" s="3"/>
      <c r="C726" s="3"/>
      <c r="D726" s="3"/>
      <c r="E726" s="4"/>
      <c r="F726" s="3"/>
      <c r="G726" s="3"/>
      <c r="H726" s="10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176"/>
    </row>
    <row r="727" spans="1:21">
      <c r="A727" s="3"/>
      <c r="B727" s="3"/>
      <c r="C727" s="3"/>
      <c r="D727" s="3"/>
      <c r="E727" s="4"/>
      <c r="F727" s="3"/>
      <c r="G727" s="3"/>
      <c r="H727" s="10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176"/>
    </row>
    <row r="728" spans="1:21">
      <c r="A728" s="3"/>
      <c r="B728" s="3"/>
      <c r="C728" s="3"/>
      <c r="D728" s="3"/>
      <c r="E728" s="4"/>
      <c r="F728" s="3"/>
      <c r="G728" s="3"/>
      <c r="H728" s="10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176"/>
    </row>
    <row r="729" spans="1:21">
      <c r="A729" s="3"/>
      <c r="B729" s="3"/>
      <c r="C729" s="3"/>
      <c r="D729" s="3"/>
      <c r="E729" s="4"/>
      <c r="F729" s="3"/>
      <c r="G729" s="3"/>
      <c r="H729" s="10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176"/>
    </row>
    <row r="730" spans="1:21">
      <c r="A730" s="3"/>
      <c r="B730" s="3"/>
      <c r="C730" s="3"/>
      <c r="D730" s="3"/>
      <c r="E730" s="4"/>
      <c r="F730" s="3"/>
      <c r="G730" s="3"/>
      <c r="H730" s="1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176"/>
    </row>
    <row r="731" spans="1:21">
      <c r="A731" s="3"/>
      <c r="B731" s="3"/>
      <c r="C731" s="3"/>
      <c r="D731" s="3"/>
      <c r="E731" s="4"/>
      <c r="F731" s="3"/>
      <c r="G731" s="3"/>
      <c r="H731" s="1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176"/>
    </row>
    <row r="732" spans="1:21">
      <c r="A732" s="3"/>
      <c r="B732" s="3"/>
      <c r="C732" s="3"/>
      <c r="D732" s="3"/>
      <c r="E732" s="4"/>
      <c r="F732" s="3"/>
      <c r="G732" s="3"/>
      <c r="H732" s="1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176"/>
    </row>
    <row r="733" spans="1:21">
      <c r="A733" s="3"/>
      <c r="B733" s="3"/>
      <c r="C733" s="3"/>
      <c r="D733" s="3"/>
      <c r="E733" s="4"/>
      <c r="F733" s="3"/>
      <c r="G733" s="3"/>
      <c r="H733" s="1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176"/>
    </row>
    <row r="734" spans="1:21">
      <c r="A734" s="3"/>
      <c r="B734" s="3"/>
      <c r="C734" s="3"/>
      <c r="D734" s="3"/>
      <c r="E734" s="4"/>
      <c r="F734" s="3"/>
      <c r="G734" s="3"/>
      <c r="H734" s="1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176"/>
    </row>
    <row r="735" spans="1:21">
      <c r="A735" s="3"/>
      <c r="B735" s="3"/>
      <c r="C735" s="3"/>
      <c r="D735" s="3"/>
      <c r="E735" s="4"/>
      <c r="F735" s="3"/>
      <c r="G735" s="3"/>
      <c r="H735" s="1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176"/>
    </row>
    <row r="736" spans="1:21">
      <c r="A736" s="3"/>
      <c r="B736" s="3"/>
      <c r="C736" s="3"/>
      <c r="D736" s="3"/>
      <c r="E736" s="4"/>
      <c r="F736" s="3"/>
      <c r="G736" s="3"/>
      <c r="H736" s="1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176"/>
    </row>
    <row r="737" spans="1:21">
      <c r="A737" s="3"/>
      <c r="B737" s="3"/>
      <c r="C737" s="3"/>
      <c r="D737" s="3"/>
      <c r="E737" s="4"/>
      <c r="F737" s="3"/>
      <c r="G737" s="3"/>
      <c r="H737" s="1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176"/>
    </row>
    <row r="738" spans="1:21">
      <c r="A738" s="3"/>
      <c r="B738" s="3"/>
      <c r="C738" s="3"/>
      <c r="D738" s="3"/>
      <c r="E738" s="4"/>
      <c r="F738" s="3"/>
      <c r="G738" s="3"/>
      <c r="H738" s="1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176"/>
    </row>
    <row r="739" spans="1:21">
      <c r="A739" s="3"/>
      <c r="B739" s="3"/>
      <c r="C739" s="3"/>
      <c r="D739" s="3"/>
      <c r="E739" s="4"/>
      <c r="F739" s="3"/>
      <c r="G739" s="3"/>
      <c r="H739" s="1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176"/>
    </row>
    <row r="740" spans="1:21">
      <c r="A740" s="3"/>
      <c r="B740" s="3"/>
      <c r="C740" s="3"/>
      <c r="D740" s="3"/>
      <c r="E740" s="4"/>
      <c r="F740" s="3"/>
      <c r="G740" s="3"/>
      <c r="H740" s="1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176"/>
    </row>
    <row r="741" spans="1:21">
      <c r="A741" s="3"/>
      <c r="B741" s="3"/>
      <c r="C741" s="3"/>
      <c r="D741" s="3"/>
      <c r="E741" s="4"/>
      <c r="F741" s="3"/>
      <c r="G741" s="3"/>
      <c r="H741" s="1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176"/>
    </row>
    <row r="742" spans="1:21">
      <c r="A742" s="3"/>
      <c r="B742" s="3"/>
      <c r="C742" s="3"/>
      <c r="D742" s="3"/>
      <c r="E742" s="4"/>
      <c r="F742" s="3"/>
      <c r="G742" s="3"/>
      <c r="H742" s="1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176"/>
    </row>
    <row r="743" spans="1:21">
      <c r="A743" s="3"/>
      <c r="B743" s="3"/>
      <c r="C743" s="3"/>
      <c r="D743" s="3"/>
      <c r="E743" s="4"/>
      <c r="F743" s="3"/>
      <c r="G743" s="3"/>
      <c r="H743" s="1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176"/>
    </row>
    <row r="744" spans="1:21">
      <c r="A744" s="3"/>
      <c r="B744" s="3"/>
      <c r="C744" s="3"/>
      <c r="D744" s="3"/>
      <c r="E744" s="4"/>
      <c r="F744" s="3"/>
      <c r="G744" s="3"/>
      <c r="H744" s="1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176"/>
    </row>
    <row r="745" spans="1:21">
      <c r="A745" s="3"/>
      <c r="B745" s="3"/>
      <c r="C745" s="3"/>
      <c r="D745" s="3"/>
      <c r="E745" s="4"/>
      <c r="F745" s="3"/>
      <c r="G745" s="3"/>
      <c r="H745" s="1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176"/>
    </row>
    <row r="746" spans="1:21">
      <c r="A746" s="3"/>
      <c r="B746" s="3"/>
      <c r="C746" s="3"/>
      <c r="D746" s="3"/>
      <c r="E746" s="4"/>
      <c r="F746" s="3"/>
      <c r="G746" s="3"/>
      <c r="H746" s="1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176"/>
    </row>
    <row r="747" spans="1:21">
      <c r="A747" s="3"/>
      <c r="B747" s="3"/>
      <c r="C747" s="3"/>
      <c r="D747" s="3"/>
      <c r="E747" s="4"/>
      <c r="F747" s="3"/>
      <c r="G747" s="3"/>
      <c r="H747" s="1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176"/>
    </row>
    <row r="748" spans="1:21">
      <c r="A748" s="3"/>
      <c r="B748" s="3"/>
      <c r="C748" s="3"/>
      <c r="D748" s="3"/>
      <c r="E748" s="4"/>
      <c r="F748" s="3"/>
      <c r="G748" s="3"/>
      <c r="H748" s="1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176"/>
    </row>
    <row r="749" spans="1:21">
      <c r="A749" s="3"/>
      <c r="B749" s="3"/>
      <c r="C749" s="3"/>
      <c r="D749" s="3"/>
      <c r="E749" s="4"/>
      <c r="F749" s="3"/>
      <c r="G749" s="3"/>
      <c r="H749" s="10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176"/>
    </row>
    <row r="750" spans="1:21">
      <c r="A750" s="3"/>
      <c r="B750" s="3"/>
      <c r="C750" s="3"/>
      <c r="D750" s="3"/>
      <c r="E750" s="4"/>
      <c r="F750" s="3"/>
      <c r="G750" s="3"/>
      <c r="H750" s="10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176"/>
    </row>
    <row r="751" spans="1:21">
      <c r="A751" s="3"/>
      <c r="B751" s="3"/>
      <c r="C751" s="3"/>
      <c r="D751" s="3"/>
      <c r="E751" s="4"/>
      <c r="F751" s="3"/>
      <c r="G751" s="3"/>
      <c r="H751" s="10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176"/>
    </row>
    <row r="752" spans="1:21">
      <c r="A752" s="3"/>
      <c r="B752" s="3"/>
      <c r="C752" s="3"/>
      <c r="D752" s="3"/>
      <c r="E752" s="4"/>
      <c r="F752" s="3"/>
      <c r="G752" s="3"/>
      <c r="H752" s="10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176"/>
    </row>
    <row r="753" spans="1:21">
      <c r="A753" s="3"/>
      <c r="B753" s="3"/>
      <c r="C753" s="3"/>
      <c r="D753" s="3"/>
      <c r="E753" s="4"/>
      <c r="F753" s="3"/>
      <c r="G753" s="3"/>
      <c r="H753" s="10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176"/>
    </row>
    <row r="754" spans="1:21">
      <c r="A754" s="3"/>
      <c r="B754" s="3"/>
      <c r="C754" s="3"/>
      <c r="D754" s="3"/>
      <c r="E754" s="4"/>
      <c r="F754" s="3"/>
      <c r="G754" s="3"/>
      <c r="H754" s="10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176"/>
    </row>
    <row r="755" spans="1:21">
      <c r="A755" s="3"/>
      <c r="B755" s="3"/>
      <c r="C755" s="3"/>
      <c r="D755" s="3"/>
      <c r="E755" s="4"/>
      <c r="F755" s="3"/>
      <c r="G755" s="3"/>
      <c r="H755" s="10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176"/>
    </row>
    <row r="756" spans="1:21">
      <c r="A756" s="3"/>
      <c r="B756" s="3"/>
      <c r="C756" s="3"/>
      <c r="D756" s="3"/>
      <c r="E756" s="4"/>
      <c r="F756" s="3"/>
      <c r="G756" s="3"/>
      <c r="H756" s="10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176"/>
    </row>
    <row r="757" spans="1:21">
      <c r="A757" s="3"/>
      <c r="B757" s="3"/>
      <c r="C757" s="3"/>
      <c r="D757" s="3"/>
      <c r="E757" s="4"/>
      <c r="F757" s="3"/>
      <c r="G757" s="3"/>
      <c r="H757" s="10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176"/>
    </row>
    <row r="758" spans="1:21">
      <c r="A758" s="3"/>
      <c r="B758" s="3"/>
      <c r="C758" s="3"/>
      <c r="D758" s="3"/>
      <c r="E758" s="4"/>
      <c r="F758" s="3"/>
      <c r="G758" s="3"/>
      <c r="H758" s="10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176"/>
    </row>
    <row r="759" spans="1:21">
      <c r="A759" s="3"/>
      <c r="B759" s="3"/>
      <c r="C759" s="3"/>
      <c r="D759" s="3"/>
      <c r="E759" s="4"/>
      <c r="F759" s="3"/>
      <c r="G759" s="3"/>
      <c r="H759" s="10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176"/>
    </row>
    <row r="760" spans="1:21">
      <c r="A760" s="3"/>
      <c r="B760" s="3"/>
      <c r="C760" s="3"/>
      <c r="D760" s="3"/>
      <c r="E760" s="4"/>
      <c r="F760" s="3"/>
      <c r="G760" s="3"/>
      <c r="H760" s="10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176"/>
    </row>
    <row r="761" spans="1:21">
      <c r="A761" s="3"/>
      <c r="B761" s="3"/>
      <c r="C761" s="3"/>
      <c r="D761" s="3"/>
      <c r="E761" s="4"/>
      <c r="F761" s="3"/>
      <c r="G761" s="3"/>
      <c r="H761" s="10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176"/>
    </row>
    <row r="762" spans="1:21">
      <c r="A762" s="3"/>
      <c r="B762" s="3"/>
      <c r="C762" s="3"/>
      <c r="D762" s="3"/>
      <c r="E762" s="4"/>
      <c r="F762" s="3"/>
      <c r="G762" s="3"/>
      <c r="H762" s="10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176"/>
    </row>
    <row r="763" spans="1:21">
      <c r="A763" s="3"/>
      <c r="B763" s="3"/>
      <c r="C763" s="3"/>
      <c r="D763" s="3"/>
      <c r="E763" s="4"/>
      <c r="F763" s="3"/>
      <c r="G763" s="3"/>
      <c r="H763" s="10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176"/>
    </row>
    <row r="764" spans="1:21">
      <c r="A764" s="3"/>
      <c r="B764" s="3"/>
      <c r="C764" s="3"/>
      <c r="D764" s="3"/>
      <c r="E764" s="4"/>
      <c r="F764" s="3"/>
      <c r="G764" s="3"/>
      <c r="H764" s="10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176"/>
    </row>
    <row r="765" spans="1:21">
      <c r="A765" s="3"/>
      <c r="B765" s="3"/>
      <c r="C765" s="3"/>
      <c r="D765" s="3"/>
      <c r="E765" s="4"/>
      <c r="F765" s="3"/>
      <c r="G765" s="3"/>
      <c r="H765" s="10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176"/>
    </row>
    <row r="766" spans="1:21">
      <c r="A766" s="3"/>
      <c r="B766" s="3"/>
      <c r="C766" s="3"/>
      <c r="D766" s="3"/>
      <c r="E766" s="4"/>
      <c r="F766" s="3"/>
      <c r="G766" s="3"/>
      <c r="H766" s="10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176"/>
    </row>
    <row r="767" spans="1:21">
      <c r="A767" s="3"/>
      <c r="B767" s="3"/>
      <c r="C767" s="3"/>
      <c r="D767" s="3"/>
      <c r="E767" s="4"/>
      <c r="F767" s="3"/>
      <c r="G767" s="3"/>
      <c r="H767" s="10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176"/>
    </row>
    <row r="768" spans="1:21">
      <c r="A768" s="3"/>
      <c r="B768" s="3"/>
      <c r="C768" s="3"/>
      <c r="D768" s="3"/>
      <c r="E768" s="4"/>
      <c r="F768" s="3"/>
      <c r="G768" s="3"/>
      <c r="H768" s="10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176"/>
    </row>
    <row r="769" spans="1:21">
      <c r="A769" s="3"/>
      <c r="B769" s="3"/>
      <c r="C769" s="3"/>
      <c r="D769" s="3"/>
      <c r="E769" s="4"/>
      <c r="F769" s="3"/>
      <c r="G769" s="3"/>
      <c r="H769" s="10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176"/>
    </row>
    <row r="770" spans="1:21">
      <c r="A770" s="3"/>
      <c r="B770" s="3"/>
      <c r="C770" s="3"/>
      <c r="D770" s="3"/>
      <c r="E770" s="4"/>
      <c r="F770" s="3"/>
      <c r="G770" s="3"/>
      <c r="H770" s="10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176"/>
    </row>
    <row r="771" spans="1:21">
      <c r="A771" s="3"/>
      <c r="B771" s="3"/>
      <c r="C771" s="3"/>
      <c r="D771" s="3"/>
      <c r="E771" s="4"/>
      <c r="F771" s="3"/>
      <c r="G771" s="3"/>
      <c r="H771" s="10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176"/>
    </row>
    <row r="772" spans="1:21">
      <c r="A772" s="3"/>
      <c r="B772" s="3"/>
      <c r="C772" s="3"/>
      <c r="D772" s="3"/>
      <c r="E772" s="4"/>
      <c r="F772" s="3"/>
      <c r="G772" s="3"/>
      <c r="H772" s="10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176"/>
    </row>
    <row r="773" spans="1:21">
      <c r="A773" s="3"/>
      <c r="B773" s="3"/>
      <c r="C773" s="3"/>
      <c r="D773" s="3"/>
      <c r="E773" s="4"/>
      <c r="F773" s="3"/>
      <c r="G773" s="3"/>
      <c r="H773" s="10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176"/>
    </row>
    <row r="774" spans="1:21">
      <c r="A774" s="3"/>
      <c r="B774" s="3"/>
      <c r="C774" s="3"/>
      <c r="D774" s="3"/>
      <c r="E774" s="4"/>
      <c r="F774" s="3"/>
      <c r="G774" s="3"/>
      <c r="H774" s="10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176"/>
    </row>
    <row r="775" spans="1:21">
      <c r="A775" s="3"/>
      <c r="B775" s="3"/>
      <c r="C775" s="3"/>
      <c r="D775" s="3"/>
      <c r="E775" s="4"/>
      <c r="F775" s="3"/>
      <c r="G775" s="3"/>
      <c r="H775" s="10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176"/>
    </row>
    <row r="776" spans="1:21">
      <c r="A776" s="3"/>
      <c r="B776" s="3"/>
      <c r="C776" s="3"/>
      <c r="D776" s="3"/>
      <c r="E776" s="4"/>
      <c r="F776" s="3"/>
      <c r="G776" s="3"/>
      <c r="H776" s="10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176"/>
    </row>
    <row r="777" spans="1:21">
      <c r="A777" s="3"/>
      <c r="B777" s="3"/>
      <c r="C777" s="3"/>
      <c r="D777" s="3"/>
      <c r="E777" s="4"/>
      <c r="F777" s="3"/>
      <c r="G777" s="3"/>
      <c r="H777" s="10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176"/>
    </row>
    <row r="778" spans="1:21">
      <c r="A778" s="3"/>
      <c r="B778" s="3"/>
      <c r="C778" s="3"/>
      <c r="D778" s="3"/>
      <c r="E778" s="4"/>
      <c r="F778" s="3"/>
      <c r="G778" s="3"/>
      <c r="H778" s="10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176"/>
    </row>
    <row r="779" spans="1:21">
      <c r="A779" s="3"/>
      <c r="B779" s="3"/>
      <c r="C779" s="3"/>
      <c r="D779" s="3"/>
      <c r="E779" s="4"/>
      <c r="F779" s="3"/>
      <c r="G779" s="3"/>
      <c r="H779" s="10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176"/>
    </row>
    <row r="780" spans="1:21">
      <c r="A780" s="3"/>
      <c r="B780" s="3"/>
      <c r="C780" s="3"/>
      <c r="D780" s="3"/>
      <c r="E780" s="4"/>
      <c r="F780" s="3"/>
      <c r="G780" s="3"/>
      <c r="H780" s="10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176"/>
    </row>
    <row r="781" spans="1:21">
      <c r="A781" s="3"/>
      <c r="B781" s="3"/>
      <c r="C781" s="3"/>
      <c r="D781" s="3"/>
      <c r="E781" s="4"/>
      <c r="F781" s="3"/>
      <c r="G781" s="3"/>
      <c r="H781" s="10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176"/>
    </row>
    <row r="782" spans="1:21">
      <c r="A782" s="3"/>
      <c r="B782" s="3"/>
      <c r="C782" s="3"/>
      <c r="D782" s="3"/>
      <c r="E782" s="4"/>
      <c r="F782" s="3"/>
      <c r="G782" s="3"/>
      <c r="H782" s="10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176"/>
    </row>
    <row r="783" spans="1:21">
      <c r="A783" s="3"/>
      <c r="B783" s="3"/>
      <c r="C783" s="3"/>
      <c r="D783" s="3"/>
      <c r="E783" s="4"/>
      <c r="F783" s="3"/>
      <c r="G783" s="3"/>
      <c r="H783" s="10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176"/>
    </row>
    <row r="784" spans="1:21">
      <c r="A784" s="3"/>
      <c r="B784" s="3"/>
      <c r="C784" s="3"/>
      <c r="D784" s="3"/>
      <c r="E784" s="4"/>
      <c r="F784" s="3"/>
      <c r="G784" s="3"/>
      <c r="H784" s="10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176"/>
    </row>
    <row r="785" spans="1:21">
      <c r="A785" s="3"/>
      <c r="B785" s="3"/>
      <c r="C785" s="3"/>
      <c r="D785" s="3"/>
      <c r="E785" s="4"/>
      <c r="F785" s="3"/>
      <c r="G785" s="3"/>
      <c r="H785" s="10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176"/>
    </row>
    <row r="786" spans="1:21">
      <c r="A786" s="3"/>
      <c r="B786" s="3"/>
      <c r="C786" s="3"/>
      <c r="D786" s="3"/>
      <c r="E786" s="4"/>
      <c r="F786" s="3"/>
      <c r="G786" s="3"/>
      <c r="H786" s="10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176"/>
    </row>
    <row r="787" spans="1:21">
      <c r="A787" s="3"/>
      <c r="B787" s="3"/>
      <c r="C787" s="3"/>
      <c r="D787" s="3"/>
      <c r="E787" s="4"/>
      <c r="F787" s="3"/>
      <c r="G787" s="3"/>
      <c r="H787" s="10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176"/>
    </row>
    <row r="788" spans="1:21">
      <c r="A788" s="3"/>
      <c r="B788" s="3"/>
      <c r="C788" s="3"/>
      <c r="D788" s="3"/>
      <c r="E788" s="4"/>
      <c r="F788" s="3"/>
      <c r="G788" s="3"/>
      <c r="H788" s="10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176"/>
    </row>
    <row r="789" spans="1:21">
      <c r="A789" s="3"/>
      <c r="B789" s="3"/>
      <c r="C789" s="3"/>
      <c r="D789" s="3"/>
      <c r="E789" s="4"/>
      <c r="F789" s="3"/>
      <c r="G789" s="3"/>
      <c r="H789" s="10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176"/>
    </row>
    <row r="790" spans="1:21">
      <c r="A790" s="3"/>
      <c r="B790" s="3"/>
      <c r="C790" s="3"/>
      <c r="D790" s="3"/>
      <c r="E790" s="4"/>
      <c r="F790" s="3"/>
      <c r="G790" s="3"/>
      <c r="H790" s="10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176"/>
    </row>
    <row r="791" spans="1:21">
      <c r="A791" s="3"/>
      <c r="B791" s="3"/>
      <c r="C791" s="3"/>
      <c r="D791" s="3"/>
      <c r="E791" s="4"/>
      <c r="F791" s="3"/>
      <c r="G791" s="3"/>
      <c r="H791" s="10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176"/>
    </row>
    <row r="792" spans="1:21">
      <c r="A792" s="3"/>
      <c r="B792" s="3"/>
      <c r="C792" s="3"/>
      <c r="D792" s="3"/>
      <c r="E792" s="4"/>
      <c r="F792" s="3"/>
      <c r="G792" s="3"/>
      <c r="H792" s="10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176"/>
    </row>
    <row r="793" spans="1:21">
      <c r="A793" s="3"/>
      <c r="B793" s="3"/>
      <c r="C793" s="3"/>
      <c r="D793" s="3"/>
      <c r="E793" s="4"/>
      <c r="F793" s="3"/>
      <c r="G793" s="3"/>
      <c r="H793" s="10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176"/>
    </row>
    <row r="794" spans="1:21">
      <c r="A794" s="3"/>
      <c r="B794" s="3"/>
      <c r="C794" s="3"/>
      <c r="D794" s="3"/>
      <c r="E794" s="4"/>
      <c r="F794" s="3"/>
      <c r="G794" s="3"/>
      <c r="H794" s="10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176"/>
    </row>
    <row r="795" spans="1:21">
      <c r="A795" s="3"/>
      <c r="B795" s="3"/>
      <c r="C795" s="3"/>
      <c r="D795" s="3"/>
      <c r="E795" s="4"/>
      <c r="F795" s="3"/>
      <c r="G795" s="3"/>
      <c r="H795" s="10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176"/>
    </row>
    <row r="796" spans="1:21">
      <c r="A796" s="3"/>
      <c r="B796" s="3"/>
      <c r="C796" s="3"/>
      <c r="D796" s="3"/>
      <c r="E796" s="4"/>
      <c r="F796" s="3"/>
      <c r="G796" s="3"/>
      <c r="H796" s="10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176"/>
    </row>
    <row r="797" spans="1:21">
      <c r="A797" s="3"/>
      <c r="B797" s="3"/>
      <c r="C797" s="3"/>
      <c r="D797" s="3"/>
      <c r="E797" s="4"/>
      <c r="F797" s="3"/>
      <c r="G797" s="3"/>
      <c r="H797" s="10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176"/>
    </row>
    <row r="798" spans="1:21">
      <c r="A798" s="3"/>
      <c r="B798" s="3"/>
      <c r="C798" s="3"/>
      <c r="D798" s="3"/>
      <c r="E798" s="4"/>
      <c r="F798" s="3"/>
      <c r="G798" s="3"/>
      <c r="H798" s="10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176"/>
    </row>
    <row r="799" spans="1:21">
      <c r="A799" s="3"/>
      <c r="B799" s="3"/>
      <c r="C799" s="3"/>
      <c r="D799" s="3"/>
      <c r="E799" s="4"/>
      <c r="F799" s="3"/>
      <c r="G799" s="3"/>
      <c r="H799" s="10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176"/>
    </row>
    <row r="800" spans="1:21">
      <c r="A800" s="3"/>
      <c r="B800" s="3"/>
      <c r="C800" s="3"/>
      <c r="D800" s="3"/>
      <c r="E800" s="4"/>
      <c r="F800" s="3"/>
      <c r="G800" s="3"/>
      <c r="H800" s="10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176"/>
    </row>
    <row r="801" spans="1:21">
      <c r="A801" s="3"/>
      <c r="B801" s="3"/>
      <c r="C801" s="3"/>
      <c r="D801" s="3"/>
      <c r="E801" s="4"/>
      <c r="F801" s="3"/>
      <c r="G801" s="3"/>
      <c r="H801" s="10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176"/>
    </row>
    <row r="802" spans="1:21">
      <c r="A802" s="3"/>
      <c r="B802" s="3"/>
      <c r="C802" s="3"/>
      <c r="D802" s="3"/>
      <c r="E802" s="4"/>
      <c r="F802" s="3"/>
      <c r="G802" s="3"/>
      <c r="H802" s="10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176"/>
    </row>
    <row r="803" spans="1:21">
      <c r="A803" s="3"/>
      <c r="B803" s="3"/>
      <c r="C803" s="3"/>
      <c r="D803" s="3"/>
      <c r="E803" s="4"/>
      <c r="F803" s="3"/>
      <c r="G803" s="3"/>
      <c r="H803" s="10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176"/>
    </row>
    <row r="804" spans="1:21">
      <c r="A804" s="3"/>
      <c r="B804" s="3"/>
      <c r="C804" s="3"/>
      <c r="D804" s="3"/>
      <c r="E804" s="4"/>
      <c r="F804" s="3"/>
      <c r="G804" s="3"/>
      <c r="H804" s="10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176"/>
    </row>
    <row r="805" spans="1:21">
      <c r="A805" s="3"/>
      <c r="B805" s="3"/>
      <c r="C805" s="3"/>
      <c r="D805" s="3"/>
      <c r="E805" s="4"/>
      <c r="F805" s="3"/>
      <c r="G805" s="3"/>
      <c r="H805" s="10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176"/>
    </row>
    <row r="806" spans="1:21">
      <c r="A806" s="3"/>
      <c r="B806" s="3"/>
      <c r="C806" s="3"/>
      <c r="D806" s="3"/>
      <c r="E806" s="4"/>
      <c r="F806" s="3"/>
      <c r="G806" s="3"/>
      <c r="H806" s="10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176"/>
    </row>
    <row r="807" spans="1:21">
      <c r="A807" s="3"/>
      <c r="B807" s="3"/>
      <c r="C807" s="3"/>
      <c r="D807" s="3"/>
      <c r="E807" s="4"/>
      <c r="F807" s="3"/>
      <c r="G807" s="3"/>
      <c r="H807" s="10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176"/>
    </row>
    <row r="808" spans="1:21">
      <c r="A808" s="3"/>
      <c r="B808" s="3"/>
      <c r="C808" s="3"/>
      <c r="D808" s="3"/>
      <c r="E808" s="4"/>
      <c r="F808" s="3"/>
      <c r="G808" s="3"/>
      <c r="H808" s="10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176"/>
    </row>
    <row r="809" spans="1:21">
      <c r="A809" s="3"/>
      <c r="B809" s="3"/>
      <c r="C809" s="3"/>
      <c r="D809" s="3"/>
      <c r="E809" s="4"/>
      <c r="F809" s="3"/>
      <c r="G809" s="3"/>
      <c r="H809" s="10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176"/>
    </row>
    <row r="810" spans="1:21">
      <c r="A810" s="3"/>
      <c r="B810" s="3"/>
      <c r="C810" s="3"/>
      <c r="D810" s="3"/>
      <c r="E810" s="4"/>
      <c r="F810" s="3"/>
      <c r="G810" s="3"/>
      <c r="H810" s="10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176"/>
    </row>
    <row r="811" spans="1:21">
      <c r="A811" s="3"/>
      <c r="B811" s="3"/>
      <c r="C811" s="3"/>
      <c r="D811" s="3"/>
      <c r="E811" s="4"/>
      <c r="F811" s="3"/>
      <c r="G811" s="3"/>
      <c r="H811" s="10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176"/>
    </row>
    <row r="812" spans="1:21">
      <c r="A812" s="3"/>
      <c r="B812" s="3"/>
      <c r="C812" s="3"/>
      <c r="D812" s="3"/>
      <c r="E812" s="4"/>
      <c r="F812" s="3"/>
      <c r="G812" s="3"/>
      <c r="H812" s="10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176"/>
    </row>
    <row r="813" spans="1:21">
      <c r="A813" s="3"/>
      <c r="B813" s="3"/>
      <c r="C813" s="3"/>
      <c r="D813" s="3"/>
      <c r="E813" s="4"/>
      <c r="F813" s="3"/>
      <c r="G813" s="3"/>
      <c r="H813" s="10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176"/>
    </row>
    <row r="814" spans="1:21">
      <c r="A814" s="3"/>
      <c r="B814" s="3"/>
      <c r="C814" s="3"/>
      <c r="D814" s="3"/>
      <c r="E814" s="4"/>
      <c r="F814" s="3"/>
      <c r="G814" s="3"/>
      <c r="H814" s="10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176"/>
    </row>
    <row r="815" spans="1:21">
      <c r="A815" s="3"/>
      <c r="B815" s="3"/>
      <c r="C815" s="3"/>
      <c r="D815" s="3"/>
      <c r="E815" s="4"/>
      <c r="F815" s="3"/>
      <c r="G815" s="3"/>
      <c r="H815" s="10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176"/>
    </row>
    <row r="816" spans="1:21">
      <c r="A816" s="3"/>
      <c r="B816" s="3"/>
      <c r="C816" s="3"/>
      <c r="D816" s="3"/>
      <c r="E816" s="4"/>
      <c r="F816" s="3"/>
      <c r="G816" s="3"/>
      <c r="H816" s="10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176"/>
    </row>
    <row r="817" spans="1:21">
      <c r="A817" s="3"/>
      <c r="B817" s="3"/>
      <c r="C817" s="3"/>
      <c r="D817" s="3"/>
      <c r="E817" s="4"/>
      <c r="F817" s="3"/>
      <c r="G817" s="3"/>
      <c r="H817" s="10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176"/>
    </row>
    <row r="818" spans="1:21">
      <c r="A818" s="3"/>
      <c r="B818" s="3"/>
      <c r="C818" s="3"/>
      <c r="D818" s="3"/>
      <c r="E818" s="4"/>
      <c r="F818" s="3"/>
      <c r="G818" s="3"/>
      <c r="H818" s="10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176"/>
    </row>
    <row r="819" spans="1:21">
      <c r="A819" s="3"/>
      <c r="B819" s="3"/>
      <c r="C819" s="3"/>
      <c r="D819" s="3"/>
      <c r="E819" s="4"/>
      <c r="F819" s="3"/>
      <c r="G819" s="3"/>
      <c r="H819" s="10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176"/>
    </row>
    <row r="820" spans="1:21">
      <c r="A820" s="3"/>
      <c r="B820" s="3"/>
      <c r="C820" s="3"/>
      <c r="D820" s="3"/>
      <c r="E820" s="4"/>
      <c r="F820" s="3"/>
      <c r="G820" s="3"/>
      <c r="H820" s="10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176"/>
    </row>
    <row r="821" spans="1:21">
      <c r="A821" s="3"/>
      <c r="B821" s="3"/>
      <c r="C821" s="3"/>
      <c r="D821" s="3"/>
      <c r="E821" s="4"/>
      <c r="F821" s="3"/>
      <c r="G821" s="3"/>
      <c r="H821" s="10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176"/>
    </row>
    <row r="822" spans="1:21">
      <c r="A822" s="3"/>
      <c r="B822" s="3"/>
      <c r="C822" s="3"/>
      <c r="D822" s="3"/>
      <c r="E822" s="4"/>
      <c r="F822" s="3"/>
      <c r="G822" s="3"/>
      <c r="H822" s="10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176"/>
    </row>
    <row r="823" spans="1:21">
      <c r="A823" s="3"/>
      <c r="B823" s="3"/>
      <c r="C823" s="3"/>
      <c r="D823" s="3"/>
      <c r="E823" s="4"/>
      <c r="F823" s="3"/>
      <c r="G823" s="3"/>
      <c r="H823" s="10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176"/>
    </row>
    <row r="824" spans="1:21">
      <c r="A824" s="3"/>
      <c r="B824" s="3"/>
      <c r="C824" s="3"/>
      <c r="D824" s="3"/>
      <c r="E824" s="4"/>
      <c r="F824" s="3"/>
      <c r="G824" s="3"/>
      <c r="H824" s="10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176"/>
    </row>
    <row r="825" spans="1:21">
      <c r="A825" s="3"/>
      <c r="B825" s="3"/>
      <c r="C825" s="3"/>
      <c r="D825" s="3"/>
      <c r="E825" s="4"/>
      <c r="F825" s="3"/>
      <c r="G825" s="3"/>
      <c r="H825" s="10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176"/>
    </row>
    <row r="826" spans="1:21">
      <c r="A826" s="3"/>
      <c r="B826" s="3"/>
      <c r="C826" s="3"/>
      <c r="D826" s="3"/>
      <c r="E826" s="4"/>
      <c r="F826" s="3"/>
      <c r="G826" s="3"/>
      <c r="H826" s="10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176"/>
    </row>
    <row r="827" spans="1:21">
      <c r="A827" s="3"/>
      <c r="B827" s="3"/>
      <c r="C827" s="3"/>
      <c r="D827" s="3"/>
      <c r="E827" s="4"/>
      <c r="F827" s="3"/>
      <c r="G827" s="3"/>
      <c r="H827" s="10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176"/>
    </row>
    <row r="828" spans="1:21">
      <c r="A828" s="3"/>
      <c r="B828" s="3"/>
      <c r="C828" s="3"/>
      <c r="D828" s="3"/>
      <c r="E828" s="4"/>
      <c r="F828" s="3"/>
      <c r="G828" s="3"/>
      <c r="H828" s="10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176"/>
    </row>
    <row r="829" spans="1:21">
      <c r="A829" s="3"/>
      <c r="B829" s="3"/>
      <c r="C829" s="3"/>
      <c r="D829" s="3"/>
      <c r="E829" s="4"/>
      <c r="F829" s="3"/>
      <c r="G829" s="3"/>
      <c r="H829" s="10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176"/>
    </row>
    <row r="830" spans="1:21">
      <c r="A830" s="3"/>
      <c r="B830" s="3"/>
      <c r="C830" s="3"/>
      <c r="D830" s="3"/>
      <c r="E830" s="4"/>
      <c r="F830" s="3"/>
      <c r="G830" s="3"/>
      <c r="H830" s="10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176"/>
    </row>
    <row r="831" spans="1:21">
      <c r="A831" s="3"/>
      <c r="B831" s="3"/>
      <c r="C831" s="3"/>
      <c r="D831" s="3"/>
      <c r="E831" s="4"/>
      <c r="F831" s="3"/>
      <c r="G831" s="3"/>
      <c r="H831" s="10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176"/>
    </row>
    <row r="832" spans="1:21">
      <c r="A832" s="3"/>
      <c r="B832" s="3"/>
      <c r="C832" s="3"/>
      <c r="D832" s="3"/>
      <c r="E832" s="4"/>
      <c r="F832" s="3"/>
      <c r="G832" s="3"/>
      <c r="H832" s="10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176"/>
    </row>
    <row r="833" spans="1:21">
      <c r="A833" s="3"/>
      <c r="B833" s="3"/>
      <c r="C833" s="3"/>
      <c r="D833" s="3"/>
      <c r="E833" s="4"/>
      <c r="F833" s="3"/>
      <c r="G833" s="3"/>
      <c r="H833" s="10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176"/>
    </row>
    <row r="834" spans="1:21">
      <c r="A834" s="3"/>
      <c r="B834" s="3"/>
      <c r="C834" s="3"/>
      <c r="D834" s="3"/>
      <c r="E834" s="4"/>
      <c r="F834" s="3"/>
      <c r="G834" s="3"/>
      <c r="H834" s="10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176"/>
    </row>
    <row r="835" spans="1:21">
      <c r="A835" s="3"/>
      <c r="B835" s="3"/>
      <c r="C835" s="3"/>
      <c r="D835" s="3"/>
      <c r="E835" s="4"/>
      <c r="F835" s="3"/>
      <c r="G835" s="3"/>
      <c r="H835" s="10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176"/>
    </row>
    <row r="836" spans="1:21">
      <c r="A836" s="3"/>
      <c r="B836" s="3"/>
      <c r="C836" s="3"/>
      <c r="D836" s="3"/>
      <c r="E836" s="4"/>
      <c r="F836" s="3"/>
      <c r="G836" s="3"/>
      <c r="H836" s="10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176"/>
    </row>
    <row r="837" spans="1:21">
      <c r="A837" s="3"/>
      <c r="B837" s="3"/>
      <c r="C837" s="3"/>
      <c r="D837" s="3"/>
      <c r="E837" s="4"/>
      <c r="F837" s="3"/>
      <c r="G837" s="3"/>
      <c r="H837" s="10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176"/>
    </row>
    <row r="838" spans="1:21">
      <c r="A838" s="3"/>
      <c r="B838" s="3"/>
      <c r="C838" s="3"/>
      <c r="D838" s="3"/>
      <c r="E838" s="4"/>
      <c r="F838" s="3"/>
      <c r="G838" s="3"/>
      <c r="H838" s="10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176"/>
    </row>
    <row r="839" spans="1:21">
      <c r="A839" s="3"/>
      <c r="B839" s="3"/>
      <c r="C839" s="3"/>
      <c r="D839" s="3"/>
      <c r="E839" s="4"/>
      <c r="F839" s="3"/>
      <c r="G839" s="3"/>
      <c r="H839" s="10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176"/>
    </row>
    <row r="840" spans="1:21">
      <c r="A840" s="3"/>
      <c r="B840" s="3"/>
      <c r="C840" s="3"/>
      <c r="D840" s="3"/>
      <c r="E840" s="4"/>
      <c r="F840" s="3"/>
      <c r="G840" s="3"/>
      <c r="H840" s="10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176"/>
    </row>
    <row r="841" spans="1:21">
      <c r="A841" s="3"/>
      <c r="B841" s="3"/>
      <c r="C841" s="3"/>
      <c r="D841" s="3"/>
      <c r="E841" s="4"/>
      <c r="F841" s="3"/>
      <c r="G841" s="3"/>
      <c r="H841" s="10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176"/>
    </row>
    <row r="842" spans="1:21">
      <c r="A842" s="3"/>
      <c r="B842" s="3"/>
      <c r="C842" s="3"/>
      <c r="D842" s="3"/>
      <c r="E842" s="4"/>
      <c r="F842" s="3"/>
      <c r="G842" s="3"/>
      <c r="H842" s="10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176"/>
    </row>
    <row r="843" spans="1:21">
      <c r="A843" s="3"/>
      <c r="B843" s="3"/>
      <c r="C843" s="3"/>
      <c r="D843" s="3"/>
      <c r="E843" s="4"/>
      <c r="F843" s="3"/>
      <c r="G843" s="3"/>
      <c r="H843" s="10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176"/>
    </row>
    <row r="844" spans="1:21">
      <c r="A844" s="3"/>
      <c r="B844" s="3"/>
      <c r="C844" s="3"/>
      <c r="D844" s="3"/>
      <c r="E844" s="4"/>
      <c r="F844" s="3"/>
      <c r="G844" s="3"/>
      <c r="H844" s="10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176"/>
    </row>
    <row r="845" spans="1:21">
      <c r="A845" s="3"/>
      <c r="B845" s="3"/>
      <c r="C845" s="3"/>
      <c r="D845" s="3"/>
      <c r="E845" s="4"/>
      <c r="F845" s="3"/>
      <c r="G845" s="3"/>
      <c r="H845" s="10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176"/>
    </row>
    <row r="846" spans="1:21">
      <c r="A846" s="3"/>
      <c r="B846" s="3"/>
      <c r="C846" s="3"/>
      <c r="D846" s="3"/>
      <c r="E846" s="4"/>
      <c r="F846" s="3"/>
      <c r="G846" s="3"/>
      <c r="H846" s="10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176"/>
    </row>
    <row r="847" spans="1:21">
      <c r="A847" s="3"/>
      <c r="B847" s="3"/>
      <c r="C847" s="3"/>
      <c r="D847" s="3"/>
      <c r="E847" s="4"/>
      <c r="F847" s="3"/>
      <c r="G847" s="3"/>
      <c r="H847" s="10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176"/>
    </row>
    <row r="848" spans="1:21">
      <c r="A848" s="3"/>
      <c r="B848" s="3"/>
      <c r="C848" s="3"/>
      <c r="D848" s="3"/>
      <c r="E848" s="4"/>
      <c r="F848" s="3"/>
      <c r="G848" s="3"/>
      <c r="H848" s="10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176"/>
    </row>
    <row r="849" spans="1:21">
      <c r="A849" s="3"/>
      <c r="B849" s="3"/>
      <c r="C849" s="3"/>
      <c r="D849" s="3"/>
      <c r="E849" s="4"/>
      <c r="F849" s="3"/>
      <c r="G849" s="3"/>
      <c r="H849" s="10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176"/>
    </row>
    <row r="850" spans="1:21">
      <c r="A850" s="3"/>
      <c r="B850" s="3"/>
      <c r="C850" s="3"/>
      <c r="D850" s="3"/>
      <c r="E850" s="4"/>
      <c r="F850" s="3"/>
      <c r="G850" s="3"/>
      <c r="H850" s="10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176"/>
    </row>
    <row r="851" spans="1:21">
      <c r="A851" s="3"/>
      <c r="B851" s="3"/>
      <c r="C851" s="3"/>
      <c r="D851" s="3"/>
      <c r="E851" s="4"/>
      <c r="F851" s="3"/>
      <c r="G851" s="3"/>
      <c r="H851" s="10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176"/>
    </row>
    <row r="852" spans="1:21">
      <c r="A852" s="3"/>
      <c r="B852" s="3"/>
      <c r="C852" s="3"/>
      <c r="D852" s="3"/>
      <c r="E852" s="4"/>
      <c r="F852" s="3"/>
      <c r="G852" s="3"/>
      <c r="H852" s="10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176"/>
    </row>
    <row r="853" spans="1:21">
      <c r="A853" s="3"/>
      <c r="B853" s="3"/>
      <c r="C853" s="3"/>
      <c r="D853" s="3"/>
      <c r="E853" s="4"/>
      <c r="F853" s="3"/>
      <c r="G853" s="3"/>
      <c r="H853" s="10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176"/>
    </row>
    <row r="854" spans="1:21">
      <c r="A854" s="3"/>
      <c r="B854" s="3"/>
      <c r="C854" s="3"/>
      <c r="D854" s="3"/>
      <c r="E854" s="4"/>
      <c r="F854" s="3"/>
      <c r="G854" s="3"/>
      <c r="H854" s="10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176"/>
    </row>
    <row r="855" spans="1:21">
      <c r="A855" s="3"/>
      <c r="B855" s="3"/>
      <c r="C855" s="3"/>
      <c r="D855" s="3"/>
      <c r="E855" s="4"/>
      <c r="F855" s="3"/>
      <c r="G855" s="3"/>
      <c r="H855" s="10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176"/>
    </row>
    <row r="856" spans="1:21">
      <c r="A856" s="3"/>
      <c r="B856" s="3"/>
      <c r="C856" s="3"/>
      <c r="D856" s="3"/>
      <c r="E856" s="4"/>
      <c r="F856" s="3"/>
      <c r="G856" s="3"/>
      <c r="H856" s="10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176"/>
    </row>
    <row r="857" spans="1:21">
      <c r="A857" s="3"/>
      <c r="B857" s="3"/>
      <c r="C857" s="3"/>
      <c r="D857" s="3"/>
      <c r="E857" s="4"/>
      <c r="F857" s="3"/>
      <c r="G857" s="3"/>
      <c r="H857" s="10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176"/>
    </row>
    <row r="858" spans="1:21">
      <c r="A858" s="3"/>
      <c r="B858" s="3"/>
      <c r="C858" s="3"/>
      <c r="D858" s="3"/>
      <c r="E858" s="4"/>
      <c r="F858" s="3"/>
      <c r="G858" s="3"/>
      <c r="H858" s="10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176"/>
    </row>
    <row r="859" spans="1:21">
      <c r="A859" s="3"/>
      <c r="B859" s="3"/>
      <c r="C859" s="3"/>
      <c r="D859" s="3"/>
      <c r="E859" s="4"/>
      <c r="F859" s="3"/>
      <c r="G859" s="3"/>
      <c r="H859" s="10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176"/>
    </row>
    <row r="860" spans="1:21">
      <c r="A860" s="3"/>
      <c r="B860" s="3"/>
      <c r="C860" s="3"/>
      <c r="D860" s="3"/>
      <c r="E860" s="4"/>
      <c r="F860" s="3"/>
      <c r="G860" s="3"/>
      <c r="H860" s="10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176"/>
    </row>
    <row r="861" spans="1:21">
      <c r="A861" s="3"/>
      <c r="B861" s="3"/>
      <c r="C861" s="3"/>
      <c r="D861" s="3"/>
      <c r="E861" s="4"/>
      <c r="F861" s="3"/>
      <c r="G861" s="3"/>
      <c r="H861" s="10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176"/>
    </row>
    <row r="862" spans="1:21">
      <c r="A862" s="3"/>
      <c r="B862" s="3"/>
      <c r="C862" s="3"/>
      <c r="D862" s="3"/>
      <c r="E862" s="4"/>
      <c r="F862" s="3"/>
      <c r="G862" s="3"/>
      <c r="H862" s="10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176"/>
    </row>
    <row r="863" spans="1:21">
      <c r="A863" s="3"/>
      <c r="B863" s="3"/>
      <c r="C863" s="3"/>
      <c r="D863" s="3"/>
      <c r="E863" s="4"/>
      <c r="F863" s="3"/>
      <c r="G863" s="3"/>
      <c r="H863" s="10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176"/>
    </row>
    <row r="864" spans="1:21">
      <c r="A864" s="3"/>
      <c r="B864" s="3"/>
      <c r="C864" s="3"/>
      <c r="D864" s="3"/>
      <c r="E864" s="4"/>
      <c r="F864" s="3"/>
      <c r="G864" s="3"/>
      <c r="H864" s="10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176"/>
    </row>
    <row r="865" spans="1:21">
      <c r="A865" s="3"/>
      <c r="B865" s="3"/>
      <c r="C865" s="3"/>
      <c r="D865" s="3"/>
      <c r="E865" s="4"/>
      <c r="F865" s="3"/>
      <c r="G865" s="3"/>
      <c r="H865" s="10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176"/>
    </row>
    <row r="866" spans="1:21">
      <c r="A866" s="3"/>
      <c r="B866" s="3"/>
      <c r="C866" s="3"/>
      <c r="D866" s="3"/>
      <c r="E866" s="4"/>
      <c r="F866" s="3"/>
      <c r="G866" s="3"/>
      <c r="H866" s="10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176"/>
    </row>
    <row r="867" spans="1:21">
      <c r="A867" s="3"/>
      <c r="B867" s="3"/>
      <c r="C867" s="3"/>
      <c r="D867" s="3"/>
      <c r="E867" s="4"/>
      <c r="F867" s="3"/>
      <c r="G867" s="3"/>
      <c r="H867" s="10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176"/>
    </row>
    <row r="868" spans="1:21">
      <c r="A868" s="3"/>
      <c r="B868" s="3"/>
      <c r="C868" s="3"/>
      <c r="D868" s="3"/>
      <c r="E868" s="4"/>
      <c r="F868" s="3"/>
      <c r="G868" s="3"/>
      <c r="H868" s="10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176"/>
    </row>
    <row r="869" spans="1:21">
      <c r="A869" s="3"/>
      <c r="B869" s="3"/>
      <c r="C869" s="3"/>
      <c r="D869" s="3"/>
      <c r="E869" s="4"/>
      <c r="F869" s="3"/>
      <c r="G869" s="3"/>
      <c r="H869" s="10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176"/>
    </row>
    <row r="870" spans="1:21">
      <c r="A870" s="3"/>
      <c r="B870" s="3"/>
      <c r="C870" s="3"/>
      <c r="D870" s="3"/>
      <c r="E870" s="4"/>
      <c r="F870" s="3"/>
      <c r="G870" s="3"/>
      <c r="H870" s="10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176"/>
    </row>
    <row r="871" spans="1:21">
      <c r="A871" s="3"/>
      <c r="B871" s="3"/>
      <c r="C871" s="3"/>
      <c r="D871" s="3"/>
      <c r="E871" s="4"/>
      <c r="F871" s="3"/>
      <c r="G871" s="3"/>
      <c r="H871" s="10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176"/>
    </row>
    <row r="872" spans="1:21">
      <c r="A872" s="3"/>
      <c r="B872" s="3"/>
      <c r="C872" s="3"/>
      <c r="D872" s="3"/>
      <c r="E872" s="4"/>
      <c r="F872" s="3"/>
      <c r="G872" s="3"/>
      <c r="H872" s="10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176"/>
    </row>
    <row r="873" spans="1:21">
      <c r="A873" s="3"/>
      <c r="B873" s="3"/>
      <c r="C873" s="3"/>
      <c r="D873" s="3"/>
      <c r="E873" s="4"/>
      <c r="F873" s="3"/>
      <c r="G873" s="3"/>
      <c r="H873" s="10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176"/>
    </row>
    <row r="874" spans="1:21">
      <c r="A874" s="3"/>
      <c r="B874" s="3"/>
      <c r="C874" s="3"/>
      <c r="D874" s="3"/>
      <c r="E874" s="4"/>
      <c r="F874" s="3"/>
      <c r="G874" s="3"/>
      <c r="H874" s="10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176"/>
    </row>
    <row r="875" spans="1:21">
      <c r="A875" s="3"/>
      <c r="B875" s="3"/>
      <c r="C875" s="3"/>
      <c r="D875" s="3"/>
      <c r="E875" s="4"/>
      <c r="F875" s="3"/>
      <c r="G875" s="3"/>
      <c r="H875" s="10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176"/>
    </row>
    <row r="876" spans="1:21">
      <c r="A876" s="3"/>
      <c r="B876" s="3"/>
      <c r="C876" s="3"/>
      <c r="D876" s="3"/>
      <c r="E876" s="4"/>
      <c r="F876" s="3"/>
      <c r="G876" s="3"/>
      <c r="H876" s="1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176"/>
    </row>
    <row r="877" spans="1:21">
      <c r="A877" s="3"/>
      <c r="B877" s="3"/>
      <c r="C877" s="3"/>
      <c r="D877" s="3"/>
      <c r="E877" s="4"/>
      <c r="F877" s="3"/>
      <c r="G877" s="3"/>
      <c r="H877" s="1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176"/>
    </row>
    <row r="878" spans="1:21">
      <c r="A878" s="3"/>
      <c r="B878" s="3"/>
      <c r="C878" s="3"/>
      <c r="D878" s="3"/>
      <c r="E878" s="4"/>
      <c r="F878" s="3"/>
      <c r="G878" s="3"/>
      <c r="H878" s="1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176"/>
    </row>
    <row r="879" spans="1:21">
      <c r="A879" s="3"/>
      <c r="B879" s="3"/>
      <c r="C879" s="3"/>
      <c r="D879" s="3"/>
      <c r="E879" s="4"/>
      <c r="F879" s="3"/>
      <c r="G879" s="3"/>
      <c r="H879" s="1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176"/>
    </row>
    <row r="880" spans="1:21">
      <c r="A880" s="3"/>
      <c r="B880" s="3"/>
      <c r="C880" s="3"/>
      <c r="D880" s="3"/>
      <c r="E880" s="4"/>
      <c r="F880" s="3"/>
      <c r="G880" s="3"/>
      <c r="H880" s="1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176"/>
    </row>
    <row r="881" spans="1:21">
      <c r="A881" s="3"/>
      <c r="B881" s="3"/>
      <c r="C881" s="3"/>
      <c r="D881" s="3"/>
      <c r="E881" s="4"/>
      <c r="F881" s="3"/>
      <c r="G881" s="3"/>
      <c r="H881" s="1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176"/>
    </row>
    <row r="882" spans="1:21">
      <c r="A882" s="3"/>
      <c r="B882" s="3"/>
      <c r="C882" s="3"/>
      <c r="D882" s="3"/>
      <c r="E882" s="4"/>
      <c r="F882" s="3"/>
      <c r="G882" s="3"/>
      <c r="H882" s="1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176"/>
    </row>
    <row r="883" spans="1:21">
      <c r="A883" s="3"/>
      <c r="B883" s="3"/>
      <c r="C883" s="3"/>
      <c r="D883" s="3"/>
      <c r="E883" s="4"/>
      <c r="F883" s="3"/>
      <c r="G883" s="3"/>
      <c r="H883" s="1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176"/>
    </row>
    <row r="884" spans="1:21">
      <c r="A884" s="3"/>
      <c r="B884" s="3"/>
      <c r="C884" s="3"/>
      <c r="D884" s="3"/>
      <c r="E884" s="4"/>
      <c r="F884" s="3"/>
      <c r="G884" s="3"/>
      <c r="H884" s="1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176"/>
    </row>
    <row r="885" spans="1:21">
      <c r="A885" s="3"/>
      <c r="B885" s="3"/>
      <c r="C885" s="3"/>
      <c r="D885" s="3"/>
      <c r="E885" s="4"/>
      <c r="F885" s="3"/>
      <c r="G885" s="3"/>
      <c r="H885" s="1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176"/>
    </row>
    <row r="886" spans="1:21">
      <c r="A886" s="3"/>
      <c r="B886" s="3"/>
      <c r="C886" s="3"/>
      <c r="D886" s="3"/>
      <c r="E886" s="4"/>
      <c r="F886" s="3"/>
      <c r="G886" s="3"/>
      <c r="H886" s="1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176"/>
    </row>
    <row r="887" spans="1:21">
      <c r="A887" s="3"/>
      <c r="B887" s="3"/>
      <c r="C887" s="3"/>
      <c r="D887" s="3"/>
      <c r="E887" s="4"/>
      <c r="F887" s="3"/>
      <c r="G887" s="3"/>
      <c r="H887" s="1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176"/>
    </row>
    <row r="888" spans="1:21">
      <c r="A888" s="3"/>
      <c r="B888" s="3"/>
      <c r="C888" s="3"/>
      <c r="D888" s="3"/>
      <c r="E888" s="4"/>
      <c r="F888" s="3"/>
      <c r="G888" s="3"/>
      <c r="H888" s="1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176"/>
    </row>
    <row r="889" spans="1:21">
      <c r="A889" s="3"/>
      <c r="B889" s="3"/>
      <c r="C889" s="3"/>
      <c r="D889" s="3"/>
      <c r="E889" s="4"/>
      <c r="F889" s="3"/>
      <c r="G889" s="3"/>
      <c r="H889" s="1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176"/>
    </row>
    <row r="890" spans="1:21">
      <c r="A890" s="3"/>
      <c r="B890" s="3"/>
      <c r="C890" s="3"/>
      <c r="D890" s="3"/>
      <c r="E890" s="4"/>
      <c r="F890" s="3"/>
      <c r="G890" s="3"/>
      <c r="H890" s="1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176"/>
    </row>
    <row r="891" spans="1:21">
      <c r="A891" s="3"/>
      <c r="B891" s="3"/>
      <c r="C891" s="3"/>
      <c r="D891" s="3"/>
      <c r="E891" s="4"/>
      <c r="F891" s="3"/>
      <c r="G891" s="3"/>
      <c r="H891" s="1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176"/>
    </row>
    <row r="892" spans="1:21">
      <c r="A892" s="3"/>
      <c r="B892" s="3"/>
      <c r="C892" s="3"/>
      <c r="D892" s="3"/>
      <c r="E892" s="4"/>
      <c r="F892" s="3"/>
      <c r="G892" s="3"/>
      <c r="H892" s="1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176"/>
    </row>
    <row r="893" spans="1:21">
      <c r="A893" s="3"/>
      <c r="B893" s="3"/>
      <c r="C893" s="3"/>
      <c r="D893" s="3"/>
      <c r="E893" s="4"/>
      <c r="F893" s="3"/>
      <c r="G893" s="3"/>
      <c r="H893" s="1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176"/>
    </row>
    <row r="894" spans="1:21">
      <c r="A894" s="3"/>
      <c r="B894" s="3"/>
      <c r="C894" s="3"/>
      <c r="D894" s="3"/>
      <c r="E894" s="4"/>
      <c r="F894" s="3"/>
      <c r="G894" s="3"/>
      <c r="H894" s="1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176"/>
    </row>
    <row r="895" spans="1:21">
      <c r="A895" s="3"/>
      <c r="B895" s="3"/>
      <c r="C895" s="3"/>
      <c r="D895" s="3"/>
      <c r="E895" s="4"/>
      <c r="F895" s="3"/>
      <c r="G895" s="3"/>
      <c r="H895" s="10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176"/>
    </row>
    <row r="896" spans="1:21">
      <c r="A896" s="3"/>
      <c r="B896" s="3"/>
      <c r="C896" s="3"/>
      <c r="D896" s="3"/>
      <c r="E896" s="4"/>
      <c r="F896" s="3"/>
      <c r="G896" s="3"/>
      <c r="H896" s="10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176"/>
    </row>
    <row r="897" spans="1:21">
      <c r="A897" s="3"/>
      <c r="B897" s="3"/>
      <c r="C897" s="3"/>
      <c r="D897" s="3"/>
      <c r="E897" s="4"/>
      <c r="F897" s="3"/>
      <c r="G897" s="3"/>
      <c r="H897" s="10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176"/>
    </row>
    <row r="898" spans="1:21">
      <c r="A898" s="3"/>
      <c r="B898" s="3"/>
      <c r="C898" s="3"/>
      <c r="D898" s="3"/>
      <c r="E898" s="4"/>
      <c r="F898" s="3"/>
      <c r="G898" s="3"/>
      <c r="H898" s="10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176"/>
    </row>
    <row r="899" spans="1:21">
      <c r="A899" s="3"/>
      <c r="B899" s="3"/>
      <c r="C899" s="3"/>
      <c r="D899" s="3"/>
      <c r="E899" s="4"/>
      <c r="F899" s="3"/>
      <c r="G899" s="3"/>
      <c r="H899" s="10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176"/>
    </row>
    <row r="900" spans="1:21">
      <c r="A900" s="3"/>
      <c r="B900" s="3"/>
      <c r="C900" s="3"/>
      <c r="D900" s="3"/>
      <c r="E900" s="4"/>
      <c r="F900" s="3"/>
      <c r="G900" s="3"/>
      <c r="H900" s="10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176"/>
    </row>
    <row r="901" spans="1:21">
      <c r="A901" s="3"/>
      <c r="B901" s="3"/>
      <c r="C901" s="3"/>
      <c r="D901" s="3"/>
      <c r="E901" s="4"/>
      <c r="F901" s="3"/>
      <c r="G901" s="3"/>
      <c r="H901" s="10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176"/>
    </row>
    <row r="902" spans="1:21">
      <c r="A902" s="3"/>
      <c r="B902" s="3"/>
      <c r="C902" s="3"/>
      <c r="D902" s="3"/>
      <c r="E902" s="4"/>
      <c r="F902" s="3"/>
      <c r="G902" s="3"/>
      <c r="H902" s="10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176"/>
    </row>
    <row r="903" spans="1:21">
      <c r="A903" s="3"/>
      <c r="B903" s="3"/>
      <c r="C903" s="3"/>
      <c r="D903" s="3"/>
      <c r="E903" s="4"/>
      <c r="F903" s="3"/>
      <c r="G903" s="3"/>
      <c r="H903" s="10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176"/>
    </row>
    <row r="904" spans="1:21">
      <c r="A904" s="3"/>
      <c r="B904" s="3"/>
      <c r="C904" s="3"/>
      <c r="D904" s="3"/>
      <c r="E904" s="4"/>
      <c r="F904" s="3"/>
      <c r="G904" s="3"/>
      <c r="H904" s="10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176"/>
    </row>
    <row r="905" spans="1:21">
      <c r="A905" s="3"/>
      <c r="B905" s="3"/>
      <c r="C905" s="3"/>
      <c r="D905" s="3"/>
      <c r="E905" s="4"/>
      <c r="F905" s="3"/>
      <c r="G905" s="3"/>
      <c r="H905" s="10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176"/>
    </row>
    <row r="906" spans="1:21">
      <c r="A906" s="3"/>
      <c r="B906" s="3"/>
      <c r="C906" s="3"/>
      <c r="D906" s="3"/>
      <c r="E906" s="4"/>
      <c r="F906" s="3"/>
      <c r="G906" s="3"/>
      <c r="H906" s="10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176"/>
    </row>
    <row r="907" spans="1:21">
      <c r="A907" s="3"/>
      <c r="B907" s="3"/>
      <c r="C907" s="3"/>
      <c r="D907" s="3"/>
      <c r="E907" s="4"/>
      <c r="F907" s="3"/>
      <c r="G907" s="3"/>
      <c r="H907" s="10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176"/>
    </row>
    <row r="908" spans="1:21">
      <c r="A908" s="3"/>
      <c r="B908" s="3"/>
      <c r="C908" s="3"/>
      <c r="D908" s="3"/>
      <c r="E908" s="4"/>
      <c r="F908" s="3"/>
      <c r="G908" s="3"/>
      <c r="H908" s="10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176"/>
    </row>
    <row r="909" spans="1:21">
      <c r="A909" s="3"/>
      <c r="B909" s="3"/>
      <c r="C909" s="3"/>
      <c r="D909" s="3"/>
      <c r="E909" s="4"/>
      <c r="F909" s="3"/>
      <c r="G909" s="3"/>
      <c r="H909" s="10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176"/>
    </row>
    <row r="910" spans="1:21">
      <c r="A910" s="3"/>
      <c r="B910" s="3"/>
      <c r="C910" s="3"/>
      <c r="D910" s="3"/>
      <c r="E910" s="4"/>
      <c r="F910" s="3"/>
      <c r="G910" s="3"/>
      <c r="H910" s="10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176"/>
    </row>
    <row r="911" spans="1:21">
      <c r="A911" s="3"/>
      <c r="B911" s="3"/>
      <c r="C911" s="3"/>
      <c r="D911" s="3"/>
      <c r="E911" s="4"/>
      <c r="F911" s="3"/>
      <c r="G911" s="3"/>
      <c r="H911" s="10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176"/>
    </row>
    <row r="912" spans="1:21">
      <c r="A912" s="3"/>
      <c r="B912" s="3"/>
      <c r="C912" s="3"/>
      <c r="D912" s="3"/>
      <c r="E912" s="4"/>
      <c r="F912" s="3"/>
      <c r="G912" s="3"/>
      <c r="H912" s="10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176"/>
    </row>
    <row r="913" spans="1:21">
      <c r="A913" s="3"/>
      <c r="B913" s="3"/>
      <c r="C913" s="3"/>
      <c r="D913" s="3"/>
      <c r="E913" s="4"/>
      <c r="F913" s="3"/>
      <c r="G913" s="3"/>
      <c r="H913" s="10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176"/>
    </row>
    <row r="914" spans="1:21">
      <c r="A914" s="3"/>
      <c r="B914" s="3"/>
      <c r="C914" s="3"/>
      <c r="D914" s="3"/>
      <c r="E914" s="4"/>
      <c r="F914" s="3"/>
      <c r="G914" s="3"/>
      <c r="H914" s="10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176"/>
    </row>
    <row r="915" spans="1:21">
      <c r="A915" s="3"/>
      <c r="B915" s="3"/>
      <c r="C915" s="3"/>
      <c r="D915" s="3"/>
      <c r="E915" s="4"/>
      <c r="F915" s="3"/>
      <c r="G915" s="3"/>
      <c r="H915" s="10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176"/>
    </row>
    <row r="916" spans="1:21">
      <c r="A916" s="3"/>
      <c r="B916" s="3"/>
      <c r="C916" s="3"/>
      <c r="D916" s="3"/>
      <c r="E916" s="4"/>
      <c r="F916" s="3"/>
      <c r="G916" s="3"/>
      <c r="H916" s="10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176"/>
    </row>
    <row r="917" spans="1:21">
      <c r="A917" s="3"/>
      <c r="B917" s="3"/>
      <c r="C917" s="3"/>
      <c r="D917" s="3"/>
      <c r="E917" s="4"/>
      <c r="F917" s="3"/>
      <c r="G917" s="3"/>
      <c r="H917" s="10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176"/>
    </row>
    <row r="918" spans="1:21">
      <c r="A918" s="3"/>
      <c r="B918" s="3"/>
      <c r="C918" s="3"/>
      <c r="D918" s="3"/>
      <c r="E918" s="4"/>
      <c r="F918" s="3"/>
      <c r="G918" s="3"/>
      <c r="H918" s="10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176"/>
    </row>
    <row r="919" spans="1:21">
      <c r="A919" s="3"/>
      <c r="B919" s="3"/>
      <c r="C919" s="3"/>
      <c r="D919" s="3"/>
      <c r="E919" s="4"/>
      <c r="F919" s="3"/>
      <c r="G919" s="3"/>
      <c r="H919" s="10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176"/>
    </row>
    <row r="920" spans="1:21">
      <c r="A920" s="3"/>
      <c r="B920" s="3"/>
      <c r="C920" s="3"/>
      <c r="D920" s="3"/>
      <c r="E920" s="4"/>
      <c r="F920" s="3"/>
      <c r="G920" s="3"/>
      <c r="H920" s="10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176"/>
    </row>
    <row r="921" spans="1:21">
      <c r="A921" s="3"/>
      <c r="B921" s="3"/>
      <c r="C921" s="3"/>
      <c r="D921" s="3"/>
      <c r="E921" s="4"/>
      <c r="F921" s="3"/>
      <c r="G921" s="3"/>
      <c r="H921" s="10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176"/>
    </row>
    <row r="922" spans="1:21">
      <c r="A922" s="3"/>
      <c r="B922" s="3"/>
      <c r="C922" s="3"/>
      <c r="D922" s="3"/>
      <c r="E922" s="4"/>
      <c r="F922" s="3"/>
      <c r="G922" s="3"/>
      <c r="H922" s="10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176"/>
    </row>
    <row r="923" spans="1:21">
      <c r="A923" s="3"/>
      <c r="B923" s="3"/>
      <c r="C923" s="3"/>
      <c r="D923" s="3"/>
      <c r="E923" s="4"/>
      <c r="F923" s="3"/>
      <c r="G923" s="3"/>
      <c r="H923" s="10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176"/>
    </row>
    <row r="924" spans="1:21">
      <c r="A924" s="3"/>
      <c r="B924" s="3"/>
      <c r="C924" s="3"/>
      <c r="D924" s="3"/>
      <c r="E924" s="4"/>
      <c r="F924" s="3"/>
      <c r="G924" s="3"/>
      <c r="H924" s="10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176"/>
    </row>
    <row r="925" spans="1:21">
      <c r="A925" s="3"/>
      <c r="B925" s="3"/>
      <c r="C925" s="3"/>
      <c r="D925" s="3"/>
      <c r="E925" s="4"/>
      <c r="F925" s="3"/>
      <c r="G925" s="3"/>
      <c r="H925" s="10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176"/>
    </row>
    <row r="926" spans="1:21">
      <c r="A926" s="3"/>
      <c r="B926" s="3"/>
      <c r="C926" s="3"/>
      <c r="D926" s="3"/>
      <c r="E926" s="4"/>
      <c r="F926" s="3"/>
      <c r="G926" s="3"/>
      <c r="H926" s="10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176"/>
    </row>
    <row r="927" spans="1:21">
      <c r="A927" s="3"/>
      <c r="B927" s="3"/>
      <c r="C927" s="3"/>
      <c r="D927" s="3"/>
      <c r="E927" s="4"/>
      <c r="F927" s="3"/>
      <c r="G927" s="3"/>
      <c r="H927" s="10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176"/>
    </row>
    <row r="928" spans="1:21">
      <c r="A928" s="3"/>
      <c r="B928" s="3"/>
      <c r="C928" s="3"/>
      <c r="D928" s="3"/>
      <c r="E928" s="4"/>
      <c r="F928" s="3"/>
      <c r="G928" s="3"/>
      <c r="H928" s="10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176"/>
    </row>
    <row r="929" spans="1:21">
      <c r="A929" s="3"/>
      <c r="B929" s="3"/>
      <c r="C929" s="3"/>
      <c r="D929" s="3"/>
      <c r="E929" s="4"/>
      <c r="F929" s="3"/>
      <c r="G929" s="3"/>
      <c r="H929" s="10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176"/>
    </row>
    <row r="930" spans="1:21">
      <c r="A930" s="3"/>
      <c r="B930" s="3"/>
      <c r="C930" s="3"/>
      <c r="D930" s="3"/>
      <c r="E930" s="4"/>
      <c r="F930" s="3"/>
      <c r="G930" s="3"/>
      <c r="H930" s="10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176"/>
    </row>
    <row r="931" spans="1:21">
      <c r="A931" s="3"/>
      <c r="B931" s="3"/>
      <c r="C931" s="3"/>
      <c r="D931" s="3"/>
      <c r="E931" s="4"/>
      <c r="F931" s="3"/>
      <c r="G931" s="3"/>
      <c r="H931" s="10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176"/>
    </row>
    <row r="932" spans="1:21">
      <c r="A932" s="3"/>
      <c r="B932" s="3"/>
      <c r="C932" s="3"/>
      <c r="D932" s="3"/>
      <c r="E932" s="4"/>
      <c r="F932" s="3"/>
      <c r="G932" s="3"/>
      <c r="H932" s="10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176"/>
    </row>
    <row r="933" spans="1:21">
      <c r="A933" s="3"/>
      <c r="B933" s="3"/>
      <c r="C933" s="3"/>
      <c r="D933" s="3"/>
      <c r="E933" s="4"/>
      <c r="F933" s="3"/>
      <c r="G933" s="3"/>
      <c r="H933" s="10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176"/>
    </row>
    <row r="934" spans="1:21">
      <c r="A934" s="3"/>
      <c r="B934" s="3"/>
      <c r="C934" s="3"/>
      <c r="D934" s="3"/>
      <c r="E934" s="4"/>
      <c r="F934" s="3"/>
      <c r="G934" s="3"/>
      <c r="H934" s="10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176"/>
    </row>
    <row r="935" spans="1:21">
      <c r="A935" s="3"/>
      <c r="B935" s="3"/>
      <c r="C935" s="3"/>
      <c r="D935" s="3"/>
      <c r="E935" s="4"/>
      <c r="F935" s="3"/>
      <c r="G935" s="3"/>
      <c r="H935" s="10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176"/>
    </row>
    <row r="936" spans="1:21">
      <c r="A936" s="3"/>
      <c r="B936" s="3"/>
      <c r="C936" s="3"/>
      <c r="D936" s="3"/>
      <c r="E936" s="4"/>
      <c r="F936" s="3"/>
      <c r="G936" s="3"/>
      <c r="H936" s="10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176"/>
    </row>
    <row r="937" spans="1:21">
      <c r="A937" s="3"/>
      <c r="B937" s="3"/>
      <c r="C937" s="3"/>
      <c r="D937" s="3"/>
      <c r="E937" s="4"/>
      <c r="F937" s="3"/>
      <c r="G937" s="3"/>
      <c r="H937" s="10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176"/>
    </row>
    <row r="938" spans="1:21">
      <c r="A938" s="3"/>
      <c r="B938" s="3"/>
      <c r="C938" s="3"/>
      <c r="D938" s="3"/>
      <c r="E938" s="4"/>
      <c r="F938" s="3"/>
      <c r="G938" s="3"/>
      <c r="H938" s="10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176"/>
    </row>
    <row r="939" spans="1:21">
      <c r="A939" s="3"/>
      <c r="B939" s="3"/>
      <c r="C939" s="3"/>
      <c r="D939" s="3"/>
      <c r="E939" s="4"/>
      <c r="F939" s="3"/>
      <c r="G939" s="3"/>
      <c r="H939" s="10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176"/>
    </row>
    <row r="940" spans="1:21">
      <c r="A940" s="3"/>
      <c r="B940" s="3"/>
      <c r="C940" s="3"/>
      <c r="D940" s="3"/>
      <c r="E940" s="4"/>
      <c r="F940" s="3"/>
      <c r="G940" s="3"/>
      <c r="H940" s="10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176"/>
    </row>
    <row r="941" spans="1:21">
      <c r="A941" s="3"/>
      <c r="B941" s="3"/>
      <c r="C941" s="3"/>
      <c r="D941" s="3"/>
      <c r="E941" s="4"/>
      <c r="F941" s="3"/>
      <c r="G941" s="3"/>
      <c r="H941" s="10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176"/>
    </row>
    <row r="942" spans="1:21">
      <c r="A942" s="3"/>
      <c r="B942" s="3"/>
      <c r="C942" s="3"/>
      <c r="D942" s="3"/>
      <c r="E942" s="4"/>
      <c r="F942" s="3"/>
      <c r="G942" s="3"/>
      <c r="H942" s="10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176"/>
    </row>
    <row r="943" spans="1:21">
      <c r="A943" s="3"/>
      <c r="B943" s="3"/>
      <c r="C943" s="3"/>
      <c r="D943" s="3"/>
      <c r="E943" s="4"/>
      <c r="F943" s="3"/>
      <c r="G943" s="3"/>
      <c r="H943" s="10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176"/>
    </row>
    <row r="944" spans="1:21">
      <c r="A944" s="3"/>
      <c r="B944" s="3"/>
      <c r="C944" s="3"/>
      <c r="D944" s="3"/>
      <c r="E944" s="4"/>
      <c r="F944" s="3"/>
      <c r="G944" s="3"/>
      <c r="H944" s="10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176"/>
    </row>
    <row r="945" spans="1:21">
      <c r="A945" s="3"/>
      <c r="B945" s="3"/>
      <c r="C945" s="3"/>
      <c r="D945" s="3"/>
      <c r="E945" s="4"/>
      <c r="F945" s="3"/>
      <c r="G945" s="3"/>
      <c r="H945" s="10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176"/>
    </row>
    <row r="946" spans="1:21">
      <c r="A946" s="3"/>
      <c r="B946" s="3"/>
      <c r="C946" s="3"/>
      <c r="D946" s="3"/>
      <c r="E946" s="4"/>
      <c r="F946" s="3"/>
      <c r="G946" s="3"/>
      <c r="H946" s="10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176"/>
    </row>
    <row r="947" spans="1:21">
      <c r="A947" s="3"/>
      <c r="B947" s="3"/>
      <c r="C947" s="3"/>
      <c r="D947" s="3"/>
      <c r="E947" s="4"/>
      <c r="F947" s="3"/>
      <c r="G947" s="3"/>
      <c r="H947" s="10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176"/>
    </row>
    <row r="948" spans="1:21">
      <c r="A948" s="3"/>
      <c r="B948" s="3"/>
      <c r="C948" s="3"/>
      <c r="D948" s="3"/>
      <c r="E948" s="4"/>
      <c r="F948" s="3"/>
      <c r="G948" s="3"/>
      <c r="H948" s="10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176"/>
    </row>
    <row r="949" spans="1:21">
      <c r="A949" s="3"/>
      <c r="B949" s="3"/>
      <c r="C949" s="3"/>
      <c r="D949" s="3"/>
      <c r="E949" s="4"/>
      <c r="F949" s="3"/>
      <c r="G949" s="3"/>
      <c r="H949" s="10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176"/>
    </row>
    <row r="950" spans="1:21">
      <c r="A950" s="3"/>
      <c r="B950" s="3"/>
      <c r="C950" s="3"/>
      <c r="D950" s="3"/>
      <c r="E950" s="4"/>
      <c r="F950" s="3"/>
      <c r="G950" s="3"/>
      <c r="H950" s="10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176"/>
    </row>
    <row r="951" spans="1:21">
      <c r="A951" s="3"/>
      <c r="B951" s="3"/>
      <c r="C951" s="3"/>
      <c r="D951" s="3"/>
      <c r="E951" s="4"/>
      <c r="F951" s="3"/>
      <c r="G951" s="3"/>
      <c r="H951" s="10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176"/>
    </row>
    <row r="952" spans="1:21">
      <c r="A952" s="3"/>
      <c r="B952" s="3"/>
      <c r="C952" s="3"/>
      <c r="D952" s="3"/>
      <c r="E952" s="4"/>
      <c r="F952" s="3"/>
      <c r="G952" s="3"/>
      <c r="H952" s="10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176"/>
    </row>
    <row r="953" spans="1:21">
      <c r="A953" s="3"/>
      <c r="B953" s="3"/>
      <c r="C953" s="3"/>
      <c r="D953" s="3"/>
      <c r="E953" s="4"/>
      <c r="F953" s="3"/>
      <c r="G953" s="3"/>
      <c r="H953" s="10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176"/>
    </row>
    <row r="954" spans="1:21">
      <c r="A954" s="3"/>
      <c r="B954" s="3"/>
      <c r="C954" s="3"/>
      <c r="D954" s="3"/>
      <c r="E954" s="4"/>
      <c r="F954" s="3"/>
      <c r="G954" s="3"/>
      <c r="H954" s="10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176"/>
    </row>
    <row r="955" spans="1:21">
      <c r="A955" s="3"/>
      <c r="B955" s="3"/>
      <c r="C955" s="3"/>
      <c r="D955" s="3"/>
      <c r="E955" s="4"/>
      <c r="F955" s="3"/>
      <c r="G955" s="3"/>
      <c r="H955" s="10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176"/>
    </row>
    <row r="956" spans="1:21">
      <c r="A956" s="3"/>
      <c r="B956" s="3"/>
      <c r="C956" s="3"/>
      <c r="D956" s="3"/>
      <c r="E956" s="4"/>
      <c r="F956" s="3"/>
      <c r="G956" s="3"/>
      <c r="H956" s="10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176"/>
    </row>
    <row r="957" spans="1:21">
      <c r="A957" s="3"/>
      <c r="B957" s="3"/>
      <c r="C957" s="3"/>
      <c r="D957" s="3"/>
      <c r="E957" s="4"/>
      <c r="F957" s="3"/>
      <c r="G957" s="3"/>
      <c r="H957" s="10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176"/>
    </row>
    <row r="958" spans="1:21">
      <c r="A958" s="3"/>
      <c r="B958" s="3"/>
      <c r="C958" s="3"/>
      <c r="D958" s="3"/>
      <c r="E958" s="4"/>
      <c r="F958" s="3"/>
      <c r="G958" s="3"/>
      <c r="H958" s="10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176"/>
    </row>
    <row r="959" spans="1:21">
      <c r="A959" s="3"/>
      <c r="B959" s="3"/>
      <c r="C959" s="3"/>
      <c r="D959" s="3"/>
      <c r="E959" s="4"/>
      <c r="F959" s="3"/>
      <c r="G959" s="3"/>
      <c r="H959" s="10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176"/>
    </row>
    <row r="960" spans="1:21">
      <c r="A960" s="3"/>
      <c r="B960" s="3"/>
      <c r="C960" s="3"/>
      <c r="D960" s="3"/>
      <c r="E960" s="4"/>
      <c r="F960" s="3"/>
      <c r="G960" s="3"/>
      <c r="H960" s="10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176"/>
    </row>
    <row r="961" spans="1:21">
      <c r="A961" s="3"/>
      <c r="B961" s="3"/>
      <c r="C961" s="3"/>
      <c r="D961" s="3"/>
      <c r="E961" s="4"/>
      <c r="F961" s="3"/>
      <c r="G961" s="3"/>
      <c r="H961" s="10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176"/>
    </row>
    <row r="962" spans="1:21">
      <c r="A962" s="3"/>
      <c r="B962" s="3"/>
      <c r="C962" s="3"/>
      <c r="D962" s="3"/>
      <c r="E962" s="4"/>
      <c r="F962" s="3"/>
      <c r="G962" s="3"/>
      <c r="H962" s="10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176"/>
    </row>
    <row r="963" spans="1:21">
      <c r="A963" s="3"/>
      <c r="B963" s="3"/>
      <c r="C963" s="3"/>
      <c r="D963" s="3"/>
      <c r="E963" s="4"/>
      <c r="F963" s="3"/>
      <c r="G963" s="3"/>
      <c r="H963" s="10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176"/>
    </row>
    <row r="964" spans="1:21">
      <c r="A964" s="3"/>
      <c r="B964" s="3"/>
      <c r="C964" s="3"/>
      <c r="D964" s="3"/>
      <c r="E964" s="4"/>
      <c r="F964" s="3"/>
      <c r="G964" s="3"/>
      <c r="H964" s="10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176"/>
    </row>
    <row r="965" spans="1:21">
      <c r="A965" s="3"/>
      <c r="B965" s="3"/>
      <c r="C965" s="3"/>
      <c r="D965" s="3"/>
      <c r="E965" s="4"/>
      <c r="F965" s="3"/>
      <c r="G965" s="3"/>
      <c r="H965" s="10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176"/>
    </row>
    <row r="966" spans="1:21">
      <c r="A966" s="3"/>
      <c r="B966" s="3"/>
      <c r="C966" s="3"/>
      <c r="D966" s="3"/>
      <c r="E966" s="4"/>
      <c r="F966" s="3"/>
      <c r="G966" s="3"/>
      <c r="H966" s="10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176"/>
    </row>
    <row r="967" spans="1:21">
      <c r="A967" s="3"/>
      <c r="B967" s="3"/>
      <c r="C967" s="3"/>
      <c r="D967" s="3"/>
      <c r="E967" s="4"/>
      <c r="F967" s="3"/>
      <c r="G967" s="3"/>
      <c r="H967" s="10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176"/>
    </row>
    <row r="968" spans="1:21">
      <c r="A968" s="3"/>
      <c r="B968" s="3"/>
      <c r="C968" s="3"/>
      <c r="D968" s="3"/>
      <c r="E968" s="4"/>
      <c r="F968" s="3"/>
      <c r="G968" s="3"/>
      <c r="H968" s="10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176"/>
    </row>
    <row r="969" spans="1:21">
      <c r="A969" s="3"/>
      <c r="B969" s="3"/>
      <c r="C969" s="3"/>
      <c r="D969" s="3"/>
      <c r="E969" s="4"/>
      <c r="F969" s="3"/>
      <c r="G969" s="3"/>
      <c r="H969" s="10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176"/>
    </row>
    <row r="970" spans="1:21">
      <c r="A970" s="3"/>
      <c r="B970" s="3"/>
      <c r="C970" s="3"/>
      <c r="D970" s="3"/>
      <c r="E970" s="4"/>
      <c r="F970" s="3"/>
      <c r="G970" s="3"/>
      <c r="H970" s="10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176"/>
    </row>
    <row r="971" spans="1:21">
      <c r="A971" s="3"/>
      <c r="B971" s="3"/>
      <c r="C971" s="3"/>
      <c r="D971" s="3"/>
      <c r="E971" s="4"/>
      <c r="F971" s="3"/>
      <c r="G971" s="3"/>
      <c r="H971" s="10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176"/>
    </row>
    <row r="972" spans="1:21">
      <c r="A972" s="3"/>
      <c r="B972" s="3"/>
      <c r="C972" s="3"/>
      <c r="D972" s="3"/>
      <c r="E972" s="4"/>
      <c r="F972" s="3"/>
      <c r="G972" s="3"/>
      <c r="H972" s="10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176"/>
    </row>
    <row r="973" spans="1:21">
      <c r="A973" s="3"/>
      <c r="B973" s="3"/>
      <c r="C973" s="3"/>
      <c r="D973" s="3"/>
      <c r="E973" s="4"/>
      <c r="F973" s="3"/>
      <c r="G973" s="3"/>
      <c r="H973" s="10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176"/>
    </row>
    <row r="974" spans="1:21">
      <c r="A974" s="3"/>
      <c r="B974" s="3"/>
      <c r="C974" s="3"/>
      <c r="D974" s="3"/>
      <c r="E974" s="4"/>
      <c r="F974" s="3"/>
      <c r="G974" s="3"/>
      <c r="H974" s="10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176"/>
    </row>
    <row r="975" spans="1:21">
      <c r="A975" s="3"/>
      <c r="B975" s="3"/>
      <c r="C975" s="3"/>
      <c r="D975" s="3"/>
      <c r="E975" s="4"/>
      <c r="F975" s="3"/>
      <c r="G975" s="3"/>
      <c r="H975" s="10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176"/>
    </row>
    <row r="976" spans="1:21">
      <c r="A976" s="3"/>
      <c r="B976" s="3"/>
      <c r="C976" s="3"/>
      <c r="D976" s="3"/>
      <c r="E976" s="4"/>
      <c r="F976" s="3"/>
      <c r="G976" s="3"/>
      <c r="H976" s="10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176"/>
    </row>
    <row r="977" spans="1:21">
      <c r="A977" s="3"/>
      <c r="B977" s="3"/>
      <c r="C977" s="3"/>
      <c r="D977" s="3"/>
      <c r="E977" s="4"/>
      <c r="F977" s="3"/>
      <c r="G977" s="3"/>
      <c r="H977" s="10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176"/>
    </row>
    <row r="978" spans="1:21">
      <c r="A978" s="3"/>
      <c r="B978" s="3"/>
      <c r="C978" s="3"/>
      <c r="D978" s="3"/>
      <c r="E978" s="4"/>
      <c r="F978" s="3"/>
      <c r="G978" s="3"/>
      <c r="H978" s="10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176"/>
    </row>
    <row r="979" spans="1:21">
      <c r="A979" s="3"/>
      <c r="B979" s="3"/>
      <c r="C979" s="3"/>
      <c r="D979" s="3"/>
      <c r="E979" s="4"/>
      <c r="F979" s="3"/>
      <c r="G979" s="3"/>
      <c r="H979" s="10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176"/>
    </row>
    <row r="980" spans="1:21">
      <c r="A980" s="3"/>
      <c r="B980" s="3"/>
      <c r="C980" s="3"/>
      <c r="D980" s="3"/>
      <c r="E980" s="4"/>
      <c r="F980" s="3"/>
      <c r="G980" s="3"/>
      <c r="H980" s="10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176"/>
    </row>
    <row r="981" spans="1:21">
      <c r="A981" s="3"/>
      <c r="B981" s="3"/>
      <c r="C981" s="3"/>
      <c r="D981" s="3"/>
      <c r="E981" s="4"/>
      <c r="F981" s="3"/>
      <c r="G981" s="3"/>
      <c r="H981" s="10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176"/>
    </row>
    <row r="982" spans="1:21">
      <c r="A982" s="3"/>
      <c r="B982" s="3"/>
      <c r="C982" s="3"/>
      <c r="D982" s="3"/>
      <c r="E982" s="4"/>
      <c r="F982" s="3"/>
      <c r="G982" s="3"/>
      <c r="H982" s="10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176"/>
    </row>
    <row r="983" spans="1:21">
      <c r="A983" s="3"/>
      <c r="B983" s="3"/>
      <c r="C983" s="3"/>
      <c r="D983" s="3"/>
      <c r="E983" s="4"/>
      <c r="F983" s="3"/>
      <c r="G983" s="3"/>
      <c r="H983" s="10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176"/>
    </row>
    <row r="984" spans="1:21">
      <c r="A984" s="3"/>
      <c r="B984" s="3"/>
      <c r="C984" s="3"/>
      <c r="D984" s="3"/>
      <c r="E984" s="4"/>
      <c r="F984" s="3"/>
      <c r="G984" s="3"/>
      <c r="H984" s="10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176"/>
    </row>
    <row r="985" spans="1:21">
      <c r="A985" s="3"/>
      <c r="B985" s="3"/>
      <c r="C985" s="3"/>
      <c r="D985" s="3"/>
      <c r="E985" s="4"/>
      <c r="F985" s="3"/>
      <c r="G985" s="3"/>
      <c r="H985" s="10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176"/>
    </row>
    <row r="986" spans="1:21">
      <c r="A986" s="3"/>
      <c r="B986" s="3"/>
      <c r="C986" s="3"/>
      <c r="D986" s="3"/>
      <c r="E986" s="4"/>
      <c r="F986" s="3"/>
      <c r="G986" s="3"/>
      <c r="H986" s="10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176"/>
    </row>
    <row r="987" spans="1:21">
      <c r="A987" s="3"/>
      <c r="B987" s="3"/>
      <c r="C987" s="3"/>
      <c r="D987" s="3"/>
      <c r="E987" s="4"/>
      <c r="F987" s="3"/>
      <c r="G987" s="3"/>
      <c r="H987" s="10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176"/>
    </row>
    <row r="988" spans="1:21">
      <c r="A988" s="3"/>
      <c r="B988" s="3"/>
      <c r="C988" s="3"/>
      <c r="D988" s="3"/>
      <c r="E988" s="4"/>
      <c r="F988" s="3"/>
      <c r="G988" s="3"/>
      <c r="H988" s="10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176"/>
    </row>
    <row r="989" spans="1:21">
      <c r="A989" s="3"/>
      <c r="B989" s="3"/>
      <c r="C989" s="3"/>
      <c r="D989" s="3"/>
      <c r="E989" s="4"/>
      <c r="F989" s="3"/>
      <c r="G989" s="3"/>
      <c r="H989" s="10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176"/>
    </row>
    <row r="990" spans="1:21">
      <c r="A990" s="3"/>
      <c r="B990" s="3"/>
      <c r="C990" s="3"/>
      <c r="D990" s="3"/>
      <c r="E990" s="4"/>
      <c r="F990" s="3"/>
      <c r="G990" s="3"/>
      <c r="H990" s="10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176"/>
    </row>
    <row r="991" spans="1:21">
      <c r="A991" s="3"/>
      <c r="B991" s="3"/>
      <c r="C991" s="3"/>
      <c r="D991" s="3"/>
      <c r="E991" s="4"/>
      <c r="F991" s="3"/>
      <c r="G991" s="3"/>
      <c r="H991" s="10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176"/>
    </row>
    <row r="992" spans="1:21">
      <c r="A992" s="3"/>
      <c r="B992" s="3"/>
      <c r="C992" s="3"/>
      <c r="D992" s="3"/>
      <c r="E992" s="4"/>
      <c r="F992" s="3"/>
      <c r="G992" s="3"/>
      <c r="H992" s="10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176"/>
    </row>
    <row r="993" spans="1:21">
      <c r="A993" s="3"/>
      <c r="B993" s="3"/>
      <c r="C993" s="3"/>
      <c r="D993" s="3"/>
      <c r="E993" s="4"/>
      <c r="F993" s="3"/>
      <c r="G993" s="3"/>
      <c r="H993" s="10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176"/>
    </row>
    <row r="994" spans="1:21">
      <c r="A994" s="3"/>
      <c r="B994" s="3"/>
      <c r="C994" s="3"/>
      <c r="D994" s="3"/>
      <c r="E994" s="4"/>
      <c r="F994" s="3"/>
      <c r="G994" s="3"/>
      <c r="H994" s="10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176"/>
    </row>
    <row r="995" spans="1:21">
      <c r="A995" s="3"/>
      <c r="B995" s="3"/>
      <c r="C995" s="3"/>
      <c r="D995" s="3"/>
      <c r="E995" s="4"/>
      <c r="F995" s="3"/>
      <c r="G995" s="3"/>
      <c r="H995" s="10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176"/>
    </row>
    <row r="996" spans="1:21">
      <c r="A996" s="3"/>
      <c r="B996" s="3"/>
      <c r="C996" s="3"/>
      <c r="D996" s="3"/>
      <c r="E996" s="4"/>
      <c r="F996" s="3"/>
      <c r="G996" s="3"/>
      <c r="H996" s="10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176"/>
    </row>
  </sheetData>
  <mergeCells count="1">
    <mergeCell ref="J2:U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98"/>
  <sheetViews>
    <sheetView zoomScale="80" zoomScaleNormal="80" workbookViewId="0">
      <pane ySplit="1" topLeftCell="A2" activePane="bottomLeft" state="frozen"/>
      <selection activeCell="B1" sqref="B1"/>
      <selection pane="bottomLeft" activeCell="L210" sqref="L210"/>
    </sheetView>
  </sheetViews>
  <sheetFormatPr baseColWidth="10" defaultColWidth="15.140625" defaultRowHeight="15" customHeight="1"/>
  <cols>
    <col min="1" max="1" width="12.140625" style="282" customWidth="1"/>
    <col min="2" max="2" width="5.28515625" customWidth="1"/>
    <col min="3" max="3" width="4.85546875" customWidth="1"/>
    <col min="4" max="4" width="5.42578125" customWidth="1"/>
    <col min="5" max="5" width="28.7109375" bestFit="1" customWidth="1"/>
    <col min="6" max="6" width="26" bestFit="1" customWidth="1"/>
    <col min="7" max="7" width="6.140625" customWidth="1"/>
    <col min="8" max="8" width="5.5703125" bestFit="1" customWidth="1"/>
    <col min="9" max="9" width="11.5703125" bestFit="1" customWidth="1"/>
    <col min="10" max="11" width="9.85546875" customWidth="1"/>
    <col min="12" max="12" width="9.42578125" customWidth="1"/>
    <col min="13" max="13" width="16.140625" style="334" customWidth="1"/>
    <col min="14" max="15" width="18.140625" style="334" customWidth="1"/>
  </cols>
  <sheetData>
    <row r="1" spans="1:16" ht="45">
      <c r="A1" s="431" t="s">
        <v>9</v>
      </c>
      <c r="B1" s="421" t="s">
        <v>3</v>
      </c>
      <c r="C1" s="421" t="s">
        <v>4</v>
      </c>
      <c r="D1" s="421" t="s">
        <v>5</v>
      </c>
      <c r="E1" s="421" t="s">
        <v>6</v>
      </c>
      <c r="F1" s="421" t="s">
        <v>7</v>
      </c>
      <c r="G1" s="421" t="s">
        <v>8</v>
      </c>
      <c r="H1" s="421" t="s">
        <v>10</v>
      </c>
      <c r="I1" s="422" t="s">
        <v>378</v>
      </c>
      <c r="J1" s="422" t="s">
        <v>379</v>
      </c>
      <c r="K1" s="422" t="s">
        <v>380</v>
      </c>
      <c r="L1" s="422" t="s">
        <v>381</v>
      </c>
      <c r="M1" s="444" t="s">
        <v>433</v>
      </c>
      <c r="N1" s="445" t="s">
        <v>434</v>
      </c>
      <c r="O1" s="471" t="s">
        <v>435</v>
      </c>
      <c r="P1" s="472" t="s">
        <v>436</v>
      </c>
    </row>
    <row r="2" spans="1:16">
      <c r="A2" s="597">
        <v>50771</v>
      </c>
      <c r="B2" s="595">
        <v>2</v>
      </c>
      <c r="C2" s="596">
        <v>6</v>
      </c>
      <c r="D2" s="596">
        <v>2</v>
      </c>
      <c r="E2" s="595" t="s">
        <v>197</v>
      </c>
      <c r="F2" s="595" t="s">
        <v>198</v>
      </c>
      <c r="G2" s="595" t="s">
        <v>25</v>
      </c>
      <c r="H2" s="596">
        <v>9</v>
      </c>
      <c r="I2" s="598">
        <v>0.68700000000000006</v>
      </c>
      <c r="J2" s="598">
        <v>1.17</v>
      </c>
      <c r="K2" s="598">
        <v>1.27</v>
      </c>
      <c r="L2" s="661">
        <v>1.3</v>
      </c>
      <c r="M2" s="470">
        <f t="shared" ref="M2:M65" si="0">((J2-I2)+(K2-J2)+(L2-K2))/3</f>
        <v>0.20433333333333334</v>
      </c>
      <c r="N2" s="470">
        <f t="shared" ref="N2:N65" si="1">L2-I2</f>
        <v>0.61299999999999999</v>
      </c>
      <c r="O2" s="470">
        <v>10.333333333333334</v>
      </c>
      <c r="P2" s="470">
        <v>31</v>
      </c>
    </row>
    <row r="3" spans="1:16">
      <c r="A3" s="597">
        <v>50754</v>
      </c>
      <c r="B3" s="595">
        <v>2</v>
      </c>
      <c r="C3" s="596">
        <v>2</v>
      </c>
      <c r="D3" s="596">
        <v>4</v>
      </c>
      <c r="E3" s="595" t="s">
        <v>69</v>
      </c>
      <c r="F3" s="595" t="s">
        <v>70</v>
      </c>
      <c r="G3" s="595" t="s">
        <v>25</v>
      </c>
      <c r="H3" s="596">
        <v>205</v>
      </c>
      <c r="I3" s="598">
        <v>1.6616000000000004</v>
      </c>
      <c r="J3" s="598">
        <v>1.6890000000000001</v>
      </c>
      <c r="K3" s="598">
        <v>1.7284999999999999</v>
      </c>
      <c r="L3" s="598">
        <f>0.35+K3</f>
        <v>2.0785</v>
      </c>
      <c r="M3" s="470">
        <f t="shared" si="0"/>
        <v>0.13896666666666654</v>
      </c>
      <c r="N3" s="470">
        <f t="shared" si="1"/>
        <v>0.4168999999999996</v>
      </c>
      <c r="O3" s="470">
        <v>11.699999999999998</v>
      </c>
      <c r="P3" s="470">
        <v>35.099999999999994</v>
      </c>
    </row>
    <row r="4" spans="1:16">
      <c r="A4" s="597">
        <v>50820</v>
      </c>
      <c r="B4" s="595">
        <v>2</v>
      </c>
      <c r="C4" s="596">
        <v>2</v>
      </c>
      <c r="D4" s="596">
        <v>4</v>
      </c>
      <c r="E4" s="595" t="s">
        <v>69</v>
      </c>
      <c r="F4" s="595" t="s">
        <v>70</v>
      </c>
      <c r="G4" s="595" t="s">
        <v>68</v>
      </c>
      <c r="H4" s="596">
        <v>9</v>
      </c>
      <c r="I4" s="598">
        <v>1.623</v>
      </c>
      <c r="J4" s="598">
        <v>1.6259999999999999</v>
      </c>
      <c r="K4" s="598">
        <v>1.6259999999999999</v>
      </c>
      <c r="L4" s="598">
        <v>1.6259999999999999</v>
      </c>
      <c r="M4" s="470">
        <f t="shared" si="0"/>
        <v>9.9999999999996381E-4</v>
      </c>
      <c r="N4" s="470">
        <f t="shared" si="1"/>
        <v>2.9999999999998916E-3</v>
      </c>
      <c r="O4" s="470">
        <v>0</v>
      </c>
      <c r="P4" s="470">
        <v>0</v>
      </c>
    </row>
    <row r="5" spans="1:16">
      <c r="A5" s="597">
        <v>50707</v>
      </c>
      <c r="B5" s="595">
        <v>2</v>
      </c>
      <c r="C5" s="596">
        <v>4</v>
      </c>
      <c r="D5" s="596">
        <v>15</v>
      </c>
      <c r="E5" s="595" t="s">
        <v>160</v>
      </c>
      <c r="F5" s="595" t="s">
        <v>161</v>
      </c>
      <c r="G5" s="595" t="s">
        <v>34</v>
      </c>
      <c r="H5" s="596">
        <v>30</v>
      </c>
      <c r="I5" s="598">
        <v>0.68099999999999994</v>
      </c>
      <c r="J5" s="598">
        <v>0.85</v>
      </c>
      <c r="K5" s="598">
        <v>0.85</v>
      </c>
      <c r="L5" s="661">
        <v>0.86</v>
      </c>
      <c r="M5" s="470">
        <f t="shared" si="0"/>
        <v>5.966666666666668E-2</v>
      </c>
      <c r="N5" s="470">
        <f t="shared" si="1"/>
        <v>0.17900000000000005</v>
      </c>
      <c r="O5" s="470">
        <v>6.333333333333333</v>
      </c>
      <c r="P5" s="470">
        <v>19</v>
      </c>
    </row>
    <row r="6" spans="1:16">
      <c r="A6" s="597">
        <v>50863</v>
      </c>
      <c r="B6" s="595">
        <v>2</v>
      </c>
      <c r="C6" s="596">
        <v>7</v>
      </c>
      <c r="D6" s="596">
        <v>5</v>
      </c>
      <c r="E6" s="595" t="s">
        <v>160</v>
      </c>
      <c r="F6" s="595" t="s">
        <v>161</v>
      </c>
      <c r="G6" s="595" t="s">
        <v>25</v>
      </c>
      <c r="H6" s="596">
        <v>168</v>
      </c>
      <c r="I6" s="598">
        <v>0.64939999999999998</v>
      </c>
      <c r="J6" s="598">
        <v>0.95</v>
      </c>
      <c r="K6" s="598">
        <v>1.044</v>
      </c>
      <c r="L6" s="661">
        <f>(((J6-I6)+(K6-J6))/2)+K6</f>
        <v>1.2413000000000001</v>
      </c>
      <c r="M6" s="470">
        <f t="shared" si="0"/>
        <v>0.19730000000000003</v>
      </c>
      <c r="N6" s="470">
        <f t="shared" si="1"/>
        <v>0.59190000000000009</v>
      </c>
      <c r="O6" s="470">
        <v>15.670000000000002</v>
      </c>
      <c r="P6" s="470">
        <v>47.010000000000005</v>
      </c>
    </row>
    <row r="7" spans="1:16">
      <c r="A7" s="597">
        <v>50798</v>
      </c>
      <c r="B7" s="595">
        <v>2</v>
      </c>
      <c r="C7" s="596">
        <v>5</v>
      </c>
      <c r="D7" s="596">
        <v>9</v>
      </c>
      <c r="E7" s="595" t="s">
        <v>189</v>
      </c>
      <c r="F7" s="595" t="s">
        <v>190</v>
      </c>
      <c r="G7" s="595" t="s">
        <v>31</v>
      </c>
      <c r="H7" s="596">
        <v>182</v>
      </c>
      <c r="I7" s="598">
        <v>0.73499999999999999</v>
      </c>
      <c r="J7" s="598">
        <v>0.80200000000000005</v>
      </c>
      <c r="K7" s="598">
        <v>0.8666666666666667</v>
      </c>
      <c r="L7" s="661">
        <v>0.95666666666666667</v>
      </c>
      <c r="M7" s="470">
        <f t="shared" si="0"/>
        <v>7.3888888888888893E-2</v>
      </c>
      <c r="N7" s="470">
        <f t="shared" si="1"/>
        <v>0.22166666666666668</v>
      </c>
      <c r="O7" s="470">
        <v>8.8333333333333339</v>
      </c>
      <c r="P7" s="470">
        <v>26.5</v>
      </c>
    </row>
    <row r="8" spans="1:16">
      <c r="A8" s="597">
        <v>50856</v>
      </c>
      <c r="B8" s="595">
        <v>2</v>
      </c>
      <c r="C8" s="596">
        <v>5</v>
      </c>
      <c r="D8" s="596">
        <v>9</v>
      </c>
      <c r="E8" s="595" t="s">
        <v>189</v>
      </c>
      <c r="F8" s="595" t="s">
        <v>190</v>
      </c>
      <c r="G8" s="595" t="s">
        <v>31</v>
      </c>
      <c r="H8" s="596">
        <v>162</v>
      </c>
      <c r="I8" s="598">
        <v>0.66166666666666663</v>
      </c>
      <c r="J8" s="598">
        <v>0.72699999999999998</v>
      </c>
      <c r="K8" s="598">
        <v>0.77833333333333343</v>
      </c>
      <c r="L8" s="661">
        <v>0.89</v>
      </c>
      <c r="M8" s="470">
        <f t="shared" si="0"/>
        <v>7.6111111111111129E-2</v>
      </c>
      <c r="N8" s="470">
        <f t="shared" si="1"/>
        <v>0.22833333333333339</v>
      </c>
      <c r="O8" s="470">
        <v>10.790000000000001</v>
      </c>
      <c r="P8" s="470">
        <v>32.370000000000005</v>
      </c>
    </row>
    <row r="9" spans="1:16">
      <c r="A9" s="597">
        <v>50698</v>
      </c>
      <c r="B9" s="595">
        <v>2</v>
      </c>
      <c r="C9" s="596">
        <v>5</v>
      </c>
      <c r="D9" s="596">
        <v>9</v>
      </c>
      <c r="E9" s="595" t="s">
        <v>189</v>
      </c>
      <c r="F9" s="595" t="s">
        <v>190</v>
      </c>
      <c r="G9" s="595" t="s">
        <v>68</v>
      </c>
      <c r="H9" s="596">
        <v>87</v>
      </c>
      <c r="I9" s="598">
        <v>0.67799999999999994</v>
      </c>
      <c r="J9" s="598">
        <v>0.74399999999999999</v>
      </c>
      <c r="K9" s="598">
        <v>0.75000000000000011</v>
      </c>
      <c r="L9" s="661">
        <v>0.95499999999999996</v>
      </c>
      <c r="M9" s="470">
        <f t="shared" si="0"/>
        <v>9.2333333333333337E-2</v>
      </c>
      <c r="N9" s="470">
        <f t="shared" si="1"/>
        <v>0.27700000000000002</v>
      </c>
      <c r="O9" s="470">
        <v>2.25</v>
      </c>
      <c r="P9" s="470">
        <v>6.75</v>
      </c>
    </row>
    <row r="10" spans="1:16">
      <c r="A10" s="597">
        <v>50864</v>
      </c>
      <c r="B10" s="595">
        <v>2</v>
      </c>
      <c r="C10" s="596">
        <v>7</v>
      </c>
      <c r="D10" s="596">
        <v>5</v>
      </c>
      <c r="E10" s="595" t="s">
        <v>189</v>
      </c>
      <c r="F10" s="595" t="s">
        <v>190</v>
      </c>
      <c r="G10" s="595" t="s">
        <v>25</v>
      </c>
      <c r="H10" s="596">
        <v>279</v>
      </c>
      <c r="I10" s="598">
        <v>0.86850000000000005</v>
      </c>
      <c r="J10" s="598">
        <v>1.099</v>
      </c>
      <c r="K10" s="598">
        <v>1.3274999999999999</v>
      </c>
      <c r="L10" s="661">
        <v>1.48</v>
      </c>
      <c r="M10" s="470">
        <f t="shared" si="0"/>
        <v>0.20383333333333331</v>
      </c>
      <c r="N10" s="470">
        <f t="shared" si="1"/>
        <v>0.61149999999999993</v>
      </c>
      <c r="O10" s="470">
        <v>23.426666666666666</v>
      </c>
      <c r="P10" s="470">
        <v>70.28</v>
      </c>
    </row>
    <row r="11" spans="1:16">
      <c r="A11" s="597">
        <v>50809</v>
      </c>
      <c r="B11" s="595">
        <v>2</v>
      </c>
      <c r="C11" s="596">
        <v>4</v>
      </c>
      <c r="D11" s="596">
        <v>14</v>
      </c>
      <c r="E11" s="595" t="s">
        <v>145</v>
      </c>
      <c r="F11" s="595" t="s">
        <v>418</v>
      </c>
      <c r="G11" s="595" t="s">
        <v>31</v>
      </c>
      <c r="H11" s="596">
        <v>664</v>
      </c>
      <c r="I11" s="598">
        <v>1.0900000000000001</v>
      </c>
      <c r="J11" s="598">
        <v>1.508</v>
      </c>
      <c r="K11" s="598">
        <v>1.5280000000000002</v>
      </c>
      <c r="L11" s="661">
        <v>1.627</v>
      </c>
      <c r="M11" s="470">
        <f t="shared" si="0"/>
        <v>0.17899999999999996</v>
      </c>
      <c r="N11" s="470">
        <f t="shared" si="1"/>
        <v>0.53699999999999992</v>
      </c>
      <c r="O11" s="470">
        <v>6.9200000000000017</v>
      </c>
      <c r="P11" s="470">
        <v>20.760000000000005</v>
      </c>
    </row>
    <row r="12" spans="1:16">
      <c r="A12" s="597">
        <v>50711</v>
      </c>
      <c r="B12" s="595">
        <v>2</v>
      </c>
      <c r="C12" s="596">
        <v>4</v>
      </c>
      <c r="D12" s="596">
        <v>15</v>
      </c>
      <c r="E12" s="595" t="s">
        <v>145</v>
      </c>
      <c r="F12" s="595" t="s">
        <v>418</v>
      </c>
      <c r="G12" s="595" t="s">
        <v>31</v>
      </c>
      <c r="H12" s="596">
        <v>100</v>
      </c>
      <c r="I12" s="598">
        <v>1.1299999999999999</v>
      </c>
      <c r="J12" s="598">
        <v>1.4</v>
      </c>
      <c r="K12" s="598">
        <v>1.3999999999999997</v>
      </c>
      <c r="L12" s="661">
        <f>(((J12-I12)+(K12-J12))/2)+K12</f>
        <v>1.5349999999999997</v>
      </c>
      <c r="M12" s="470">
        <f t="shared" si="0"/>
        <v>0.13499999999999993</v>
      </c>
      <c r="N12" s="470">
        <f t="shared" si="1"/>
        <v>0.4049999999999998</v>
      </c>
      <c r="O12" s="470">
        <v>2.2333333333333343</v>
      </c>
      <c r="P12" s="470">
        <v>6.7000000000000028</v>
      </c>
    </row>
    <row r="13" spans="1:16">
      <c r="A13" s="597">
        <v>50701</v>
      </c>
      <c r="B13" s="595">
        <v>2</v>
      </c>
      <c r="C13" s="596">
        <v>4</v>
      </c>
      <c r="D13" s="596">
        <v>15</v>
      </c>
      <c r="E13" s="595" t="s">
        <v>145</v>
      </c>
      <c r="F13" s="595" t="s">
        <v>418</v>
      </c>
      <c r="G13" s="595" t="s">
        <v>68</v>
      </c>
      <c r="H13" s="596">
        <v>70</v>
      </c>
      <c r="I13" s="598">
        <v>0.35666666666666663</v>
      </c>
      <c r="J13" s="598">
        <v>0.40200000000000002</v>
      </c>
      <c r="K13" s="598">
        <v>0.43666666666666659</v>
      </c>
      <c r="L13" s="662">
        <v>0.75666666666666649</v>
      </c>
      <c r="M13" s="470">
        <f t="shared" si="0"/>
        <v>0.13333333333333328</v>
      </c>
      <c r="N13" s="470">
        <f t="shared" si="1"/>
        <v>0.39999999999999986</v>
      </c>
      <c r="O13" s="470">
        <v>3.1</v>
      </c>
      <c r="P13" s="470">
        <v>9.3000000000000007</v>
      </c>
    </row>
    <row r="14" spans="1:16">
      <c r="A14" s="597">
        <v>50866</v>
      </c>
      <c r="B14" s="595">
        <v>2</v>
      </c>
      <c r="C14" s="596">
        <v>4</v>
      </c>
      <c r="D14" s="596">
        <v>16</v>
      </c>
      <c r="E14" s="595" t="s">
        <v>145</v>
      </c>
      <c r="F14" s="595" t="s">
        <v>418</v>
      </c>
      <c r="G14" s="595" t="s">
        <v>31</v>
      </c>
      <c r="H14" s="596">
        <v>86</v>
      </c>
      <c r="I14" s="598">
        <v>0.78675000000000006</v>
      </c>
      <c r="J14" s="598">
        <v>0.997</v>
      </c>
      <c r="K14" s="598">
        <v>1.075</v>
      </c>
      <c r="L14" s="661">
        <v>1.35</v>
      </c>
      <c r="M14" s="470">
        <f t="shared" si="0"/>
        <v>0.18775</v>
      </c>
      <c r="N14" s="470">
        <f t="shared" si="1"/>
        <v>0.56325000000000003</v>
      </c>
      <c r="O14" s="470">
        <v>9.2333333333333343</v>
      </c>
      <c r="P14" s="470">
        <v>27.700000000000003</v>
      </c>
    </row>
    <row r="15" spans="1:16">
      <c r="A15" s="597">
        <v>50794</v>
      </c>
      <c r="B15" s="595">
        <v>2</v>
      </c>
      <c r="C15" s="596">
        <v>1</v>
      </c>
      <c r="D15" s="596">
        <v>8</v>
      </c>
      <c r="E15" s="595" t="s">
        <v>35</v>
      </c>
      <c r="F15" s="595" t="s">
        <v>36</v>
      </c>
      <c r="G15" s="595" t="s">
        <v>31</v>
      </c>
      <c r="H15" s="596">
        <v>392</v>
      </c>
      <c r="I15" s="598">
        <v>1.4770999999999999</v>
      </c>
      <c r="J15" s="598">
        <v>1.5189999999999999</v>
      </c>
      <c r="K15" s="598">
        <v>1.5718333333333334</v>
      </c>
      <c r="L15" s="661">
        <v>1.6434999999999997</v>
      </c>
      <c r="M15" s="470">
        <f t="shared" si="0"/>
        <v>5.5466666666666629E-2</v>
      </c>
      <c r="N15" s="470">
        <f t="shared" si="1"/>
        <v>0.16639999999999988</v>
      </c>
      <c r="O15" s="470">
        <v>8.1066666666666638</v>
      </c>
      <c r="P15" s="470">
        <v>24.319999999999993</v>
      </c>
    </row>
    <row r="16" spans="1:16">
      <c r="A16" s="597">
        <v>50806</v>
      </c>
      <c r="B16" s="595">
        <v>2</v>
      </c>
      <c r="C16" s="596">
        <v>5</v>
      </c>
      <c r="D16" s="596">
        <v>4</v>
      </c>
      <c r="E16" s="595" t="s">
        <v>35</v>
      </c>
      <c r="F16" s="595" t="s">
        <v>36</v>
      </c>
      <c r="G16" s="595" t="s">
        <v>31</v>
      </c>
      <c r="H16" s="596">
        <v>284</v>
      </c>
      <c r="I16" s="598">
        <v>1.222</v>
      </c>
      <c r="J16" s="598">
        <v>1.361</v>
      </c>
      <c r="K16" s="598">
        <v>1.468</v>
      </c>
      <c r="L16" s="661">
        <v>1.5055555555555555</v>
      </c>
      <c r="M16" s="470">
        <f t="shared" si="0"/>
        <v>9.4518518518518516E-2</v>
      </c>
      <c r="N16" s="470">
        <f t="shared" si="1"/>
        <v>0.28355555555555556</v>
      </c>
      <c r="O16" s="470">
        <v>5.390000000000005</v>
      </c>
      <c r="P16" s="470">
        <v>16.170000000000016</v>
      </c>
    </row>
    <row r="17" spans="1:16">
      <c r="A17" s="597">
        <v>50829</v>
      </c>
      <c r="B17" s="595">
        <v>2</v>
      </c>
      <c r="C17" s="596">
        <v>5</v>
      </c>
      <c r="D17" s="596">
        <v>4</v>
      </c>
      <c r="E17" s="595" t="s">
        <v>35</v>
      </c>
      <c r="F17" s="595" t="s">
        <v>36</v>
      </c>
      <c r="G17" s="595" t="s">
        <v>68</v>
      </c>
      <c r="H17" s="596">
        <v>418</v>
      </c>
      <c r="I17" s="598">
        <v>1.0630000000000002</v>
      </c>
      <c r="J17" s="598">
        <v>1.157</v>
      </c>
      <c r="K17" s="598">
        <v>1.2622222222222221</v>
      </c>
      <c r="L17" s="661">
        <v>1.3166666666666669</v>
      </c>
      <c r="M17" s="470">
        <f t="shared" si="0"/>
        <v>8.4555555555555564E-2</v>
      </c>
      <c r="N17" s="470">
        <f t="shared" si="1"/>
        <v>0.25366666666666671</v>
      </c>
      <c r="O17" s="470">
        <v>7.3233333333333333</v>
      </c>
      <c r="P17" s="470">
        <v>21.97</v>
      </c>
    </row>
    <row r="18" spans="1:16">
      <c r="A18" s="597">
        <v>50815</v>
      </c>
      <c r="B18" s="595">
        <v>2</v>
      </c>
      <c r="C18" s="596">
        <v>4</v>
      </c>
      <c r="D18" s="596">
        <v>15</v>
      </c>
      <c r="E18" s="595" t="s">
        <v>149</v>
      </c>
      <c r="F18" s="595" t="s">
        <v>414</v>
      </c>
      <c r="G18" s="595" t="s">
        <v>31</v>
      </c>
      <c r="H18" s="596">
        <v>81</v>
      </c>
      <c r="I18" s="598">
        <v>1.3643333333333334</v>
      </c>
      <c r="J18" s="598">
        <v>1.6830000000000001</v>
      </c>
      <c r="K18" s="598">
        <v>1.6833333333333333</v>
      </c>
      <c r="L18" s="661">
        <v>1.89</v>
      </c>
      <c r="M18" s="470">
        <f t="shared" si="0"/>
        <v>0.17522222222222217</v>
      </c>
      <c r="N18" s="470">
        <f t="shared" si="1"/>
        <v>0.5256666666666665</v>
      </c>
      <c r="O18" s="470">
        <v>5.3766666666666749</v>
      </c>
      <c r="P18" s="470">
        <v>16.130000000000024</v>
      </c>
    </row>
    <row r="19" spans="1:16">
      <c r="A19" s="597">
        <v>50830</v>
      </c>
      <c r="B19" s="595">
        <v>2</v>
      </c>
      <c r="C19" s="596">
        <v>4</v>
      </c>
      <c r="D19" s="596">
        <v>9</v>
      </c>
      <c r="E19" s="595" t="s">
        <v>136</v>
      </c>
      <c r="F19" s="595" t="s">
        <v>137</v>
      </c>
      <c r="G19" s="595" t="s">
        <v>68</v>
      </c>
      <c r="H19" s="596">
        <v>329</v>
      </c>
      <c r="I19" s="598">
        <v>0.82169999999999987</v>
      </c>
      <c r="J19" s="598">
        <v>0.96599999999999997</v>
      </c>
      <c r="K19" s="598">
        <v>0.96599999999999997</v>
      </c>
      <c r="L19" s="661">
        <v>0.98111111111111116</v>
      </c>
      <c r="M19" s="470">
        <f t="shared" si="0"/>
        <v>5.3137037037037094E-2</v>
      </c>
      <c r="N19" s="470">
        <f t="shared" si="1"/>
        <v>0.15941111111111128</v>
      </c>
      <c r="O19" s="470">
        <v>8.0400000000000009</v>
      </c>
      <c r="P19" s="470">
        <v>24.120000000000005</v>
      </c>
    </row>
    <row r="20" spans="1:16">
      <c r="A20" s="597">
        <v>50757</v>
      </c>
      <c r="B20" s="595">
        <v>2</v>
      </c>
      <c r="C20" s="596">
        <v>4</v>
      </c>
      <c r="D20" s="596">
        <v>9</v>
      </c>
      <c r="E20" s="595" t="s">
        <v>136</v>
      </c>
      <c r="F20" s="595" t="s">
        <v>137</v>
      </c>
      <c r="G20" s="595" t="s">
        <v>25</v>
      </c>
      <c r="H20" s="596">
        <v>10</v>
      </c>
      <c r="I20" s="598">
        <v>0.57300000000000006</v>
      </c>
      <c r="J20" s="598">
        <v>0.66</v>
      </c>
      <c r="K20" s="598">
        <v>0.66</v>
      </c>
      <c r="L20" s="661">
        <v>0.73</v>
      </c>
      <c r="M20" s="470">
        <f t="shared" si="0"/>
        <v>5.2333333333333308E-2</v>
      </c>
      <c r="N20" s="470">
        <f t="shared" si="1"/>
        <v>0.15699999999999992</v>
      </c>
      <c r="O20" s="470">
        <v>5.333333333333333</v>
      </c>
      <c r="P20" s="470">
        <v>16</v>
      </c>
    </row>
    <row r="21" spans="1:16">
      <c r="A21" s="597">
        <v>50857</v>
      </c>
      <c r="B21" s="595">
        <v>2</v>
      </c>
      <c r="C21" s="596">
        <v>8</v>
      </c>
      <c r="D21" s="596">
        <v>13</v>
      </c>
      <c r="E21" s="595" t="s">
        <v>136</v>
      </c>
      <c r="F21" s="595" t="s">
        <v>137</v>
      </c>
      <c r="G21" s="595" t="s">
        <v>25</v>
      </c>
      <c r="H21" s="596">
        <v>106</v>
      </c>
      <c r="I21" s="598">
        <v>1.2829999999999999</v>
      </c>
      <c r="J21" s="598">
        <v>1.363</v>
      </c>
      <c r="K21" s="661">
        <v>1.6475</v>
      </c>
      <c r="L21" s="661">
        <v>1.7100000000000002</v>
      </c>
      <c r="M21" s="470">
        <f t="shared" si="0"/>
        <v>0.14233333333333342</v>
      </c>
      <c r="N21" s="470">
        <f t="shared" si="1"/>
        <v>0.42700000000000027</v>
      </c>
      <c r="O21" s="470">
        <v>12.833333333333334</v>
      </c>
      <c r="P21" s="470">
        <v>38.5</v>
      </c>
    </row>
    <row r="22" spans="1:16">
      <c r="A22" s="597">
        <v>50853</v>
      </c>
      <c r="B22" s="595">
        <v>2</v>
      </c>
      <c r="C22" s="596">
        <v>7</v>
      </c>
      <c r="D22" s="596">
        <v>2</v>
      </c>
      <c r="E22" s="595" t="s">
        <v>205</v>
      </c>
      <c r="F22" s="595" t="s">
        <v>415</v>
      </c>
      <c r="G22" s="595" t="s">
        <v>34</v>
      </c>
      <c r="H22" s="596">
        <v>642</v>
      </c>
      <c r="I22" s="598">
        <v>0.6663</v>
      </c>
      <c r="J22" s="598">
        <v>0.77</v>
      </c>
      <c r="K22" s="598">
        <v>0.86099999999999999</v>
      </c>
      <c r="L22" s="661">
        <v>1.2530000000000001</v>
      </c>
      <c r="M22" s="470">
        <f t="shared" si="0"/>
        <v>0.19556666666666669</v>
      </c>
      <c r="N22" s="470">
        <f t="shared" si="1"/>
        <v>0.58670000000000011</v>
      </c>
      <c r="O22" s="470">
        <v>6.8666666666666645</v>
      </c>
      <c r="P22" s="470">
        <v>20.599999999999994</v>
      </c>
    </row>
    <row r="23" spans="1:16">
      <c r="A23" s="597">
        <v>50840</v>
      </c>
      <c r="B23" s="595">
        <v>2</v>
      </c>
      <c r="C23" s="596">
        <v>4</v>
      </c>
      <c r="D23" s="596">
        <v>15</v>
      </c>
      <c r="E23" s="595" t="s">
        <v>162</v>
      </c>
      <c r="F23" s="595" t="s">
        <v>420</v>
      </c>
      <c r="G23" s="595" t="s">
        <v>34</v>
      </c>
      <c r="H23" s="596">
        <v>1</v>
      </c>
      <c r="I23" s="598">
        <v>0.28500000000000003</v>
      </c>
      <c r="J23" s="598">
        <v>0.44</v>
      </c>
      <c r="K23" s="598">
        <v>0.44</v>
      </c>
      <c r="L23" s="663">
        <v>0.45</v>
      </c>
      <c r="M23" s="470">
        <f t="shared" si="0"/>
        <v>5.4999999999999993E-2</v>
      </c>
      <c r="N23" s="470">
        <f t="shared" si="1"/>
        <v>0.16499999999999998</v>
      </c>
      <c r="O23" s="470">
        <v>5.833333333333333</v>
      </c>
      <c r="P23" s="470">
        <v>17.5</v>
      </c>
    </row>
    <row r="24" spans="1:16">
      <c r="A24" s="597">
        <v>50594</v>
      </c>
      <c r="B24" s="595">
        <v>2</v>
      </c>
      <c r="C24" s="596">
        <v>1</v>
      </c>
      <c r="D24" s="596">
        <v>15</v>
      </c>
      <c r="E24" s="595" t="s">
        <v>56</v>
      </c>
      <c r="F24" s="595" t="s">
        <v>57</v>
      </c>
      <c r="G24" s="595" t="s">
        <v>34</v>
      </c>
      <c r="H24" s="596">
        <v>154</v>
      </c>
      <c r="I24" s="598">
        <v>1.512</v>
      </c>
      <c r="J24" s="598">
        <v>1.512</v>
      </c>
      <c r="K24" s="598">
        <v>1.512</v>
      </c>
      <c r="L24" s="663">
        <v>1.512</v>
      </c>
      <c r="M24" s="470">
        <f t="shared" si="0"/>
        <v>0</v>
      </c>
      <c r="N24" s="470">
        <f t="shared" si="1"/>
        <v>0</v>
      </c>
      <c r="O24" s="470">
        <v>2.3333333333333335</v>
      </c>
      <c r="P24" s="470">
        <v>7</v>
      </c>
    </row>
    <row r="25" spans="1:16">
      <c r="A25" s="597">
        <v>50712</v>
      </c>
      <c r="B25" s="595">
        <v>2</v>
      </c>
      <c r="C25" s="596">
        <v>4</v>
      </c>
      <c r="D25" s="596">
        <v>5</v>
      </c>
      <c r="E25" s="595" t="s">
        <v>56</v>
      </c>
      <c r="F25" s="595" t="s">
        <v>57</v>
      </c>
      <c r="G25" s="595" t="s">
        <v>31</v>
      </c>
      <c r="H25" s="596">
        <v>621</v>
      </c>
      <c r="I25" s="598">
        <v>0.7347999999999999</v>
      </c>
      <c r="J25" s="598">
        <v>1.04</v>
      </c>
      <c r="K25" s="598">
        <v>1.0396000000000001</v>
      </c>
      <c r="L25" s="663">
        <v>1.0958000000000001</v>
      </c>
      <c r="M25" s="470">
        <f t="shared" si="0"/>
        <v>0.1203333333333334</v>
      </c>
      <c r="N25" s="470">
        <f t="shared" si="1"/>
        <v>0.36100000000000021</v>
      </c>
      <c r="O25" s="470">
        <v>2.4000000000000008</v>
      </c>
      <c r="P25" s="470">
        <v>7.2000000000000028</v>
      </c>
    </row>
    <row r="26" spans="1:16">
      <c r="A26" s="597">
        <v>50664</v>
      </c>
      <c r="B26" s="595">
        <v>2</v>
      </c>
      <c r="C26" s="596">
        <v>5</v>
      </c>
      <c r="D26" s="596">
        <v>2</v>
      </c>
      <c r="E26" s="595" t="s">
        <v>56</v>
      </c>
      <c r="F26" s="595" t="s">
        <v>57</v>
      </c>
      <c r="G26" s="595" t="s">
        <v>68</v>
      </c>
      <c r="H26" s="596">
        <v>125</v>
      </c>
      <c r="I26" s="598">
        <v>0.6166666666666667</v>
      </c>
      <c r="J26" s="598">
        <v>0.754</v>
      </c>
      <c r="K26" s="598">
        <v>0.89100000000000001</v>
      </c>
      <c r="L26" s="663">
        <f>(((J26-I26)+(K26-J26))/2)+K26</f>
        <v>1.0281666666666667</v>
      </c>
      <c r="M26" s="470">
        <f t="shared" si="0"/>
        <v>0.13716666666666666</v>
      </c>
      <c r="N26" s="470">
        <f t="shared" si="1"/>
        <v>0.41149999999999998</v>
      </c>
      <c r="O26" s="470">
        <v>3.4566666666666683</v>
      </c>
      <c r="P26" s="470">
        <v>10.370000000000005</v>
      </c>
    </row>
    <row r="27" spans="1:16">
      <c r="A27" s="597">
        <v>50876</v>
      </c>
      <c r="B27" s="595">
        <v>2</v>
      </c>
      <c r="C27" s="596">
        <v>8</v>
      </c>
      <c r="D27" s="596">
        <v>14</v>
      </c>
      <c r="E27" s="595" t="s">
        <v>241</v>
      </c>
      <c r="F27" s="595" t="s">
        <v>416</v>
      </c>
      <c r="G27" s="595" t="s">
        <v>25</v>
      </c>
      <c r="H27" s="596">
        <v>420</v>
      </c>
      <c r="I27" s="598">
        <v>0.48399999999999999</v>
      </c>
      <c r="J27" s="598">
        <v>0.54300000000000004</v>
      </c>
      <c r="K27" s="661">
        <v>0.62600000000000011</v>
      </c>
      <c r="L27" s="663">
        <v>0.75777777777777777</v>
      </c>
      <c r="M27" s="470">
        <f t="shared" si="0"/>
        <v>9.1259259259259262E-2</v>
      </c>
      <c r="N27" s="470">
        <f t="shared" si="1"/>
        <v>0.27377777777777779</v>
      </c>
      <c r="O27" s="470">
        <v>2.6400000000000006</v>
      </c>
      <c r="P27" s="470">
        <v>7.9200000000000017</v>
      </c>
    </row>
    <row r="28" spans="1:16">
      <c r="A28" s="597">
        <v>50748</v>
      </c>
      <c r="B28" s="595">
        <v>2</v>
      </c>
      <c r="C28" s="596">
        <v>2</v>
      </c>
      <c r="D28" s="596">
        <v>13</v>
      </c>
      <c r="E28" s="595" t="s">
        <v>76</v>
      </c>
      <c r="F28" s="595" t="s">
        <v>77</v>
      </c>
      <c r="G28" s="595" t="s">
        <v>25</v>
      </c>
      <c r="H28" s="596">
        <v>296</v>
      </c>
      <c r="I28" s="598">
        <v>0.41999999999999993</v>
      </c>
      <c r="J28" s="598">
        <v>0.51</v>
      </c>
      <c r="K28" s="598">
        <v>0.54300000000000004</v>
      </c>
      <c r="L28" s="664">
        <v>0.58925000000000005</v>
      </c>
      <c r="M28" s="470">
        <f t="shared" si="0"/>
        <v>5.6416666666666705E-2</v>
      </c>
      <c r="N28" s="470">
        <f t="shared" si="1"/>
        <v>0.16925000000000012</v>
      </c>
      <c r="O28" s="470">
        <v>6.8766666666666652</v>
      </c>
      <c r="P28" s="470">
        <v>20.629999999999995</v>
      </c>
    </row>
    <row r="29" spans="1:16">
      <c r="A29" s="597" t="s">
        <v>385</v>
      </c>
      <c r="B29" s="595">
        <v>2</v>
      </c>
      <c r="C29" s="596">
        <v>1</v>
      </c>
      <c r="D29" s="596">
        <v>12</v>
      </c>
      <c r="E29" s="595" t="s">
        <v>46</v>
      </c>
      <c r="F29" s="595" t="s">
        <v>47</v>
      </c>
      <c r="G29" s="595" t="s">
        <v>25</v>
      </c>
      <c r="H29" s="596">
        <v>472</v>
      </c>
      <c r="I29" s="598">
        <v>1.6202999999999999</v>
      </c>
      <c r="J29" s="598">
        <v>1.6379999999999999</v>
      </c>
      <c r="K29" s="598">
        <v>1.6381000000000001</v>
      </c>
      <c r="L29" s="663">
        <v>1.6477999999999997</v>
      </c>
      <c r="M29" s="470">
        <f t="shared" si="0"/>
        <v>9.1666666666666199E-3</v>
      </c>
      <c r="N29" s="470">
        <f t="shared" si="1"/>
        <v>2.7499999999999858E-2</v>
      </c>
      <c r="O29" s="470">
        <v>5.5333333333333314</v>
      </c>
      <c r="P29" s="470">
        <v>16.599999999999994</v>
      </c>
    </row>
    <row r="30" spans="1:16">
      <c r="A30" s="597" t="s">
        <v>386</v>
      </c>
      <c r="B30" s="595">
        <v>2</v>
      </c>
      <c r="C30" s="596">
        <v>1</v>
      </c>
      <c r="D30" s="596">
        <v>18</v>
      </c>
      <c r="E30" s="595" t="s">
        <v>46</v>
      </c>
      <c r="F30" s="451" t="s">
        <v>47</v>
      </c>
      <c r="G30" s="595" t="s">
        <v>25</v>
      </c>
      <c r="H30" s="596">
        <v>81</v>
      </c>
      <c r="I30" s="598">
        <v>1.7667999999999999</v>
      </c>
      <c r="J30" s="598">
        <v>1.7669999999999999</v>
      </c>
      <c r="K30" s="598">
        <v>1.7672000000000001</v>
      </c>
      <c r="L30" s="663">
        <v>1.7925</v>
      </c>
      <c r="M30" s="470">
        <f t="shared" si="0"/>
        <v>8.566666666666686E-3</v>
      </c>
      <c r="N30" s="470">
        <f t="shared" si="1"/>
        <v>2.5700000000000056E-2</v>
      </c>
      <c r="O30" s="470">
        <v>7</v>
      </c>
      <c r="P30" s="470">
        <v>21</v>
      </c>
    </row>
    <row r="31" spans="1:16">
      <c r="A31" s="597">
        <v>50542</v>
      </c>
      <c r="B31" s="595">
        <v>2</v>
      </c>
      <c r="C31" s="596">
        <v>1</v>
      </c>
      <c r="D31" s="596">
        <v>18</v>
      </c>
      <c r="E31" s="595" t="s">
        <v>46</v>
      </c>
      <c r="F31" s="451" t="s">
        <v>47</v>
      </c>
      <c r="G31" s="595" t="s">
        <v>34</v>
      </c>
      <c r="H31" s="596">
        <v>109</v>
      </c>
      <c r="I31" s="598">
        <v>1.4095714285714285</v>
      </c>
      <c r="J31" s="598">
        <v>1.41</v>
      </c>
      <c r="K31" s="598">
        <v>1.5447142857142857</v>
      </c>
      <c r="L31" s="663">
        <v>1.6914285714285715</v>
      </c>
      <c r="M31" s="470">
        <f t="shared" si="0"/>
        <v>9.3952380952381009E-2</v>
      </c>
      <c r="N31" s="470">
        <f t="shared" si="1"/>
        <v>0.28185714285714303</v>
      </c>
      <c r="O31" s="470">
        <v>5.4366666666666674</v>
      </c>
      <c r="P31" s="470">
        <v>16.310000000000002</v>
      </c>
    </row>
    <row r="32" spans="1:16">
      <c r="A32" s="597">
        <v>50601</v>
      </c>
      <c r="B32" s="595">
        <v>2</v>
      </c>
      <c r="C32" s="596">
        <v>6</v>
      </c>
      <c r="D32" s="596">
        <v>3</v>
      </c>
      <c r="E32" s="595" t="s">
        <v>201</v>
      </c>
      <c r="F32" s="595" t="s">
        <v>202</v>
      </c>
      <c r="G32" s="595" t="s">
        <v>34</v>
      </c>
      <c r="H32" s="596">
        <v>146</v>
      </c>
      <c r="I32" s="598">
        <v>0.91116666666666657</v>
      </c>
      <c r="J32" s="598">
        <v>1.1259999999999999</v>
      </c>
      <c r="K32" s="598">
        <v>1.1483333333333332</v>
      </c>
      <c r="L32" s="663">
        <v>1.1716666666666666</v>
      </c>
      <c r="M32" s="470">
        <f t="shared" si="0"/>
        <v>8.683333333333336E-2</v>
      </c>
      <c r="N32" s="470">
        <f t="shared" si="1"/>
        <v>0.26050000000000006</v>
      </c>
      <c r="O32" s="470">
        <v>0.73999999999999966</v>
      </c>
      <c r="P32" s="470">
        <v>2.2199999999999989</v>
      </c>
    </row>
    <row r="33" spans="1:16">
      <c r="A33" s="597">
        <v>50525</v>
      </c>
      <c r="B33" s="595">
        <v>2</v>
      </c>
      <c r="C33" s="596">
        <v>6</v>
      </c>
      <c r="D33" s="596">
        <v>3</v>
      </c>
      <c r="E33" s="595" t="s">
        <v>201</v>
      </c>
      <c r="F33" s="595" t="s">
        <v>202</v>
      </c>
      <c r="G33" s="595" t="s">
        <v>25</v>
      </c>
      <c r="H33" s="596">
        <v>42</v>
      </c>
      <c r="I33" s="598">
        <v>0.87250000000000005</v>
      </c>
      <c r="J33" s="598">
        <v>1.0109999999999999</v>
      </c>
      <c r="K33" s="598">
        <v>1.0249999999999999</v>
      </c>
      <c r="L33" s="663">
        <v>1.2549999999999999</v>
      </c>
      <c r="M33" s="470">
        <f t="shared" si="0"/>
        <v>0.12749999999999995</v>
      </c>
      <c r="N33" s="470">
        <f t="shared" si="1"/>
        <v>0.38249999999999984</v>
      </c>
      <c r="O33" s="470">
        <v>0.33333333333333331</v>
      </c>
      <c r="P33" s="470">
        <v>1</v>
      </c>
    </row>
    <row r="34" spans="1:16">
      <c r="A34" s="597">
        <v>50767</v>
      </c>
      <c r="B34" s="595">
        <v>2</v>
      </c>
      <c r="C34" s="596">
        <v>4</v>
      </c>
      <c r="D34" s="596">
        <v>2</v>
      </c>
      <c r="E34" s="595" t="s">
        <v>126</v>
      </c>
      <c r="F34" s="595" t="s">
        <v>127</v>
      </c>
      <c r="G34" s="595" t="s">
        <v>25</v>
      </c>
      <c r="H34" s="596">
        <v>145</v>
      </c>
      <c r="I34" s="598">
        <v>0.97699999999999998</v>
      </c>
      <c r="J34" s="598">
        <v>1.5029999999999999</v>
      </c>
      <c r="K34" s="598">
        <v>1.5029999999999999</v>
      </c>
      <c r="L34" s="663">
        <v>1.81</v>
      </c>
      <c r="M34" s="470">
        <f t="shared" si="0"/>
        <v>0.27766666666666667</v>
      </c>
      <c r="N34" s="470">
        <f t="shared" si="1"/>
        <v>0.83300000000000007</v>
      </c>
      <c r="O34" s="470">
        <v>1.5</v>
      </c>
      <c r="P34" s="470">
        <v>4.5</v>
      </c>
    </row>
    <row r="35" spans="1:16">
      <c r="A35" s="597">
        <v>50206</v>
      </c>
      <c r="B35" s="595">
        <v>2</v>
      </c>
      <c r="C35" s="596">
        <v>7</v>
      </c>
      <c r="D35" s="596">
        <v>18</v>
      </c>
      <c r="E35" s="595" t="s">
        <v>230</v>
      </c>
      <c r="F35" s="595" t="s">
        <v>231</v>
      </c>
      <c r="G35" s="595" t="s">
        <v>48</v>
      </c>
      <c r="H35" s="596">
        <v>73</v>
      </c>
      <c r="I35" s="598"/>
      <c r="J35" s="598"/>
      <c r="K35" s="598"/>
      <c r="L35" s="663"/>
      <c r="M35" s="470">
        <f t="shared" si="0"/>
        <v>0</v>
      </c>
      <c r="N35" s="470">
        <f t="shared" si="1"/>
        <v>0</v>
      </c>
      <c r="O35" s="470">
        <v>10.816666666666668</v>
      </c>
      <c r="P35" s="470">
        <v>32.450000000000003</v>
      </c>
    </row>
    <row r="36" spans="1:16">
      <c r="A36" s="597">
        <v>50858</v>
      </c>
      <c r="B36" s="595">
        <v>2</v>
      </c>
      <c r="C36" s="596">
        <v>3</v>
      </c>
      <c r="D36" s="596">
        <v>18</v>
      </c>
      <c r="E36" s="595" t="s">
        <v>114</v>
      </c>
      <c r="F36" s="595" t="s">
        <v>115</v>
      </c>
      <c r="G36" s="595" t="s">
        <v>25</v>
      </c>
      <c r="H36" s="596">
        <v>98</v>
      </c>
      <c r="I36" s="598">
        <v>0.17033333333333331</v>
      </c>
      <c r="J36" s="598">
        <v>0.192</v>
      </c>
      <c r="K36" s="598">
        <v>0.20733333333333334</v>
      </c>
      <c r="L36" s="663">
        <v>0.29666666666666669</v>
      </c>
      <c r="M36" s="470">
        <f t="shared" si="0"/>
        <v>4.2111111111111127E-2</v>
      </c>
      <c r="N36" s="470">
        <f t="shared" si="1"/>
        <v>0.12633333333333338</v>
      </c>
      <c r="O36" s="470">
        <v>1.543333333333333</v>
      </c>
      <c r="P36" s="470">
        <v>4.629999999999999</v>
      </c>
    </row>
    <row r="37" spans="1:16">
      <c r="A37" s="597">
        <v>50535</v>
      </c>
      <c r="B37" s="595">
        <v>2</v>
      </c>
      <c r="C37" s="596">
        <v>3</v>
      </c>
      <c r="D37" s="596">
        <v>18</v>
      </c>
      <c r="E37" s="595" t="s">
        <v>114</v>
      </c>
      <c r="F37" s="595" t="s">
        <v>115</v>
      </c>
      <c r="G37" s="595" t="s">
        <v>117</v>
      </c>
      <c r="H37" s="596">
        <v>24</v>
      </c>
      <c r="I37" s="598">
        <v>0.185</v>
      </c>
      <c r="J37" s="598">
        <v>0.22</v>
      </c>
      <c r="K37" s="598">
        <v>0.23</v>
      </c>
      <c r="L37" s="663">
        <v>0.23</v>
      </c>
      <c r="M37" s="470">
        <f t="shared" si="0"/>
        <v>1.5000000000000005E-2</v>
      </c>
      <c r="N37" s="470">
        <f t="shared" si="1"/>
        <v>4.5000000000000012E-2</v>
      </c>
      <c r="O37" s="470">
        <v>2.6666666666666665</v>
      </c>
      <c r="P37" s="470">
        <v>8</v>
      </c>
    </row>
    <row r="38" spans="1:16">
      <c r="A38" s="597">
        <v>50758</v>
      </c>
      <c r="B38" s="595">
        <v>2</v>
      </c>
      <c r="C38" s="596">
        <v>3</v>
      </c>
      <c r="D38" s="596">
        <v>18</v>
      </c>
      <c r="E38" s="595" t="s">
        <v>112</v>
      </c>
      <c r="F38" s="595" t="s">
        <v>113</v>
      </c>
      <c r="G38" s="595" t="s">
        <v>25</v>
      </c>
      <c r="H38" s="596">
        <v>246</v>
      </c>
      <c r="I38" s="598">
        <v>1.1469</v>
      </c>
      <c r="J38" s="598">
        <v>1.198</v>
      </c>
      <c r="K38" s="598">
        <v>1.2425000000000002</v>
      </c>
      <c r="L38" s="663">
        <v>1.2885714285714287</v>
      </c>
      <c r="M38" s="470">
        <f t="shared" si="0"/>
        <v>4.7223809523809557E-2</v>
      </c>
      <c r="N38" s="470">
        <f t="shared" si="1"/>
        <v>0.14167142857142867</v>
      </c>
      <c r="O38" s="470">
        <v>3.7366666666666646</v>
      </c>
      <c r="P38" s="470">
        <v>11.209999999999994</v>
      </c>
    </row>
    <row r="39" spans="1:16">
      <c r="A39" s="597">
        <v>50812</v>
      </c>
      <c r="B39" s="595">
        <v>2</v>
      </c>
      <c r="C39" s="596">
        <v>3</v>
      </c>
      <c r="D39" s="596">
        <v>18</v>
      </c>
      <c r="E39" s="595" t="s">
        <v>112</v>
      </c>
      <c r="F39" s="595" t="s">
        <v>113</v>
      </c>
      <c r="G39" s="595" t="s">
        <v>25</v>
      </c>
      <c r="H39" s="596">
        <v>29</v>
      </c>
      <c r="I39" s="598">
        <v>0.64500000000000002</v>
      </c>
      <c r="J39" s="598">
        <v>0.68700000000000006</v>
      </c>
      <c r="K39" s="598">
        <v>0.72</v>
      </c>
      <c r="L39" s="665">
        <v>0.96</v>
      </c>
      <c r="M39" s="470">
        <f t="shared" si="0"/>
        <v>0.10499999999999998</v>
      </c>
      <c r="N39" s="470">
        <f t="shared" si="1"/>
        <v>0.31499999999999995</v>
      </c>
      <c r="O39" s="470">
        <v>4.166666666666667</v>
      </c>
      <c r="P39" s="470">
        <v>12.5</v>
      </c>
    </row>
    <row r="40" spans="1:16">
      <c r="A40" s="597">
        <v>50688</v>
      </c>
      <c r="B40" s="595">
        <v>2</v>
      </c>
      <c r="C40" s="596">
        <v>3</v>
      </c>
      <c r="D40" s="596">
        <v>19</v>
      </c>
      <c r="E40" s="595" t="s">
        <v>112</v>
      </c>
      <c r="F40" s="595" t="s">
        <v>113</v>
      </c>
      <c r="G40" s="595" t="s">
        <v>34</v>
      </c>
      <c r="H40" s="596">
        <v>113</v>
      </c>
      <c r="I40" s="598">
        <v>1.1200000000000001</v>
      </c>
      <c r="J40" s="598">
        <v>1.24</v>
      </c>
      <c r="K40" s="598">
        <v>1.4066250000000002</v>
      </c>
      <c r="L40" s="661">
        <v>1.4497499999999999</v>
      </c>
      <c r="M40" s="470">
        <f t="shared" si="0"/>
        <v>0.10991666666666659</v>
      </c>
      <c r="N40" s="470">
        <f t="shared" si="1"/>
        <v>0.32974999999999977</v>
      </c>
      <c r="O40" s="470">
        <v>1.3833333333333353</v>
      </c>
      <c r="P40" s="470">
        <v>4.1500000000000057</v>
      </c>
    </row>
    <row r="41" spans="1:16">
      <c r="A41" s="597">
        <v>50146</v>
      </c>
      <c r="B41" s="595">
        <v>2</v>
      </c>
      <c r="C41" s="596">
        <v>3</v>
      </c>
      <c r="D41" s="596">
        <v>19</v>
      </c>
      <c r="E41" s="595" t="s">
        <v>112</v>
      </c>
      <c r="F41" s="595" t="s">
        <v>113</v>
      </c>
      <c r="G41" s="595" t="s">
        <v>68</v>
      </c>
      <c r="H41" s="596">
        <v>9</v>
      </c>
      <c r="I41" s="598">
        <v>1.3049999999999999</v>
      </c>
      <c r="J41" s="598">
        <v>1.325</v>
      </c>
      <c r="K41" s="598">
        <v>1.34</v>
      </c>
      <c r="L41" s="661">
        <v>1.86</v>
      </c>
      <c r="M41" s="470">
        <f t="shared" si="0"/>
        <v>0.18500000000000005</v>
      </c>
      <c r="N41" s="470">
        <f t="shared" si="1"/>
        <v>0.55500000000000016</v>
      </c>
      <c r="O41" s="470">
        <v>0.33333333333333331</v>
      </c>
      <c r="P41" s="470">
        <v>1</v>
      </c>
    </row>
    <row r="42" spans="1:16">
      <c r="A42" s="597">
        <v>50467</v>
      </c>
      <c r="B42" s="595">
        <v>2</v>
      </c>
      <c r="C42" s="596">
        <v>1</v>
      </c>
      <c r="D42" s="596">
        <v>17</v>
      </c>
      <c r="E42" s="595" t="s">
        <v>60</v>
      </c>
      <c r="F42" s="595" t="s">
        <v>61</v>
      </c>
      <c r="G42" s="595" t="s">
        <v>34</v>
      </c>
      <c r="H42" s="596">
        <v>426</v>
      </c>
      <c r="I42" s="598">
        <v>1.4354000000000002</v>
      </c>
      <c r="J42" s="598">
        <v>1.446</v>
      </c>
      <c r="K42" s="598">
        <v>1.4458000000000002</v>
      </c>
      <c r="L42" s="661">
        <v>1.4611000000000003</v>
      </c>
      <c r="M42" s="470">
        <f t="shared" si="0"/>
        <v>8.566666666666686E-3</v>
      </c>
      <c r="N42" s="470">
        <f t="shared" si="1"/>
        <v>2.5700000000000056E-2</v>
      </c>
      <c r="O42" s="470">
        <v>1.7333333333333296</v>
      </c>
      <c r="P42" s="470">
        <v>5.1999999999999886</v>
      </c>
    </row>
    <row r="43" spans="1:16">
      <c r="A43" s="597" t="s">
        <v>387</v>
      </c>
      <c r="B43" s="595">
        <v>2</v>
      </c>
      <c r="C43" s="596">
        <v>2</v>
      </c>
      <c r="D43" s="596">
        <v>13</v>
      </c>
      <c r="E43" s="595" t="s">
        <v>60</v>
      </c>
      <c r="F43" s="595" t="s">
        <v>61</v>
      </c>
      <c r="G43" s="595" t="s">
        <v>25</v>
      </c>
      <c r="H43" s="596">
        <v>200</v>
      </c>
      <c r="I43" s="598">
        <v>1.4363733614043555</v>
      </c>
      <c r="J43" s="598">
        <v>1.512</v>
      </c>
      <c r="K43" s="598">
        <v>1.5142500000000001</v>
      </c>
      <c r="L43" s="598">
        <v>1.6071249999999999</v>
      </c>
      <c r="M43" s="470">
        <f t="shared" si="0"/>
        <v>5.6917212865214818E-2</v>
      </c>
      <c r="N43" s="470">
        <f t="shared" si="1"/>
        <v>0.17075163859564446</v>
      </c>
      <c r="O43" s="470">
        <v>3.8799999999999955</v>
      </c>
      <c r="P43" s="470">
        <v>11.639999999999986</v>
      </c>
    </row>
    <row r="44" spans="1:16">
      <c r="A44" s="597">
        <v>50733</v>
      </c>
      <c r="B44" s="595">
        <v>2</v>
      </c>
      <c r="C44" s="596">
        <v>3</v>
      </c>
      <c r="D44" s="596">
        <v>17</v>
      </c>
      <c r="E44" s="595" t="s">
        <v>60</v>
      </c>
      <c r="F44" s="595" t="s">
        <v>61</v>
      </c>
      <c r="G44" s="595" t="s">
        <v>25</v>
      </c>
      <c r="H44" s="596">
        <v>114</v>
      </c>
      <c r="I44" s="598">
        <v>1.0820000000000001</v>
      </c>
      <c r="J44" s="598">
        <v>1.1060000000000001</v>
      </c>
      <c r="K44" s="598">
        <v>1.44</v>
      </c>
      <c r="L44" s="661">
        <v>1.45</v>
      </c>
      <c r="M44" s="470">
        <f t="shared" si="0"/>
        <v>0.12266666666666663</v>
      </c>
      <c r="N44" s="470">
        <f t="shared" si="1"/>
        <v>0.36799999999999988</v>
      </c>
      <c r="O44" s="470">
        <v>4.5</v>
      </c>
      <c r="P44" s="470">
        <v>13.5</v>
      </c>
    </row>
    <row r="45" spans="1:16">
      <c r="A45" s="597">
        <v>50636</v>
      </c>
      <c r="B45" s="595">
        <v>2</v>
      </c>
      <c r="C45" s="596">
        <v>3</v>
      </c>
      <c r="D45" s="596">
        <v>17</v>
      </c>
      <c r="E45" s="595" t="s">
        <v>60</v>
      </c>
      <c r="F45" s="595" t="s">
        <v>61</v>
      </c>
      <c r="G45" s="595" t="s">
        <v>68</v>
      </c>
      <c r="H45" s="596">
        <v>36</v>
      </c>
      <c r="I45" s="598">
        <v>1.34</v>
      </c>
      <c r="J45" s="598">
        <v>1.369</v>
      </c>
      <c r="K45" s="598">
        <v>1.369</v>
      </c>
      <c r="L45" s="661">
        <v>1.38</v>
      </c>
      <c r="M45" s="470">
        <f t="shared" si="0"/>
        <v>1.3333333333333272E-2</v>
      </c>
      <c r="N45" s="470">
        <f t="shared" si="1"/>
        <v>3.9999999999999813E-2</v>
      </c>
      <c r="O45" s="470">
        <v>3.6666666666666665</v>
      </c>
      <c r="P45" s="470">
        <v>11</v>
      </c>
    </row>
    <row r="46" spans="1:16">
      <c r="A46" s="597">
        <v>50626</v>
      </c>
      <c r="B46" s="595">
        <v>2</v>
      </c>
      <c r="C46" s="596">
        <v>3</v>
      </c>
      <c r="D46" s="596">
        <v>17</v>
      </c>
      <c r="E46" s="595" t="s">
        <v>60</v>
      </c>
      <c r="F46" s="595" t="s">
        <v>61</v>
      </c>
      <c r="G46" s="595" t="s">
        <v>68</v>
      </c>
      <c r="H46" s="596">
        <v>8</v>
      </c>
      <c r="I46" s="598">
        <v>1.1779999999999999</v>
      </c>
      <c r="J46" s="598">
        <v>1.34</v>
      </c>
      <c r="K46" s="598">
        <v>1.34</v>
      </c>
      <c r="L46" s="595">
        <v>1.45</v>
      </c>
      <c r="M46" s="470">
        <f t="shared" si="0"/>
        <v>9.0666666666666673E-2</v>
      </c>
      <c r="N46" s="470">
        <f t="shared" si="1"/>
        <v>0.27200000000000002</v>
      </c>
      <c r="O46" s="470">
        <v>3.3333333333333335</v>
      </c>
      <c r="P46" s="470">
        <v>10</v>
      </c>
    </row>
    <row r="47" spans="1:16">
      <c r="A47" s="597">
        <v>50595</v>
      </c>
      <c r="B47" s="595">
        <v>2</v>
      </c>
      <c r="C47" s="596">
        <v>3</v>
      </c>
      <c r="D47" s="596">
        <v>17</v>
      </c>
      <c r="E47" s="595" t="s">
        <v>60</v>
      </c>
      <c r="F47" s="595" t="s">
        <v>61</v>
      </c>
      <c r="G47" s="595" t="s">
        <v>34</v>
      </c>
      <c r="H47" s="596">
        <v>45</v>
      </c>
      <c r="I47" s="598">
        <v>1.7389999999999999</v>
      </c>
      <c r="J47" s="598">
        <v>1.77</v>
      </c>
      <c r="K47" s="598">
        <v>1.7696666666666665</v>
      </c>
      <c r="L47" s="662">
        <v>1.843333333333333</v>
      </c>
      <c r="M47" s="470">
        <f t="shared" si="0"/>
        <v>3.477777777777772E-2</v>
      </c>
      <c r="N47" s="470">
        <f t="shared" si="1"/>
        <v>0.10433333333333317</v>
      </c>
      <c r="O47" s="470">
        <v>14.810000000000002</v>
      </c>
      <c r="P47" s="470">
        <v>44.430000000000007</v>
      </c>
    </row>
    <row r="48" spans="1:16">
      <c r="A48" s="597">
        <v>50818</v>
      </c>
      <c r="B48" s="595">
        <v>2</v>
      </c>
      <c r="C48" s="596">
        <v>3</v>
      </c>
      <c r="D48" s="596">
        <v>17</v>
      </c>
      <c r="E48" s="595" t="s">
        <v>60</v>
      </c>
      <c r="F48" s="595" t="s">
        <v>61</v>
      </c>
      <c r="G48" s="595" t="s">
        <v>68</v>
      </c>
      <c r="H48" s="596">
        <v>67</v>
      </c>
      <c r="I48" s="598">
        <v>1.1459999999999999</v>
      </c>
      <c r="J48" s="598">
        <v>1.1459999999999999</v>
      </c>
      <c r="K48" s="598">
        <v>1.1459999999999999</v>
      </c>
      <c r="L48" s="661">
        <v>1.1766666666666667</v>
      </c>
      <c r="M48" s="470">
        <f t="shared" si="0"/>
        <v>1.022222222222228E-2</v>
      </c>
      <c r="N48" s="470">
        <f t="shared" si="1"/>
        <v>3.0666666666666842E-2</v>
      </c>
      <c r="O48" s="470">
        <v>8.2766666666666655</v>
      </c>
      <c r="P48" s="470">
        <v>24.83</v>
      </c>
    </row>
    <row r="49" spans="1:16">
      <c r="A49" s="597" t="s">
        <v>389</v>
      </c>
      <c r="B49" s="595">
        <v>2</v>
      </c>
      <c r="C49" s="596">
        <v>3</v>
      </c>
      <c r="D49" s="596">
        <v>17</v>
      </c>
      <c r="E49" s="595" t="s">
        <v>60</v>
      </c>
      <c r="F49" s="595" t="s">
        <v>61</v>
      </c>
      <c r="G49" s="595" t="s">
        <v>31</v>
      </c>
      <c r="H49" s="596">
        <v>127</v>
      </c>
      <c r="I49" s="598">
        <v>1.941875</v>
      </c>
      <c r="J49" s="598">
        <v>1.96</v>
      </c>
      <c r="K49" s="598">
        <v>1.9616250000000002</v>
      </c>
      <c r="L49" s="661">
        <v>2.0157142857142856</v>
      </c>
      <c r="M49" s="470">
        <f t="shared" si="0"/>
        <v>2.4613095238095184E-2</v>
      </c>
      <c r="N49" s="470">
        <f t="shared" si="1"/>
        <v>7.3839285714285552E-2</v>
      </c>
      <c r="O49" s="470">
        <v>3.1299999999999955</v>
      </c>
      <c r="P49" s="470">
        <v>9.3899999999999864</v>
      </c>
    </row>
    <row r="50" spans="1:16">
      <c r="A50" s="597" t="s">
        <v>388</v>
      </c>
      <c r="B50" s="595">
        <v>2</v>
      </c>
      <c r="C50" s="596">
        <v>3</v>
      </c>
      <c r="D50" s="596">
        <v>17</v>
      </c>
      <c r="E50" s="595" t="s">
        <v>60</v>
      </c>
      <c r="F50" s="595" t="s">
        <v>61</v>
      </c>
      <c r="G50" s="595" t="s">
        <v>25</v>
      </c>
      <c r="H50" s="596">
        <v>29</v>
      </c>
      <c r="I50" s="598">
        <v>1.4319999999999999</v>
      </c>
      <c r="J50" s="598">
        <v>1.47</v>
      </c>
      <c r="K50" s="598">
        <v>1.47</v>
      </c>
      <c r="L50" s="661">
        <v>1.62</v>
      </c>
      <c r="M50" s="470">
        <f t="shared" si="0"/>
        <v>6.2666666666666718E-2</v>
      </c>
      <c r="N50" s="470">
        <f t="shared" si="1"/>
        <v>0.18800000000000017</v>
      </c>
      <c r="O50" s="470">
        <v>10</v>
      </c>
      <c r="P50" s="470">
        <v>30</v>
      </c>
    </row>
    <row r="51" spans="1:16">
      <c r="A51" s="597" t="s">
        <v>390</v>
      </c>
      <c r="B51" s="595">
        <v>2</v>
      </c>
      <c r="C51" s="596">
        <v>4</v>
      </c>
      <c r="D51" s="596">
        <v>3</v>
      </c>
      <c r="E51" s="595" t="s">
        <v>60</v>
      </c>
      <c r="F51" s="595" t="s">
        <v>61</v>
      </c>
      <c r="G51" s="595" t="s">
        <v>31</v>
      </c>
      <c r="H51" s="596">
        <v>482</v>
      </c>
      <c r="I51" s="598">
        <v>1.5946</v>
      </c>
      <c r="J51" s="598">
        <v>1.6639999999999999</v>
      </c>
      <c r="K51" s="598">
        <v>1.7076999999999998</v>
      </c>
      <c r="L51" s="661">
        <v>1.7932222222222221</v>
      </c>
      <c r="M51" s="470">
        <f t="shared" si="0"/>
        <v>6.620740740740734E-2</v>
      </c>
      <c r="N51" s="470">
        <f t="shared" si="1"/>
        <v>0.19862222222222203</v>
      </c>
      <c r="O51" s="470">
        <v>8.9566666666666581</v>
      </c>
      <c r="P51" s="470">
        <v>26.869999999999976</v>
      </c>
    </row>
    <row r="52" spans="1:16">
      <c r="A52" s="597">
        <v>50860</v>
      </c>
      <c r="B52" s="595">
        <v>2</v>
      </c>
      <c r="C52" s="596">
        <v>4</v>
      </c>
      <c r="D52" s="596">
        <v>4</v>
      </c>
      <c r="E52" s="595" t="s">
        <v>60</v>
      </c>
      <c r="F52" s="595" t="s">
        <v>61</v>
      </c>
      <c r="G52" s="595" t="s">
        <v>31</v>
      </c>
      <c r="H52" s="596">
        <v>214</v>
      </c>
      <c r="I52" s="598">
        <v>0.70377777777777772</v>
      </c>
      <c r="J52" s="598">
        <v>0.72499999999999998</v>
      </c>
      <c r="K52" s="598">
        <v>0.85899999999999999</v>
      </c>
      <c r="L52" s="661">
        <v>1.12375</v>
      </c>
      <c r="M52" s="470">
        <f t="shared" si="0"/>
        <v>0.13999074074074078</v>
      </c>
      <c r="N52" s="470">
        <f t="shared" si="1"/>
        <v>0.4199722222222223</v>
      </c>
      <c r="O52" s="470">
        <v>18.203333333333333</v>
      </c>
      <c r="P52" s="470">
        <v>54.61</v>
      </c>
    </row>
    <row r="53" spans="1:16">
      <c r="A53" s="597">
        <v>50764</v>
      </c>
      <c r="B53" s="595">
        <v>2</v>
      </c>
      <c r="C53" s="596">
        <v>2</v>
      </c>
      <c r="D53" s="596">
        <v>5</v>
      </c>
      <c r="E53" s="595" t="s">
        <v>60</v>
      </c>
      <c r="F53" s="595" t="s">
        <v>71</v>
      </c>
      <c r="G53" s="595" t="s">
        <v>31</v>
      </c>
      <c r="H53" s="596">
        <v>175</v>
      </c>
      <c r="I53" s="598">
        <v>1.3495999999999999</v>
      </c>
      <c r="J53" s="598">
        <v>1.36</v>
      </c>
      <c r="K53" s="598">
        <v>1.4397777777777778</v>
      </c>
      <c r="L53" s="598">
        <v>1.4845555555555556</v>
      </c>
      <c r="M53" s="470">
        <f t="shared" si="0"/>
        <v>4.4985185185185239E-2</v>
      </c>
      <c r="N53" s="470">
        <f t="shared" si="1"/>
        <v>0.13495555555555572</v>
      </c>
      <c r="O53" s="470">
        <v>8.329999999999993</v>
      </c>
      <c r="P53" s="470">
        <v>24.989999999999981</v>
      </c>
    </row>
    <row r="54" spans="1:16">
      <c r="A54" s="597">
        <v>50747</v>
      </c>
      <c r="B54" s="595">
        <v>2</v>
      </c>
      <c r="C54" s="596">
        <v>3</v>
      </c>
      <c r="D54" s="596">
        <v>17</v>
      </c>
      <c r="E54" s="595" t="s">
        <v>60</v>
      </c>
      <c r="F54" s="595" t="s">
        <v>71</v>
      </c>
      <c r="G54" s="595" t="s">
        <v>25</v>
      </c>
      <c r="H54" s="596">
        <v>1</v>
      </c>
      <c r="I54" s="598">
        <v>1.5920000000000001</v>
      </c>
      <c r="J54" s="598">
        <v>1.5920000000000001</v>
      </c>
      <c r="K54" s="598">
        <v>1.5920000000000001</v>
      </c>
      <c r="L54" s="661">
        <v>1.6</v>
      </c>
      <c r="M54" s="470">
        <f t="shared" si="0"/>
        <v>2.6666666666666692E-3</v>
      </c>
      <c r="N54" s="470">
        <f t="shared" si="1"/>
        <v>8.0000000000000071E-3</v>
      </c>
      <c r="O54" s="470">
        <v>1.6666666666666667</v>
      </c>
      <c r="P54" s="470">
        <v>5</v>
      </c>
    </row>
    <row r="55" spans="1:16">
      <c r="A55" s="597" t="s">
        <v>391</v>
      </c>
      <c r="B55" s="595">
        <v>2</v>
      </c>
      <c r="C55" s="596">
        <v>1</v>
      </c>
      <c r="D55" s="596">
        <v>5</v>
      </c>
      <c r="E55" s="595" t="s">
        <v>32</v>
      </c>
      <c r="F55" s="595" t="s">
        <v>33</v>
      </c>
      <c r="G55" s="595" t="s">
        <v>34</v>
      </c>
      <c r="H55" s="596">
        <v>468</v>
      </c>
      <c r="I55" s="598">
        <v>1.3497000000000001</v>
      </c>
      <c r="J55" s="598">
        <v>1.3819999999999999</v>
      </c>
      <c r="K55" s="598">
        <v>1.4238000000000002</v>
      </c>
      <c r="L55" s="661">
        <v>1.4248000000000001</v>
      </c>
      <c r="M55" s="470">
        <f t="shared" si="0"/>
        <v>2.5033333333333314E-2</v>
      </c>
      <c r="N55" s="470">
        <f t="shared" si="1"/>
        <v>7.5099999999999945E-2</v>
      </c>
      <c r="O55" s="470">
        <v>0.58333333333333337</v>
      </c>
      <c r="P55" s="470">
        <v>1.75</v>
      </c>
    </row>
    <row r="56" spans="1:16">
      <c r="A56" s="597">
        <v>50267</v>
      </c>
      <c r="B56" s="595">
        <v>2</v>
      </c>
      <c r="C56" s="596">
        <v>1</v>
      </c>
      <c r="D56" s="596">
        <v>13</v>
      </c>
      <c r="E56" s="595" t="s">
        <v>32</v>
      </c>
      <c r="F56" s="595" t="s">
        <v>33</v>
      </c>
      <c r="G56" s="595" t="s">
        <v>48</v>
      </c>
      <c r="H56" s="596">
        <v>442</v>
      </c>
      <c r="I56" s="598">
        <v>1.2444000000000002</v>
      </c>
      <c r="J56" s="598">
        <v>1.272</v>
      </c>
      <c r="K56" s="598">
        <v>1.2721</v>
      </c>
      <c r="L56" s="661">
        <v>1.3479000000000001</v>
      </c>
      <c r="M56" s="470">
        <f t="shared" si="0"/>
        <v>3.4499999999999975E-2</v>
      </c>
      <c r="N56" s="470">
        <f t="shared" si="1"/>
        <v>0.10349999999999993</v>
      </c>
      <c r="O56" s="470">
        <v>5.083333333333333</v>
      </c>
      <c r="P56" s="470">
        <v>15.25</v>
      </c>
    </row>
    <row r="57" spans="1:16">
      <c r="A57" s="597">
        <v>50462</v>
      </c>
      <c r="B57" s="595">
        <v>2</v>
      </c>
      <c r="C57" s="596">
        <v>1</v>
      </c>
      <c r="D57" s="596">
        <v>13</v>
      </c>
      <c r="E57" s="595" t="s">
        <v>32</v>
      </c>
      <c r="F57" s="595" t="s">
        <v>33</v>
      </c>
      <c r="G57" s="595" t="s">
        <v>34</v>
      </c>
      <c r="H57" s="596">
        <v>206</v>
      </c>
      <c r="I57" s="598">
        <v>1.4853333333333332</v>
      </c>
      <c r="J57" s="598">
        <v>1.4850000000000001</v>
      </c>
      <c r="K57" s="598">
        <v>1.4853333333333332</v>
      </c>
      <c r="L57" s="661">
        <v>1.5066666666666668</v>
      </c>
      <c r="M57" s="470">
        <f t="shared" si="0"/>
        <v>7.1111111111112164E-3</v>
      </c>
      <c r="N57" s="470">
        <f t="shared" si="1"/>
        <v>2.1333333333333648E-2</v>
      </c>
      <c r="O57" s="470">
        <v>3.5100000000000002</v>
      </c>
      <c r="P57" s="470">
        <v>10.530000000000001</v>
      </c>
    </row>
    <row r="58" spans="1:16">
      <c r="A58" s="597" t="s">
        <v>392</v>
      </c>
      <c r="B58" s="595">
        <v>2</v>
      </c>
      <c r="C58" s="596">
        <v>1</v>
      </c>
      <c r="D58" s="596">
        <v>13</v>
      </c>
      <c r="E58" s="595" t="s">
        <v>32</v>
      </c>
      <c r="F58" s="595" t="s">
        <v>33</v>
      </c>
      <c r="G58" s="595" t="s">
        <v>34</v>
      </c>
      <c r="H58" s="596">
        <v>21</v>
      </c>
      <c r="I58" s="598">
        <v>1.1775000000000002</v>
      </c>
      <c r="J58" s="598">
        <v>1.1779999999999999</v>
      </c>
      <c r="K58" s="598">
        <v>1.1775000000000002</v>
      </c>
      <c r="L58" s="661">
        <v>1.1775000000000002</v>
      </c>
      <c r="M58" s="470">
        <f t="shared" si="0"/>
        <v>0</v>
      </c>
      <c r="N58" s="470">
        <f t="shared" si="1"/>
        <v>0</v>
      </c>
      <c r="O58" s="470">
        <v>6.416666666666667</v>
      </c>
      <c r="P58" s="470">
        <v>19.25</v>
      </c>
    </row>
    <row r="59" spans="1:16">
      <c r="A59" s="597">
        <v>50184</v>
      </c>
      <c r="B59" s="595">
        <v>2</v>
      </c>
      <c r="C59" s="596">
        <v>1</v>
      </c>
      <c r="D59" s="596">
        <v>13</v>
      </c>
      <c r="E59" s="595" t="s">
        <v>32</v>
      </c>
      <c r="F59" s="595" t="s">
        <v>33</v>
      </c>
      <c r="G59" s="595" t="s">
        <v>31</v>
      </c>
      <c r="H59" s="596">
        <v>39</v>
      </c>
      <c r="I59" s="598">
        <v>0.98699999999999988</v>
      </c>
      <c r="J59" s="598">
        <v>0.98699999999999999</v>
      </c>
      <c r="K59" s="598">
        <v>0.98699999999999988</v>
      </c>
      <c r="L59" s="661">
        <v>1.0774999999999999</v>
      </c>
      <c r="M59" s="470">
        <f t="shared" si="0"/>
        <v>3.0166666666666675E-2</v>
      </c>
      <c r="N59" s="470">
        <f t="shared" si="1"/>
        <v>9.0500000000000025E-2</v>
      </c>
      <c r="O59" s="470">
        <v>0</v>
      </c>
      <c r="P59" s="470">
        <v>0</v>
      </c>
    </row>
    <row r="60" spans="1:16">
      <c r="A60" s="597">
        <v>50104</v>
      </c>
      <c r="B60" s="595">
        <v>2</v>
      </c>
      <c r="C60" s="596">
        <v>1</v>
      </c>
      <c r="D60" s="596">
        <v>13</v>
      </c>
      <c r="E60" s="595" t="s">
        <v>32</v>
      </c>
      <c r="F60" s="595" t="s">
        <v>33</v>
      </c>
      <c r="G60" s="595" t="s">
        <v>34</v>
      </c>
      <c r="H60" s="596">
        <v>22</v>
      </c>
      <c r="I60" s="598">
        <v>1.496</v>
      </c>
      <c r="J60" s="598">
        <v>1.496</v>
      </c>
      <c r="K60" s="598">
        <v>1.496</v>
      </c>
      <c r="L60" s="661">
        <v>1.496</v>
      </c>
      <c r="M60" s="470">
        <f t="shared" si="0"/>
        <v>0</v>
      </c>
      <c r="N60" s="470">
        <f t="shared" si="1"/>
        <v>0</v>
      </c>
      <c r="O60" s="470">
        <v>7.666666666666667</v>
      </c>
      <c r="P60" s="470">
        <v>23</v>
      </c>
    </row>
    <row r="61" spans="1:16">
      <c r="A61" s="597">
        <v>50563</v>
      </c>
      <c r="B61" s="595">
        <v>2</v>
      </c>
      <c r="C61" s="596">
        <v>3</v>
      </c>
      <c r="D61" s="596">
        <v>19</v>
      </c>
      <c r="E61" s="595" t="s">
        <v>32</v>
      </c>
      <c r="F61" s="595" t="s">
        <v>33</v>
      </c>
      <c r="G61" s="595" t="s">
        <v>34</v>
      </c>
      <c r="H61" s="596">
        <v>338</v>
      </c>
      <c r="I61" s="598">
        <v>0.91679999999999995</v>
      </c>
      <c r="J61" s="598">
        <v>0.95099999999999996</v>
      </c>
      <c r="K61" s="598">
        <v>1.0867</v>
      </c>
      <c r="L61" s="661">
        <v>1.1400999999999999</v>
      </c>
      <c r="M61" s="470">
        <f t="shared" si="0"/>
        <v>7.443333333333331E-2</v>
      </c>
      <c r="N61" s="470">
        <f t="shared" si="1"/>
        <v>0.22329999999999994</v>
      </c>
      <c r="O61" s="470">
        <v>3.9933333333333301</v>
      </c>
      <c r="P61" s="470">
        <v>11.97999999999999</v>
      </c>
    </row>
    <row r="62" spans="1:16">
      <c r="A62" s="597">
        <v>50819</v>
      </c>
      <c r="B62" s="595">
        <v>2</v>
      </c>
      <c r="C62" s="596">
        <v>4</v>
      </c>
      <c r="D62" s="596">
        <v>13</v>
      </c>
      <c r="E62" s="595" t="s">
        <v>32</v>
      </c>
      <c r="F62" s="595" t="s">
        <v>33</v>
      </c>
      <c r="G62" s="595" t="s">
        <v>68</v>
      </c>
      <c r="H62" s="596">
        <v>1285</v>
      </c>
      <c r="I62" s="598">
        <v>0.96</v>
      </c>
      <c r="J62" s="598">
        <v>1.268</v>
      </c>
      <c r="K62" s="598">
        <v>1.274</v>
      </c>
      <c r="L62" s="661">
        <v>1.274</v>
      </c>
      <c r="M62" s="470">
        <f t="shared" si="0"/>
        <v>0.10466666666666669</v>
      </c>
      <c r="N62" s="470">
        <f t="shared" si="1"/>
        <v>0.31400000000000006</v>
      </c>
      <c r="O62" s="470">
        <v>10.966666666666663</v>
      </c>
      <c r="P62" s="470">
        <v>32.899999999999991</v>
      </c>
    </row>
    <row r="63" spans="1:16">
      <c r="A63" s="597">
        <v>50827</v>
      </c>
      <c r="B63" s="595">
        <v>2</v>
      </c>
      <c r="C63" s="596">
        <v>4</v>
      </c>
      <c r="D63" s="596">
        <v>4</v>
      </c>
      <c r="E63" s="595" t="s">
        <v>129</v>
      </c>
      <c r="F63" s="595" t="s">
        <v>33</v>
      </c>
      <c r="G63" s="595" t="s">
        <v>31</v>
      </c>
      <c r="H63" s="596">
        <v>654</v>
      </c>
      <c r="I63" s="598">
        <v>0.5031000000000001</v>
      </c>
      <c r="J63" s="598">
        <v>0.63900000000000001</v>
      </c>
      <c r="K63" s="598">
        <v>0.69611111111111112</v>
      </c>
      <c r="L63" s="661">
        <v>0.73624999999999996</v>
      </c>
      <c r="M63" s="470">
        <f t="shared" si="0"/>
        <v>7.7716666666666614E-2</v>
      </c>
      <c r="N63" s="470">
        <f t="shared" si="1"/>
        <v>0.23314999999999986</v>
      </c>
      <c r="O63" s="470">
        <v>3.5266666666666673</v>
      </c>
      <c r="P63" s="470">
        <v>10.580000000000002</v>
      </c>
    </row>
    <row r="64" spans="1:16">
      <c r="A64" s="597">
        <v>50851</v>
      </c>
      <c r="B64" s="595">
        <v>2</v>
      </c>
      <c r="C64" s="596">
        <v>4</v>
      </c>
      <c r="D64" s="596">
        <v>15</v>
      </c>
      <c r="E64" s="595" t="s">
        <v>153</v>
      </c>
      <c r="F64" s="595" t="s">
        <v>154</v>
      </c>
      <c r="G64" s="595" t="s">
        <v>155</v>
      </c>
      <c r="H64" s="596">
        <v>15</v>
      </c>
      <c r="I64" s="598">
        <v>0.54299999999999993</v>
      </c>
      <c r="J64" s="598">
        <v>0.68</v>
      </c>
      <c r="K64" s="598">
        <v>0.75</v>
      </c>
      <c r="L64" s="661">
        <v>1</v>
      </c>
      <c r="M64" s="470">
        <f t="shared" si="0"/>
        <v>0.15233333333333335</v>
      </c>
      <c r="N64" s="470">
        <f t="shared" si="1"/>
        <v>0.45700000000000007</v>
      </c>
      <c r="O64" s="470">
        <v>4.5333333333333341</v>
      </c>
      <c r="P64" s="470">
        <v>13.600000000000001</v>
      </c>
    </row>
    <row r="65" spans="1:16">
      <c r="A65" s="597">
        <v>50632</v>
      </c>
      <c r="B65" s="595">
        <v>2</v>
      </c>
      <c r="C65" s="596">
        <v>2</v>
      </c>
      <c r="D65" s="596">
        <v>3</v>
      </c>
      <c r="E65" s="595" t="s">
        <v>66</v>
      </c>
      <c r="F65" s="595" t="s">
        <v>355</v>
      </c>
      <c r="G65" s="595" t="s">
        <v>68</v>
      </c>
      <c r="H65" s="596">
        <v>220</v>
      </c>
      <c r="I65" s="598">
        <v>1.6617000000000002</v>
      </c>
      <c r="J65" s="598">
        <v>1.6619999999999999</v>
      </c>
      <c r="K65" s="598">
        <v>1.6649999999999998</v>
      </c>
      <c r="L65" s="598">
        <v>1.6833333333333333</v>
      </c>
      <c r="M65" s="470">
        <f t="shared" si="0"/>
        <v>7.2111111111110571E-3</v>
      </c>
      <c r="N65" s="470">
        <f t="shared" si="1"/>
        <v>2.1633333333333171E-2</v>
      </c>
      <c r="O65" s="470">
        <v>1</v>
      </c>
      <c r="P65" s="470">
        <v>3</v>
      </c>
    </row>
    <row r="66" spans="1:16">
      <c r="A66" s="597">
        <v>50558</v>
      </c>
      <c r="B66" s="595">
        <v>2</v>
      </c>
      <c r="C66" s="596">
        <v>2</v>
      </c>
      <c r="D66" s="596">
        <v>3</v>
      </c>
      <c r="E66" s="595" t="s">
        <v>66</v>
      </c>
      <c r="F66" s="595" t="s">
        <v>67</v>
      </c>
      <c r="G66" s="595" t="s">
        <v>34</v>
      </c>
      <c r="H66" s="596">
        <v>227</v>
      </c>
      <c r="I66" s="598">
        <v>1.3161</v>
      </c>
      <c r="J66" s="598">
        <v>1.3080000000000001</v>
      </c>
      <c r="K66" s="598">
        <v>1.3445555555555555</v>
      </c>
      <c r="L66" s="598">
        <v>1.3958888888888887</v>
      </c>
      <c r="M66" s="470">
        <f t="shared" ref="M66:M129" si="2">((J66-I66)+(K66-J66)+(L66-K66))/3</f>
        <v>2.6596296296296229E-2</v>
      </c>
      <c r="N66" s="470">
        <f t="shared" ref="N66:N129" si="3">L66-I66</f>
        <v>7.9788888888888687E-2</v>
      </c>
      <c r="O66" s="470">
        <v>0.46000000000000085</v>
      </c>
      <c r="P66" s="470">
        <v>1.3800000000000026</v>
      </c>
    </row>
    <row r="67" spans="1:16">
      <c r="A67" s="597">
        <v>50323</v>
      </c>
      <c r="B67" s="595">
        <v>2</v>
      </c>
      <c r="C67" s="596">
        <v>7</v>
      </c>
      <c r="D67" s="596">
        <v>13</v>
      </c>
      <c r="E67" s="595" t="s">
        <v>66</v>
      </c>
      <c r="F67" s="595" t="s">
        <v>67</v>
      </c>
      <c r="G67" s="595" t="s">
        <v>31</v>
      </c>
      <c r="H67" s="596">
        <v>143</v>
      </c>
      <c r="I67" s="598">
        <v>1.1740000000000002</v>
      </c>
      <c r="J67" s="598">
        <v>1.5860000000000001</v>
      </c>
      <c r="K67" s="598">
        <v>1.675</v>
      </c>
      <c r="L67" s="661">
        <v>1.8816666666666666</v>
      </c>
      <c r="M67" s="470">
        <f t="shared" si="2"/>
        <v>0.23588888888888881</v>
      </c>
      <c r="N67" s="470">
        <f t="shared" si="3"/>
        <v>0.70766666666666644</v>
      </c>
      <c r="O67" s="470">
        <v>1.2333333333333332</v>
      </c>
      <c r="P67" s="470">
        <v>3.6999999999999993</v>
      </c>
    </row>
    <row r="68" spans="1:16">
      <c r="A68" s="597">
        <v>50726</v>
      </c>
      <c r="B68" s="595">
        <v>2</v>
      </c>
      <c r="C68" s="596">
        <v>7</v>
      </c>
      <c r="D68" s="596">
        <v>13</v>
      </c>
      <c r="E68" s="595" t="s">
        <v>66</v>
      </c>
      <c r="F68" s="595" t="s">
        <v>67</v>
      </c>
      <c r="G68" s="595" t="s">
        <v>31</v>
      </c>
      <c r="H68" s="596">
        <v>166</v>
      </c>
      <c r="I68" s="598">
        <v>1.293625</v>
      </c>
      <c r="J68" s="598">
        <v>1.448</v>
      </c>
      <c r="K68" s="598">
        <v>1.5652500000000003</v>
      </c>
      <c r="L68" s="661">
        <v>1.7349999999999999</v>
      </c>
      <c r="M68" s="470">
        <f t="shared" si="2"/>
        <v>0.14712499999999995</v>
      </c>
      <c r="N68" s="470">
        <f t="shared" si="3"/>
        <v>0.44137499999999985</v>
      </c>
      <c r="O68" s="470">
        <v>0.82666666666666677</v>
      </c>
      <c r="P68" s="470">
        <v>2.4800000000000004</v>
      </c>
    </row>
    <row r="69" spans="1:16">
      <c r="A69" s="597">
        <v>50087</v>
      </c>
      <c r="B69" s="595">
        <v>2</v>
      </c>
      <c r="C69" s="596">
        <v>7</v>
      </c>
      <c r="D69" s="596">
        <v>13</v>
      </c>
      <c r="E69" s="595" t="s">
        <v>66</v>
      </c>
      <c r="F69" s="595" t="s">
        <v>67</v>
      </c>
      <c r="G69" s="595" t="s">
        <v>34</v>
      </c>
      <c r="H69" s="596">
        <v>132</v>
      </c>
      <c r="I69" s="598">
        <v>1.4613750000000001</v>
      </c>
      <c r="J69" s="598">
        <v>1.65</v>
      </c>
      <c r="K69" s="598">
        <v>1.8499999999999999</v>
      </c>
      <c r="L69" s="661">
        <v>2.0657142857142854</v>
      </c>
      <c r="M69" s="470">
        <f t="shared" si="2"/>
        <v>0.20144642857142844</v>
      </c>
      <c r="N69" s="470">
        <f t="shared" si="3"/>
        <v>0.6043392857142853</v>
      </c>
      <c r="O69" s="470">
        <v>3.5166666666666657</v>
      </c>
      <c r="P69" s="470">
        <v>10.549999999999997</v>
      </c>
    </row>
    <row r="70" spans="1:16">
      <c r="A70" s="597">
        <v>50724</v>
      </c>
      <c r="B70" s="595">
        <v>2</v>
      </c>
      <c r="C70" s="596">
        <v>7</v>
      </c>
      <c r="D70" s="596">
        <v>13</v>
      </c>
      <c r="E70" s="595" t="s">
        <v>66</v>
      </c>
      <c r="F70" s="595" t="s">
        <v>67</v>
      </c>
      <c r="G70" s="595" t="s">
        <v>31</v>
      </c>
      <c r="H70" s="596">
        <v>224</v>
      </c>
      <c r="I70" s="598">
        <v>1.3227</v>
      </c>
      <c r="J70" s="598">
        <v>1.3919999999999999</v>
      </c>
      <c r="K70" s="598">
        <v>1.6064000000000001</v>
      </c>
      <c r="L70" s="661">
        <v>1.6654285714285713</v>
      </c>
      <c r="M70" s="470">
        <f t="shared" si="2"/>
        <v>0.11424285714285709</v>
      </c>
      <c r="N70" s="470">
        <f t="shared" si="3"/>
        <v>0.34272857142857127</v>
      </c>
      <c r="O70" s="470">
        <v>1.3899999999999981</v>
      </c>
      <c r="P70" s="470">
        <v>4.1699999999999946</v>
      </c>
    </row>
    <row r="71" spans="1:16">
      <c r="A71" s="597">
        <v>50459</v>
      </c>
      <c r="B71" s="595">
        <v>2</v>
      </c>
      <c r="C71" s="596">
        <v>7</v>
      </c>
      <c r="D71" s="596">
        <v>17</v>
      </c>
      <c r="E71" s="595" t="s">
        <v>66</v>
      </c>
      <c r="F71" s="595" t="s">
        <v>67</v>
      </c>
      <c r="G71" s="595" t="s">
        <v>34</v>
      </c>
      <c r="H71" s="596">
        <v>126</v>
      </c>
      <c r="I71" s="598">
        <v>1.68</v>
      </c>
      <c r="J71" s="598">
        <v>2</v>
      </c>
      <c r="K71" s="598">
        <v>2.0516666666666667</v>
      </c>
      <c r="L71" s="665">
        <v>1.9950000000000001</v>
      </c>
      <c r="M71" s="470">
        <f t="shared" si="2"/>
        <v>0.10500000000000005</v>
      </c>
      <c r="N71" s="470">
        <f t="shared" si="3"/>
        <v>0.31500000000000017</v>
      </c>
      <c r="O71" s="470">
        <v>1.5766666666666656</v>
      </c>
      <c r="P71" s="470">
        <v>4.7299999999999969</v>
      </c>
    </row>
    <row r="72" spans="1:16">
      <c r="A72" s="597">
        <v>50602</v>
      </c>
      <c r="B72" s="595">
        <v>2</v>
      </c>
      <c r="C72" s="596">
        <v>7</v>
      </c>
      <c r="D72" s="596">
        <v>17</v>
      </c>
      <c r="E72" s="595" t="s">
        <v>66</v>
      </c>
      <c r="F72" s="595" t="s">
        <v>67</v>
      </c>
      <c r="G72" s="595" t="s">
        <v>34</v>
      </c>
      <c r="H72" s="596">
        <v>42</v>
      </c>
      <c r="I72" s="598">
        <v>1.3689999999999998</v>
      </c>
      <c r="J72" s="598">
        <v>1.369</v>
      </c>
      <c r="K72" s="661">
        <v>1.43</v>
      </c>
      <c r="L72" s="665">
        <v>1.5449999999999999</v>
      </c>
      <c r="M72" s="470">
        <f t="shared" si="2"/>
        <v>5.8666666666666721E-2</v>
      </c>
      <c r="N72" s="470">
        <f t="shared" si="3"/>
        <v>0.17600000000000016</v>
      </c>
      <c r="O72" s="470">
        <v>1.1666666666666667</v>
      </c>
      <c r="P72" s="470">
        <v>3.5</v>
      </c>
    </row>
    <row r="73" spans="1:16">
      <c r="A73" s="597">
        <v>50859</v>
      </c>
      <c r="B73" s="595">
        <v>2</v>
      </c>
      <c r="C73" s="596">
        <v>3</v>
      </c>
      <c r="D73" s="596">
        <v>13</v>
      </c>
      <c r="E73" s="595" t="s">
        <v>105</v>
      </c>
      <c r="F73" s="595" t="s">
        <v>106</v>
      </c>
      <c r="G73" s="595" t="s">
        <v>25</v>
      </c>
      <c r="H73" s="596">
        <v>349</v>
      </c>
      <c r="I73" s="598">
        <v>0.67030000000000001</v>
      </c>
      <c r="J73" s="598">
        <v>0.72599999999999998</v>
      </c>
      <c r="K73" s="598">
        <v>0.78870000000000007</v>
      </c>
      <c r="L73" s="661">
        <v>0.82899999999999996</v>
      </c>
      <c r="M73" s="470">
        <f t="shared" si="2"/>
        <v>5.2899999999999982E-2</v>
      </c>
      <c r="N73" s="470">
        <f t="shared" si="3"/>
        <v>0.15869999999999995</v>
      </c>
      <c r="O73" s="470">
        <v>7.5999999999999988</v>
      </c>
      <c r="P73" s="470">
        <v>22.799999999999997</v>
      </c>
    </row>
    <row r="74" spans="1:16">
      <c r="A74" s="597">
        <v>50735</v>
      </c>
      <c r="B74" s="595">
        <v>2</v>
      </c>
      <c r="C74" s="596">
        <v>3</v>
      </c>
      <c r="D74" s="596">
        <v>13</v>
      </c>
      <c r="E74" s="595" t="s">
        <v>105</v>
      </c>
      <c r="F74" s="595" t="s">
        <v>106</v>
      </c>
      <c r="G74" s="595" t="s">
        <v>25</v>
      </c>
      <c r="H74" s="596">
        <v>22</v>
      </c>
      <c r="I74" s="598">
        <v>0.68100000000000005</v>
      </c>
      <c r="J74" s="598">
        <v>0.68100000000000005</v>
      </c>
      <c r="K74" s="598">
        <v>0.83</v>
      </c>
      <c r="L74" s="661">
        <v>0.86</v>
      </c>
      <c r="M74" s="470">
        <f t="shared" si="2"/>
        <v>5.9666666666666646E-2</v>
      </c>
      <c r="N74" s="470">
        <f t="shared" si="3"/>
        <v>0.17899999999999994</v>
      </c>
      <c r="O74" s="470">
        <v>1.3333333333333333</v>
      </c>
      <c r="P74" s="470">
        <v>4</v>
      </c>
    </row>
    <row r="75" spans="1:16">
      <c r="A75" s="597">
        <v>50756</v>
      </c>
      <c r="B75" s="595">
        <v>2</v>
      </c>
      <c r="C75" s="596">
        <v>3</v>
      </c>
      <c r="D75" s="596">
        <v>13</v>
      </c>
      <c r="E75" s="595" t="s">
        <v>105</v>
      </c>
      <c r="F75" s="595" t="s">
        <v>106</v>
      </c>
      <c r="G75" s="595" t="s">
        <v>25</v>
      </c>
      <c r="H75" s="596">
        <v>37</v>
      </c>
      <c r="I75" s="598">
        <v>1.075</v>
      </c>
      <c r="J75" s="598">
        <v>1.1479999999999999</v>
      </c>
      <c r="K75" s="598">
        <v>1.2</v>
      </c>
      <c r="L75" s="661">
        <v>1.21</v>
      </c>
      <c r="M75" s="470">
        <f t="shared" si="2"/>
        <v>4.5000000000000005E-2</v>
      </c>
      <c r="N75" s="470">
        <f t="shared" si="3"/>
        <v>0.13500000000000001</v>
      </c>
      <c r="O75" s="470">
        <v>8.5</v>
      </c>
      <c r="P75" s="470">
        <v>25.5</v>
      </c>
    </row>
    <row r="76" spans="1:16">
      <c r="A76" s="597">
        <v>50836</v>
      </c>
      <c r="B76" s="595">
        <v>2</v>
      </c>
      <c r="C76" s="596">
        <v>3</v>
      </c>
      <c r="D76" s="596">
        <v>13</v>
      </c>
      <c r="E76" s="595" t="s">
        <v>105</v>
      </c>
      <c r="F76" s="595" t="s">
        <v>106</v>
      </c>
      <c r="G76" s="595" t="s">
        <v>68</v>
      </c>
      <c r="H76" s="596">
        <v>172</v>
      </c>
      <c r="I76" s="598">
        <v>0.87475000000000003</v>
      </c>
      <c r="J76" s="598">
        <v>0.94599999999999995</v>
      </c>
      <c r="K76" s="598">
        <v>0.99562500000000009</v>
      </c>
      <c r="L76" s="661">
        <v>0.97250000000000014</v>
      </c>
      <c r="M76" s="470">
        <f t="shared" si="2"/>
        <v>3.2583333333333374E-2</v>
      </c>
      <c r="N76" s="470">
        <f t="shared" si="3"/>
        <v>9.7750000000000115E-2</v>
      </c>
      <c r="O76" s="470">
        <v>3.4266666666666574</v>
      </c>
      <c r="P76" s="470">
        <v>10.279999999999973</v>
      </c>
    </row>
    <row r="77" spans="1:16">
      <c r="A77" s="597">
        <v>50784</v>
      </c>
      <c r="B77" s="595">
        <v>2</v>
      </c>
      <c r="C77" s="596">
        <v>3</v>
      </c>
      <c r="D77" s="596">
        <v>6</v>
      </c>
      <c r="E77" s="595" t="s">
        <v>91</v>
      </c>
      <c r="F77" s="595" t="s">
        <v>92</v>
      </c>
      <c r="G77" s="595" t="s">
        <v>31</v>
      </c>
      <c r="H77" s="596">
        <v>32</v>
      </c>
      <c r="I77" s="598">
        <v>1.131</v>
      </c>
      <c r="J77" s="598">
        <v>1.131</v>
      </c>
      <c r="K77" s="598">
        <v>1.131</v>
      </c>
      <c r="L77" s="661">
        <v>1.18</v>
      </c>
      <c r="M77" s="470">
        <f t="shared" si="2"/>
        <v>1.6333333333333311E-2</v>
      </c>
      <c r="N77" s="470">
        <f t="shared" si="3"/>
        <v>4.8999999999999932E-2</v>
      </c>
      <c r="O77" s="470">
        <v>3.25</v>
      </c>
      <c r="P77" s="470">
        <v>9.75</v>
      </c>
    </row>
    <row r="78" spans="1:16">
      <c r="A78" s="597">
        <v>50635</v>
      </c>
      <c r="B78" s="595">
        <v>2</v>
      </c>
      <c r="C78" s="596">
        <v>7</v>
      </c>
      <c r="D78" s="596">
        <v>3</v>
      </c>
      <c r="E78" s="595" t="s">
        <v>208</v>
      </c>
      <c r="F78" s="595" t="s">
        <v>209</v>
      </c>
      <c r="G78" s="595" t="s">
        <v>68</v>
      </c>
      <c r="H78" s="596">
        <v>311</v>
      </c>
      <c r="I78" s="598">
        <v>1.113</v>
      </c>
      <c r="J78" s="598">
        <v>1.232</v>
      </c>
      <c r="K78" s="598">
        <v>1.2534000000000003</v>
      </c>
      <c r="L78" s="661">
        <f>(((J78-I78)+(K78-J78))/2)+K78</f>
        <v>1.3236000000000003</v>
      </c>
      <c r="M78" s="470">
        <f t="shared" si="2"/>
        <v>7.020000000000011E-2</v>
      </c>
      <c r="N78" s="470">
        <f t="shared" si="3"/>
        <v>0.21060000000000034</v>
      </c>
      <c r="O78" s="470">
        <v>3.6766666666666672</v>
      </c>
      <c r="P78" s="470">
        <v>11.030000000000001</v>
      </c>
    </row>
    <row r="79" spans="1:16">
      <c r="A79" s="597">
        <v>50617</v>
      </c>
      <c r="B79" s="595">
        <v>2</v>
      </c>
      <c r="C79" s="596">
        <v>7</v>
      </c>
      <c r="D79" s="596">
        <v>3</v>
      </c>
      <c r="E79" s="595" t="s">
        <v>208</v>
      </c>
      <c r="F79" s="595" t="s">
        <v>209</v>
      </c>
      <c r="G79" s="595" t="s">
        <v>34</v>
      </c>
      <c r="H79" s="596">
        <v>75</v>
      </c>
      <c r="I79" s="598">
        <v>2.1008452488130183</v>
      </c>
      <c r="J79" s="598">
        <v>2.3199999999999998</v>
      </c>
      <c r="K79" s="598">
        <v>2.3199999999999998</v>
      </c>
      <c r="L79" s="661">
        <v>2.3199999999999998</v>
      </c>
      <c r="M79" s="470">
        <f t="shared" si="2"/>
        <v>7.3051583728993855E-2</v>
      </c>
      <c r="N79" s="470">
        <f t="shared" si="3"/>
        <v>0.21915475118698158</v>
      </c>
      <c r="O79" s="470">
        <v>1.5</v>
      </c>
      <c r="P79" s="470">
        <v>4.5</v>
      </c>
    </row>
    <row r="80" spans="1:16">
      <c r="A80" s="597" t="s">
        <v>393</v>
      </c>
      <c r="B80" s="595">
        <v>2</v>
      </c>
      <c r="C80" s="596">
        <v>1</v>
      </c>
      <c r="D80" s="596">
        <v>9</v>
      </c>
      <c r="E80" s="595" t="s">
        <v>37</v>
      </c>
      <c r="F80" s="595" t="s">
        <v>38</v>
      </c>
      <c r="G80" s="595" t="s">
        <v>34</v>
      </c>
      <c r="H80" s="596">
        <v>127</v>
      </c>
      <c r="I80" s="598">
        <v>1.1180000000000001</v>
      </c>
      <c r="J80" s="598">
        <v>1.1419999999999999</v>
      </c>
      <c r="K80" s="598">
        <v>1.1695</v>
      </c>
      <c r="L80" s="661">
        <v>1.3660000000000001</v>
      </c>
      <c r="M80" s="470">
        <f t="shared" si="2"/>
        <v>8.2666666666666666E-2</v>
      </c>
      <c r="N80" s="470">
        <f t="shared" si="3"/>
        <v>0.248</v>
      </c>
      <c r="O80" s="470">
        <v>0.65666666666666629</v>
      </c>
      <c r="P80" s="470">
        <v>1.9699999999999989</v>
      </c>
    </row>
    <row r="81" spans="1:16">
      <c r="A81" s="597" t="s">
        <v>396</v>
      </c>
      <c r="B81" s="595">
        <v>2</v>
      </c>
      <c r="C81" s="596">
        <v>5</v>
      </c>
      <c r="D81" s="596">
        <v>3</v>
      </c>
      <c r="E81" s="595" t="s">
        <v>37</v>
      </c>
      <c r="F81" s="595" t="s">
        <v>38</v>
      </c>
      <c r="G81" s="595" t="s">
        <v>31</v>
      </c>
      <c r="H81" s="596">
        <v>128</v>
      </c>
      <c r="I81" s="598">
        <v>1.0549999999999999</v>
      </c>
      <c r="J81" s="598">
        <v>1.0920000000000001</v>
      </c>
      <c r="K81" s="598">
        <v>1.1623750000000002</v>
      </c>
      <c r="L81" s="661">
        <v>1.18</v>
      </c>
      <c r="M81" s="470">
        <f t="shared" si="2"/>
        <v>4.1666666666666664E-2</v>
      </c>
      <c r="N81" s="470">
        <f t="shared" si="3"/>
        <v>0.125</v>
      </c>
      <c r="O81" s="470">
        <v>1.7333333333333343</v>
      </c>
      <c r="P81" s="470">
        <v>5.2000000000000028</v>
      </c>
    </row>
    <row r="82" spans="1:16">
      <c r="A82" s="597">
        <v>50342</v>
      </c>
      <c r="B82" s="595">
        <v>2</v>
      </c>
      <c r="C82" s="596">
        <v>5</v>
      </c>
      <c r="D82" s="596">
        <v>13</v>
      </c>
      <c r="E82" s="595" t="s">
        <v>37</v>
      </c>
      <c r="F82" s="595" t="s">
        <v>38</v>
      </c>
      <c r="G82" s="595" t="s">
        <v>25</v>
      </c>
      <c r="H82" s="596">
        <v>3</v>
      </c>
      <c r="I82" s="598">
        <v>1.2</v>
      </c>
      <c r="J82" s="598">
        <v>1.34</v>
      </c>
      <c r="K82" s="598">
        <v>1.34</v>
      </c>
      <c r="L82" s="661">
        <v>1.35</v>
      </c>
      <c r="M82" s="470">
        <f t="shared" si="2"/>
        <v>5.0000000000000044E-2</v>
      </c>
      <c r="N82" s="470">
        <f t="shared" si="3"/>
        <v>0.15000000000000013</v>
      </c>
      <c r="O82" s="470">
        <v>8</v>
      </c>
      <c r="P82" s="470">
        <v>24</v>
      </c>
    </row>
    <row r="83" spans="1:16">
      <c r="A83" s="597" t="s">
        <v>395</v>
      </c>
      <c r="B83" s="595">
        <v>2</v>
      </c>
      <c r="C83" s="596">
        <v>5</v>
      </c>
      <c r="D83" s="596">
        <v>13</v>
      </c>
      <c r="E83" s="595" t="s">
        <v>37</v>
      </c>
      <c r="F83" s="595" t="s">
        <v>38</v>
      </c>
      <c r="G83" s="595" t="s">
        <v>31</v>
      </c>
      <c r="H83" s="596">
        <v>131</v>
      </c>
      <c r="I83" s="598">
        <v>0.85</v>
      </c>
      <c r="J83" s="598">
        <v>0.93</v>
      </c>
      <c r="K83" s="598">
        <v>1.0619999999999998</v>
      </c>
      <c r="L83" s="661">
        <v>1.0739999999999998</v>
      </c>
      <c r="M83" s="470">
        <f t="shared" si="2"/>
        <v>7.4666666666666617E-2</v>
      </c>
      <c r="N83" s="470">
        <f t="shared" si="3"/>
        <v>0.22399999999999987</v>
      </c>
      <c r="O83" s="470">
        <v>2.0999999999999992</v>
      </c>
      <c r="P83" s="470">
        <v>6.2999999999999972</v>
      </c>
    </row>
    <row r="84" spans="1:16">
      <c r="A84" s="597">
        <v>50694</v>
      </c>
      <c r="B84" s="595">
        <v>2</v>
      </c>
      <c r="C84" s="596">
        <v>5</v>
      </c>
      <c r="D84" s="596">
        <v>13</v>
      </c>
      <c r="E84" s="595" t="s">
        <v>37</v>
      </c>
      <c r="F84" s="595" t="s">
        <v>38</v>
      </c>
      <c r="G84" s="595" t="s">
        <v>25</v>
      </c>
      <c r="H84" s="596">
        <v>161</v>
      </c>
      <c r="I84" s="598">
        <v>1.0266666666666666</v>
      </c>
      <c r="J84" s="598">
        <v>1.17</v>
      </c>
      <c r="K84" s="598">
        <v>1.17</v>
      </c>
      <c r="L84" s="661">
        <v>1.52</v>
      </c>
      <c r="M84" s="470">
        <f t="shared" si="2"/>
        <v>0.16444444444444448</v>
      </c>
      <c r="N84" s="470">
        <f t="shared" si="3"/>
        <v>0.4933333333333334</v>
      </c>
      <c r="O84" s="470">
        <v>1.7299999999999993</v>
      </c>
      <c r="P84" s="470">
        <v>5.1899999999999977</v>
      </c>
    </row>
    <row r="85" spans="1:16">
      <c r="A85" s="597">
        <v>50600</v>
      </c>
      <c r="B85" s="595">
        <v>2</v>
      </c>
      <c r="C85" s="596">
        <v>5</v>
      </c>
      <c r="D85" s="596">
        <v>13</v>
      </c>
      <c r="E85" s="595" t="s">
        <v>37</v>
      </c>
      <c r="F85" s="595" t="s">
        <v>38</v>
      </c>
      <c r="G85" s="595" t="s">
        <v>68</v>
      </c>
      <c r="H85" s="596">
        <v>36</v>
      </c>
      <c r="I85" s="598">
        <v>0.94</v>
      </c>
      <c r="J85" s="598">
        <v>0.94</v>
      </c>
      <c r="K85" s="598">
        <v>0.97</v>
      </c>
      <c r="L85" s="661">
        <v>0.98</v>
      </c>
      <c r="M85" s="470">
        <f t="shared" si="2"/>
        <v>1.3333333333333345E-2</v>
      </c>
      <c r="N85" s="470">
        <f t="shared" si="3"/>
        <v>4.0000000000000036E-2</v>
      </c>
      <c r="O85" s="470">
        <v>1</v>
      </c>
      <c r="P85" s="470">
        <v>3</v>
      </c>
    </row>
    <row r="86" spans="1:16">
      <c r="A86" s="597" t="s">
        <v>394</v>
      </c>
      <c r="B86" s="595">
        <v>2</v>
      </c>
      <c r="C86" s="596">
        <v>5</v>
      </c>
      <c r="D86" s="596">
        <v>13</v>
      </c>
      <c r="E86" s="595" t="s">
        <v>37</v>
      </c>
      <c r="F86" s="595" t="s">
        <v>38</v>
      </c>
      <c r="G86" s="595" t="s">
        <v>34</v>
      </c>
      <c r="H86" s="596">
        <v>14</v>
      </c>
      <c r="I86" s="598">
        <v>0.63</v>
      </c>
      <c r="J86" s="598">
        <v>0.63</v>
      </c>
      <c r="K86" s="598">
        <v>0.64</v>
      </c>
      <c r="L86" s="661">
        <v>0.66</v>
      </c>
      <c r="M86" s="470">
        <f t="shared" si="2"/>
        <v>1.0000000000000009E-2</v>
      </c>
      <c r="N86" s="470">
        <f t="shared" si="3"/>
        <v>3.0000000000000027E-2</v>
      </c>
      <c r="O86" s="470">
        <v>2.5</v>
      </c>
      <c r="P86" s="470">
        <v>7.5</v>
      </c>
    </row>
    <row r="87" spans="1:16">
      <c r="A87" s="597">
        <v>50696</v>
      </c>
      <c r="B87" s="595">
        <v>2</v>
      </c>
      <c r="C87" s="596">
        <v>5</v>
      </c>
      <c r="D87" s="596">
        <v>13</v>
      </c>
      <c r="E87" s="595" t="s">
        <v>37</v>
      </c>
      <c r="F87" s="595" t="s">
        <v>38</v>
      </c>
      <c r="G87" s="595" t="s">
        <v>68</v>
      </c>
      <c r="H87" s="596">
        <v>45</v>
      </c>
      <c r="I87" s="598">
        <v>0.74</v>
      </c>
      <c r="J87" s="598">
        <v>0.97</v>
      </c>
      <c r="K87" s="598">
        <v>1.07</v>
      </c>
      <c r="L87" s="661">
        <v>1.08</v>
      </c>
      <c r="M87" s="470">
        <f t="shared" si="2"/>
        <v>0.11333333333333336</v>
      </c>
      <c r="N87" s="470">
        <f t="shared" si="3"/>
        <v>0.34000000000000008</v>
      </c>
      <c r="O87" s="470">
        <v>0.33333333333333331</v>
      </c>
      <c r="P87" s="470">
        <v>1</v>
      </c>
    </row>
    <row r="88" spans="1:16">
      <c r="A88" s="597">
        <v>50622</v>
      </c>
      <c r="B88" s="595">
        <v>2</v>
      </c>
      <c r="C88" s="596">
        <v>6</v>
      </c>
      <c r="D88" s="596">
        <v>2</v>
      </c>
      <c r="E88" s="595" t="s">
        <v>37</v>
      </c>
      <c r="F88" s="595" t="s">
        <v>38</v>
      </c>
      <c r="G88" s="595" t="s">
        <v>34</v>
      </c>
      <c r="H88" s="596">
        <v>47</v>
      </c>
      <c r="I88" s="598">
        <v>0.58299999999999996</v>
      </c>
      <c r="J88" s="598">
        <v>0.66</v>
      </c>
      <c r="K88" s="598">
        <v>0.69</v>
      </c>
      <c r="L88" s="661">
        <v>0.74</v>
      </c>
      <c r="M88" s="470">
        <f t="shared" si="2"/>
        <v>5.2333333333333343E-2</v>
      </c>
      <c r="N88" s="470">
        <f t="shared" si="3"/>
        <v>0.15700000000000003</v>
      </c>
      <c r="O88" s="470">
        <v>3.6666666666666665</v>
      </c>
      <c r="P88" s="470">
        <v>11</v>
      </c>
    </row>
    <row r="89" spans="1:16">
      <c r="A89" s="597">
        <v>50826</v>
      </c>
      <c r="B89" s="595">
        <v>2</v>
      </c>
      <c r="C89" s="596">
        <v>8</v>
      </c>
      <c r="D89" s="596">
        <v>6</v>
      </c>
      <c r="E89" s="595" t="s">
        <v>37</v>
      </c>
      <c r="F89" s="595" t="s">
        <v>38</v>
      </c>
      <c r="G89" s="595" t="s">
        <v>31</v>
      </c>
      <c r="H89" s="596">
        <v>185</v>
      </c>
      <c r="I89" s="598">
        <v>0.65033333333333343</v>
      </c>
      <c r="J89" s="598">
        <v>0.66800000000000004</v>
      </c>
      <c r="K89" s="661">
        <v>0.79150000000000009</v>
      </c>
      <c r="L89" s="661">
        <v>0.85716666666666663</v>
      </c>
      <c r="M89" s="470">
        <f t="shared" si="2"/>
        <v>6.8944444444444405E-2</v>
      </c>
      <c r="N89" s="470">
        <f t="shared" si="3"/>
        <v>0.2068333333333332</v>
      </c>
      <c r="O89" s="470">
        <v>5.5999999999999988</v>
      </c>
      <c r="P89" s="470">
        <v>16.799999999999997</v>
      </c>
    </row>
    <row r="90" spans="1:16">
      <c r="A90" s="597">
        <v>50716</v>
      </c>
      <c r="B90" s="595">
        <v>2</v>
      </c>
      <c r="C90" s="596">
        <v>4</v>
      </c>
      <c r="D90" s="596">
        <v>6</v>
      </c>
      <c r="E90" s="595" t="s">
        <v>132</v>
      </c>
      <c r="F90" s="595" t="s">
        <v>133</v>
      </c>
      <c r="G90" s="595" t="s">
        <v>109</v>
      </c>
      <c r="H90" s="596">
        <v>82</v>
      </c>
      <c r="I90" s="598">
        <v>0.23600000000000002</v>
      </c>
      <c r="J90" s="598">
        <v>0.28000000000000003</v>
      </c>
      <c r="K90" s="598">
        <v>0.28000000000000003</v>
      </c>
      <c r="L90" s="661">
        <v>0.36999999999999994</v>
      </c>
      <c r="M90" s="470">
        <f t="shared" si="2"/>
        <v>4.4666666666666639E-2</v>
      </c>
      <c r="N90" s="470">
        <f t="shared" si="3"/>
        <v>0.13399999999999992</v>
      </c>
      <c r="O90" s="470">
        <v>1.01</v>
      </c>
      <c r="P90" s="470">
        <v>3.0300000000000002</v>
      </c>
    </row>
    <row r="91" spans="1:16">
      <c r="A91" s="597">
        <v>50789</v>
      </c>
      <c r="B91" s="595">
        <v>2</v>
      </c>
      <c r="C91" s="596">
        <v>4</v>
      </c>
      <c r="D91" s="596">
        <v>6</v>
      </c>
      <c r="E91" s="595" t="s">
        <v>132</v>
      </c>
      <c r="F91" s="595" t="s">
        <v>133</v>
      </c>
      <c r="G91" s="595" t="s">
        <v>109</v>
      </c>
      <c r="H91" s="596">
        <v>327</v>
      </c>
      <c r="I91" s="598">
        <v>1.0669999999999999</v>
      </c>
      <c r="J91" s="598">
        <v>1.2829999999999999</v>
      </c>
      <c r="K91" s="598">
        <v>1.2892000000000001</v>
      </c>
      <c r="L91" s="661">
        <v>1.2892000000000001</v>
      </c>
      <c r="M91" s="470">
        <f t="shared" si="2"/>
        <v>7.4066666666666725E-2</v>
      </c>
      <c r="N91" s="470">
        <f t="shared" si="3"/>
        <v>0.22220000000000018</v>
      </c>
      <c r="O91" s="470">
        <v>0.16666666666666666</v>
      </c>
      <c r="P91" s="470">
        <v>0.5</v>
      </c>
    </row>
    <row r="92" spans="1:16">
      <c r="A92" s="597">
        <v>50710</v>
      </c>
      <c r="B92" s="595">
        <v>2</v>
      </c>
      <c r="C92" s="596">
        <v>4</v>
      </c>
      <c r="D92" s="596">
        <v>6</v>
      </c>
      <c r="E92" s="595" t="s">
        <v>132</v>
      </c>
      <c r="F92" s="595" t="s">
        <v>133</v>
      </c>
      <c r="G92" s="595" t="s">
        <v>34</v>
      </c>
      <c r="H92" s="596">
        <v>15</v>
      </c>
      <c r="I92" s="598">
        <v>1.2486666666666668</v>
      </c>
      <c r="J92" s="598">
        <v>1.427</v>
      </c>
      <c r="K92" s="598">
        <v>1.4266666666666665</v>
      </c>
      <c r="L92" s="661">
        <v>1.595</v>
      </c>
      <c r="M92" s="470">
        <f t="shared" si="2"/>
        <v>0.11544444444444439</v>
      </c>
      <c r="N92" s="470">
        <f t="shared" si="3"/>
        <v>0.34633333333333316</v>
      </c>
      <c r="O92" s="470">
        <v>1.0166666666666657</v>
      </c>
      <c r="P92" s="470">
        <v>3.0499999999999972</v>
      </c>
    </row>
    <row r="93" spans="1:16">
      <c r="A93" s="597">
        <v>50454</v>
      </c>
      <c r="B93" s="595">
        <v>2</v>
      </c>
      <c r="C93" s="596">
        <v>8</v>
      </c>
      <c r="D93" s="596">
        <v>4</v>
      </c>
      <c r="E93" s="595" t="s">
        <v>132</v>
      </c>
      <c r="F93" s="595" t="s">
        <v>133</v>
      </c>
      <c r="G93" s="595" t="s">
        <v>68</v>
      </c>
      <c r="H93" s="596">
        <v>273</v>
      </c>
      <c r="I93" s="598">
        <v>0.46766666666666667</v>
      </c>
      <c r="J93" s="598">
        <v>0.49299999999999999</v>
      </c>
      <c r="K93" s="661">
        <v>0.60183333333333333</v>
      </c>
      <c r="L93" s="661">
        <v>0.66016666666666668</v>
      </c>
      <c r="M93" s="470">
        <f t="shared" si="2"/>
        <v>6.4166666666666664E-2</v>
      </c>
      <c r="N93" s="470">
        <f t="shared" si="3"/>
        <v>0.1925</v>
      </c>
      <c r="O93" s="470">
        <v>1.5166666666666668</v>
      </c>
      <c r="P93" s="470">
        <v>4.5500000000000007</v>
      </c>
    </row>
    <row r="94" spans="1:16">
      <c r="A94" s="597">
        <v>50570</v>
      </c>
      <c r="B94" s="595">
        <v>2</v>
      </c>
      <c r="C94" s="596">
        <v>8</v>
      </c>
      <c r="D94" s="596">
        <v>4</v>
      </c>
      <c r="E94" s="595" t="s">
        <v>132</v>
      </c>
      <c r="F94" s="595" t="s">
        <v>133</v>
      </c>
      <c r="G94" s="595" t="s">
        <v>34</v>
      </c>
      <c r="H94" s="596">
        <v>226</v>
      </c>
      <c r="I94" s="598">
        <v>0.37212499999999998</v>
      </c>
      <c r="J94" s="598">
        <v>0.39600000000000002</v>
      </c>
      <c r="K94" s="661">
        <v>0.43712500000000004</v>
      </c>
      <c r="L94" s="661">
        <v>0.49524999999999997</v>
      </c>
      <c r="M94" s="470">
        <f t="shared" si="2"/>
        <v>4.1041666666666664E-2</v>
      </c>
      <c r="N94" s="470">
        <f t="shared" si="3"/>
        <v>0.12312499999999998</v>
      </c>
      <c r="O94" s="470">
        <v>1.3033333333333335</v>
      </c>
      <c r="P94" s="470">
        <v>3.91</v>
      </c>
    </row>
    <row r="95" spans="1:16">
      <c r="A95" s="597">
        <v>50881</v>
      </c>
      <c r="B95" s="595">
        <v>2</v>
      </c>
      <c r="C95" s="596">
        <v>5</v>
      </c>
      <c r="D95" s="596">
        <v>8</v>
      </c>
      <c r="E95" s="595" t="s">
        <v>187</v>
      </c>
      <c r="F95" s="595" t="s">
        <v>188</v>
      </c>
      <c r="G95" s="595" t="s">
        <v>68</v>
      </c>
      <c r="H95" s="596">
        <v>738</v>
      </c>
      <c r="I95" s="598">
        <v>0.26100000000000001</v>
      </c>
      <c r="J95" s="598">
        <v>0.32</v>
      </c>
      <c r="K95" s="598">
        <v>0.4244444444444444</v>
      </c>
      <c r="L95" s="661">
        <v>0.59333333333333327</v>
      </c>
      <c r="M95" s="470">
        <f t="shared" si="2"/>
        <v>0.11077777777777775</v>
      </c>
      <c r="N95" s="470">
        <f t="shared" si="3"/>
        <v>0.33233333333333326</v>
      </c>
      <c r="O95" s="470">
        <v>6.4799999999999995</v>
      </c>
      <c r="P95" s="470">
        <v>19.439999999999998</v>
      </c>
    </row>
    <row r="96" spans="1:16">
      <c r="A96" s="597">
        <v>50886</v>
      </c>
      <c r="B96" s="595">
        <v>2</v>
      </c>
      <c r="C96" s="596">
        <v>3</v>
      </c>
      <c r="D96" s="596">
        <v>8</v>
      </c>
      <c r="E96" s="595" t="s">
        <v>95</v>
      </c>
      <c r="F96" s="595" t="s">
        <v>96</v>
      </c>
      <c r="G96" s="595" t="s">
        <v>34</v>
      </c>
      <c r="H96" s="596">
        <v>289</v>
      </c>
      <c r="I96" s="598">
        <v>0.36760000000000004</v>
      </c>
      <c r="J96" s="598">
        <v>0.38100000000000001</v>
      </c>
      <c r="K96" s="598">
        <v>0.39200000000000002</v>
      </c>
      <c r="L96" s="661">
        <v>0.56399999999999995</v>
      </c>
      <c r="M96" s="470">
        <f t="shared" si="2"/>
        <v>6.5466666666666631E-2</v>
      </c>
      <c r="N96" s="470">
        <f t="shared" si="3"/>
        <v>0.19639999999999991</v>
      </c>
      <c r="O96" s="470">
        <v>0.95999999999999963</v>
      </c>
      <c r="P96" s="470">
        <v>2.879999999999999</v>
      </c>
    </row>
    <row r="97" spans="1:16">
      <c r="A97" s="597">
        <v>50620</v>
      </c>
      <c r="B97" s="595">
        <v>2</v>
      </c>
      <c r="C97" s="596">
        <v>5</v>
      </c>
      <c r="D97" s="596">
        <v>1</v>
      </c>
      <c r="E97" s="595" t="s">
        <v>95</v>
      </c>
      <c r="F97" s="595" t="s">
        <v>96</v>
      </c>
      <c r="G97" s="595" t="s">
        <v>68</v>
      </c>
      <c r="H97" s="596">
        <v>260</v>
      </c>
      <c r="I97" s="598">
        <v>1.5</v>
      </c>
      <c r="J97" s="598">
        <v>1.67</v>
      </c>
      <c r="K97" s="598">
        <v>1.7733333333333334</v>
      </c>
      <c r="L97" s="661">
        <v>1.8140000000000001</v>
      </c>
      <c r="M97" s="470">
        <f t="shared" si="2"/>
        <v>0.10466666666666669</v>
      </c>
      <c r="N97" s="470">
        <f t="shared" si="3"/>
        <v>0.31400000000000006</v>
      </c>
      <c r="O97" s="470">
        <v>4.7666666666666657</v>
      </c>
      <c r="P97" s="470">
        <v>14.299999999999997</v>
      </c>
    </row>
    <row r="98" spans="1:16">
      <c r="A98" s="597">
        <v>50847</v>
      </c>
      <c r="B98" s="595">
        <v>2</v>
      </c>
      <c r="C98" s="596">
        <v>3</v>
      </c>
      <c r="D98" s="596">
        <v>14</v>
      </c>
      <c r="E98" s="595" t="s">
        <v>107</v>
      </c>
      <c r="F98" s="595" t="s">
        <v>108</v>
      </c>
      <c r="G98" s="595" t="s">
        <v>25</v>
      </c>
      <c r="H98" s="596">
        <v>371</v>
      </c>
      <c r="I98" s="598">
        <v>0.45149999999999996</v>
      </c>
      <c r="J98" s="598">
        <v>0.497</v>
      </c>
      <c r="K98" s="598">
        <v>0.67400000000000004</v>
      </c>
      <c r="L98" s="661">
        <v>0.93599999999999994</v>
      </c>
      <c r="M98" s="470">
        <f t="shared" si="2"/>
        <v>0.1615</v>
      </c>
      <c r="N98" s="470">
        <f t="shared" si="3"/>
        <v>0.48449999999999999</v>
      </c>
      <c r="O98" s="470">
        <v>5.3666666666666671</v>
      </c>
      <c r="P98" s="470">
        <v>16.100000000000001</v>
      </c>
    </row>
    <row r="99" spans="1:16">
      <c r="A99" s="597">
        <v>50743</v>
      </c>
      <c r="B99" s="595">
        <v>2</v>
      </c>
      <c r="C99" s="596">
        <v>3</v>
      </c>
      <c r="D99" s="596">
        <v>14</v>
      </c>
      <c r="E99" s="595" t="s">
        <v>107</v>
      </c>
      <c r="F99" s="595" t="s">
        <v>108</v>
      </c>
      <c r="G99" s="595" t="s">
        <v>109</v>
      </c>
      <c r="H99" s="596">
        <v>88</v>
      </c>
      <c r="I99" s="598">
        <v>0.503</v>
      </c>
      <c r="J99" s="598">
        <v>0.53900000000000003</v>
      </c>
      <c r="K99" s="598">
        <v>0.65</v>
      </c>
      <c r="L99" s="661">
        <v>0.74</v>
      </c>
      <c r="M99" s="470">
        <f t="shared" si="2"/>
        <v>7.9000000000000001E-2</v>
      </c>
      <c r="N99" s="470">
        <f t="shared" si="3"/>
        <v>0.23699999999999999</v>
      </c>
      <c r="O99" s="470">
        <v>4</v>
      </c>
      <c r="P99" s="470">
        <v>12</v>
      </c>
    </row>
    <row r="100" spans="1:16">
      <c r="A100" s="597">
        <v>50862</v>
      </c>
      <c r="B100" s="595">
        <v>2</v>
      </c>
      <c r="C100" s="596">
        <v>4</v>
      </c>
      <c r="D100" s="596">
        <v>19</v>
      </c>
      <c r="E100" s="595" t="s">
        <v>107</v>
      </c>
      <c r="F100" s="595" t="s">
        <v>108</v>
      </c>
      <c r="G100" s="595" t="s">
        <v>31</v>
      </c>
      <c r="H100" s="596">
        <v>714</v>
      </c>
      <c r="I100" s="598">
        <v>0.64260000000000006</v>
      </c>
      <c r="J100" s="598">
        <v>0.72599999999999998</v>
      </c>
      <c r="K100" s="598">
        <v>0.91429999999999989</v>
      </c>
      <c r="L100" s="661">
        <v>1.2200000000000002</v>
      </c>
      <c r="M100" s="470">
        <f t="shared" si="2"/>
        <v>0.1924666666666667</v>
      </c>
      <c r="N100" s="470">
        <f t="shared" si="3"/>
        <v>0.57740000000000014</v>
      </c>
      <c r="O100" s="470">
        <v>10.38</v>
      </c>
      <c r="P100" s="470">
        <v>31.14</v>
      </c>
    </row>
    <row r="101" spans="1:16">
      <c r="A101" s="597">
        <v>50844</v>
      </c>
      <c r="B101" s="595">
        <v>2</v>
      </c>
      <c r="C101" s="596">
        <v>5</v>
      </c>
      <c r="D101" s="596">
        <v>7</v>
      </c>
      <c r="E101" s="595" t="s">
        <v>185</v>
      </c>
      <c r="F101" s="451" t="s">
        <v>186</v>
      </c>
      <c r="G101" s="595" t="s">
        <v>31</v>
      </c>
      <c r="H101" s="596">
        <v>515</v>
      </c>
      <c r="I101" s="598">
        <v>0.52200000000000002</v>
      </c>
      <c r="J101" s="598">
        <v>0.63100000000000001</v>
      </c>
      <c r="K101" s="598">
        <v>0.90111111111111108</v>
      </c>
      <c r="L101" s="661">
        <v>1.2355555555555557</v>
      </c>
      <c r="M101" s="470">
        <f t="shared" si="2"/>
        <v>0.2378518518518519</v>
      </c>
      <c r="N101" s="470">
        <f t="shared" si="3"/>
        <v>0.71355555555555572</v>
      </c>
      <c r="O101" s="470">
        <v>8.83</v>
      </c>
      <c r="P101" s="470">
        <v>26.49</v>
      </c>
    </row>
    <row r="102" spans="1:16">
      <c r="A102" s="597">
        <v>50843</v>
      </c>
      <c r="B102" s="595">
        <v>2</v>
      </c>
      <c r="C102" s="596">
        <v>4</v>
      </c>
      <c r="D102" s="596">
        <v>22</v>
      </c>
      <c r="E102" s="595" t="s">
        <v>179</v>
      </c>
      <c r="F102" s="451" t="s">
        <v>180</v>
      </c>
      <c r="G102" s="595" t="s">
        <v>31</v>
      </c>
      <c r="H102" s="596">
        <v>330</v>
      </c>
      <c r="I102" s="598">
        <v>0.6794</v>
      </c>
      <c r="J102" s="598">
        <v>0.80300000000000005</v>
      </c>
      <c r="K102" s="598">
        <v>1.038</v>
      </c>
      <c r="L102" s="661">
        <v>1.2810000000000001</v>
      </c>
      <c r="M102" s="470">
        <f t="shared" si="2"/>
        <v>0.20053333333333337</v>
      </c>
      <c r="N102" s="470">
        <f t="shared" si="3"/>
        <v>0.60160000000000013</v>
      </c>
      <c r="O102" s="470">
        <v>9.0333333333333332</v>
      </c>
      <c r="P102" s="470">
        <v>27.1</v>
      </c>
    </row>
    <row r="103" spans="1:16">
      <c r="A103" s="597">
        <v>50662</v>
      </c>
      <c r="B103" s="595">
        <v>2</v>
      </c>
      <c r="C103" s="596">
        <v>7</v>
      </c>
      <c r="D103" s="596">
        <v>12</v>
      </c>
      <c r="E103" s="595" t="s">
        <v>226</v>
      </c>
      <c r="F103" s="451" t="s">
        <v>408</v>
      </c>
      <c r="G103" s="595" t="s">
        <v>34</v>
      </c>
      <c r="H103" s="596">
        <v>31</v>
      </c>
      <c r="I103" s="598">
        <v>0.51300000000000001</v>
      </c>
      <c r="J103" s="598">
        <v>0.57999999999999996</v>
      </c>
      <c r="K103" s="598">
        <v>0.66</v>
      </c>
      <c r="L103" s="661">
        <v>0.94</v>
      </c>
      <c r="M103" s="470">
        <f t="shared" si="2"/>
        <v>0.14233333333333331</v>
      </c>
      <c r="N103" s="470">
        <f t="shared" si="3"/>
        <v>0.42699999999999994</v>
      </c>
      <c r="O103" s="470">
        <v>15.666666666666666</v>
      </c>
      <c r="P103" s="470">
        <v>47</v>
      </c>
    </row>
    <row r="104" spans="1:16">
      <c r="A104" s="597">
        <v>50875</v>
      </c>
      <c r="B104" s="595">
        <v>2</v>
      </c>
      <c r="C104" s="596">
        <v>1</v>
      </c>
      <c r="D104" s="596">
        <v>14</v>
      </c>
      <c r="E104" s="595" t="s">
        <v>51</v>
      </c>
      <c r="F104" s="451" t="s">
        <v>419</v>
      </c>
      <c r="G104" s="595" t="s">
        <v>25</v>
      </c>
      <c r="H104" s="596">
        <v>348</v>
      </c>
      <c r="I104" s="598">
        <v>0.13899999999999998</v>
      </c>
      <c r="J104" s="598">
        <v>0.14099999999999999</v>
      </c>
      <c r="K104" s="598">
        <v>0.157</v>
      </c>
      <c r="L104" s="661">
        <v>0.20300000000000001</v>
      </c>
      <c r="M104" s="470">
        <f t="shared" si="2"/>
        <v>2.1333333333333343E-2</v>
      </c>
      <c r="N104" s="470">
        <f t="shared" si="3"/>
        <v>6.4000000000000029E-2</v>
      </c>
      <c r="O104" s="470">
        <v>0.63333333333333341</v>
      </c>
      <c r="P104" s="470">
        <v>1.9000000000000004</v>
      </c>
    </row>
    <row r="105" spans="1:16">
      <c r="A105" s="597">
        <v>50723</v>
      </c>
      <c r="B105" s="595">
        <v>2</v>
      </c>
      <c r="C105" s="596">
        <v>3</v>
      </c>
      <c r="D105" s="596">
        <v>2</v>
      </c>
      <c r="E105" s="595" t="s">
        <v>81</v>
      </c>
      <c r="F105" s="451" t="s">
        <v>82</v>
      </c>
      <c r="G105" s="595" t="s">
        <v>25</v>
      </c>
      <c r="H105" s="596">
        <v>44</v>
      </c>
      <c r="I105" s="598">
        <v>1.3</v>
      </c>
      <c r="J105" s="598">
        <v>1.5349999999999999</v>
      </c>
      <c r="K105" s="598">
        <v>1.7250000000000001</v>
      </c>
      <c r="L105" s="661">
        <f>(((J105-I105)+(K105-J105))/2)+K105</f>
        <v>1.9375</v>
      </c>
      <c r="M105" s="470">
        <f t="shared" si="2"/>
        <v>0.21249999999999999</v>
      </c>
      <c r="N105" s="470">
        <f t="shared" si="3"/>
        <v>0.63749999999999996</v>
      </c>
      <c r="O105" s="470">
        <v>5.2666666666666657</v>
      </c>
      <c r="P105" s="470">
        <v>15.799999999999997</v>
      </c>
    </row>
    <row r="106" spans="1:16">
      <c r="A106" s="597">
        <v>50518</v>
      </c>
      <c r="B106" s="595">
        <v>2</v>
      </c>
      <c r="C106" s="596">
        <v>3</v>
      </c>
      <c r="D106" s="596">
        <v>2</v>
      </c>
      <c r="E106" s="595" t="s">
        <v>81</v>
      </c>
      <c r="F106" s="595" t="s">
        <v>82</v>
      </c>
      <c r="G106" s="595" t="s">
        <v>34</v>
      </c>
      <c r="H106" s="596">
        <v>61</v>
      </c>
      <c r="I106" s="598">
        <v>1.5199999999999998</v>
      </c>
      <c r="J106" s="598">
        <v>2.4470000000000001</v>
      </c>
      <c r="K106" s="598">
        <v>2.5539999999999998</v>
      </c>
      <c r="L106" s="661">
        <f>(((J106-I106)+(K106-J106))/2)+K106</f>
        <v>3.0709999999999997</v>
      </c>
      <c r="M106" s="470">
        <f t="shared" si="2"/>
        <v>0.51700000000000002</v>
      </c>
      <c r="N106" s="470">
        <f t="shared" si="3"/>
        <v>1.5509999999999999</v>
      </c>
      <c r="O106" s="470">
        <v>0.46666666666666856</v>
      </c>
      <c r="P106" s="470">
        <v>1.4000000000000057</v>
      </c>
    </row>
    <row r="107" spans="1:16">
      <c r="A107" s="597">
        <v>50628</v>
      </c>
      <c r="B107" s="595">
        <v>2</v>
      </c>
      <c r="C107" s="596">
        <v>3</v>
      </c>
      <c r="D107" s="596">
        <v>2</v>
      </c>
      <c r="E107" s="595" t="s">
        <v>81</v>
      </c>
      <c r="F107" s="595" t="s">
        <v>82</v>
      </c>
      <c r="G107" s="595" t="s">
        <v>34</v>
      </c>
      <c r="H107" s="596">
        <v>28</v>
      </c>
      <c r="I107" s="598">
        <v>1.6</v>
      </c>
      <c r="J107" s="598">
        <v>1.6</v>
      </c>
      <c r="K107" s="598">
        <v>2.2599999999999998</v>
      </c>
      <c r="L107" s="661">
        <f>(((J107-I107)+(K107-J107))/2)+K107</f>
        <v>2.59</v>
      </c>
      <c r="M107" s="470">
        <f t="shared" si="2"/>
        <v>0.3299999999999999</v>
      </c>
      <c r="N107" s="470">
        <f t="shared" si="3"/>
        <v>0.98999999999999977</v>
      </c>
      <c r="O107" s="470">
        <v>2.5</v>
      </c>
      <c r="P107" s="470">
        <v>7.5</v>
      </c>
    </row>
    <row r="108" spans="1:16">
      <c r="A108" s="597">
        <v>50520</v>
      </c>
      <c r="B108" s="595">
        <v>2</v>
      </c>
      <c r="C108" s="596">
        <v>3</v>
      </c>
      <c r="D108" s="596">
        <v>2</v>
      </c>
      <c r="E108" s="595" t="s">
        <v>81</v>
      </c>
      <c r="F108" s="595" t="s">
        <v>82</v>
      </c>
      <c r="G108" s="595" t="s">
        <v>34</v>
      </c>
      <c r="H108" s="596">
        <v>142</v>
      </c>
      <c r="I108" s="598">
        <v>1.2316666666666667</v>
      </c>
      <c r="J108" s="598">
        <v>1.5169999999999999</v>
      </c>
      <c r="K108" s="598">
        <v>1.57</v>
      </c>
      <c r="L108" s="661">
        <f>(((J108-I108)+(K108-J108))/2)+K108</f>
        <v>1.7391666666666667</v>
      </c>
      <c r="M108" s="470">
        <f t="shared" si="2"/>
        <v>0.16916666666666669</v>
      </c>
      <c r="N108" s="470">
        <f t="shared" si="3"/>
        <v>0.50750000000000006</v>
      </c>
      <c r="O108" s="470">
        <v>0.90666666666666862</v>
      </c>
      <c r="P108" s="470">
        <v>2.720000000000006</v>
      </c>
    </row>
    <row r="109" spans="1:16">
      <c r="A109" s="597">
        <v>50555</v>
      </c>
      <c r="B109" s="595">
        <v>2</v>
      </c>
      <c r="C109" s="596">
        <v>7</v>
      </c>
      <c r="D109" s="596">
        <v>3</v>
      </c>
      <c r="E109" s="595" t="s">
        <v>81</v>
      </c>
      <c r="F109" s="595" t="s">
        <v>82</v>
      </c>
      <c r="G109" s="595" t="s">
        <v>34</v>
      </c>
      <c r="H109" s="596">
        <v>5</v>
      </c>
      <c r="I109" s="598">
        <v>1.089</v>
      </c>
      <c r="J109" s="598">
        <v>1.1599999999999999</v>
      </c>
      <c r="K109" s="598">
        <v>1.27</v>
      </c>
      <c r="L109" s="661">
        <v>1.34</v>
      </c>
      <c r="M109" s="470">
        <f t="shared" si="2"/>
        <v>8.3666666666666709E-2</v>
      </c>
      <c r="N109" s="470">
        <f t="shared" si="3"/>
        <v>0.25100000000000011</v>
      </c>
      <c r="O109" s="470">
        <v>4.333333333333333</v>
      </c>
      <c r="P109" s="470">
        <v>13</v>
      </c>
    </row>
    <row r="110" spans="1:16">
      <c r="A110" s="597">
        <v>50779</v>
      </c>
      <c r="B110" s="595">
        <v>2</v>
      </c>
      <c r="C110" s="596">
        <v>7</v>
      </c>
      <c r="D110" s="596">
        <v>18</v>
      </c>
      <c r="E110" s="595" t="s">
        <v>232</v>
      </c>
      <c r="F110" s="656" t="s">
        <v>384</v>
      </c>
      <c r="G110" s="595" t="s">
        <v>68</v>
      </c>
      <c r="H110" s="596">
        <v>91</v>
      </c>
      <c r="I110" s="598"/>
      <c r="J110" s="598"/>
      <c r="K110" s="661"/>
      <c r="L110" s="661"/>
      <c r="M110" s="470">
        <f t="shared" si="2"/>
        <v>0</v>
      </c>
      <c r="N110" s="470">
        <f t="shared" si="3"/>
        <v>0</v>
      </c>
      <c r="O110" s="470">
        <v>3.776666666666666</v>
      </c>
      <c r="P110" s="470">
        <v>11.329999999999998</v>
      </c>
    </row>
    <row r="111" spans="1:16">
      <c r="A111" s="597">
        <v>50832</v>
      </c>
      <c r="B111" s="595">
        <v>2</v>
      </c>
      <c r="C111" s="596">
        <v>3</v>
      </c>
      <c r="D111" s="596">
        <v>2</v>
      </c>
      <c r="E111" s="595" t="s">
        <v>85</v>
      </c>
      <c r="F111" s="595" t="s">
        <v>86</v>
      </c>
      <c r="G111" s="595" t="s">
        <v>68</v>
      </c>
      <c r="H111" s="596">
        <v>251</v>
      </c>
      <c r="I111" s="598">
        <v>0.50000000000000011</v>
      </c>
      <c r="J111" s="598">
        <v>0.57999999999999996</v>
      </c>
      <c r="K111" s="598">
        <v>0.5837</v>
      </c>
      <c r="L111" s="661">
        <v>0.61</v>
      </c>
      <c r="M111" s="470">
        <f t="shared" si="2"/>
        <v>3.6666666666666625E-2</v>
      </c>
      <c r="N111" s="470">
        <f t="shared" si="3"/>
        <v>0.10999999999999988</v>
      </c>
      <c r="O111" s="470">
        <v>11.233333333333334</v>
      </c>
      <c r="P111" s="470">
        <v>33.700000000000003</v>
      </c>
    </row>
    <row r="112" spans="1:16">
      <c r="A112" s="597">
        <v>50796</v>
      </c>
      <c r="B112" s="595">
        <v>2</v>
      </c>
      <c r="C112" s="596">
        <v>8</v>
      </c>
      <c r="D112" s="596">
        <v>8</v>
      </c>
      <c r="E112" s="595" t="s">
        <v>85</v>
      </c>
      <c r="F112" s="595" t="s">
        <v>86</v>
      </c>
      <c r="G112" s="595" t="s">
        <v>31</v>
      </c>
      <c r="H112" s="596">
        <v>256</v>
      </c>
      <c r="I112" s="598">
        <v>0.50849999999999995</v>
      </c>
      <c r="J112" s="598">
        <v>0.65849999999999997</v>
      </c>
      <c r="K112" s="661">
        <v>0.8</v>
      </c>
      <c r="L112" s="666">
        <v>0.86499999999999999</v>
      </c>
      <c r="M112" s="470">
        <f t="shared" si="2"/>
        <v>0.11883333333333335</v>
      </c>
      <c r="N112" s="470">
        <f t="shared" si="3"/>
        <v>0.35650000000000004</v>
      </c>
      <c r="O112" s="470">
        <v>9.5</v>
      </c>
      <c r="P112" s="470">
        <v>28.5</v>
      </c>
    </row>
    <row r="113" spans="1:16">
      <c r="A113" s="597">
        <v>50837</v>
      </c>
      <c r="B113" s="595">
        <v>2</v>
      </c>
      <c r="C113" s="596">
        <v>5</v>
      </c>
      <c r="D113" s="596">
        <v>10</v>
      </c>
      <c r="E113" s="595" t="s">
        <v>191</v>
      </c>
      <c r="F113" s="595" t="s">
        <v>192</v>
      </c>
      <c r="G113" s="595" t="s">
        <v>68</v>
      </c>
      <c r="H113" s="596">
        <v>330</v>
      </c>
      <c r="I113" s="598">
        <v>0.54299999999999993</v>
      </c>
      <c r="J113" s="598">
        <v>0.55000000000000004</v>
      </c>
      <c r="K113" s="598">
        <v>0.57599999999999996</v>
      </c>
      <c r="L113" s="661">
        <v>0.66999999999999993</v>
      </c>
      <c r="M113" s="470">
        <f t="shared" si="2"/>
        <v>4.2333333333333334E-2</v>
      </c>
      <c r="N113" s="470">
        <f t="shared" si="3"/>
        <v>0.127</v>
      </c>
      <c r="O113" s="470">
        <v>1.5</v>
      </c>
      <c r="P113" s="470">
        <v>4.5</v>
      </c>
    </row>
    <row r="114" spans="1:16">
      <c r="A114" s="597">
        <v>50584</v>
      </c>
      <c r="B114" s="595">
        <v>2</v>
      </c>
      <c r="C114" s="596">
        <v>7</v>
      </c>
      <c r="D114" s="596">
        <v>4</v>
      </c>
      <c r="E114" s="595" t="s">
        <v>216</v>
      </c>
      <c r="F114" s="595" t="s">
        <v>412</v>
      </c>
      <c r="G114" s="595" t="s">
        <v>34</v>
      </c>
      <c r="H114" s="596">
        <v>92</v>
      </c>
      <c r="I114" s="598">
        <v>1.1538733374162413</v>
      </c>
      <c r="J114" s="598">
        <v>1.1539999999999999</v>
      </c>
      <c r="K114" s="598">
        <v>1.22</v>
      </c>
      <c r="L114" s="661">
        <v>1.3456666666666666</v>
      </c>
      <c r="M114" s="470">
        <f t="shared" si="2"/>
        <v>6.3931109750141754E-2</v>
      </c>
      <c r="N114" s="470">
        <f t="shared" si="3"/>
        <v>0.19179332925042525</v>
      </c>
      <c r="O114" s="470">
        <v>4.3433333333333337</v>
      </c>
      <c r="P114" s="470">
        <v>13.030000000000001</v>
      </c>
    </row>
    <row r="115" spans="1:16">
      <c r="A115" s="597">
        <v>50703</v>
      </c>
      <c r="B115" s="595">
        <v>2</v>
      </c>
      <c r="C115" s="596">
        <v>6</v>
      </c>
      <c r="D115" s="596">
        <v>1</v>
      </c>
      <c r="E115" s="595" t="s">
        <v>195</v>
      </c>
      <c r="F115" s="451" t="s">
        <v>196</v>
      </c>
      <c r="G115" s="595" t="s">
        <v>34</v>
      </c>
      <c r="H115" s="596">
        <v>190</v>
      </c>
      <c r="I115" s="598">
        <v>1.3045714285714285</v>
      </c>
      <c r="J115" s="598">
        <v>1.3360000000000001</v>
      </c>
      <c r="K115" s="598">
        <v>1.413</v>
      </c>
      <c r="L115" s="661">
        <v>1.4157142857142857</v>
      </c>
      <c r="M115" s="470">
        <f t="shared" si="2"/>
        <v>3.7047619047619072E-2</v>
      </c>
      <c r="N115" s="470">
        <f t="shared" si="3"/>
        <v>0.11114285714285721</v>
      </c>
      <c r="O115" s="470">
        <v>4.6366666666666703</v>
      </c>
      <c r="P115" s="470">
        <v>13.910000000000011</v>
      </c>
    </row>
    <row r="116" spans="1:16">
      <c r="A116" s="597">
        <v>50831</v>
      </c>
      <c r="B116" s="595">
        <v>2</v>
      </c>
      <c r="C116" s="596">
        <v>4</v>
      </c>
      <c r="D116" s="596">
        <v>18</v>
      </c>
      <c r="E116" s="595" t="s">
        <v>171</v>
      </c>
      <c r="F116" s="595" t="s">
        <v>172</v>
      </c>
      <c r="G116" s="595" t="s">
        <v>25</v>
      </c>
      <c r="H116" s="596">
        <v>249</v>
      </c>
      <c r="I116" s="598">
        <v>1.2595000000000001</v>
      </c>
      <c r="J116" s="598">
        <v>1.5089999999999999</v>
      </c>
      <c r="K116" s="598">
        <v>1.6065999999999998</v>
      </c>
      <c r="L116" s="661">
        <v>1.6744444444444446</v>
      </c>
      <c r="M116" s="470">
        <f t="shared" si="2"/>
        <v>0.13831481481481486</v>
      </c>
      <c r="N116" s="470">
        <f t="shared" si="3"/>
        <v>0.41494444444444456</v>
      </c>
      <c r="O116" s="470">
        <v>7.7900000000000018</v>
      </c>
      <c r="P116" s="470">
        <v>23.370000000000005</v>
      </c>
    </row>
    <row r="117" spans="1:16">
      <c r="A117" s="597">
        <v>50878</v>
      </c>
      <c r="B117" s="595">
        <v>2</v>
      </c>
      <c r="C117" s="596">
        <v>8</v>
      </c>
      <c r="D117" s="596">
        <v>7</v>
      </c>
      <c r="E117" s="595" t="s">
        <v>171</v>
      </c>
      <c r="F117" s="595" t="s">
        <v>172</v>
      </c>
      <c r="G117" s="595" t="s">
        <v>25</v>
      </c>
      <c r="H117" s="596">
        <v>396</v>
      </c>
      <c r="I117" s="598">
        <v>0.57833333333333337</v>
      </c>
      <c r="J117" s="598">
        <v>0.70599999999999996</v>
      </c>
      <c r="K117" s="661">
        <v>0.85000000000000009</v>
      </c>
      <c r="L117" s="661">
        <v>1.1133333333333333</v>
      </c>
      <c r="M117" s="470">
        <f t="shared" si="2"/>
        <v>0.17833333333333332</v>
      </c>
      <c r="N117" s="470">
        <f t="shared" si="3"/>
        <v>0.53499999999999992</v>
      </c>
      <c r="O117" s="470">
        <v>9.2233333333333345</v>
      </c>
      <c r="P117" s="470">
        <v>27.67</v>
      </c>
    </row>
    <row r="118" spans="1:16">
      <c r="A118" s="597">
        <v>10995</v>
      </c>
      <c r="B118" s="595">
        <v>2</v>
      </c>
      <c r="C118" s="596">
        <v>7</v>
      </c>
      <c r="D118" s="596">
        <v>12</v>
      </c>
      <c r="E118" s="595" t="s">
        <v>212</v>
      </c>
      <c r="F118" s="595" t="s">
        <v>213</v>
      </c>
      <c r="G118" s="595" t="s">
        <v>48</v>
      </c>
      <c r="H118" s="596">
        <v>170</v>
      </c>
      <c r="I118" s="598">
        <v>0.73283333333333334</v>
      </c>
      <c r="J118" s="598">
        <v>0.85799999999999998</v>
      </c>
      <c r="K118" s="598">
        <v>1.1183333333333334</v>
      </c>
      <c r="L118" s="661">
        <v>1.385</v>
      </c>
      <c r="M118" s="470">
        <f t="shared" si="2"/>
        <v>0.21738888888888888</v>
      </c>
      <c r="N118" s="470">
        <f t="shared" si="3"/>
        <v>0.65216666666666667</v>
      </c>
      <c r="O118" s="470">
        <v>6.7066666666666679</v>
      </c>
      <c r="P118" s="470">
        <v>20.120000000000005</v>
      </c>
    </row>
    <row r="119" spans="1:16">
      <c r="A119" s="597">
        <v>50848</v>
      </c>
      <c r="B119" s="595">
        <v>2</v>
      </c>
      <c r="C119" s="596">
        <v>3</v>
      </c>
      <c r="D119" s="596">
        <v>9</v>
      </c>
      <c r="E119" s="595" t="s">
        <v>99</v>
      </c>
      <c r="F119" s="656" t="s">
        <v>406</v>
      </c>
      <c r="G119" s="595" t="s">
        <v>25</v>
      </c>
      <c r="H119" s="596">
        <v>217</v>
      </c>
      <c r="I119" s="598">
        <v>0.5</v>
      </c>
      <c r="J119" s="598">
        <v>0.55000000000000004</v>
      </c>
      <c r="K119" s="598">
        <v>0.57999999999999996</v>
      </c>
      <c r="L119" s="661">
        <v>0.70749999999999991</v>
      </c>
      <c r="M119" s="470">
        <f t="shared" si="2"/>
        <v>6.916666666666664E-2</v>
      </c>
      <c r="N119" s="470">
        <f t="shared" si="3"/>
        <v>0.20749999999999991</v>
      </c>
      <c r="O119" s="470">
        <v>4.746666666666667</v>
      </c>
      <c r="P119" s="470">
        <v>14.240000000000002</v>
      </c>
    </row>
    <row r="120" spans="1:16">
      <c r="A120" s="597">
        <v>50824</v>
      </c>
      <c r="B120" s="595">
        <v>2</v>
      </c>
      <c r="C120" s="596">
        <v>8</v>
      </c>
      <c r="D120" s="596">
        <v>5</v>
      </c>
      <c r="E120" s="595" t="s">
        <v>142</v>
      </c>
      <c r="F120" s="595" t="s">
        <v>143</v>
      </c>
      <c r="G120" s="595" t="s">
        <v>31</v>
      </c>
      <c r="H120" s="596">
        <v>67</v>
      </c>
      <c r="I120" s="598">
        <v>0.73</v>
      </c>
      <c r="J120" s="664">
        <v>0.85</v>
      </c>
      <c r="K120" s="661">
        <v>0.85</v>
      </c>
      <c r="L120" s="661">
        <v>0.85</v>
      </c>
      <c r="M120" s="470">
        <f t="shared" si="2"/>
        <v>0.04</v>
      </c>
      <c r="N120" s="470">
        <f t="shared" si="3"/>
        <v>0.12</v>
      </c>
      <c r="O120" s="470">
        <v>1</v>
      </c>
      <c r="P120" s="470">
        <v>3</v>
      </c>
    </row>
    <row r="121" spans="1:16">
      <c r="A121" s="597">
        <v>50766</v>
      </c>
      <c r="B121" s="595">
        <v>2</v>
      </c>
      <c r="C121" s="596">
        <v>8</v>
      </c>
      <c r="D121" s="596">
        <v>5</v>
      </c>
      <c r="E121" s="595" t="s">
        <v>142</v>
      </c>
      <c r="F121" s="595" t="s">
        <v>143</v>
      </c>
      <c r="G121" s="595" t="s">
        <v>25</v>
      </c>
      <c r="H121" s="596">
        <v>26</v>
      </c>
      <c r="I121" s="598">
        <v>1.2909999999999999</v>
      </c>
      <c r="J121" s="664">
        <v>1.77</v>
      </c>
      <c r="K121" s="661">
        <v>2.46</v>
      </c>
      <c r="L121" s="661">
        <f>(((J121-I121)+(K121-J121))/2)+K121</f>
        <v>3.0445000000000002</v>
      </c>
      <c r="M121" s="470">
        <f t="shared" si="2"/>
        <v>0.58450000000000013</v>
      </c>
      <c r="N121" s="470">
        <f t="shared" si="3"/>
        <v>1.7535000000000003</v>
      </c>
      <c r="O121" s="470">
        <v>9</v>
      </c>
      <c r="P121" s="470">
        <v>27</v>
      </c>
    </row>
    <row r="122" spans="1:16">
      <c r="A122" s="597" t="s">
        <v>397</v>
      </c>
      <c r="B122" s="595">
        <v>2</v>
      </c>
      <c r="C122" s="596">
        <v>6</v>
      </c>
      <c r="D122" s="596">
        <v>4</v>
      </c>
      <c r="E122" s="595" t="s">
        <v>203</v>
      </c>
      <c r="F122" s="595" t="s">
        <v>204</v>
      </c>
      <c r="G122" s="595" t="s">
        <v>68</v>
      </c>
      <c r="H122" s="596">
        <v>580</v>
      </c>
      <c r="I122" s="598">
        <v>0.82099999999999995</v>
      </c>
      <c r="J122" s="664">
        <v>0.88100000000000001</v>
      </c>
      <c r="K122" s="598">
        <v>0.91230000000000011</v>
      </c>
      <c r="L122" s="661">
        <v>0.9173</v>
      </c>
      <c r="M122" s="470">
        <f t="shared" si="2"/>
        <v>3.2100000000000017E-2</v>
      </c>
      <c r="N122" s="470">
        <f t="shared" si="3"/>
        <v>9.6300000000000052E-2</v>
      </c>
      <c r="O122" s="470">
        <v>4.6833333333333327</v>
      </c>
      <c r="P122" s="470">
        <v>14.049999999999997</v>
      </c>
    </row>
    <row r="123" spans="1:16">
      <c r="A123" s="597" t="s">
        <v>398</v>
      </c>
      <c r="B123" s="595">
        <v>2</v>
      </c>
      <c r="C123" s="596">
        <v>6</v>
      </c>
      <c r="D123" s="596">
        <v>5</v>
      </c>
      <c r="E123" s="595" t="s">
        <v>203</v>
      </c>
      <c r="F123" s="595" t="s">
        <v>204</v>
      </c>
      <c r="G123" s="595" t="s">
        <v>68</v>
      </c>
      <c r="H123" s="596">
        <v>308</v>
      </c>
      <c r="I123" s="598">
        <v>0.71787500000000004</v>
      </c>
      <c r="J123" s="664">
        <v>0.76700000000000002</v>
      </c>
      <c r="K123" s="598">
        <v>0.769625</v>
      </c>
      <c r="L123" s="661">
        <v>0.76349999999999996</v>
      </c>
      <c r="M123" s="470">
        <f t="shared" si="2"/>
        <v>1.5208333333333305E-2</v>
      </c>
      <c r="N123" s="470">
        <f t="shared" si="3"/>
        <v>4.5624999999999916E-2</v>
      </c>
      <c r="O123" s="470">
        <v>3.5433333333333317</v>
      </c>
      <c r="P123" s="470">
        <v>10.629999999999995</v>
      </c>
    </row>
    <row r="124" spans="1:16">
      <c r="A124" s="597">
        <v>50841</v>
      </c>
      <c r="B124" s="595">
        <v>2</v>
      </c>
      <c r="C124" s="596">
        <v>8</v>
      </c>
      <c r="D124" s="596">
        <v>15</v>
      </c>
      <c r="E124" s="595" t="s">
        <v>203</v>
      </c>
      <c r="F124" s="595" t="s">
        <v>204</v>
      </c>
      <c r="G124" s="595" t="s">
        <v>31</v>
      </c>
      <c r="H124" s="596">
        <v>390</v>
      </c>
      <c r="I124" s="598">
        <v>0.7770999999999999</v>
      </c>
      <c r="J124" s="664">
        <v>0.84599999999999997</v>
      </c>
      <c r="K124" s="661">
        <v>0.91720000000000002</v>
      </c>
      <c r="L124" s="661">
        <v>0.91833333333333345</v>
      </c>
      <c r="M124" s="470">
        <f t="shared" si="2"/>
        <v>4.707777777777785E-2</v>
      </c>
      <c r="N124" s="470">
        <f t="shared" si="3"/>
        <v>0.14123333333333354</v>
      </c>
      <c r="O124" s="470">
        <v>1.9766666666666641</v>
      </c>
      <c r="P124" s="470">
        <v>5.9299999999999926</v>
      </c>
    </row>
    <row r="125" spans="1:16">
      <c r="A125" s="597">
        <v>50657</v>
      </c>
      <c r="B125" s="595">
        <v>2</v>
      </c>
      <c r="C125" s="596">
        <v>8</v>
      </c>
      <c r="D125" s="596">
        <v>15</v>
      </c>
      <c r="E125" s="595" t="s">
        <v>203</v>
      </c>
      <c r="F125" s="595" t="s">
        <v>204</v>
      </c>
      <c r="G125" s="595" t="s">
        <v>25</v>
      </c>
      <c r="H125" s="596">
        <v>8</v>
      </c>
      <c r="I125" s="598">
        <v>0.75700000000000001</v>
      </c>
      <c r="J125" s="664">
        <v>1.2</v>
      </c>
      <c r="K125" s="661">
        <v>1.2</v>
      </c>
      <c r="L125" s="661">
        <f>(((J125-I125)+(K125-J125))/2)+K125</f>
        <v>1.4215</v>
      </c>
      <c r="M125" s="470">
        <f t="shared" si="2"/>
        <v>0.2215</v>
      </c>
      <c r="N125" s="470">
        <f t="shared" si="3"/>
        <v>0.66449999999999998</v>
      </c>
      <c r="O125" s="470">
        <v>0.83333333333333337</v>
      </c>
      <c r="P125" s="470">
        <v>2.5</v>
      </c>
    </row>
    <row r="126" spans="1:16">
      <c r="A126" s="597">
        <v>50777</v>
      </c>
      <c r="B126" s="595">
        <v>2</v>
      </c>
      <c r="C126" s="596">
        <v>8</v>
      </c>
      <c r="D126" s="596">
        <v>15</v>
      </c>
      <c r="E126" s="595" t="s">
        <v>203</v>
      </c>
      <c r="F126" s="595" t="s">
        <v>204</v>
      </c>
      <c r="G126" s="595" t="s">
        <v>31</v>
      </c>
      <c r="H126" s="596">
        <v>9</v>
      </c>
      <c r="I126" s="598">
        <v>0.54700000000000004</v>
      </c>
      <c r="J126" s="664">
        <v>0.61</v>
      </c>
      <c r="K126" s="661">
        <v>0.95</v>
      </c>
      <c r="L126" s="661">
        <f>(((J126-I126)+(K126-J126))/2)+K126</f>
        <v>1.1515</v>
      </c>
      <c r="M126" s="470">
        <f t="shared" si="2"/>
        <v>0.20149999999999998</v>
      </c>
      <c r="N126" s="470">
        <f t="shared" si="3"/>
        <v>0.60449999999999993</v>
      </c>
      <c r="O126" s="470">
        <v>5</v>
      </c>
      <c r="P126" s="470">
        <v>15</v>
      </c>
    </row>
    <row r="127" spans="1:16">
      <c r="A127" s="597">
        <v>50799</v>
      </c>
      <c r="B127" s="595">
        <v>2</v>
      </c>
      <c r="C127" s="596">
        <v>8</v>
      </c>
      <c r="D127" s="596">
        <v>15</v>
      </c>
      <c r="E127" s="595" t="s">
        <v>203</v>
      </c>
      <c r="F127" s="595" t="s">
        <v>204</v>
      </c>
      <c r="G127" s="595" t="s">
        <v>31</v>
      </c>
      <c r="H127" s="596">
        <v>7</v>
      </c>
      <c r="I127" s="598">
        <v>0.55700000000000005</v>
      </c>
      <c r="J127" s="664">
        <v>0.67</v>
      </c>
      <c r="K127" s="661">
        <v>0.97</v>
      </c>
      <c r="L127" s="661">
        <f>(((J127-I127)+(K127-J127))/2)+K127</f>
        <v>1.1764999999999999</v>
      </c>
      <c r="M127" s="470">
        <f t="shared" si="2"/>
        <v>0.20649999999999993</v>
      </c>
      <c r="N127" s="470">
        <f t="shared" si="3"/>
        <v>0.61949999999999983</v>
      </c>
      <c r="O127" s="470">
        <v>1.9333333333333325</v>
      </c>
      <c r="P127" s="470">
        <v>5.7999999999999972</v>
      </c>
    </row>
    <row r="128" spans="1:16">
      <c r="A128" s="597">
        <v>50746</v>
      </c>
      <c r="B128" s="595">
        <v>2</v>
      </c>
      <c r="C128" s="596">
        <v>3</v>
      </c>
      <c r="D128" s="596">
        <v>9</v>
      </c>
      <c r="E128" s="595" t="s">
        <v>100</v>
      </c>
      <c r="F128" s="595" t="s">
        <v>101</v>
      </c>
      <c r="G128" s="595" t="s">
        <v>25</v>
      </c>
      <c r="H128" s="596">
        <v>53</v>
      </c>
      <c r="I128" s="598">
        <v>0.53333333333333333</v>
      </c>
      <c r="J128" s="664">
        <v>0.56799999999999995</v>
      </c>
      <c r="K128" s="598">
        <v>0.73099999999999998</v>
      </c>
      <c r="L128" s="661">
        <v>0.8666666666666667</v>
      </c>
      <c r="M128" s="470">
        <f t="shared" si="2"/>
        <v>0.11111111111111112</v>
      </c>
      <c r="N128" s="470">
        <f t="shared" si="3"/>
        <v>0.33333333333333337</v>
      </c>
      <c r="O128" s="470">
        <v>1.6566666666666674</v>
      </c>
      <c r="P128" s="470">
        <v>4.9700000000000024</v>
      </c>
    </row>
    <row r="129" spans="1:16">
      <c r="A129" s="597">
        <v>50804</v>
      </c>
      <c r="B129" s="595">
        <v>2</v>
      </c>
      <c r="C129" s="596">
        <v>3</v>
      </c>
      <c r="D129" s="596">
        <v>9</v>
      </c>
      <c r="E129" s="595" t="s">
        <v>100</v>
      </c>
      <c r="F129" s="595" t="s">
        <v>101</v>
      </c>
      <c r="G129" s="595" t="s">
        <v>31</v>
      </c>
      <c r="H129" s="596">
        <v>29</v>
      </c>
      <c r="I129" s="598">
        <v>0.69799999999999995</v>
      </c>
      <c r="J129" s="664">
        <v>0.77400000000000002</v>
      </c>
      <c r="K129" s="598">
        <v>0.77400000000000002</v>
      </c>
      <c r="L129" s="661">
        <v>0.78</v>
      </c>
      <c r="M129" s="470">
        <f t="shared" si="2"/>
        <v>2.7333333333333359E-2</v>
      </c>
      <c r="N129" s="470">
        <f t="shared" si="3"/>
        <v>8.2000000000000073E-2</v>
      </c>
      <c r="O129" s="470">
        <v>4.333333333333333</v>
      </c>
      <c r="P129" s="470">
        <v>13</v>
      </c>
    </row>
    <row r="130" spans="1:16">
      <c r="A130" s="597">
        <v>50692</v>
      </c>
      <c r="B130" s="595">
        <v>2</v>
      </c>
      <c r="C130" s="596">
        <v>7</v>
      </c>
      <c r="D130" s="596">
        <v>6</v>
      </c>
      <c r="E130" s="595" t="s">
        <v>100</v>
      </c>
      <c r="F130" s="595" t="s">
        <v>101</v>
      </c>
      <c r="G130" s="595" t="s">
        <v>31</v>
      </c>
      <c r="H130" s="596">
        <v>462</v>
      </c>
      <c r="I130" s="598">
        <v>0.25010000000000004</v>
      </c>
      <c r="J130" s="664">
        <v>0.28100000000000003</v>
      </c>
      <c r="K130" s="598">
        <v>0.33809999999999996</v>
      </c>
      <c r="L130" s="661">
        <v>0.42333333333333334</v>
      </c>
      <c r="M130" s="470">
        <f t="shared" ref="M130:M193" si="4">((J130-I130)+(K130-J130)+(L130-K130))/3</f>
        <v>5.7744444444444432E-2</v>
      </c>
      <c r="N130" s="470">
        <f t="shared" ref="N130:N193" si="5">L130-I130</f>
        <v>0.17323333333333329</v>
      </c>
      <c r="O130" s="470">
        <v>3.3133333333333339</v>
      </c>
      <c r="P130" s="470">
        <v>9.9400000000000013</v>
      </c>
    </row>
    <row r="131" spans="1:16">
      <c r="A131" s="597">
        <v>50776</v>
      </c>
      <c r="B131" s="595">
        <v>2</v>
      </c>
      <c r="C131" s="596">
        <v>4</v>
      </c>
      <c r="D131" s="596">
        <v>15</v>
      </c>
      <c r="E131" s="595" t="s">
        <v>151</v>
      </c>
      <c r="F131" s="595" t="s">
        <v>152</v>
      </c>
      <c r="G131" s="595" t="s">
        <v>144</v>
      </c>
      <c r="H131" s="596">
        <v>28</v>
      </c>
      <c r="I131" s="598">
        <v>0.628</v>
      </c>
      <c r="J131" s="664">
        <v>0.83</v>
      </c>
      <c r="K131" s="598">
        <v>0.9</v>
      </c>
      <c r="L131" s="661">
        <v>1.31</v>
      </c>
      <c r="M131" s="470">
        <f t="shared" si="4"/>
        <v>0.22733333333333336</v>
      </c>
      <c r="N131" s="470">
        <f t="shared" si="5"/>
        <v>0.68200000000000005</v>
      </c>
      <c r="O131" s="470">
        <v>9.1666666666666661</v>
      </c>
      <c r="P131" s="470">
        <v>27.5</v>
      </c>
    </row>
    <row r="132" spans="1:16">
      <c r="A132" s="597">
        <v>50658</v>
      </c>
      <c r="B132" s="595">
        <v>2</v>
      </c>
      <c r="C132" s="596">
        <v>3</v>
      </c>
      <c r="D132" s="596">
        <v>11</v>
      </c>
      <c r="E132" s="595" t="s">
        <v>102</v>
      </c>
      <c r="F132" s="595" t="s">
        <v>104</v>
      </c>
      <c r="G132" s="595" t="s">
        <v>68</v>
      </c>
      <c r="H132" s="596">
        <v>136</v>
      </c>
      <c r="I132" s="598">
        <v>0.87259999999999993</v>
      </c>
      <c r="J132" s="664">
        <v>0.88500000000000001</v>
      </c>
      <c r="K132" s="598">
        <v>1.0244</v>
      </c>
      <c r="L132" s="661">
        <v>1.202</v>
      </c>
      <c r="M132" s="470">
        <f t="shared" si="4"/>
        <v>0.10980000000000001</v>
      </c>
      <c r="N132" s="470">
        <f t="shared" si="5"/>
        <v>0.32940000000000003</v>
      </c>
      <c r="O132" s="470">
        <v>4.4000000000000012</v>
      </c>
      <c r="P132" s="470">
        <v>13.200000000000003</v>
      </c>
    </row>
    <row r="133" spans="1:16">
      <c r="A133" s="597">
        <v>50821</v>
      </c>
      <c r="B133" s="595">
        <v>2</v>
      </c>
      <c r="C133" s="596">
        <v>3</v>
      </c>
      <c r="D133" s="596">
        <v>11</v>
      </c>
      <c r="E133" s="595" t="s">
        <v>102</v>
      </c>
      <c r="F133" s="595" t="s">
        <v>103</v>
      </c>
      <c r="G133" s="595" t="s">
        <v>31</v>
      </c>
      <c r="H133" s="596">
        <v>369</v>
      </c>
      <c r="I133" s="598">
        <v>0.85</v>
      </c>
      <c r="J133" s="664">
        <v>0.88900000000000001</v>
      </c>
      <c r="K133" s="598">
        <v>1.0110999999999999</v>
      </c>
      <c r="L133" s="661">
        <v>1.1349999999999998</v>
      </c>
      <c r="M133" s="470">
        <f t="shared" si="4"/>
        <v>9.4999999999999932E-2</v>
      </c>
      <c r="N133" s="470">
        <f t="shared" si="5"/>
        <v>0.28499999999999981</v>
      </c>
      <c r="O133" s="470">
        <v>2.4099999999999988</v>
      </c>
      <c r="P133" s="470">
        <v>7.2299999999999969</v>
      </c>
    </row>
    <row r="134" spans="1:16">
      <c r="A134" s="597">
        <v>50817</v>
      </c>
      <c r="B134" s="595">
        <v>2</v>
      </c>
      <c r="C134" s="596">
        <v>3</v>
      </c>
      <c r="D134" s="596">
        <v>12</v>
      </c>
      <c r="E134" s="595" t="s">
        <v>102</v>
      </c>
      <c r="F134" s="595" t="s">
        <v>103</v>
      </c>
      <c r="G134" s="595" t="s">
        <v>68</v>
      </c>
      <c r="H134" s="596">
        <v>1429</v>
      </c>
      <c r="I134" s="598">
        <v>0.66300000000000003</v>
      </c>
      <c r="J134" s="664">
        <v>0.69499999999999995</v>
      </c>
      <c r="K134" s="598">
        <v>0.72899999999999998</v>
      </c>
      <c r="L134" s="661">
        <v>0.82400000000000007</v>
      </c>
      <c r="M134" s="470">
        <f t="shared" si="4"/>
        <v>5.3666666666666675E-2</v>
      </c>
      <c r="N134" s="470">
        <f t="shared" si="5"/>
        <v>0.16100000000000003</v>
      </c>
      <c r="O134" s="470">
        <v>7.9499999999999984</v>
      </c>
      <c r="P134" s="470">
        <v>23.849999999999994</v>
      </c>
    </row>
    <row r="135" spans="1:16">
      <c r="A135" s="597">
        <v>50882</v>
      </c>
      <c r="B135" s="595">
        <v>2</v>
      </c>
      <c r="C135" s="596">
        <v>5</v>
      </c>
      <c r="D135" s="596">
        <v>8</v>
      </c>
      <c r="E135" s="595" t="s">
        <v>102</v>
      </c>
      <c r="F135" s="595" t="s">
        <v>103</v>
      </c>
      <c r="G135" s="595" t="s">
        <v>68</v>
      </c>
      <c r="H135" s="596">
        <v>549</v>
      </c>
      <c r="I135" s="598">
        <v>0.24111111111111111</v>
      </c>
      <c r="J135" s="664">
        <v>0.27100000000000002</v>
      </c>
      <c r="K135" s="598">
        <v>0.29777777777777775</v>
      </c>
      <c r="L135" s="661">
        <v>0.42333333333333339</v>
      </c>
      <c r="M135" s="470">
        <f t="shared" si="4"/>
        <v>6.0740740740740762E-2</v>
      </c>
      <c r="N135" s="470">
        <f t="shared" si="5"/>
        <v>0.18222222222222229</v>
      </c>
      <c r="O135" s="470">
        <v>2.456666666666667</v>
      </c>
      <c r="P135" s="470">
        <v>7.370000000000001</v>
      </c>
    </row>
    <row r="136" spans="1:16">
      <c r="A136" s="597">
        <v>50828</v>
      </c>
      <c r="B136" s="595">
        <v>2</v>
      </c>
      <c r="C136" s="596">
        <v>4</v>
      </c>
      <c r="D136" s="596">
        <v>10</v>
      </c>
      <c r="E136" s="595" t="s">
        <v>138</v>
      </c>
      <c r="F136" s="595" t="s">
        <v>139</v>
      </c>
      <c r="G136" s="595" t="s">
        <v>68</v>
      </c>
      <c r="H136" s="596">
        <v>954</v>
      </c>
      <c r="I136" s="598">
        <v>0.60609999999999997</v>
      </c>
      <c r="J136" s="664">
        <v>0.70599999999999996</v>
      </c>
      <c r="K136" s="598">
        <v>0.71360000000000001</v>
      </c>
      <c r="L136" s="661">
        <v>0.76555555555555543</v>
      </c>
      <c r="M136" s="470">
        <f t="shared" si="4"/>
        <v>5.3151851851851818E-2</v>
      </c>
      <c r="N136" s="470">
        <f t="shared" si="5"/>
        <v>0.15945555555555546</v>
      </c>
      <c r="O136" s="470">
        <v>8.9799999999999986</v>
      </c>
      <c r="P136" s="470">
        <v>26.939999999999998</v>
      </c>
    </row>
    <row r="137" spans="1:16">
      <c r="A137" s="597">
        <v>50295</v>
      </c>
      <c r="B137" s="595">
        <v>2</v>
      </c>
      <c r="C137" s="596">
        <v>4</v>
      </c>
      <c r="D137" s="596">
        <v>10</v>
      </c>
      <c r="E137" s="595" t="s">
        <v>138</v>
      </c>
      <c r="F137" s="595" t="s">
        <v>139</v>
      </c>
      <c r="G137" s="595" t="s">
        <v>68</v>
      </c>
      <c r="H137" s="596">
        <v>11</v>
      </c>
      <c r="I137" s="598">
        <v>0.86199999999999999</v>
      </c>
      <c r="J137" s="664">
        <v>0.88500000000000001</v>
      </c>
      <c r="K137" s="598">
        <v>0.95</v>
      </c>
      <c r="L137" s="661">
        <v>0.9850000000000001</v>
      </c>
      <c r="M137" s="470">
        <f t="shared" si="4"/>
        <v>4.1000000000000036E-2</v>
      </c>
      <c r="N137" s="470">
        <f t="shared" si="5"/>
        <v>0.12300000000000011</v>
      </c>
      <c r="O137" s="470">
        <v>6.833333333333333</v>
      </c>
      <c r="P137" s="470">
        <v>20.5</v>
      </c>
    </row>
    <row r="138" spans="1:16">
      <c r="A138" s="597">
        <v>50750</v>
      </c>
      <c r="B138" s="595">
        <v>2</v>
      </c>
      <c r="C138" s="596">
        <v>4</v>
      </c>
      <c r="D138" s="596">
        <v>10</v>
      </c>
      <c r="E138" s="595" t="s">
        <v>138</v>
      </c>
      <c r="F138" s="595" t="s">
        <v>139</v>
      </c>
      <c r="G138" s="595" t="s">
        <v>25</v>
      </c>
      <c r="H138" s="596">
        <v>82</v>
      </c>
      <c r="I138" s="598">
        <v>1.2490000000000001</v>
      </c>
      <c r="J138" s="664">
        <v>1.2490000000000001</v>
      </c>
      <c r="K138" s="598">
        <v>1.2490000000000001</v>
      </c>
      <c r="L138" s="661">
        <v>1.4</v>
      </c>
      <c r="M138" s="470">
        <f t="shared" si="4"/>
        <v>5.0333333333333265E-2</v>
      </c>
      <c r="N138" s="470">
        <f t="shared" si="5"/>
        <v>0.1509999999999998</v>
      </c>
      <c r="O138" s="470">
        <v>6.666666666666667</v>
      </c>
      <c r="P138" s="470">
        <v>20</v>
      </c>
    </row>
    <row r="139" spans="1:16">
      <c r="A139" s="597">
        <v>50871</v>
      </c>
      <c r="B139" s="595">
        <v>2</v>
      </c>
      <c r="C139" s="596">
        <v>7</v>
      </c>
      <c r="D139" s="596">
        <v>9</v>
      </c>
      <c r="E139" s="595" t="s">
        <v>138</v>
      </c>
      <c r="F139" s="595" t="s">
        <v>139</v>
      </c>
      <c r="G139" s="595" t="s">
        <v>25</v>
      </c>
      <c r="H139" s="596">
        <v>433</v>
      </c>
      <c r="I139" s="598">
        <v>0.36350000000000005</v>
      </c>
      <c r="J139" s="664">
        <v>0.39900000000000002</v>
      </c>
      <c r="K139" s="598">
        <v>0.45610000000000001</v>
      </c>
      <c r="L139" s="661">
        <v>0.69410000000000005</v>
      </c>
      <c r="M139" s="470">
        <f t="shared" si="4"/>
        <v>0.11020000000000001</v>
      </c>
      <c r="N139" s="470">
        <f t="shared" si="5"/>
        <v>0.3306</v>
      </c>
      <c r="O139" s="470">
        <v>9.7166666666666632</v>
      </c>
      <c r="P139" s="470">
        <v>29.149999999999991</v>
      </c>
    </row>
    <row r="140" spans="1:16">
      <c r="A140" s="597">
        <v>50879</v>
      </c>
      <c r="B140" s="595">
        <v>2</v>
      </c>
      <c r="C140" s="596">
        <v>7</v>
      </c>
      <c r="D140" s="596">
        <v>16</v>
      </c>
      <c r="E140" s="595" t="s">
        <v>138</v>
      </c>
      <c r="F140" s="595" t="s">
        <v>139</v>
      </c>
      <c r="G140" s="595" t="s">
        <v>25</v>
      </c>
      <c r="H140" s="596">
        <v>477</v>
      </c>
      <c r="I140" s="598">
        <v>0.26279999999999998</v>
      </c>
      <c r="J140" s="664">
        <v>0.29599999999999999</v>
      </c>
      <c r="K140" s="598">
        <v>0.3342</v>
      </c>
      <c r="L140" s="661">
        <v>0.55930000000000002</v>
      </c>
      <c r="M140" s="470">
        <f t="shared" si="4"/>
        <v>9.8833333333333342E-2</v>
      </c>
      <c r="N140" s="470">
        <f t="shared" si="5"/>
        <v>0.29650000000000004</v>
      </c>
      <c r="O140" s="470">
        <v>5.6833333333333327</v>
      </c>
      <c r="P140" s="470">
        <v>17.049999999999997</v>
      </c>
    </row>
    <row r="141" spans="1:16">
      <c r="A141" s="597">
        <v>50763</v>
      </c>
      <c r="B141" s="595">
        <v>2</v>
      </c>
      <c r="C141" s="596">
        <v>4</v>
      </c>
      <c r="D141" s="596">
        <v>10</v>
      </c>
      <c r="E141" s="595" t="s">
        <v>140</v>
      </c>
      <c r="F141" s="595" t="s">
        <v>407</v>
      </c>
      <c r="G141" s="595" t="s">
        <v>25</v>
      </c>
      <c r="H141" s="596">
        <v>19</v>
      </c>
      <c r="I141" s="598">
        <v>1.3539999999999999</v>
      </c>
      <c r="J141" s="664">
        <v>1.7</v>
      </c>
      <c r="K141" s="598">
        <v>1.7</v>
      </c>
      <c r="L141" s="661">
        <v>1.7</v>
      </c>
      <c r="M141" s="470">
        <f t="shared" si="4"/>
        <v>0.11533333333333336</v>
      </c>
      <c r="N141" s="470">
        <f t="shared" si="5"/>
        <v>0.34600000000000009</v>
      </c>
      <c r="O141" s="470">
        <v>5</v>
      </c>
      <c r="P141" s="470">
        <v>15</v>
      </c>
    </row>
    <row r="142" spans="1:16">
      <c r="A142" s="597">
        <v>50638</v>
      </c>
      <c r="B142" s="595">
        <v>2</v>
      </c>
      <c r="C142" s="596">
        <v>4</v>
      </c>
      <c r="D142" s="596">
        <v>10</v>
      </c>
      <c r="E142" s="595" t="s">
        <v>140</v>
      </c>
      <c r="F142" s="451" t="s">
        <v>407</v>
      </c>
      <c r="G142" s="595" t="s">
        <v>68</v>
      </c>
      <c r="H142" s="596">
        <v>52</v>
      </c>
      <c r="I142" s="598">
        <v>0.60866666666666669</v>
      </c>
      <c r="J142" s="664">
        <v>0.83699999999999997</v>
      </c>
      <c r="K142" s="598">
        <v>0.8966666666666665</v>
      </c>
      <c r="L142" s="661">
        <v>1.093333333333333</v>
      </c>
      <c r="M142" s="470">
        <f t="shared" si="4"/>
        <v>0.16155555555555545</v>
      </c>
      <c r="N142" s="470">
        <f t="shared" si="5"/>
        <v>0.48466666666666636</v>
      </c>
      <c r="O142" s="470">
        <v>5.3433333333333337</v>
      </c>
      <c r="P142" s="470">
        <v>16.03</v>
      </c>
    </row>
    <row r="143" spans="1:16">
      <c r="A143" s="597">
        <v>50736</v>
      </c>
      <c r="B143" s="595">
        <v>2</v>
      </c>
      <c r="C143" s="596">
        <v>2</v>
      </c>
      <c r="D143" s="596">
        <v>11</v>
      </c>
      <c r="E143" s="595" t="s">
        <v>74</v>
      </c>
      <c r="F143" s="451" t="s">
        <v>75</v>
      </c>
      <c r="G143" s="595" t="s">
        <v>25</v>
      </c>
      <c r="H143" s="596">
        <v>354</v>
      </c>
      <c r="I143" s="598">
        <v>1.42</v>
      </c>
      <c r="J143" s="664">
        <v>1.52</v>
      </c>
      <c r="K143" s="598">
        <v>1.5538000000000001</v>
      </c>
      <c r="L143" s="598">
        <v>1.4692499999999999</v>
      </c>
      <c r="M143" s="470">
        <f t="shared" si="4"/>
        <v>1.6416666666666673E-2</v>
      </c>
      <c r="N143" s="470">
        <f t="shared" si="5"/>
        <v>4.9250000000000016E-2</v>
      </c>
      <c r="O143" s="470">
        <v>1.2600000000000005</v>
      </c>
      <c r="P143" s="470">
        <v>3.7800000000000011</v>
      </c>
    </row>
    <row r="144" spans="1:16">
      <c r="A144" s="597">
        <v>50505</v>
      </c>
      <c r="B144" s="595">
        <v>2</v>
      </c>
      <c r="C144" s="596">
        <v>2</v>
      </c>
      <c r="D144" s="596">
        <v>11</v>
      </c>
      <c r="E144" s="595" t="s">
        <v>74</v>
      </c>
      <c r="F144" s="595" t="s">
        <v>75</v>
      </c>
      <c r="G144" s="595" t="s">
        <v>34</v>
      </c>
      <c r="H144" s="596">
        <v>15</v>
      </c>
      <c r="I144" s="598">
        <v>1.3049999999999999</v>
      </c>
      <c r="J144" s="598">
        <v>1.3049999999999999</v>
      </c>
      <c r="K144" s="598">
        <v>1.3049999999999999</v>
      </c>
      <c r="L144" s="598">
        <v>1.42</v>
      </c>
      <c r="M144" s="470">
        <f t="shared" si="4"/>
        <v>3.833333333333333E-2</v>
      </c>
      <c r="N144" s="470">
        <f t="shared" si="5"/>
        <v>0.11499999999999999</v>
      </c>
      <c r="O144" s="470">
        <v>2</v>
      </c>
      <c r="P144" s="470">
        <v>6</v>
      </c>
    </row>
    <row r="145" spans="1:16">
      <c r="A145" s="597">
        <v>50887</v>
      </c>
      <c r="B145" s="595">
        <v>2</v>
      </c>
      <c r="C145" s="596">
        <v>3</v>
      </c>
      <c r="D145" s="596">
        <v>8</v>
      </c>
      <c r="E145" s="595" t="s">
        <v>74</v>
      </c>
      <c r="F145" s="595" t="s">
        <v>75</v>
      </c>
      <c r="G145" s="595" t="s">
        <v>34</v>
      </c>
      <c r="H145" s="596">
        <v>179</v>
      </c>
      <c r="I145" s="598">
        <v>0.26088888888888889</v>
      </c>
      <c r="J145" s="598">
        <v>0.26700000000000002</v>
      </c>
      <c r="K145" s="598">
        <v>0.27122222222222225</v>
      </c>
      <c r="L145" s="661">
        <v>0.3255555555555556</v>
      </c>
      <c r="M145" s="470">
        <f t="shared" si="4"/>
        <v>2.1555555555555567E-2</v>
      </c>
      <c r="N145" s="470">
        <f t="shared" si="5"/>
        <v>6.4666666666666706E-2</v>
      </c>
      <c r="O145" s="470">
        <v>1.3466666666666669</v>
      </c>
      <c r="P145" s="470">
        <v>4.0400000000000009</v>
      </c>
    </row>
    <row r="146" spans="1:16">
      <c r="A146" s="597">
        <v>50885</v>
      </c>
      <c r="B146" s="595">
        <v>2</v>
      </c>
      <c r="C146" s="596">
        <v>7</v>
      </c>
      <c r="D146" s="596">
        <v>11</v>
      </c>
      <c r="E146" s="595" t="s">
        <v>74</v>
      </c>
      <c r="F146" s="595" t="s">
        <v>75</v>
      </c>
      <c r="G146" s="595" t="s">
        <v>25</v>
      </c>
      <c r="H146" s="596">
        <v>222</v>
      </c>
      <c r="I146" s="598">
        <v>0.20910000000000001</v>
      </c>
      <c r="J146" s="598">
        <v>0.217</v>
      </c>
      <c r="K146" s="598">
        <v>0.2238</v>
      </c>
      <c r="L146" s="661">
        <v>0.33189999999999997</v>
      </c>
      <c r="M146" s="470">
        <f t="shared" si="4"/>
        <v>4.0933333333333322E-2</v>
      </c>
      <c r="N146" s="470">
        <f t="shared" si="5"/>
        <v>0.12279999999999996</v>
      </c>
      <c r="O146" s="470">
        <v>1.3333333333333333</v>
      </c>
      <c r="P146" s="470">
        <v>4</v>
      </c>
    </row>
    <row r="147" spans="1:16">
      <c r="A147" s="597" t="s">
        <v>400</v>
      </c>
      <c r="B147" s="595">
        <v>2</v>
      </c>
      <c r="C147" s="596">
        <v>4</v>
      </c>
      <c r="D147" s="596">
        <v>7</v>
      </c>
      <c r="E147" s="595" t="s">
        <v>134</v>
      </c>
      <c r="F147" s="595" t="s">
        <v>135</v>
      </c>
      <c r="G147" s="595" t="s">
        <v>25</v>
      </c>
      <c r="H147" s="596">
        <v>411</v>
      </c>
      <c r="I147" s="598">
        <v>0.87829999999999997</v>
      </c>
      <c r="J147" s="598">
        <v>0.99399999999999999</v>
      </c>
      <c r="K147" s="598">
        <v>0.99490000000000001</v>
      </c>
      <c r="L147" s="661">
        <v>1.0266666666666664</v>
      </c>
      <c r="M147" s="470">
        <f t="shared" si="4"/>
        <v>4.9455555555555475E-2</v>
      </c>
      <c r="N147" s="470">
        <f t="shared" si="5"/>
        <v>0.14836666666666642</v>
      </c>
      <c r="O147" s="470">
        <v>0.72333333333333394</v>
      </c>
      <c r="P147" s="470">
        <v>2.1700000000000017</v>
      </c>
    </row>
    <row r="148" spans="1:16">
      <c r="A148" s="597" t="s">
        <v>399</v>
      </c>
      <c r="B148" s="595">
        <v>2</v>
      </c>
      <c r="C148" s="596">
        <v>8</v>
      </c>
      <c r="D148" s="596">
        <v>3</v>
      </c>
      <c r="E148" s="595" t="s">
        <v>134</v>
      </c>
      <c r="F148" s="595" t="s">
        <v>135</v>
      </c>
      <c r="G148" s="595" t="s">
        <v>25</v>
      </c>
      <c r="H148" s="596">
        <v>210</v>
      </c>
      <c r="I148" s="598">
        <v>0.77024999999999999</v>
      </c>
      <c r="J148" s="598">
        <v>0.93600000000000005</v>
      </c>
      <c r="K148" s="661">
        <v>0.94699999999999995</v>
      </c>
      <c r="L148" s="661">
        <f>(((J148-I148)+(K148-J148))/2)+K148</f>
        <v>1.0353749999999999</v>
      </c>
      <c r="M148" s="470">
        <f t="shared" si="4"/>
        <v>8.8374999999999981E-2</v>
      </c>
      <c r="N148" s="470">
        <f t="shared" si="5"/>
        <v>0.26512499999999994</v>
      </c>
      <c r="O148" s="470">
        <v>0.58000000000000063</v>
      </c>
      <c r="P148" s="470">
        <v>1.740000000000002</v>
      </c>
    </row>
    <row r="149" spans="1:16">
      <c r="A149" s="597">
        <v>50142</v>
      </c>
      <c r="B149" s="595">
        <v>2</v>
      </c>
      <c r="C149" s="596">
        <v>8</v>
      </c>
      <c r="D149" s="596">
        <v>13</v>
      </c>
      <c r="E149" s="595" t="s">
        <v>134</v>
      </c>
      <c r="F149" s="595" t="s">
        <v>135</v>
      </c>
      <c r="G149" s="595" t="s">
        <v>25</v>
      </c>
      <c r="H149" s="596">
        <v>224</v>
      </c>
      <c r="I149" s="598">
        <v>1.02</v>
      </c>
      <c r="J149" s="598">
        <v>1.204</v>
      </c>
      <c r="K149" s="661">
        <v>1.2833333333333332</v>
      </c>
      <c r="L149" s="661">
        <v>1.65</v>
      </c>
      <c r="M149" s="470">
        <f t="shared" si="4"/>
        <v>0.20999999999999996</v>
      </c>
      <c r="N149" s="470">
        <f t="shared" si="5"/>
        <v>0.62999999999999989</v>
      </c>
      <c r="O149" s="470">
        <v>2.5666666666666678</v>
      </c>
      <c r="P149" s="470">
        <v>7.7000000000000028</v>
      </c>
    </row>
    <row r="150" spans="1:16">
      <c r="A150" s="597">
        <v>50870</v>
      </c>
      <c r="B150" s="595">
        <v>2</v>
      </c>
      <c r="C150" s="596">
        <v>7</v>
      </c>
      <c r="D150" s="596">
        <v>9</v>
      </c>
      <c r="E150" s="595" t="s">
        <v>222</v>
      </c>
      <c r="F150" s="595" t="s">
        <v>223</v>
      </c>
      <c r="G150" s="595" t="s">
        <v>25</v>
      </c>
      <c r="H150" s="596">
        <v>93</v>
      </c>
      <c r="I150" s="598">
        <v>0.55200000000000005</v>
      </c>
      <c r="J150" s="598">
        <v>0.56899999999999995</v>
      </c>
      <c r="K150" s="598">
        <v>0.625</v>
      </c>
      <c r="L150" s="661">
        <v>0.73449999999999993</v>
      </c>
      <c r="M150" s="470">
        <f t="shared" si="4"/>
        <v>6.0833333333333295E-2</v>
      </c>
      <c r="N150" s="470">
        <f t="shared" si="5"/>
        <v>0.18249999999999988</v>
      </c>
      <c r="O150" s="470">
        <v>0.8999999999999998</v>
      </c>
      <c r="P150" s="470">
        <v>2.6999999999999993</v>
      </c>
    </row>
    <row r="151" spans="1:16">
      <c r="A151" s="597">
        <v>50761</v>
      </c>
      <c r="B151" s="595">
        <v>2</v>
      </c>
      <c r="C151" s="596">
        <v>4</v>
      </c>
      <c r="D151" s="596">
        <v>2</v>
      </c>
      <c r="E151" s="595" t="s">
        <v>124</v>
      </c>
      <c r="F151" s="595" t="s">
        <v>125</v>
      </c>
      <c r="G151" s="595" t="s">
        <v>31</v>
      </c>
      <c r="H151" s="596">
        <v>250</v>
      </c>
      <c r="I151" s="598">
        <v>0.9677</v>
      </c>
      <c r="J151" s="598">
        <v>1.004</v>
      </c>
      <c r="K151" s="598">
        <v>1.0134999999999998</v>
      </c>
      <c r="L151" s="661">
        <v>1.0857777777777777</v>
      </c>
      <c r="M151" s="470">
        <f t="shared" si="4"/>
        <v>3.935925925925924E-2</v>
      </c>
      <c r="N151" s="470">
        <f t="shared" si="5"/>
        <v>0.11807777777777773</v>
      </c>
      <c r="O151" s="470">
        <v>1.6900000000000002</v>
      </c>
      <c r="P151" s="470">
        <v>5.07</v>
      </c>
    </row>
    <row r="152" spans="1:16">
      <c r="A152" s="597">
        <v>50113</v>
      </c>
      <c r="B152" s="595">
        <v>2</v>
      </c>
      <c r="C152" s="596">
        <v>4</v>
      </c>
      <c r="D152" s="596">
        <v>2</v>
      </c>
      <c r="E152" s="595" t="s">
        <v>124</v>
      </c>
      <c r="F152" s="595" t="s">
        <v>125</v>
      </c>
      <c r="G152" s="595" t="s">
        <v>25</v>
      </c>
      <c r="H152" s="596">
        <v>172</v>
      </c>
      <c r="I152" s="598">
        <v>1.1653749999999998</v>
      </c>
      <c r="J152" s="598">
        <v>1.252</v>
      </c>
      <c r="K152" s="598">
        <v>1.3243750000000001</v>
      </c>
      <c r="L152" s="661">
        <v>1.3431250000000001</v>
      </c>
      <c r="M152" s="470">
        <f t="shared" si="4"/>
        <v>5.9250000000000101E-2</v>
      </c>
      <c r="N152" s="470">
        <f t="shared" si="5"/>
        <v>0.1777500000000003</v>
      </c>
      <c r="O152" s="470">
        <v>1.0100000000000005</v>
      </c>
      <c r="P152" s="470">
        <v>3.0300000000000011</v>
      </c>
    </row>
    <row r="153" spans="1:16">
      <c r="A153" s="597">
        <v>50778</v>
      </c>
      <c r="B153" s="595">
        <v>2</v>
      </c>
      <c r="C153" s="596">
        <v>8</v>
      </c>
      <c r="D153" s="596">
        <v>2</v>
      </c>
      <c r="E153" s="595" t="s">
        <v>233</v>
      </c>
      <c r="F153" s="595" t="s">
        <v>234</v>
      </c>
      <c r="G153" s="595" t="s">
        <v>48</v>
      </c>
      <c r="H153" s="596">
        <v>118</v>
      </c>
      <c r="I153" s="598">
        <v>1.0044999999999999</v>
      </c>
      <c r="J153" s="598">
        <v>1.0489999999999999</v>
      </c>
      <c r="K153" s="661">
        <v>1.1000000000000001</v>
      </c>
      <c r="L153" s="661">
        <v>1.2749999999999999</v>
      </c>
      <c r="M153" s="470">
        <f t="shared" si="4"/>
        <v>9.0166666666666659E-2</v>
      </c>
      <c r="N153" s="470">
        <f t="shared" si="5"/>
        <v>0.27049999999999996</v>
      </c>
      <c r="O153" s="470">
        <v>5.166666666666667</v>
      </c>
      <c r="P153" s="470">
        <v>15.5</v>
      </c>
    </row>
    <row r="154" spans="1:16">
      <c r="A154" s="597">
        <v>50587</v>
      </c>
      <c r="B154" s="595">
        <v>2</v>
      </c>
      <c r="C154" s="596">
        <v>8</v>
      </c>
      <c r="D154" s="596">
        <v>2</v>
      </c>
      <c r="E154" s="595" t="s">
        <v>233</v>
      </c>
      <c r="F154" s="595" t="s">
        <v>234</v>
      </c>
      <c r="G154" s="595" t="s">
        <v>34</v>
      </c>
      <c r="H154" s="596">
        <v>47</v>
      </c>
      <c r="I154" s="598">
        <v>1.1125</v>
      </c>
      <c r="J154" s="598">
        <v>1.117</v>
      </c>
      <c r="K154" s="661">
        <v>1.21</v>
      </c>
      <c r="L154" s="661">
        <f>(((J154-I154)+(K154-J154))/2)+K154</f>
        <v>1.25875</v>
      </c>
      <c r="M154" s="470">
        <f t="shared" si="4"/>
        <v>4.8749999999999995E-2</v>
      </c>
      <c r="N154" s="470">
        <f t="shared" si="5"/>
        <v>0.14624999999999999</v>
      </c>
      <c r="O154" s="470">
        <v>1.5</v>
      </c>
      <c r="P154" s="470">
        <v>4.5</v>
      </c>
    </row>
    <row r="155" spans="1:16">
      <c r="A155" s="597">
        <v>50874</v>
      </c>
      <c r="B155" s="595">
        <v>2</v>
      </c>
      <c r="C155" s="596">
        <v>1</v>
      </c>
      <c r="D155" s="596">
        <v>14</v>
      </c>
      <c r="E155" s="595" t="s">
        <v>49</v>
      </c>
      <c r="F155" s="595" t="s">
        <v>50</v>
      </c>
      <c r="G155" s="595" t="s">
        <v>25</v>
      </c>
      <c r="H155" s="596">
        <v>282</v>
      </c>
      <c r="I155" s="598">
        <v>0.43900000000000006</v>
      </c>
      <c r="J155" s="598">
        <v>0.51600000000000001</v>
      </c>
      <c r="K155" s="598">
        <v>0.64266666666666672</v>
      </c>
      <c r="L155" s="661">
        <v>0.79999999999999993</v>
      </c>
      <c r="M155" s="470">
        <f t="shared" si="4"/>
        <v>0.12033333333333329</v>
      </c>
      <c r="N155" s="470">
        <f t="shared" si="5"/>
        <v>0.36099999999999988</v>
      </c>
      <c r="O155" s="470">
        <v>1.6866666666666663</v>
      </c>
      <c r="P155" s="470">
        <v>5.0599999999999987</v>
      </c>
    </row>
    <row r="156" spans="1:16">
      <c r="A156" s="597">
        <v>50838</v>
      </c>
      <c r="B156" s="595">
        <v>2</v>
      </c>
      <c r="C156" s="596">
        <v>5</v>
      </c>
      <c r="D156" s="596">
        <v>6</v>
      </c>
      <c r="E156" s="595" t="s">
        <v>49</v>
      </c>
      <c r="F156" s="595" t="s">
        <v>50</v>
      </c>
      <c r="G156" s="595" t="s">
        <v>68</v>
      </c>
      <c r="H156" s="596">
        <v>1374</v>
      </c>
      <c r="I156" s="598">
        <v>0.60299999999999998</v>
      </c>
      <c r="J156" s="598">
        <v>0.66100000000000003</v>
      </c>
      <c r="K156" s="598">
        <v>0.67870000000000008</v>
      </c>
      <c r="L156" s="661">
        <v>0.79</v>
      </c>
      <c r="M156" s="470">
        <f t="shared" si="4"/>
        <v>6.2333333333333352E-2</v>
      </c>
      <c r="N156" s="470">
        <f t="shared" si="5"/>
        <v>0.18700000000000006</v>
      </c>
      <c r="O156" s="470">
        <v>1.33</v>
      </c>
      <c r="P156" s="470">
        <v>3.99</v>
      </c>
    </row>
    <row r="157" spans="1:16">
      <c r="A157" s="597">
        <v>50566</v>
      </c>
      <c r="B157" s="595">
        <v>2</v>
      </c>
      <c r="C157" s="596">
        <v>5</v>
      </c>
      <c r="D157" s="596">
        <v>12</v>
      </c>
      <c r="E157" s="595" t="s">
        <v>49</v>
      </c>
      <c r="F157" s="595" t="s">
        <v>50</v>
      </c>
      <c r="G157" s="595" t="s">
        <v>31</v>
      </c>
      <c r="H157" s="596">
        <v>90</v>
      </c>
      <c r="I157" s="598">
        <v>1.1599999999999999</v>
      </c>
      <c r="J157" s="598">
        <v>1.1599999999999999</v>
      </c>
      <c r="K157" s="598">
        <v>1.1599999999999999</v>
      </c>
      <c r="L157" s="661">
        <v>1.37</v>
      </c>
      <c r="M157" s="470">
        <f t="shared" si="4"/>
        <v>7.0000000000000062E-2</v>
      </c>
      <c r="N157" s="470">
        <f t="shared" si="5"/>
        <v>0.21000000000000019</v>
      </c>
      <c r="O157" s="470">
        <v>3</v>
      </c>
      <c r="P157" s="470">
        <v>9</v>
      </c>
    </row>
    <row r="158" spans="1:16">
      <c r="A158" s="597">
        <v>50476</v>
      </c>
      <c r="B158" s="595">
        <v>2</v>
      </c>
      <c r="C158" s="596">
        <v>5</v>
      </c>
      <c r="D158" s="596">
        <v>12</v>
      </c>
      <c r="E158" s="595" t="s">
        <v>49</v>
      </c>
      <c r="F158" s="595" t="s">
        <v>50</v>
      </c>
      <c r="G158" s="595" t="s">
        <v>34</v>
      </c>
      <c r="H158" s="596">
        <v>192</v>
      </c>
      <c r="I158" s="598">
        <v>0.69125000000000014</v>
      </c>
      <c r="J158" s="598">
        <v>0.97699999999999998</v>
      </c>
      <c r="K158" s="598">
        <v>1.0162500000000001</v>
      </c>
      <c r="L158" s="661">
        <v>1.046</v>
      </c>
      <c r="M158" s="470">
        <f t="shared" si="4"/>
        <v>0.11824999999999997</v>
      </c>
      <c r="N158" s="470">
        <f t="shared" si="5"/>
        <v>0.3547499999999999</v>
      </c>
      <c r="O158" s="470">
        <v>0.79999999999999949</v>
      </c>
      <c r="P158" s="470">
        <v>2.3999999999999986</v>
      </c>
    </row>
    <row r="159" spans="1:16">
      <c r="A159" s="597">
        <v>50633</v>
      </c>
      <c r="B159" s="595">
        <v>2</v>
      </c>
      <c r="C159" s="596">
        <v>5</v>
      </c>
      <c r="D159" s="596">
        <v>12</v>
      </c>
      <c r="E159" s="595" t="s">
        <v>49</v>
      </c>
      <c r="F159" s="595" t="s">
        <v>50</v>
      </c>
      <c r="G159" s="595" t="s">
        <v>68</v>
      </c>
      <c r="H159" s="596">
        <v>158</v>
      </c>
      <c r="I159" s="598">
        <v>0.45333333333333337</v>
      </c>
      <c r="J159" s="598">
        <v>0.56699999999999995</v>
      </c>
      <c r="K159" s="598">
        <v>0.6283333333333333</v>
      </c>
      <c r="L159" s="661">
        <v>0.72666666666666657</v>
      </c>
      <c r="M159" s="470">
        <f t="shared" si="4"/>
        <v>9.1111111111111073E-2</v>
      </c>
      <c r="N159" s="470">
        <f t="shared" si="5"/>
        <v>0.27333333333333321</v>
      </c>
      <c r="O159" s="470">
        <v>0.8999999999999998</v>
      </c>
      <c r="P159" s="470">
        <v>2.6999999999999993</v>
      </c>
    </row>
    <row r="160" spans="1:16">
      <c r="A160" s="597">
        <v>50634</v>
      </c>
      <c r="B160" s="595">
        <v>2</v>
      </c>
      <c r="C160" s="596">
        <v>5</v>
      </c>
      <c r="D160" s="596">
        <v>12</v>
      </c>
      <c r="E160" s="595" t="s">
        <v>49</v>
      </c>
      <c r="F160" s="595" t="s">
        <v>194</v>
      </c>
      <c r="G160" s="595" t="s">
        <v>34</v>
      </c>
      <c r="H160" s="596">
        <v>74</v>
      </c>
      <c r="I160" s="598">
        <v>0.45999999999999996</v>
      </c>
      <c r="J160" s="598">
        <v>0.6</v>
      </c>
      <c r="K160" s="598">
        <v>0.6</v>
      </c>
      <c r="L160" s="661">
        <f>(((J160-I160)+(K160-J160))/2)+K160</f>
        <v>0.66999999999999993</v>
      </c>
      <c r="M160" s="470">
        <f t="shared" si="4"/>
        <v>6.9999999999999993E-2</v>
      </c>
      <c r="N160" s="470">
        <f t="shared" si="5"/>
        <v>0.20999999999999996</v>
      </c>
      <c r="O160" s="470">
        <v>1.0066666666666666</v>
      </c>
      <c r="P160" s="470">
        <v>3.0199999999999996</v>
      </c>
    </row>
    <row r="161" spans="1:16">
      <c r="A161" s="597">
        <v>50795</v>
      </c>
      <c r="B161" s="595">
        <v>2</v>
      </c>
      <c r="C161" s="596">
        <v>1</v>
      </c>
      <c r="D161" s="596">
        <v>11</v>
      </c>
      <c r="E161" s="595" t="s">
        <v>44</v>
      </c>
      <c r="F161" s="595" t="s">
        <v>45</v>
      </c>
      <c r="G161" s="595" t="s">
        <v>31</v>
      </c>
      <c r="H161" s="596">
        <v>754</v>
      </c>
      <c r="I161" s="598">
        <v>1.2383</v>
      </c>
      <c r="J161" s="598">
        <v>1.3089999999999999</v>
      </c>
      <c r="K161" s="598">
        <v>1.3706666666666667</v>
      </c>
      <c r="L161" s="661">
        <v>1.3867500000000001</v>
      </c>
      <c r="M161" s="470">
        <f t="shared" si="4"/>
        <v>4.94833333333334E-2</v>
      </c>
      <c r="N161" s="470">
        <f t="shared" si="5"/>
        <v>0.14845000000000019</v>
      </c>
      <c r="O161" s="470">
        <v>9.6366666666666649</v>
      </c>
      <c r="P161" s="470">
        <v>28.909999999999997</v>
      </c>
    </row>
    <row r="162" spans="1:16">
      <c r="A162" s="597">
        <v>50867</v>
      </c>
      <c r="B162" s="595">
        <v>2</v>
      </c>
      <c r="C162" s="596">
        <v>4</v>
      </c>
      <c r="D162" s="596">
        <v>20</v>
      </c>
      <c r="E162" s="595" t="s">
        <v>175</v>
      </c>
      <c r="F162" s="595" t="s">
        <v>176</v>
      </c>
      <c r="G162" s="595" t="s">
        <v>31</v>
      </c>
      <c r="H162" s="596">
        <v>303</v>
      </c>
      <c r="I162" s="598">
        <v>0.56774999999999998</v>
      </c>
      <c r="J162" s="598">
        <v>0.73</v>
      </c>
      <c r="K162" s="598">
        <v>0.76137500000000002</v>
      </c>
      <c r="L162" s="661">
        <v>0.83</v>
      </c>
      <c r="M162" s="470">
        <f t="shared" si="4"/>
        <v>8.7416666666666656E-2</v>
      </c>
      <c r="N162" s="470">
        <f t="shared" si="5"/>
        <v>0.26224999999999998</v>
      </c>
      <c r="O162" s="470">
        <v>3.65</v>
      </c>
      <c r="P162" s="470">
        <v>10.95</v>
      </c>
    </row>
    <row r="163" spans="1:16">
      <c r="A163" s="597">
        <v>50782</v>
      </c>
      <c r="B163" s="595">
        <v>2</v>
      </c>
      <c r="C163" s="596">
        <v>5</v>
      </c>
      <c r="D163" s="596">
        <v>1</v>
      </c>
      <c r="E163" s="595" t="s">
        <v>181</v>
      </c>
      <c r="F163" s="595" t="s">
        <v>182</v>
      </c>
      <c r="G163" s="595" t="s">
        <v>31</v>
      </c>
      <c r="H163" s="596">
        <v>162</v>
      </c>
      <c r="I163" s="598">
        <v>1.2250000000000001</v>
      </c>
      <c r="J163" s="598">
        <v>1.296</v>
      </c>
      <c r="K163" s="598">
        <v>1.3399999999999999</v>
      </c>
      <c r="L163" s="661">
        <v>1.3619999999999999</v>
      </c>
      <c r="M163" s="470">
        <f t="shared" si="4"/>
        <v>4.5666666666666599E-2</v>
      </c>
      <c r="N163" s="470">
        <f t="shared" si="5"/>
        <v>0.13699999999999979</v>
      </c>
      <c r="O163" s="470">
        <v>0.63333333333333286</v>
      </c>
      <c r="P163" s="470">
        <v>1.8999999999999986</v>
      </c>
    </row>
    <row r="164" spans="1:16">
      <c r="A164" s="597">
        <v>50805</v>
      </c>
      <c r="B164" s="595">
        <v>2</v>
      </c>
      <c r="C164" s="596">
        <v>4</v>
      </c>
      <c r="D164" s="596">
        <v>15</v>
      </c>
      <c r="E164" s="595" t="s">
        <v>156</v>
      </c>
      <c r="F164" s="595" t="s">
        <v>157</v>
      </c>
      <c r="G164" s="595" t="s">
        <v>31</v>
      </c>
      <c r="H164" s="596">
        <v>15</v>
      </c>
      <c r="I164" s="598">
        <v>0.37</v>
      </c>
      <c r="J164" s="598">
        <v>0.44</v>
      </c>
      <c r="K164" s="598">
        <v>0.44</v>
      </c>
      <c r="L164" s="661">
        <v>1.1399999999999999</v>
      </c>
      <c r="M164" s="470">
        <f t="shared" si="4"/>
        <v>0.25666666666666665</v>
      </c>
      <c r="N164" s="470">
        <f t="shared" si="5"/>
        <v>0.76999999999999991</v>
      </c>
      <c r="O164" s="470">
        <v>0</v>
      </c>
      <c r="P164" s="470">
        <v>0</v>
      </c>
    </row>
    <row r="165" spans="1:16">
      <c r="A165" s="597">
        <v>50759</v>
      </c>
      <c r="B165" s="595">
        <v>2</v>
      </c>
      <c r="C165" s="596">
        <v>1</v>
      </c>
      <c r="D165" s="596">
        <v>3</v>
      </c>
      <c r="E165" s="595" t="s">
        <v>29</v>
      </c>
      <c r="F165" s="595" t="s">
        <v>30</v>
      </c>
      <c r="G165" s="595" t="s">
        <v>31</v>
      </c>
      <c r="H165" s="596">
        <v>232</v>
      </c>
      <c r="I165" s="598">
        <v>1.4239999999999999</v>
      </c>
      <c r="J165" s="598">
        <v>1.5029999999999999</v>
      </c>
      <c r="K165" s="598">
        <v>1.5299</v>
      </c>
      <c r="L165" s="661">
        <v>1.4773749999999999</v>
      </c>
      <c r="M165" s="470">
        <f t="shared" si="4"/>
        <v>1.779166666666665E-2</v>
      </c>
      <c r="N165" s="470">
        <f t="shared" si="5"/>
        <v>5.337499999999995E-2</v>
      </c>
      <c r="O165" s="470">
        <v>2.0333333333333337</v>
      </c>
      <c r="P165" s="470">
        <v>6.1000000000000014</v>
      </c>
    </row>
    <row r="166" spans="1:16">
      <c r="A166" s="597">
        <v>50752</v>
      </c>
      <c r="B166" s="595">
        <v>2</v>
      </c>
      <c r="C166" s="596">
        <v>2</v>
      </c>
      <c r="D166" s="596">
        <v>2</v>
      </c>
      <c r="E166" s="595" t="s">
        <v>62</v>
      </c>
      <c r="F166" s="595" t="s">
        <v>63</v>
      </c>
      <c r="G166" s="595" t="s">
        <v>34</v>
      </c>
      <c r="H166" s="596">
        <v>89</v>
      </c>
      <c r="I166" s="598">
        <v>0.81750000000000012</v>
      </c>
      <c r="J166" s="598">
        <v>0.88800000000000001</v>
      </c>
      <c r="K166" s="598">
        <v>0.91999999999999993</v>
      </c>
      <c r="L166" s="661">
        <v>1.21</v>
      </c>
      <c r="M166" s="470">
        <f t="shared" si="4"/>
        <v>0.13083333333333327</v>
      </c>
      <c r="N166" s="470">
        <f t="shared" si="5"/>
        <v>0.39249999999999985</v>
      </c>
      <c r="O166" s="470">
        <v>1.4000000000000001</v>
      </c>
      <c r="P166" s="470">
        <v>4.2</v>
      </c>
    </row>
    <row r="167" spans="1:16">
      <c r="A167" s="597">
        <v>50188</v>
      </c>
      <c r="B167" s="595">
        <v>2</v>
      </c>
      <c r="C167" s="596">
        <v>2</v>
      </c>
      <c r="D167" s="596">
        <v>2</v>
      </c>
      <c r="E167" s="595" t="s">
        <v>62</v>
      </c>
      <c r="F167" s="595" t="s">
        <v>361</v>
      </c>
      <c r="G167" s="595" t="s">
        <v>25</v>
      </c>
      <c r="H167" s="596">
        <v>24</v>
      </c>
      <c r="I167" s="598">
        <v>0.68500000000000005</v>
      </c>
      <c r="J167" s="598">
        <v>0.68500000000000005</v>
      </c>
      <c r="K167" s="598">
        <v>0.68500000000000005</v>
      </c>
      <c r="L167" s="598">
        <v>0.68500000000000005</v>
      </c>
      <c r="M167" s="470">
        <f t="shared" si="4"/>
        <v>0</v>
      </c>
      <c r="N167" s="470">
        <f t="shared" si="5"/>
        <v>0</v>
      </c>
      <c r="O167" s="470">
        <v>1.3333333333333333</v>
      </c>
      <c r="P167" s="470">
        <v>4</v>
      </c>
    </row>
    <row r="168" spans="1:16">
      <c r="A168" s="597">
        <v>50596</v>
      </c>
      <c r="B168" s="595">
        <v>2</v>
      </c>
      <c r="C168" s="596">
        <v>4</v>
      </c>
      <c r="D168" s="596">
        <v>17</v>
      </c>
      <c r="E168" s="595" t="s">
        <v>169</v>
      </c>
      <c r="F168" s="595" t="s">
        <v>170</v>
      </c>
      <c r="G168" s="595" t="s">
        <v>34</v>
      </c>
      <c r="H168" s="596">
        <v>110</v>
      </c>
      <c r="I168" s="598">
        <v>1.1043333333333332</v>
      </c>
      <c r="J168" s="598">
        <v>1.409</v>
      </c>
      <c r="K168" s="598">
        <v>1.4916666666666665</v>
      </c>
      <c r="L168" s="661">
        <v>1.5683333333333331</v>
      </c>
      <c r="M168" s="470">
        <f t="shared" si="4"/>
        <v>0.15466666666666665</v>
      </c>
      <c r="N168" s="470">
        <f t="shared" si="5"/>
        <v>0.46399999999999997</v>
      </c>
      <c r="O168" s="470">
        <v>8.9833333333333343</v>
      </c>
      <c r="P168" s="470">
        <v>26.950000000000003</v>
      </c>
    </row>
    <row r="169" spans="1:16">
      <c r="A169" s="597">
        <v>50571</v>
      </c>
      <c r="B169" s="595">
        <v>2</v>
      </c>
      <c r="C169" s="596">
        <v>4</v>
      </c>
      <c r="D169" s="596">
        <v>17</v>
      </c>
      <c r="E169" s="595" t="s">
        <v>169</v>
      </c>
      <c r="F169" s="595" t="s">
        <v>170</v>
      </c>
      <c r="G169" s="595" t="s">
        <v>34</v>
      </c>
      <c r="H169" s="596">
        <v>223</v>
      </c>
      <c r="I169" s="598">
        <v>0.87487500000000007</v>
      </c>
      <c r="J169" s="598">
        <v>1.036</v>
      </c>
      <c r="K169" s="598">
        <v>1.036</v>
      </c>
      <c r="L169" s="661">
        <v>1.0483333333333333</v>
      </c>
      <c r="M169" s="470">
        <f t="shared" si="4"/>
        <v>5.7819444444444423E-2</v>
      </c>
      <c r="N169" s="470">
        <f t="shared" si="5"/>
        <v>0.17345833333333327</v>
      </c>
      <c r="O169" s="470">
        <v>6.7166666666666641</v>
      </c>
      <c r="P169" s="470">
        <v>20.149999999999991</v>
      </c>
    </row>
    <row r="170" spans="1:16">
      <c r="A170" s="597">
        <v>50883</v>
      </c>
      <c r="B170" s="595">
        <v>2</v>
      </c>
      <c r="C170" s="596">
        <v>8</v>
      </c>
      <c r="D170" s="596">
        <v>10</v>
      </c>
      <c r="E170" s="595" t="s">
        <v>169</v>
      </c>
      <c r="F170" s="595" t="s">
        <v>170</v>
      </c>
      <c r="G170" s="595" t="s">
        <v>25</v>
      </c>
      <c r="H170" s="596">
        <v>158</v>
      </c>
      <c r="I170" s="598">
        <v>0.23700000000000002</v>
      </c>
      <c r="J170" s="598">
        <v>0.28349999999999997</v>
      </c>
      <c r="K170" s="661">
        <v>0.42749999999999999</v>
      </c>
      <c r="L170" s="662">
        <v>0.63624999999999998</v>
      </c>
      <c r="M170" s="470">
        <f t="shared" si="4"/>
        <v>0.13308333333333333</v>
      </c>
      <c r="N170" s="470">
        <f t="shared" si="5"/>
        <v>0.39924999999999999</v>
      </c>
      <c r="O170" s="470">
        <v>10.213333333333333</v>
      </c>
      <c r="P170" s="470">
        <v>30.639999999999997</v>
      </c>
    </row>
    <row r="171" spans="1:16">
      <c r="A171" s="597">
        <v>50580</v>
      </c>
      <c r="B171" s="595">
        <v>2</v>
      </c>
      <c r="C171" s="596">
        <v>7</v>
      </c>
      <c r="D171" s="596">
        <v>4</v>
      </c>
      <c r="E171" s="595" t="s">
        <v>214</v>
      </c>
      <c r="F171" s="595" t="s">
        <v>215</v>
      </c>
      <c r="G171" s="595" t="s">
        <v>34</v>
      </c>
      <c r="H171" s="596">
        <v>25</v>
      </c>
      <c r="I171" s="598">
        <v>1.7649999999999999</v>
      </c>
      <c r="J171" s="598">
        <v>1.85</v>
      </c>
      <c r="K171" s="598">
        <v>1.85</v>
      </c>
      <c r="L171" s="661">
        <f>(((J171-I171)+(K171-J171))/2)+K171</f>
        <v>1.8925000000000001</v>
      </c>
      <c r="M171" s="470">
        <f t="shared" si="4"/>
        <v>4.2500000000000059E-2</v>
      </c>
      <c r="N171" s="470">
        <f t="shared" si="5"/>
        <v>0.12750000000000017</v>
      </c>
      <c r="O171" s="470">
        <v>4.75</v>
      </c>
      <c r="P171" s="470">
        <v>14.25</v>
      </c>
    </row>
    <row r="172" spans="1:16">
      <c r="A172" s="597">
        <v>50732</v>
      </c>
      <c r="B172" s="595">
        <v>2</v>
      </c>
      <c r="C172" s="596">
        <v>3</v>
      </c>
      <c r="D172" s="596">
        <v>22</v>
      </c>
      <c r="E172" s="595" t="s">
        <v>122</v>
      </c>
      <c r="F172" s="595" t="s">
        <v>123</v>
      </c>
      <c r="G172" s="595" t="s">
        <v>34</v>
      </c>
      <c r="H172" s="596">
        <v>274</v>
      </c>
      <c r="I172" s="598">
        <v>1.3501000000000001</v>
      </c>
      <c r="J172" s="598">
        <v>1.393</v>
      </c>
      <c r="K172" s="598">
        <v>1.4593</v>
      </c>
      <c r="L172" s="661">
        <v>1.5183</v>
      </c>
      <c r="M172" s="470">
        <f t="shared" si="4"/>
        <v>5.6066666666666633E-2</v>
      </c>
      <c r="N172" s="470">
        <f t="shared" si="5"/>
        <v>0.16819999999999991</v>
      </c>
      <c r="O172" s="470">
        <v>9.1</v>
      </c>
      <c r="P172" s="470">
        <v>27.299999999999997</v>
      </c>
    </row>
    <row r="173" spans="1:16">
      <c r="A173" s="597">
        <v>50545</v>
      </c>
      <c r="B173" s="595">
        <v>2</v>
      </c>
      <c r="C173" s="596">
        <v>3</v>
      </c>
      <c r="D173" s="596">
        <v>22</v>
      </c>
      <c r="E173" s="595" t="s">
        <v>122</v>
      </c>
      <c r="F173" s="595" t="s">
        <v>123</v>
      </c>
      <c r="G173" s="595" t="s">
        <v>34</v>
      </c>
      <c r="H173" s="596">
        <v>13</v>
      </c>
      <c r="I173" s="598">
        <v>0.95760000000000001</v>
      </c>
      <c r="J173" s="598">
        <v>1.0740000000000001</v>
      </c>
      <c r="K173" s="598">
        <v>1.1138000000000001</v>
      </c>
      <c r="L173" s="661">
        <v>1.1138000000000001</v>
      </c>
      <c r="M173" s="470">
        <f t="shared" si="4"/>
        <v>5.2066666666666706E-2</v>
      </c>
      <c r="N173" s="470">
        <f t="shared" si="5"/>
        <v>0.15620000000000012</v>
      </c>
      <c r="O173" s="470">
        <v>5.9000000000000012</v>
      </c>
      <c r="P173" s="470">
        <v>17.700000000000003</v>
      </c>
    </row>
    <row r="174" spans="1:16">
      <c r="A174" s="597">
        <v>50833</v>
      </c>
      <c r="B174" s="595">
        <v>2</v>
      </c>
      <c r="C174" s="596">
        <v>3</v>
      </c>
      <c r="D174" s="596">
        <v>22</v>
      </c>
      <c r="E174" s="595" t="s">
        <v>122</v>
      </c>
      <c r="F174" s="595" t="s">
        <v>123</v>
      </c>
      <c r="G174" s="595" t="s">
        <v>25</v>
      </c>
      <c r="H174" s="596">
        <v>204</v>
      </c>
      <c r="I174" s="598">
        <v>0.83274999999999988</v>
      </c>
      <c r="J174" s="598">
        <v>0.89</v>
      </c>
      <c r="K174" s="598">
        <v>1</v>
      </c>
      <c r="L174" s="661">
        <v>1.1612499999999999</v>
      </c>
      <c r="M174" s="470">
        <f t="shared" si="4"/>
        <v>0.1095</v>
      </c>
      <c r="N174" s="470">
        <f t="shared" si="5"/>
        <v>0.32850000000000001</v>
      </c>
      <c r="O174" s="470">
        <v>10.826666666666666</v>
      </c>
      <c r="P174" s="470">
        <v>32.479999999999997</v>
      </c>
    </row>
    <row r="175" spans="1:16">
      <c r="A175" s="597">
        <v>50725</v>
      </c>
      <c r="B175" s="595">
        <v>2</v>
      </c>
      <c r="C175" s="596">
        <v>3</v>
      </c>
      <c r="D175" s="596">
        <v>22</v>
      </c>
      <c r="E175" s="595" t="s">
        <v>122</v>
      </c>
      <c r="F175" s="595" t="s">
        <v>123</v>
      </c>
      <c r="G175" s="595" t="s">
        <v>25</v>
      </c>
      <c r="H175" s="596">
        <v>62</v>
      </c>
      <c r="I175" s="598">
        <v>1.1123333333333334</v>
      </c>
      <c r="J175" s="598">
        <v>1.1419999999999999</v>
      </c>
      <c r="K175" s="598">
        <v>1.1816666666666666</v>
      </c>
      <c r="L175" s="661">
        <v>1.4343333333333332</v>
      </c>
      <c r="M175" s="470">
        <f t="shared" si="4"/>
        <v>0.10733333333333328</v>
      </c>
      <c r="N175" s="470">
        <f t="shared" si="5"/>
        <v>0.32199999999999984</v>
      </c>
      <c r="O175" s="470">
        <v>7.6433333333333353</v>
      </c>
      <c r="P175" s="470">
        <v>22.930000000000007</v>
      </c>
    </row>
    <row r="176" spans="1:16">
      <c r="A176" s="597">
        <v>50888</v>
      </c>
      <c r="B176" s="595">
        <v>2</v>
      </c>
      <c r="C176" s="596">
        <v>7</v>
      </c>
      <c r="D176" s="596">
        <v>16</v>
      </c>
      <c r="E176" s="595" t="s">
        <v>122</v>
      </c>
      <c r="F176" s="595" t="s">
        <v>123</v>
      </c>
      <c r="G176" s="595" t="s">
        <v>25</v>
      </c>
      <c r="H176" s="596">
        <v>135</v>
      </c>
      <c r="I176" s="598">
        <v>0.3076666666666667</v>
      </c>
      <c r="J176" s="598">
        <v>0.34200000000000003</v>
      </c>
      <c r="K176" s="598">
        <v>0.38500000000000001</v>
      </c>
      <c r="L176" s="661">
        <v>0.57166666666666666</v>
      </c>
      <c r="M176" s="470">
        <f t="shared" si="4"/>
        <v>8.7999999999999981E-2</v>
      </c>
      <c r="N176" s="470">
        <f t="shared" si="5"/>
        <v>0.26399999999999996</v>
      </c>
      <c r="O176" s="470">
        <v>3.6566666666666676</v>
      </c>
      <c r="P176" s="470">
        <v>10.970000000000002</v>
      </c>
    </row>
    <row r="177" spans="1:16">
      <c r="A177" s="597">
        <v>50547</v>
      </c>
      <c r="B177" s="595">
        <v>2</v>
      </c>
      <c r="C177" s="596">
        <v>7</v>
      </c>
      <c r="D177" s="596">
        <v>4</v>
      </c>
      <c r="E177" s="595" t="s">
        <v>218</v>
      </c>
      <c r="F177" s="595" t="s">
        <v>219</v>
      </c>
      <c r="G177" s="595" t="s">
        <v>34</v>
      </c>
      <c r="H177" s="596">
        <v>73</v>
      </c>
      <c r="I177" s="598">
        <v>1.2414085561167836</v>
      </c>
      <c r="J177" s="598">
        <v>1.2869999999999999</v>
      </c>
      <c r="K177" s="598">
        <v>1.3466666666666667</v>
      </c>
      <c r="L177" s="661">
        <v>1.5166666666666666</v>
      </c>
      <c r="M177" s="470">
        <f t="shared" si="4"/>
        <v>9.1752703516627676E-2</v>
      </c>
      <c r="N177" s="470">
        <f t="shared" si="5"/>
        <v>0.27525811054988303</v>
      </c>
      <c r="O177" s="470">
        <v>5.2900000000000018</v>
      </c>
      <c r="P177" s="470">
        <v>15.870000000000005</v>
      </c>
    </row>
    <row r="178" spans="1:16">
      <c r="A178" s="597">
        <v>50389</v>
      </c>
      <c r="B178" s="595">
        <v>2</v>
      </c>
      <c r="C178" s="596">
        <v>7</v>
      </c>
      <c r="D178" s="596">
        <v>4</v>
      </c>
      <c r="E178" s="595" t="s">
        <v>218</v>
      </c>
      <c r="F178" s="595" t="s">
        <v>219</v>
      </c>
      <c r="G178" s="595" t="s">
        <v>25</v>
      </c>
      <c r="H178" s="596">
        <v>14</v>
      </c>
      <c r="I178" s="598">
        <v>1.6552114081557117</v>
      </c>
      <c r="J178" s="598">
        <v>1.655</v>
      </c>
      <c r="K178" s="598">
        <v>1.655</v>
      </c>
      <c r="L178" s="661">
        <v>1.655</v>
      </c>
      <c r="M178" s="470">
        <f t="shared" si="4"/>
        <v>-7.0469385237211427E-5</v>
      </c>
      <c r="N178" s="470">
        <f t="shared" si="5"/>
        <v>-2.1140815571163429E-4</v>
      </c>
      <c r="O178" s="470">
        <v>7</v>
      </c>
      <c r="P178" s="470">
        <v>21</v>
      </c>
    </row>
    <row r="179" spans="1:16">
      <c r="A179" s="597">
        <v>50676</v>
      </c>
      <c r="B179" s="595">
        <v>2</v>
      </c>
      <c r="C179" s="596">
        <v>7</v>
      </c>
      <c r="D179" s="596">
        <v>4</v>
      </c>
      <c r="E179" s="595" t="s">
        <v>218</v>
      </c>
      <c r="F179" s="595" t="s">
        <v>219</v>
      </c>
      <c r="G179" s="595" t="s">
        <v>25</v>
      </c>
      <c r="H179" s="596">
        <v>3</v>
      </c>
      <c r="I179" s="598">
        <v>2.8902537665488195</v>
      </c>
      <c r="J179" s="598">
        <v>2.89</v>
      </c>
      <c r="K179" s="598">
        <v>2.89</v>
      </c>
      <c r="L179" s="661">
        <v>3.13</v>
      </c>
      <c r="M179" s="470">
        <f t="shared" si="4"/>
        <v>7.9915411150393467E-2</v>
      </c>
      <c r="N179" s="470">
        <f t="shared" si="5"/>
        <v>0.2397462334511804</v>
      </c>
      <c r="O179" s="470">
        <v>20</v>
      </c>
      <c r="P179" s="470">
        <v>60</v>
      </c>
    </row>
    <row r="180" spans="1:16">
      <c r="A180" s="597">
        <v>50884</v>
      </c>
      <c r="B180" s="595">
        <v>2</v>
      </c>
      <c r="C180" s="596">
        <v>8</v>
      </c>
      <c r="D180" s="596">
        <v>10</v>
      </c>
      <c r="E180" s="595" t="s">
        <v>218</v>
      </c>
      <c r="F180" s="595" t="s">
        <v>219</v>
      </c>
      <c r="G180" s="595" t="s">
        <v>25</v>
      </c>
      <c r="H180" s="596">
        <v>262</v>
      </c>
      <c r="I180" s="598">
        <v>0.29050000000000004</v>
      </c>
      <c r="J180" s="598">
        <v>0.34</v>
      </c>
      <c r="K180" s="661">
        <v>0.42125000000000001</v>
      </c>
      <c r="L180" s="661">
        <v>0.56999999999999995</v>
      </c>
      <c r="M180" s="470">
        <f t="shared" si="4"/>
        <v>9.3166666666666634E-2</v>
      </c>
      <c r="N180" s="470">
        <f t="shared" si="5"/>
        <v>0.27949999999999992</v>
      </c>
      <c r="O180" s="470">
        <v>3.793333333333333</v>
      </c>
      <c r="P180" s="470">
        <v>11.379999999999999</v>
      </c>
    </row>
    <row r="181" spans="1:16">
      <c r="A181" s="597">
        <v>50745</v>
      </c>
      <c r="B181" s="595">
        <v>2</v>
      </c>
      <c r="C181" s="596">
        <v>3</v>
      </c>
      <c r="D181" s="596">
        <v>21</v>
      </c>
      <c r="E181" s="595" t="s">
        <v>120</v>
      </c>
      <c r="F181" s="595" t="s">
        <v>121</v>
      </c>
      <c r="G181" s="595" t="s">
        <v>25</v>
      </c>
      <c r="H181" s="596">
        <v>131</v>
      </c>
      <c r="I181" s="598">
        <v>1.7508333333333335</v>
      </c>
      <c r="J181" s="598">
        <v>1.7509999999999999</v>
      </c>
      <c r="K181" s="598">
        <v>1.7658333333333334</v>
      </c>
      <c r="L181" s="661">
        <v>2.0019999999999998</v>
      </c>
      <c r="M181" s="470">
        <f t="shared" si="4"/>
        <v>8.3722222222222101E-2</v>
      </c>
      <c r="N181" s="470">
        <f t="shared" si="5"/>
        <v>0.25116666666666632</v>
      </c>
      <c r="O181" s="470">
        <v>4.0999999999999988</v>
      </c>
      <c r="P181" s="470">
        <v>12.299999999999997</v>
      </c>
    </row>
    <row r="182" spans="1:16">
      <c r="A182" s="597">
        <v>50718</v>
      </c>
      <c r="B182" s="595">
        <v>2</v>
      </c>
      <c r="C182" s="596">
        <v>3</v>
      </c>
      <c r="D182" s="596">
        <v>21</v>
      </c>
      <c r="E182" s="595" t="s">
        <v>120</v>
      </c>
      <c r="F182" s="451" t="s">
        <v>121</v>
      </c>
      <c r="G182" s="595" t="s">
        <v>31</v>
      </c>
      <c r="H182" s="596">
        <v>168</v>
      </c>
      <c r="I182" s="598">
        <v>1.4248749999999999</v>
      </c>
      <c r="J182" s="598">
        <v>1.4570000000000001</v>
      </c>
      <c r="K182" s="598">
        <v>1.5579999999999998</v>
      </c>
      <c r="L182" s="661">
        <v>1.6377999999999999</v>
      </c>
      <c r="M182" s="470">
        <f t="shared" si="4"/>
        <v>7.097500000000001E-2</v>
      </c>
      <c r="N182" s="470">
        <f t="shared" si="5"/>
        <v>0.21292500000000003</v>
      </c>
      <c r="O182" s="470">
        <v>2.2999999999999972</v>
      </c>
      <c r="P182" s="470">
        <v>6.8999999999999915</v>
      </c>
    </row>
    <row r="183" spans="1:16">
      <c r="A183" s="597">
        <v>50681</v>
      </c>
      <c r="B183" s="595">
        <v>2</v>
      </c>
      <c r="C183" s="596">
        <v>3</v>
      </c>
      <c r="D183" s="596">
        <v>21</v>
      </c>
      <c r="E183" s="595" t="s">
        <v>120</v>
      </c>
      <c r="F183" s="595" t="s">
        <v>121</v>
      </c>
      <c r="G183" s="595" t="s">
        <v>25</v>
      </c>
      <c r="H183" s="596">
        <v>9</v>
      </c>
      <c r="I183" s="598">
        <v>1.2729999999999999</v>
      </c>
      <c r="J183" s="598">
        <v>1.2729999999999999</v>
      </c>
      <c r="K183" s="598">
        <v>1.2729999999999999</v>
      </c>
      <c r="L183" s="661">
        <v>2.81</v>
      </c>
      <c r="M183" s="470">
        <f t="shared" si="4"/>
        <v>0.51233333333333342</v>
      </c>
      <c r="N183" s="470">
        <f t="shared" si="5"/>
        <v>1.5370000000000001</v>
      </c>
      <c r="O183" s="470">
        <v>4.333333333333333</v>
      </c>
      <c r="P183" s="470">
        <v>13</v>
      </c>
    </row>
    <row r="184" spans="1:16">
      <c r="A184" s="597">
        <v>50808</v>
      </c>
      <c r="B184" s="595">
        <v>2</v>
      </c>
      <c r="C184" s="596">
        <v>5</v>
      </c>
      <c r="D184" s="596">
        <v>5</v>
      </c>
      <c r="E184" s="595" t="s">
        <v>183</v>
      </c>
      <c r="F184" s="595" t="s">
        <v>430</v>
      </c>
      <c r="G184" s="595" t="s">
        <v>31</v>
      </c>
      <c r="H184" s="596">
        <v>363</v>
      </c>
      <c r="I184" s="598">
        <v>1.0670000000000002</v>
      </c>
      <c r="J184" s="598">
        <v>1.115</v>
      </c>
      <c r="K184" s="598">
        <v>1.1446000000000001</v>
      </c>
      <c r="L184" s="661">
        <v>1.1975</v>
      </c>
      <c r="M184" s="470">
        <f t="shared" si="4"/>
        <v>4.3499999999999948E-2</v>
      </c>
      <c r="N184" s="470">
        <f t="shared" si="5"/>
        <v>0.13049999999999984</v>
      </c>
      <c r="O184" s="470">
        <v>3.8133333333333375</v>
      </c>
      <c r="P184" s="470">
        <v>11.440000000000012</v>
      </c>
    </row>
    <row r="185" spans="1:16">
      <c r="A185" s="597">
        <v>50774</v>
      </c>
      <c r="B185" s="595">
        <v>2</v>
      </c>
      <c r="C185" s="596">
        <v>5</v>
      </c>
      <c r="D185" s="596">
        <v>5</v>
      </c>
      <c r="E185" s="595" t="s">
        <v>183</v>
      </c>
      <c r="F185" s="595" t="s">
        <v>430</v>
      </c>
      <c r="G185" s="595" t="s">
        <v>25</v>
      </c>
      <c r="H185" s="596">
        <v>2</v>
      </c>
      <c r="I185" s="598">
        <v>1.175</v>
      </c>
      <c r="J185" s="598">
        <v>1.31</v>
      </c>
      <c r="K185" s="598">
        <v>1.31</v>
      </c>
      <c r="L185" s="661">
        <v>1.3149999999999999</v>
      </c>
      <c r="M185" s="470">
        <f t="shared" si="4"/>
        <v>4.6666666666666634E-2</v>
      </c>
      <c r="N185" s="470">
        <f t="shared" si="5"/>
        <v>0.1399999999999999</v>
      </c>
      <c r="O185" s="470">
        <v>1.5833333333333333</v>
      </c>
      <c r="P185" s="470">
        <v>4.75</v>
      </c>
    </row>
    <row r="186" spans="1:16">
      <c r="A186" s="597">
        <v>50865</v>
      </c>
      <c r="B186" s="595">
        <v>2</v>
      </c>
      <c r="C186" s="596">
        <v>4</v>
      </c>
      <c r="D186" s="596">
        <v>16</v>
      </c>
      <c r="E186" s="595" t="s">
        <v>167</v>
      </c>
      <c r="F186" s="595" t="s">
        <v>168</v>
      </c>
      <c r="G186" s="595" t="s">
        <v>31</v>
      </c>
      <c r="H186" s="596">
        <v>628</v>
      </c>
      <c r="I186" s="598">
        <v>0.73870000000000002</v>
      </c>
      <c r="J186" s="598">
        <v>0.92</v>
      </c>
      <c r="K186" s="598">
        <v>1.06</v>
      </c>
      <c r="L186" s="661">
        <v>1.1930000000000001</v>
      </c>
      <c r="M186" s="470">
        <f t="shared" si="4"/>
        <v>0.15143333333333334</v>
      </c>
      <c r="N186" s="470">
        <f t="shared" si="5"/>
        <v>0.45430000000000004</v>
      </c>
      <c r="O186" s="470">
        <v>7.9333333333333345</v>
      </c>
      <c r="P186" s="470">
        <v>23.800000000000004</v>
      </c>
    </row>
    <row r="187" spans="1:16">
      <c r="A187" s="597">
        <v>50744</v>
      </c>
      <c r="B187" s="595">
        <v>2</v>
      </c>
      <c r="C187" s="596">
        <v>6</v>
      </c>
      <c r="D187" s="596">
        <v>5</v>
      </c>
      <c r="E187" s="595" t="s">
        <v>167</v>
      </c>
      <c r="F187" s="595" t="s">
        <v>168</v>
      </c>
      <c r="G187" s="595" t="s">
        <v>25</v>
      </c>
      <c r="H187" s="596">
        <v>1</v>
      </c>
      <c r="I187" s="598">
        <v>1.4960564650638162</v>
      </c>
      <c r="J187" s="598">
        <v>1.52</v>
      </c>
      <c r="K187" s="598">
        <v>1.78</v>
      </c>
      <c r="L187" s="661">
        <v>1.78</v>
      </c>
      <c r="M187" s="470">
        <f t="shared" si="4"/>
        <v>9.4647844978727955E-2</v>
      </c>
      <c r="N187" s="470">
        <f t="shared" si="5"/>
        <v>0.28394353493618385</v>
      </c>
      <c r="O187" s="470">
        <v>2.3333333333333335</v>
      </c>
      <c r="P187" s="470">
        <v>7</v>
      </c>
    </row>
    <row r="188" spans="1:16">
      <c r="A188" s="597">
        <v>50854</v>
      </c>
      <c r="B188" s="595">
        <v>2</v>
      </c>
      <c r="C188" s="596">
        <v>3</v>
      </c>
      <c r="D188" s="596">
        <v>5</v>
      </c>
      <c r="E188" s="595" t="s">
        <v>89</v>
      </c>
      <c r="F188" s="595" t="s">
        <v>90</v>
      </c>
      <c r="G188" s="595" t="s">
        <v>34</v>
      </c>
      <c r="H188" s="596">
        <v>179</v>
      </c>
      <c r="I188" s="598">
        <v>0.92174999999999996</v>
      </c>
      <c r="J188" s="598">
        <v>0.97599999999999998</v>
      </c>
      <c r="K188" s="598">
        <v>1.162625</v>
      </c>
      <c r="L188" s="661">
        <v>1.48</v>
      </c>
      <c r="M188" s="470">
        <f t="shared" si="4"/>
        <v>0.18608333333333335</v>
      </c>
      <c r="N188" s="470">
        <f t="shared" si="5"/>
        <v>0.55825000000000002</v>
      </c>
      <c r="O188" s="470">
        <v>12.303333333333335</v>
      </c>
      <c r="P188" s="470">
        <v>36.910000000000004</v>
      </c>
    </row>
    <row r="189" spans="1:16">
      <c r="A189" s="597">
        <v>50846</v>
      </c>
      <c r="B189" s="595">
        <v>2</v>
      </c>
      <c r="C189" s="596">
        <v>3</v>
      </c>
      <c r="D189" s="596">
        <v>5</v>
      </c>
      <c r="E189" s="595" t="s">
        <v>89</v>
      </c>
      <c r="F189" s="595" t="s">
        <v>90</v>
      </c>
      <c r="G189" s="595" t="s">
        <v>25</v>
      </c>
      <c r="H189" s="596">
        <v>114</v>
      </c>
      <c r="I189" s="598">
        <v>1.525166666666667</v>
      </c>
      <c r="J189" s="598">
        <v>1.601</v>
      </c>
      <c r="K189" s="598">
        <v>1.7288333333333334</v>
      </c>
      <c r="L189" s="661">
        <v>1.9949999999999999</v>
      </c>
      <c r="M189" s="470">
        <f t="shared" si="4"/>
        <v>0.15661111111111095</v>
      </c>
      <c r="N189" s="470">
        <f t="shared" si="5"/>
        <v>0.46983333333333288</v>
      </c>
      <c r="O189" s="470">
        <v>16.739999999999998</v>
      </c>
      <c r="P189" s="470">
        <v>50.22</v>
      </c>
    </row>
    <row r="190" spans="1:16">
      <c r="A190" s="597">
        <v>50530</v>
      </c>
      <c r="B190" s="595">
        <v>2</v>
      </c>
      <c r="C190" s="596">
        <v>1</v>
      </c>
      <c r="D190" s="596">
        <v>9</v>
      </c>
      <c r="E190" s="595" t="s">
        <v>39</v>
      </c>
      <c r="F190" s="595" t="s">
        <v>363</v>
      </c>
      <c r="G190" s="595" t="s">
        <v>25</v>
      </c>
      <c r="H190" s="596">
        <v>48</v>
      </c>
      <c r="I190" s="598">
        <v>1.8993333333333335</v>
      </c>
      <c r="J190" s="598">
        <v>1.964</v>
      </c>
      <c r="K190" s="598">
        <v>1.9643333333333335</v>
      </c>
      <c r="L190" s="661">
        <v>2.1283333333333334</v>
      </c>
      <c r="M190" s="470">
        <f t="shared" si="4"/>
        <v>7.6333333333333295E-2</v>
      </c>
      <c r="N190" s="470">
        <f t="shared" si="5"/>
        <v>0.22899999999999987</v>
      </c>
      <c r="O190" s="470">
        <v>0.66666666666666663</v>
      </c>
      <c r="P190" s="470">
        <v>2</v>
      </c>
    </row>
    <row r="191" spans="1:16">
      <c r="A191" s="597">
        <v>50751</v>
      </c>
      <c r="B191" s="595">
        <v>2</v>
      </c>
      <c r="C191" s="596">
        <v>8</v>
      </c>
      <c r="D191" s="596">
        <v>11</v>
      </c>
      <c r="E191" s="595" t="s">
        <v>237</v>
      </c>
      <c r="F191" s="595" t="s">
        <v>238</v>
      </c>
      <c r="G191" s="595" t="s">
        <v>25</v>
      </c>
      <c r="H191" s="596">
        <v>239</v>
      </c>
      <c r="I191" s="598">
        <v>1.0142500000000001</v>
      </c>
      <c r="J191" s="598">
        <v>1.0840000000000001</v>
      </c>
      <c r="K191" s="661">
        <v>1.2013333333333334</v>
      </c>
      <c r="L191" s="661">
        <v>1.44</v>
      </c>
      <c r="M191" s="470">
        <f t="shared" si="4"/>
        <v>0.14191666666666661</v>
      </c>
      <c r="N191" s="470">
        <f t="shared" si="5"/>
        <v>0.42574999999999985</v>
      </c>
      <c r="O191" s="470">
        <v>5.9000000000000012</v>
      </c>
      <c r="P191" s="470">
        <v>17.700000000000003</v>
      </c>
    </row>
    <row r="192" spans="1:16">
      <c r="A192" s="597">
        <v>50737</v>
      </c>
      <c r="B192" s="595">
        <v>2</v>
      </c>
      <c r="C192" s="596">
        <v>8</v>
      </c>
      <c r="D192" s="596">
        <v>11</v>
      </c>
      <c r="E192" s="595" t="s">
        <v>237</v>
      </c>
      <c r="F192" s="595" t="s">
        <v>238</v>
      </c>
      <c r="G192" s="595" t="s">
        <v>68</v>
      </c>
      <c r="H192" s="596">
        <v>31</v>
      </c>
      <c r="I192" s="598">
        <v>0.77300000000000002</v>
      </c>
      <c r="J192" s="598">
        <v>1.71</v>
      </c>
      <c r="K192" s="667">
        <v>1.71</v>
      </c>
      <c r="L192" s="661">
        <v>1.71</v>
      </c>
      <c r="M192" s="470">
        <f t="shared" si="4"/>
        <v>0.3123333333333333</v>
      </c>
      <c r="N192" s="470">
        <f t="shared" si="5"/>
        <v>0.93699999999999994</v>
      </c>
      <c r="O192" s="470">
        <v>0.33333333333333331</v>
      </c>
      <c r="P192" s="470">
        <v>1</v>
      </c>
    </row>
    <row r="193" spans="1:16">
      <c r="A193" s="597">
        <v>50738</v>
      </c>
      <c r="B193" s="595">
        <v>2</v>
      </c>
      <c r="C193" s="596">
        <v>8</v>
      </c>
      <c r="D193" s="596">
        <v>11</v>
      </c>
      <c r="E193" s="595" t="s">
        <v>237</v>
      </c>
      <c r="F193" s="595" t="s">
        <v>238</v>
      </c>
      <c r="G193" s="595" t="s">
        <v>34</v>
      </c>
      <c r="H193" s="596">
        <v>54</v>
      </c>
      <c r="I193" s="598">
        <v>0.63100000000000001</v>
      </c>
      <c r="J193" s="598">
        <v>0.64500000000000002</v>
      </c>
      <c r="K193" s="661">
        <v>0.65</v>
      </c>
      <c r="L193" s="661">
        <f>(((J193-I193)+(K193-J193))/2)+K193</f>
        <v>0.65949999999999998</v>
      </c>
      <c r="M193" s="470">
        <f t="shared" si="4"/>
        <v>9.4999999999999894E-3</v>
      </c>
      <c r="N193" s="470">
        <f t="shared" si="5"/>
        <v>2.849999999999997E-2</v>
      </c>
      <c r="O193" s="470">
        <v>1.4166666666666667</v>
      </c>
      <c r="P193" s="470">
        <v>4.25</v>
      </c>
    </row>
    <row r="194" spans="1:16">
      <c r="A194" s="597">
        <v>50644</v>
      </c>
      <c r="B194" s="595">
        <v>2</v>
      </c>
      <c r="C194" s="596">
        <v>8</v>
      </c>
      <c r="D194" s="596">
        <v>11</v>
      </c>
      <c r="E194" s="595" t="s">
        <v>237</v>
      </c>
      <c r="F194" s="595" t="s">
        <v>238</v>
      </c>
      <c r="G194" s="595" t="s">
        <v>68</v>
      </c>
      <c r="H194" s="596">
        <v>14</v>
      </c>
      <c r="I194" s="598">
        <v>1.538</v>
      </c>
      <c r="J194" s="598">
        <v>1.538</v>
      </c>
      <c r="K194" s="667">
        <v>1.77</v>
      </c>
      <c r="L194" s="661">
        <f>(((J194-I194)+(K194-J194))/2)+K194</f>
        <v>1.8860000000000001</v>
      </c>
      <c r="M194" s="470">
        <f t="shared" ref="M194:M219" si="6">((J194-I194)+(K194-J194)+(L194-K194))/3</f>
        <v>0.11600000000000003</v>
      </c>
      <c r="N194" s="470">
        <f t="shared" ref="N194:N219" si="7">L194-I194</f>
        <v>0.34800000000000009</v>
      </c>
      <c r="O194" s="470">
        <v>0.23333333333333309</v>
      </c>
      <c r="P194" s="470">
        <v>0.69999999999999929</v>
      </c>
    </row>
    <row r="195" spans="1:16">
      <c r="A195" s="597">
        <v>50603</v>
      </c>
      <c r="B195" s="595">
        <v>2</v>
      </c>
      <c r="C195" s="596">
        <v>6</v>
      </c>
      <c r="D195" s="596">
        <v>3</v>
      </c>
      <c r="E195" s="595" t="s">
        <v>199</v>
      </c>
      <c r="F195" s="595" t="s">
        <v>200</v>
      </c>
      <c r="G195" s="595" t="s">
        <v>34</v>
      </c>
      <c r="H195" s="596">
        <v>32</v>
      </c>
      <c r="I195" s="598">
        <v>1.6680000000000001</v>
      </c>
      <c r="J195" s="598">
        <v>1.84</v>
      </c>
      <c r="K195" s="598">
        <v>1.84</v>
      </c>
      <c r="L195" s="661">
        <v>1.93</v>
      </c>
      <c r="M195" s="470">
        <f t="shared" si="6"/>
        <v>8.7333333333333263E-2</v>
      </c>
      <c r="N195" s="470">
        <f t="shared" si="7"/>
        <v>0.26199999999999979</v>
      </c>
      <c r="O195" s="470">
        <v>4.166666666666667</v>
      </c>
      <c r="P195" s="470">
        <v>12.5</v>
      </c>
    </row>
    <row r="196" spans="1:16">
      <c r="A196" s="597">
        <v>50869</v>
      </c>
      <c r="B196" s="595">
        <v>2</v>
      </c>
      <c r="C196" s="595">
        <v>7</v>
      </c>
      <c r="D196" s="595">
        <v>7</v>
      </c>
      <c r="E196" s="595" t="s">
        <v>97</v>
      </c>
      <c r="F196" s="453" t="s">
        <v>409</v>
      </c>
      <c r="G196" s="595" t="s">
        <v>25</v>
      </c>
      <c r="H196" s="596">
        <v>214</v>
      </c>
      <c r="I196" s="598">
        <v>0.35274999999999995</v>
      </c>
      <c r="J196" s="598">
        <v>0.39400000000000002</v>
      </c>
      <c r="K196" s="598">
        <v>0.49100000000000005</v>
      </c>
      <c r="L196" s="661">
        <v>0.51749999999999996</v>
      </c>
      <c r="M196" s="470">
        <f t="shared" si="6"/>
        <v>5.4916666666666669E-2</v>
      </c>
      <c r="N196" s="470">
        <f t="shared" si="7"/>
        <v>0.16475000000000001</v>
      </c>
      <c r="O196" s="470">
        <v>3.3766666666666665</v>
      </c>
      <c r="P196" s="470">
        <v>10.129999999999999</v>
      </c>
    </row>
    <row r="197" spans="1:16">
      <c r="A197" s="597">
        <v>50845</v>
      </c>
      <c r="B197" s="595">
        <v>2</v>
      </c>
      <c r="C197" s="596">
        <v>3</v>
      </c>
      <c r="D197" s="596">
        <v>9</v>
      </c>
      <c r="E197" s="595" t="s">
        <v>97</v>
      </c>
      <c r="F197" s="595" t="s">
        <v>98</v>
      </c>
      <c r="G197" s="595" t="s">
        <v>68</v>
      </c>
      <c r="H197" s="596">
        <v>459</v>
      </c>
      <c r="I197" s="598">
        <v>0.48419999999999996</v>
      </c>
      <c r="J197" s="598">
        <v>0.51200000000000001</v>
      </c>
      <c r="K197" s="598">
        <v>0.60270000000000001</v>
      </c>
      <c r="L197" s="661">
        <v>0.65500000000000003</v>
      </c>
      <c r="M197" s="470">
        <f t="shared" si="6"/>
        <v>5.6933333333333357E-2</v>
      </c>
      <c r="N197" s="470">
        <f t="shared" si="7"/>
        <v>0.17080000000000006</v>
      </c>
      <c r="O197" s="470">
        <v>3.1999999999999993</v>
      </c>
      <c r="P197" s="470">
        <v>9.5999999999999979</v>
      </c>
    </row>
    <row r="198" spans="1:16">
      <c r="A198" s="597">
        <v>50872</v>
      </c>
      <c r="B198" s="595">
        <v>2</v>
      </c>
      <c r="C198" s="595">
        <v>7</v>
      </c>
      <c r="D198" s="595">
        <v>11</v>
      </c>
      <c r="E198" s="595" t="s">
        <v>224</v>
      </c>
      <c r="F198" s="595" t="s">
        <v>225</v>
      </c>
      <c r="G198" s="595" t="s">
        <v>25</v>
      </c>
      <c r="H198" s="596">
        <v>200</v>
      </c>
      <c r="I198" s="598">
        <v>0.45599999999999996</v>
      </c>
      <c r="J198" s="598">
        <v>0.68</v>
      </c>
      <c r="K198" s="598">
        <v>0.78</v>
      </c>
      <c r="L198" s="661">
        <v>0.84</v>
      </c>
      <c r="M198" s="470">
        <f t="shared" si="6"/>
        <v>0.128</v>
      </c>
      <c r="N198" s="470">
        <f t="shared" si="7"/>
        <v>0.38400000000000001</v>
      </c>
      <c r="O198" s="470">
        <v>11</v>
      </c>
      <c r="P198" s="470">
        <v>33</v>
      </c>
    </row>
    <row r="199" spans="1:16">
      <c r="A199" s="597">
        <v>50801</v>
      </c>
      <c r="B199" s="595">
        <v>2</v>
      </c>
      <c r="C199" s="596">
        <v>3</v>
      </c>
      <c r="D199" s="596">
        <v>1</v>
      </c>
      <c r="E199" s="595" t="s">
        <v>78</v>
      </c>
      <c r="F199" s="595" t="s">
        <v>79</v>
      </c>
      <c r="G199" s="595" t="s">
        <v>31</v>
      </c>
      <c r="H199" s="596">
        <v>371</v>
      </c>
      <c r="I199" s="598">
        <v>0.68289999999999995</v>
      </c>
      <c r="J199" s="598">
        <v>0.79</v>
      </c>
      <c r="K199" s="598">
        <v>0.79020000000000001</v>
      </c>
      <c r="L199" s="598">
        <v>0.82485714285714284</v>
      </c>
      <c r="M199" s="470">
        <f t="shared" si="6"/>
        <v>4.7319047619047629E-2</v>
      </c>
      <c r="N199" s="470">
        <f t="shared" si="7"/>
        <v>0.14195714285714289</v>
      </c>
      <c r="O199" s="470">
        <v>1.3199999999999978</v>
      </c>
      <c r="P199" s="470">
        <v>3.9599999999999937</v>
      </c>
    </row>
    <row r="200" spans="1:16">
      <c r="A200" s="597">
        <v>50814</v>
      </c>
      <c r="B200" s="595">
        <v>2</v>
      </c>
      <c r="C200" s="596">
        <v>3</v>
      </c>
      <c r="D200" s="596">
        <v>1</v>
      </c>
      <c r="E200" s="595" t="s">
        <v>78</v>
      </c>
      <c r="F200" s="595" t="s">
        <v>79</v>
      </c>
      <c r="G200" s="595" t="s">
        <v>68</v>
      </c>
      <c r="H200" s="596">
        <v>218</v>
      </c>
      <c r="I200" s="598">
        <v>0.58125000000000004</v>
      </c>
      <c r="J200" s="598">
        <v>0.59099999999999997</v>
      </c>
      <c r="K200" s="598">
        <v>0.62924999999999998</v>
      </c>
      <c r="L200" s="598">
        <v>0.58000000000000007</v>
      </c>
      <c r="M200" s="470">
        <f t="shared" si="6"/>
        <v>-4.166666666666578E-4</v>
      </c>
      <c r="N200" s="470">
        <f t="shared" si="7"/>
        <v>-1.2499999999999734E-3</v>
      </c>
      <c r="O200" s="470">
        <v>10.469999999999999</v>
      </c>
      <c r="P200" s="470">
        <v>31.409999999999997</v>
      </c>
    </row>
    <row r="201" spans="1:16">
      <c r="A201" s="597">
        <v>50741</v>
      </c>
      <c r="B201" s="595">
        <v>2</v>
      </c>
      <c r="C201" s="596">
        <v>3</v>
      </c>
      <c r="D201" s="596">
        <v>1</v>
      </c>
      <c r="E201" s="595" t="s">
        <v>78</v>
      </c>
      <c r="F201" s="595" t="s">
        <v>79</v>
      </c>
      <c r="G201" s="595" t="s">
        <v>25</v>
      </c>
      <c r="H201" s="596">
        <v>55</v>
      </c>
      <c r="I201" s="598">
        <v>0.59</v>
      </c>
      <c r="J201" s="598">
        <v>0.76700000000000002</v>
      </c>
      <c r="K201" s="598">
        <v>0.77666666666666673</v>
      </c>
      <c r="L201" s="598">
        <v>0.92</v>
      </c>
      <c r="M201" s="470">
        <f t="shared" si="6"/>
        <v>0.11000000000000003</v>
      </c>
      <c r="N201" s="470">
        <f t="shared" si="7"/>
        <v>0.33000000000000007</v>
      </c>
      <c r="O201" s="470">
        <v>19.566666666666666</v>
      </c>
      <c r="P201" s="470">
        <v>58.7</v>
      </c>
    </row>
    <row r="202" spans="1:16">
      <c r="A202" s="597">
        <v>50791</v>
      </c>
      <c r="B202" s="595">
        <v>2</v>
      </c>
      <c r="C202" s="596">
        <v>3</v>
      </c>
      <c r="D202" s="596">
        <v>1</v>
      </c>
      <c r="E202" s="595" t="s">
        <v>78</v>
      </c>
      <c r="F202" s="595" t="s">
        <v>79</v>
      </c>
      <c r="G202" s="595" t="s">
        <v>31</v>
      </c>
      <c r="H202" s="596">
        <v>49</v>
      </c>
      <c r="I202" s="598">
        <v>0.51</v>
      </c>
      <c r="J202" s="598">
        <v>0.58499999999999996</v>
      </c>
      <c r="K202" s="598">
        <v>0.77</v>
      </c>
      <c r="L202" s="598">
        <v>0.91</v>
      </c>
      <c r="M202" s="470">
        <f t="shared" si="6"/>
        <v>0.13333333333333333</v>
      </c>
      <c r="N202" s="470">
        <f t="shared" si="7"/>
        <v>0.4</v>
      </c>
      <c r="O202" s="470">
        <v>7.833333333333333</v>
      </c>
      <c r="P202" s="470">
        <v>23.5</v>
      </c>
    </row>
    <row r="203" spans="1:16">
      <c r="A203" s="597">
        <v>50850</v>
      </c>
      <c r="B203" s="595">
        <v>2</v>
      </c>
      <c r="C203" s="596">
        <v>3</v>
      </c>
      <c r="D203" s="596">
        <v>1</v>
      </c>
      <c r="E203" s="595" t="s">
        <v>78</v>
      </c>
      <c r="F203" s="595" t="s">
        <v>79</v>
      </c>
      <c r="G203" s="595" t="s">
        <v>34</v>
      </c>
      <c r="H203" s="596">
        <v>46</v>
      </c>
      <c r="I203" s="598">
        <v>0.95499999999999996</v>
      </c>
      <c r="J203" s="598">
        <v>0.95499999999999996</v>
      </c>
      <c r="K203" s="598">
        <v>0.95499999999999996</v>
      </c>
      <c r="L203" s="668">
        <v>0.97</v>
      </c>
      <c r="M203" s="470">
        <f t="shared" si="6"/>
        <v>5.0000000000000044E-3</v>
      </c>
      <c r="N203" s="470">
        <f t="shared" si="7"/>
        <v>1.5000000000000013E-2</v>
      </c>
      <c r="O203" s="470">
        <v>7.6500000000000012</v>
      </c>
      <c r="P203" s="470">
        <v>22.950000000000003</v>
      </c>
    </row>
    <row r="204" spans="1:16">
      <c r="A204" s="597">
        <v>50678</v>
      </c>
      <c r="B204" s="595">
        <v>2</v>
      </c>
      <c r="C204" s="596">
        <v>4</v>
      </c>
      <c r="D204" s="596">
        <v>20</v>
      </c>
      <c r="E204" s="595" t="s">
        <v>173</v>
      </c>
      <c r="F204" s="595" t="s">
        <v>174</v>
      </c>
      <c r="G204" s="595" t="s">
        <v>25</v>
      </c>
      <c r="H204" s="596">
        <v>4</v>
      </c>
      <c r="I204" s="598">
        <v>1.0609999999999999</v>
      </c>
      <c r="J204" s="598">
        <v>1.4</v>
      </c>
      <c r="K204" s="598">
        <v>1.4</v>
      </c>
      <c r="L204" s="661">
        <v>1.41</v>
      </c>
      <c r="M204" s="470">
        <f t="shared" si="6"/>
        <v>0.11633333333333333</v>
      </c>
      <c r="N204" s="470">
        <f t="shared" si="7"/>
        <v>0.34899999999999998</v>
      </c>
      <c r="O204" s="470">
        <v>0.66666666666666663</v>
      </c>
      <c r="P204" s="470">
        <v>2</v>
      </c>
    </row>
    <row r="205" spans="1:16">
      <c r="A205" s="597">
        <v>50825</v>
      </c>
      <c r="B205" s="595">
        <v>2</v>
      </c>
      <c r="C205" s="596">
        <v>8</v>
      </c>
      <c r="D205" s="596">
        <v>6</v>
      </c>
      <c r="E205" s="595" t="s">
        <v>173</v>
      </c>
      <c r="F205" s="595" t="s">
        <v>174</v>
      </c>
      <c r="G205" s="595" t="s">
        <v>31</v>
      </c>
      <c r="H205" s="596">
        <v>132</v>
      </c>
      <c r="I205" s="598">
        <v>1.9258333333333333</v>
      </c>
      <c r="J205" s="598">
        <v>2.06</v>
      </c>
      <c r="K205" s="661">
        <v>2.2466666666666666</v>
      </c>
      <c r="L205" s="661">
        <v>2.4950000000000006</v>
      </c>
      <c r="M205" s="470">
        <f t="shared" si="6"/>
        <v>0.18972222222222243</v>
      </c>
      <c r="N205" s="470">
        <f t="shared" si="7"/>
        <v>0.56916666666666726</v>
      </c>
      <c r="O205" s="470">
        <v>1.900000000000001</v>
      </c>
      <c r="P205" s="470">
        <v>5.7000000000000028</v>
      </c>
    </row>
    <row r="206" spans="1:16">
      <c r="A206" s="597">
        <v>50797</v>
      </c>
      <c r="B206" s="595">
        <v>2</v>
      </c>
      <c r="C206" s="596">
        <v>1</v>
      </c>
      <c r="D206" s="596">
        <v>16</v>
      </c>
      <c r="E206" s="595" t="s">
        <v>58</v>
      </c>
      <c r="F206" s="595" t="s">
        <v>59</v>
      </c>
      <c r="G206" s="595" t="s">
        <v>31</v>
      </c>
      <c r="H206" s="596">
        <v>311</v>
      </c>
      <c r="I206" s="598">
        <v>1.6519999999999999</v>
      </c>
      <c r="J206" s="598">
        <v>1.6579999999999999</v>
      </c>
      <c r="K206" s="598">
        <v>1.6791999999999998</v>
      </c>
      <c r="L206" s="665">
        <v>1.6994</v>
      </c>
      <c r="M206" s="470">
        <f t="shared" si="6"/>
        <v>1.5800000000000036E-2</v>
      </c>
      <c r="N206" s="470">
        <f t="shared" si="7"/>
        <v>4.7400000000000109E-2</v>
      </c>
      <c r="O206" s="470">
        <v>6.7999999999999927</v>
      </c>
      <c r="P206" s="470">
        <v>20.399999999999977</v>
      </c>
    </row>
    <row r="207" spans="1:16">
      <c r="A207" s="597">
        <v>50816</v>
      </c>
      <c r="B207" s="595">
        <v>2</v>
      </c>
      <c r="C207" s="596">
        <v>3</v>
      </c>
      <c r="D207" s="596">
        <v>6</v>
      </c>
      <c r="E207" s="595" t="s">
        <v>58</v>
      </c>
      <c r="F207" s="595" t="s">
        <v>59</v>
      </c>
      <c r="G207" s="595" t="s">
        <v>68</v>
      </c>
      <c r="H207" s="596">
        <v>983</v>
      </c>
      <c r="I207" s="598">
        <v>0.99320000000000008</v>
      </c>
      <c r="J207" s="598">
        <v>1.0960000000000001</v>
      </c>
      <c r="K207" s="598">
        <v>1.1579000000000002</v>
      </c>
      <c r="L207" s="665">
        <v>1.152222222222222</v>
      </c>
      <c r="M207" s="470">
        <f t="shared" si="6"/>
        <v>5.3007407407407316E-2</v>
      </c>
      <c r="N207" s="470">
        <f t="shared" si="7"/>
        <v>0.15902222222222195</v>
      </c>
      <c r="O207" s="470">
        <v>4.2399999999999993</v>
      </c>
      <c r="P207" s="470">
        <v>12.719999999999999</v>
      </c>
    </row>
    <row r="208" spans="1:16">
      <c r="A208" s="597">
        <v>50773</v>
      </c>
      <c r="B208" s="595">
        <v>2</v>
      </c>
      <c r="C208" s="596">
        <v>3</v>
      </c>
      <c r="D208" s="596">
        <v>6</v>
      </c>
      <c r="E208" s="595" t="s">
        <v>58</v>
      </c>
      <c r="F208" s="595" t="s">
        <v>59</v>
      </c>
      <c r="G208" s="595" t="s">
        <v>34</v>
      </c>
      <c r="H208" s="596">
        <v>13</v>
      </c>
      <c r="I208" s="598">
        <v>0.99199999999999999</v>
      </c>
      <c r="J208" s="598">
        <v>1.107</v>
      </c>
      <c r="K208" s="598">
        <v>1.35</v>
      </c>
      <c r="L208" s="661">
        <v>1.44</v>
      </c>
      <c r="M208" s="470">
        <f t="shared" si="6"/>
        <v>0.14933333333333332</v>
      </c>
      <c r="N208" s="470">
        <f t="shared" si="7"/>
        <v>0.44799999999999995</v>
      </c>
      <c r="O208" s="470">
        <v>4</v>
      </c>
      <c r="P208" s="470">
        <v>12</v>
      </c>
    </row>
    <row r="209" spans="1:16">
      <c r="A209" s="597">
        <v>50868</v>
      </c>
      <c r="B209" s="595">
        <v>2</v>
      </c>
      <c r="C209" s="596">
        <v>7</v>
      </c>
      <c r="D209" s="596">
        <v>7</v>
      </c>
      <c r="E209" s="595" t="s">
        <v>58</v>
      </c>
      <c r="F209" s="595" t="s">
        <v>59</v>
      </c>
      <c r="G209" s="595" t="s">
        <v>25</v>
      </c>
      <c r="H209" s="596">
        <v>416</v>
      </c>
      <c r="I209" s="598">
        <v>1.153</v>
      </c>
      <c r="J209" s="598">
        <v>1.3819999999999999</v>
      </c>
      <c r="K209" s="598">
        <v>1.492</v>
      </c>
      <c r="L209" s="661">
        <v>1.6900000000000002</v>
      </c>
      <c r="M209" s="470">
        <f t="shared" si="6"/>
        <v>0.17900000000000005</v>
      </c>
      <c r="N209" s="470">
        <f t="shared" si="7"/>
        <v>0.53700000000000014</v>
      </c>
      <c r="O209" s="470">
        <v>19.666666666666668</v>
      </c>
      <c r="P209" s="470">
        <v>59</v>
      </c>
    </row>
    <row r="210" spans="1:16">
      <c r="A210" s="597">
        <v>50839</v>
      </c>
      <c r="B210" s="595">
        <v>2</v>
      </c>
      <c r="C210" s="596">
        <v>8</v>
      </c>
      <c r="D210" s="596">
        <v>6</v>
      </c>
      <c r="E210" s="595" t="s">
        <v>58</v>
      </c>
      <c r="F210" s="595" t="s">
        <v>59</v>
      </c>
      <c r="G210" s="595" t="s">
        <v>31</v>
      </c>
      <c r="H210" s="596">
        <v>215</v>
      </c>
      <c r="I210" s="598">
        <v>1.1176666666666668</v>
      </c>
      <c r="J210" s="598">
        <v>1.224</v>
      </c>
      <c r="K210" s="661">
        <v>1.32</v>
      </c>
      <c r="L210" s="661">
        <v>1.46</v>
      </c>
      <c r="M210" s="470">
        <f t="shared" si="6"/>
        <v>0.11411111111111105</v>
      </c>
      <c r="N210" s="470">
        <f t="shared" si="7"/>
        <v>0.34233333333333316</v>
      </c>
      <c r="O210" s="470">
        <v>8.01</v>
      </c>
      <c r="P210" s="470">
        <v>24.03</v>
      </c>
    </row>
    <row r="211" spans="1:16">
      <c r="A211" s="597">
        <v>50861</v>
      </c>
      <c r="B211" s="595">
        <v>2</v>
      </c>
      <c r="C211" s="596">
        <v>4</v>
      </c>
      <c r="D211" s="596">
        <v>21</v>
      </c>
      <c r="E211" s="595" t="s">
        <v>177</v>
      </c>
      <c r="F211" s="595" t="s">
        <v>178</v>
      </c>
      <c r="G211" s="595" t="s">
        <v>31</v>
      </c>
      <c r="H211" s="596">
        <v>714</v>
      </c>
      <c r="I211" s="598">
        <v>0.42230000000000001</v>
      </c>
      <c r="J211" s="598">
        <v>0.56000000000000005</v>
      </c>
      <c r="K211" s="598">
        <v>0.61499999999999999</v>
      </c>
      <c r="L211" s="661">
        <v>0.84199999999999997</v>
      </c>
      <c r="M211" s="470">
        <f t="shared" si="6"/>
        <v>0.1399</v>
      </c>
      <c r="N211" s="470">
        <f t="shared" si="7"/>
        <v>0.41969999999999996</v>
      </c>
      <c r="O211" s="470">
        <v>9.0666666666666682</v>
      </c>
      <c r="P211" s="470">
        <v>27.200000000000003</v>
      </c>
    </row>
    <row r="212" spans="1:16">
      <c r="A212" s="597">
        <v>50852</v>
      </c>
      <c r="B212" s="595">
        <v>2</v>
      </c>
      <c r="C212" s="596">
        <v>7</v>
      </c>
      <c r="D212" s="596">
        <v>1</v>
      </c>
      <c r="E212" s="595" t="s">
        <v>177</v>
      </c>
      <c r="F212" s="595" t="s">
        <v>178</v>
      </c>
      <c r="G212" s="595" t="s">
        <v>68</v>
      </c>
      <c r="H212" s="596">
        <v>256</v>
      </c>
      <c r="I212" s="598">
        <v>0.56225000000000003</v>
      </c>
      <c r="J212" s="598">
        <v>0.65600000000000003</v>
      </c>
      <c r="K212" s="598">
        <v>0.79000000000000015</v>
      </c>
      <c r="L212" s="661">
        <v>0.98375000000000001</v>
      </c>
      <c r="M212" s="470">
        <f t="shared" si="6"/>
        <v>0.14049999999999999</v>
      </c>
      <c r="N212" s="470">
        <f t="shared" si="7"/>
        <v>0.42149999999999999</v>
      </c>
      <c r="O212" s="470">
        <v>7.4433333333333351</v>
      </c>
      <c r="P212" s="470">
        <v>22.330000000000005</v>
      </c>
    </row>
    <row r="213" spans="1:16">
      <c r="A213" s="597">
        <v>50849</v>
      </c>
      <c r="B213" s="595">
        <v>2</v>
      </c>
      <c r="C213" s="596">
        <v>4</v>
      </c>
      <c r="D213" s="596">
        <v>15</v>
      </c>
      <c r="E213" s="595" t="s">
        <v>158</v>
      </c>
      <c r="F213" s="451" t="s">
        <v>410</v>
      </c>
      <c r="G213" s="595" t="s">
        <v>31</v>
      </c>
      <c r="H213" s="596">
        <v>27</v>
      </c>
      <c r="I213" s="598">
        <v>0.60299999999999998</v>
      </c>
      <c r="J213" s="598">
        <v>0.67</v>
      </c>
      <c r="K213" s="598">
        <v>0.67</v>
      </c>
      <c r="L213" s="661">
        <v>0.95</v>
      </c>
      <c r="M213" s="470">
        <f t="shared" si="6"/>
        <v>0.11566666666666665</v>
      </c>
      <c r="N213" s="470">
        <f t="shared" si="7"/>
        <v>0.34699999999999998</v>
      </c>
      <c r="O213" s="470">
        <v>6.166666666666667</v>
      </c>
      <c r="P213" s="470">
        <v>18.5</v>
      </c>
    </row>
    <row r="214" spans="1:16">
      <c r="A214" s="597">
        <v>50426</v>
      </c>
      <c r="B214" s="595">
        <v>2</v>
      </c>
      <c r="C214" s="596">
        <v>2</v>
      </c>
      <c r="D214" s="596">
        <v>8</v>
      </c>
      <c r="E214" s="595" t="s">
        <v>72</v>
      </c>
      <c r="F214" s="451" t="s">
        <v>411</v>
      </c>
      <c r="G214" s="595" t="s">
        <v>34</v>
      </c>
      <c r="H214" s="596">
        <v>320</v>
      </c>
      <c r="I214" s="598">
        <v>0.42700000000000005</v>
      </c>
      <c r="J214" s="598">
        <v>0.47799999999999998</v>
      </c>
      <c r="K214" s="598">
        <v>0.56174999999999997</v>
      </c>
      <c r="L214" s="598">
        <v>0.77666666666666673</v>
      </c>
      <c r="M214" s="470">
        <f t="shared" si="6"/>
        <v>0.11655555555555557</v>
      </c>
      <c r="N214" s="470">
        <f t="shared" si="7"/>
        <v>0.34966666666666668</v>
      </c>
      <c r="O214" s="470">
        <v>2.2333333333333329</v>
      </c>
      <c r="P214" s="470">
        <v>6.6999999999999993</v>
      </c>
    </row>
    <row r="215" spans="1:16">
      <c r="A215" s="597">
        <v>50760</v>
      </c>
      <c r="B215" s="595">
        <v>2</v>
      </c>
      <c r="C215" s="596">
        <v>2</v>
      </c>
      <c r="D215" s="596">
        <v>8</v>
      </c>
      <c r="E215" s="595" t="s">
        <v>72</v>
      </c>
      <c r="F215" s="451" t="s">
        <v>411</v>
      </c>
      <c r="G215" s="595" t="s">
        <v>34</v>
      </c>
      <c r="H215" s="596">
        <v>140</v>
      </c>
      <c r="I215" s="598">
        <v>1.1399999999999999</v>
      </c>
      <c r="J215" s="598">
        <v>1.143</v>
      </c>
      <c r="K215" s="598">
        <v>1.1737500000000001</v>
      </c>
      <c r="L215" s="598">
        <v>1.2416666666666667</v>
      </c>
      <c r="M215" s="470">
        <f t="shared" si="6"/>
        <v>3.3888888888888934E-2</v>
      </c>
      <c r="N215" s="470">
        <f t="shared" si="7"/>
        <v>0.10166666666666679</v>
      </c>
      <c r="O215" s="470">
        <v>0.84333333333333371</v>
      </c>
      <c r="P215" s="470">
        <v>2.5300000000000011</v>
      </c>
    </row>
    <row r="216" spans="1:16">
      <c r="A216" s="597">
        <v>50706</v>
      </c>
      <c r="B216" s="595">
        <v>2</v>
      </c>
      <c r="C216" s="596">
        <v>2</v>
      </c>
      <c r="D216" s="596">
        <v>18</v>
      </c>
      <c r="E216" s="595" t="s">
        <v>72</v>
      </c>
      <c r="F216" s="451" t="s">
        <v>411</v>
      </c>
      <c r="G216" s="595" t="s">
        <v>25</v>
      </c>
      <c r="H216" s="596">
        <v>71</v>
      </c>
      <c r="I216" s="598">
        <v>0.40666666666666673</v>
      </c>
      <c r="J216" s="598">
        <v>0.45400000000000001</v>
      </c>
      <c r="K216" s="598">
        <v>0.52999999999999992</v>
      </c>
      <c r="L216" s="598">
        <v>0.52999999999999992</v>
      </c>
      <c r="M216" s="470">
        <f t="shared" si="6"/>
        <v>4.1111111111111064E-2</v>
      </c>
      <c r="N216" s="470">
        <f t="shared" si="7"/>
        <v>0.12333333333333318</v>
      </c>
      <c r="O216" s="470">
        <v>1.4433333333333327</v>
      </c>
      <c r="P216" s="470">
        <v>4.3299999999999983</v>
      </c>
    </row>
    <row r="217" spans="1:16">
      <c r="A217" s="597">
        <v>50618</v>
      </c>
      <c r="B217" s="595">
        <v>2</v>
      </c>
      <c r="C217" s="596">
        <v>3</v>
      </c>
      <c r="D217" s="596">
        <v>3</v>
      </c>
      <c r="E217" s="595" t="s">
        <v>72</v>
      </c>
      <c r="F217" s="451" t="s">
        <v>411</v>
      </c>
      <c r="G217" s="595" t="s">
        <v>68</v>
      </c>
      <c r="H217" s="596">
        <v>96</v>
      </c>
      <c r="I217" s="598">
        <v>0.26</v>
      </c>
      <c r="J217" s="598">
        <v>0.30599999999999999</v>
      </c>
      <c r="K217" s="598">
        <v>0.32833333333333331</v>
      </c>
      <c r="L217" s="661">
        <v>0.39999999999999997</v>
      </c>
      <c r="M217" s="470">
        <f t="shared" si="6"/>
        <v>4.6666666666666655E-2</v>
      </c>
      <c r="N217" s="470">
        <f t="shared" si="7"/>
        <v>0.13999999999999996</v>
      </c>
      <c r="O217" s="470">
        <v>2.6099999999999994</v>
      </c>
      <c r="P217" s="470">
        <v>7.8299999999999983</v>
      </c>
    </row>
    <row r="218" spans="1:16">
      <c r="A218" s="597">
        <v>50803</v>
      </c>
      <c r="B218" s="595">
        <v>2</v>
      </c>
      <c r="C218" s="596">
        <v>3</v>
      </c>
      <c r="D218" s="596">
        <v>4</v>
      </c>
      <c r="E218" s="595" t="s">
        <v>72</v>
      </c>
      <c r="F218" s="451" t="s">
        <v>411</v>
      </c>
      <c r="G218" s="595" t="s">
        <v>31</v>
      </c>
      <c r="H218" s="596">
        <v>486</v>
      </c>
      <c r="I218" s="598">
        <v>0.52749999999999997</v>
      </c>
      <c r="J218" s="598">
        <v>0.55700000000000005</v>
      </c>
      <c r="K218" s="598">
        <v>0.67512499999999998</v>
      </c>
      <c r="L218" s="661">
        <v>0.73833333333333329</v>
      </c>
      <c r="M218" s="470">
        <f t="shared" si="6"/>
        <v>7.0277777777777772E-2</v>
      </c>
      <c r="N218" s="470">
        <f t="shared" si="7"/>
        <v>0.21083333333333332</v>
      </c>
      <c r="O218" s="470">
        <v>3.6566666666666663</v>
      </c>
      <c r="P218" s="470">
        <v>10.969999999999999</v>
      </c>
    </row>
    <row r="219" spans="1:16">
      <c r="A219" s="597">
        <v>50604</v>
      </c>
      <c r="B219" s="595">
        <v>2</v>
      </c>
      <c r="C219" s="596">
        <v>3</v>
      </c>
      <c r="D219" s="596">
        <v>7</v>
      </c>
      <c r="E219" s="595" t="s">
        <v>93</v>
      </c>
      <c r="F219" s="595" t="s">
        <v>94</v>
      </c>
      <c r="G219" s="595" t="s">
        <v>34</v>
      </c>
      <c r="H219" s="596">
        <v>350</v>
      </c>
      <c r="I219" s="598">
        <v>1.2707000000000002</v>
      </c>
      <c r="J219" s="598">
        <v>1.3660000000000001</v>
      </c>
      <c r="K219" s="598">
        <v>1.4393999999999996</v>
      </c>
      <c r="L219" s="661">
        <v>1.5129999999999999</v>
      </c>
      <c r="M219" s="470">
        <f t="shared" si="6"/>
        <v>8.0766666666666584E-2</v>
      </c>
      <c r="N219" s="470">
        <f t="shared" si="7"/>
        <v>0.24229999999999974</v>
      </c>
      <c r="O219" s="470">
        <v>4.0666666666666673</v>
      </c>
      <c r="P219" s="470">
        <v>12.200000000000003</v>
      </c>
    </row>
    <row r="220" spans="1:16">
      <c r="B220" s="420"/>
      <c r="C220" s="420"/>
      <c r="D220" s="420"/>
      <c r="E220" s="420"/>
      <c r="F220" s="420"/>
      <c r="G220" s="420"/>
      <c r="H220" s="420"/>
      <c r="I220" s="424"/>
      <c r="J220" s="424"/>
      <c r="K220" s="424"/>
      <c r="L220" s="424"/>
    </row>
    <row r="221" spans="1:16">
      <c r="B221" s="420"/>
      <c r="C221" s="420"/>
      <c r="D221" s="420"/>
      <c r="E221" s="420"/>
      <c r="F221" s="420"/>
      <c r="G221" s="420"/>
      <c r="H221" s="420"/>
      <c r="I221" s="424"/>
      <c r="J221" s="424"/>
      <c r="K221" s="424"/>
      <c r="L221" s="424"/>
    </row>
    <row r="222" spans="1:16">
      <c r="B222" s="420"/>
      <c r="C222" s="420"/>
      <c r="D222" s="420"/>
      <c r="E222" s="420"/>
      <c r="F222" s="420"/>
      <c r="G222" s="420"/>
      <c r="H222" s="420"/>
      <c r="I222" s="424"/>
      <c r="J222" s="424"/>
      <c r="K222" s="424"/>
      <c r="L222" s="424"/>
    </row>
    <row r="223" spans="1:16">
      <c r="B223" s="420"/>
      <c r="C223" s="420"/>
      <c r="D223" s="420"/>
      <c r="E223" s="420"/>
      <c r="F223" s="420"/>
      <c r="G223" s="420"/>
      <c r="H223" s="420"/>
      <c r="I223" s="424"/>
      <c r="J223" s="424"/>
      <c r="K223" s="424"/>
      <c r="L223" s="424"/>
    </row>
    <row r="224" spans="1:16">
      <c r="B224" s="420"/>
      <c r="C224" s="420"/>
      <c r="D224" s="420"/>
      <c r="E224" s="420"/>
      <c r="F224" s="420"/>
      <c r="G224" s="420"/>
      <c r="H224" s="420"/>
      <c r="I224" s="424"/>
      <c r="J224" s="424"/>
      <c r="K224" s="424"/>
      <c r="L224" s="424"/>
    </row>
    <row r="225" spans="2:12">
      <c r="B225" s="420"/>
      <c r="C225" s="420"/>
      <c r="D225" s="420"/>
      <c r="E225" s="420"/>
      <c r="F225" s="420"/>
      <c r="G225" s="420"/>
      <c r="H225" s="420"/>
      <c r="I225" s="424"/>
      <c r="J225" s="424"/>
      <c r="K225" s="424"/>
      <c r="L225" s="424"/>
    </row>
    <row r="226" spans="2:12">
      <c r="B226" s="420"/>
      <c r="C226" s="420"/>
      <c r="D226" s="420"/>
      <c r="E226" s="420"/>
      <c r="F226" s="420"/>
      <c r="G226" s="420"/>
      <c r="H226" s="420"/>
      <c r="I226" s="424"/>
      <c r="J226" s="424"/>
      <c r="K226" s="424"/>
      <c r="L226" s="424"/>
    </row>
    <row r="227" spans="2:12">
      <c r="B227" s="420"/>
      <c r="C227" s="420"/>
      <c r="D227" s="420"/>
      <c r="E227" s="420"/>
      <c r="F227" s="420"/>
      <c r="G227" s="420"/>
      <c r="H227" s="420"/>
      <c r="I227" s="424"/>
      <c r="J227" s="424"/>
      <c r="K227" s="424"/>
      <c r="L227" s="424"/>
    </row>
    <row r="228" spans="2:12">
      <c r="B228" s="420"/>
      <c r="C228" s="420"/>
      <c r="D228" s="420"/>
      <c r="E228" s="420"/>
      <c r="F228" s="420"/>
      <c r="G228" s="420"/>
      <c r="H228" s="420"/>
      <c r="I228" s="424"/>
      <c r="J228" s="424"/>
      <c r="K228" s="424"/>
      <c r="L228" s="424"/>
    </row>
    <row r="229" spans="2:12">
      <c r="B229" s="420"/>
      <c r="C229" s="420"/>
      <c r="D229" s="420"/>
      <c r="E229" s="420"/>
      <c r="F229" s="420"/>
      <c r="G229" s="420"/>
      <c r="H229" s="420"/>
      <c r="I229" s="424"/>
      <c r="J229" s="424"/>
      <c r="K229" s="424"/>
      <c r="L229" s="424"/>
    </row>
    <row r="230" spans="2:12">
      <c r="B230" s="420"/>
      <c r="C230" s="420"/>
      <c r="D230" s="420"/>
      <c r="E230" s="420"/>
      <c r="F230" s="420"/>
      <c r="G230" s="420"/>
      <c r="H230" s="420"/>
      <c r="I230" s="424"/>
      <c r="J230" s="424"/>
      <c r="K230" s="424"/>
      <c r="L230" s="424"/>
    </row>
    <row r="231" spans="2:12">
      <c r="B231" s="420"/>
      <c r="C231" s="420"/>
      <c r="D231" s="420"/>
      <c r="E231" s="420"/>
      <c r="F231" s="420"/>
      <c r="G231" s="420"/>
      <c r="H231" s="420"/>
      <c r="I231" s="424"/>
      <c r="J231" s="424"/>
      <c r="K231" s="424"/>
      <c r="L231" s="424"/>
    </row>
    <row r="232" spans="2:12">
      <c r="B232" s="420"/>
      <c r="C232" s="420"/>
      <c r="D232" s="420"/>
      <c r="E232" s="420"/>
      <c r="F232" s="420"/>
      <c r="G232" s="420"/>
      <c r="H232" s="420"/>
      <c r="I232" s="424"/>
      <c r="J232" s="424"/>
      <c r="K232" s="424"/>
      <c r="L232" s="424"/>
    </row>
    <row r="233" spans="2:12">
      <c r="B233" s="420"/>
      <c r="C233" s="420"/>
      <c r="D233" s="420"/>
      <c r="E233" s="420"/>
      <c r="F233" s="420"/>
      <c r="G233" s="420"/>
      <c r="H233" s="420"/>
      <c r="I233" s="424"/>
      <c r="J233" s="424"/>
      <c r="K233" s="424"/>
      <c r="L233" s="424"/>
    </row>
    <row r="234" spans="2:12">
      <c r="B234" s="420"/>
      <c r="C234" s="420"/>
      <c r="D234" s="420"/>
      <c r="E234" s="420"/>
      <c r="F234" s="420"/>
      <c r="G234" s="420"/>
      <c r="H234" s="420"/>
      <c r="I234" s="424"/>
      <c r="J234" s="424"/>
      <c r="K234" s="424"/>
      <c r="L234" s="424"/>
    </row>
    <row r="235" spans="2:12">
      <c r="B235" s="420"/>
      <c r="C235" s="420"/>
      <c r="D235" s="420"/>
      <c r="E235" s="420"/>
      <c r="F235" s="420"/>
      <c r="G235" s="420"/>
      <c r="H235" s="420"/>
      <c r="I235" s="424"/>
      <c r="J235" s="424"/>
      <c r="K235" s="424"/>
      <c r="L235" s="424"/>
    </row>
    <row r="236" spans="2:12">
      <c r="B236" s="420"/>
      <c r="C236" s="420"/>
      <c r="D236" s="420"/>
      <c r="E236" s="420"/>
      <c r="F236" s="420"/>
      <c r="G236" s="420"/>
      <c r="H236" s="420"/>
      <c r="I236" s="424"/>
      <c r="J236" s="424"/>
      <c r="K236" s="424"/>
      <c r="L236" s="424"/>
    </row>
    <row r="237" spans="2:12">
      <c r="B237" s="420"/>
      <c r="C237" s="420"/>
      <c r="D237" s="420"/>
      <c r="E237" s="420"/>
      <c r="F237" s="420"/>
      <c r="G237" s="420"/>
      <c r="H237" s="420"/>
      <c r="I237" s="424"/>
      <c r="J237" s="424"/>
      <c r="K237" s="424"/>
      <c r="L237" s="424"/>
    </row>
    <row r="238" spans="2:12">
      <c r="B238" s="420"/>
      <c r="C238" s="420"/>
      <c r="D238" s="420"/>
      <c r="E238" s="420"/>
      <c r="F238" s="420"/>
      <c r="G238" s="420"/>
      <c r="H238" s="420"/>
      <c r="I238" s="424"/>
      <c r="J238" s="424"/>
      <c r="K238" s="424"/>
      <c r="L238" s="424"/>
    </row>
    <row r="239" spans="2:12">
      <c r="B239" s="420"/>
      <c r="C239" s="420"/>
      <c r="D239" s="420"/>
      <c r="E239" s="420"/>
      <c r="F239" s="420"/>
      <c r="G239" s="420"/>
      <c r="H239" s="420"/>
      <c r="I239" s="424"/>
      <c r="J239" s="424"/>
      <c r="K239" s="424"/>
      <c r="L239" s="424"/>
    </row>
    <row r="240" spans="2:12">
      <c r="B240" s="420"/>
      <c r="C240" s="420"/>
      <c r="D240" s="420"/>
      <c r="E240" s="420"/>
      <c r="F240" s="420"/>
      <c r="G240" s="420"/>
      <c r="H240" s="420"/>
      <c r="I240" s="424"/>
      <c r="J240" s="424"/>
      <c r="K240" s="424"/>
      <c r="L240" s="424"/>
    </row>
    <row r="241" spans="2:12">
      <c r="B241" s="420"/>
      <c r="C241" s="420"/>
      <c r="D241" s="420"/>
      <c r="E241" s="420"/>
      <c r="F241" s="420"/>
      <c r="G241" s="420"/>
      <c r="H241" s="420"/>
      <c r="I241" s="424"/>
      <c r="J241" s="424"/>
      <c r="K241" s="424"/>
      <c r="L241" s="424"/>
    </row>
    <row r="242" spans="2:12">
      <c r="B242" s="420"/>
      <c r="C242" s="420"/>
      <c r="D242" s="420"/>
      <c r="E242" s="420"/>
      <c r="F242" s="420"/>
      <c r="G242" s="420"/>
      <c r="H242" s="420"/>
      <c r="I242" s="424"/>
      <c r="J242" s="424"/>
      <c r="K242" s="424"/>
      <c r="L242" s="424"/>
    </row>
    <row r="243" spans="2:12">
      <c r="B243" s="420"/>
      <c r="C243" s="420"/>
      <c r="D243" s="420"/>
      <c r="E243" s="420"/>
      <c r="F243" s="420"/>
      <c r="G243" s="420"/>
      <c r="H243" s="420"/>
      <c r="I243" s="424"/>
      <c r="J243" s="424"/>
      <c r="K243" s="424"/>
      <c r="L243" s="424"/>
    </row>
    <row r="244" spans="2:12">
      <c r="B244" s="420"/>
      <c r="C244" s="420"/>
      <c r="D244" s="420"/>
      <c r="E244" s="420"/>
      <c r="F244" s="420"/>
      <c r="G244" s="420"/>
      <c r="H244" s="420"/>
      <c r="I244" s="424"/>
      <c r="J244" s="424"/>
      <c r="K244" s="424"/>
      <c r="L244" s="424"/>
    </row>
    <row r="245" spans="2:12">
      <c r="B245" s="420"/>
      <c r="C245" s="420"/>
      <c r="D245" s="420"/>
      <c r="E245" s="420"/>
      <c r="F245" s="420"/>
      <c r="G245" s="420"/>
      <c r="H245" s="420"/>
      <c r="I245" s="424"/>
      <c r="J245" s="424"/>
      <c r="K245" s="424"/>
      <c r="L245" s="424"/>
    </row>
    <row r="246" spans="2:12">
      <c r="B246" s="420"/>
      <c r="C246" s="420"/>
      <c r="D246" s="420"/>
      <c r="E246" s="420"/>
      <c r="F246" s="420"/>
      <c r="G246" s="420"/>
      <c r="H246" s="420"/>
      <c r="I246" s="424"/>
      <c r="J246" s="424"/>
      <c r="K246" s="424"/>
      <c r="L246" s="424"/>
    </row>
    <row r="247" spans="2:12">
      <c r="B247" s="420"/>
      <c r="C247" s="420"/>
      <c r="D247" s="420"/>
      <c r="E247" s="420"/>
      <c r="F247" s="420"/>
      <c r="G247" s="420"/>
      <c r="H247" s="420"/>
      <c r="I247" s="424"/>
      <c r="J247" s="424"/>
      <c r="K247" s="424"/>
      <c r="L247" s="424"/>
    </row>
    <row r="248" spans="2:12">
      <c r="B248" s="420"/>
      <c r="C248" s="420"/>
      <c r="D248" s="420"/>
      <c r="E248" s="420"/>
      <c r="F248" s="420"/>
      <c r="G248" s="420"/>
      <c r="H248" s="420"/>
      <c r="I248" s="424"/>
      <c r="J248" s="424"/>
      <c r="K248" s="424"/>
      <c r="L248" s="424"/>
    </row>
    <row r="249" spans="2:12">
      <c r="B249" s="420"/>
      <c r="C249" s="420"/>
      <c r="D249" s="420"/>
      <c r="E249" s="420"/>
      <c r="F249" s="420"/>
      <c r="G249" s="420"/>
      <c r="H249" s="420"/>
      <c r="I249" s="424"/>
      <c r="J249" s="424"/>
      <c r="K249" s="424"/>
      <c r="L249" s="424"/>
    </row>
    <row r="250" spans="2:12">
      <c r="B250" s="420"/>
      <c r="C250" s="420"/>
      <c r="D250" s="420"/>
      <c r="E250" s="420"/>
      <c r="F250" s="420"/>
      <c r="G250" s="420"/>
      <c r="H250" s="420"/>
      <c r="I250" s="424"/>
      <c r="J250" s="424"/>
      <c r="K250" s="424"/>
      <c r="L250" s="424"/>
    </row>
    <row r="251" spans="2:12">
      <c r="B251" s="420"/>
      <c r="C251" s="420"/>
      <c r="D251" s="420"/>
      <c r="E251" s="420"/>
      <c r="F251" s="420"/>
      <c r="G251" s="420"/>
      <c r="H251" s="420"/>
      <c r="I251" s="424"/>
      <c r="J251" s="424"/>
      <c r="K251" s="424"/>
      <c r="L251" s="424"/>
    </row>
    <row r="252" spans="2:12">
      <c r="B252" s="420"/>
      <c r="C252" s="420"/>
      <c r="D252" s="420"/>
      <c r="E252" s="420"/>
      <c r="F252" s="420"/>
      <c r="G252" s="420"/>
      <c r="H252" s="420"/>
      <c r="I252" s="424"/>
      <c r="J252" s="424"/>
      <c r="K252" s="424"/>
      <c r="L252" s="424"/>
    </row>
    <row r="253" spans="2:12">
      <c r="B253" s="420"/>
      <c r="C253" s="420"/>
      <c r="D253" s="420"/>
      <c r="E253" s="420"/>
      <c r="F253" s="420"/>
      <c r="G253" s="420"/>
      <c r="H253" s="420"/>
      <c r="I253" s="424"/>
      <c r="J253" s="424"/>
      <c r="K253" s="424"/>
      <c r="L253" s="424"/>
    </row>
    <row r="254" spans="2:12">
      <c r="B254" s="420"/>
      <c r="C254" s="420"/>
      <c r="D254" s="420"/>
      <c r="E254" s="420"/>
      <c r="F254" s="420"/>
      <c r="G254" s="420"/>
      <c r="H254" s="420"/>
      <c r="I254" s="424"/>
      <c r="J254" s="424"/>
      <c r="K254" s="424"/>
      <c r="L254" s="424"/>
    </row>
    <row r="255" spans="2:12">
      <c r="B255" s="420"/>
      <c r="C255" s="420"/>
      <c r="D255" s="420"/>
      <c r="E255" s="420"/>
      <c r="F255" s="420"/>
      <c r="G255" s="420"/>
      <c r="H255" s="420"/>
      <c r="I255" s="424"/>
      <c r="J255" s="424"/>
      <c r="K255" s="424"/>
      <c r="L255" s="424"/>
    </row>
    <row r="256" spans="2:12">
      <c r="B256" s="420"/>
      <c r="C256" s="420"/>
      <c r="D256" s="420"/>
      <c r="E256" s="420"/>
      <c r="F256" s="420"/>
      <c r="G256" s="420"/>
      <c r="H256" s="420"/>
      <c r="I256" s="424"/>
      <c r="J256" s="424"/>
      <c r="K256" s="424"/>
      <c r="L256" s="424"/>
    </row>
    <row r="257" spans="2:12">
      <c r="B257" s="420"/>
      <c r="C257" s="420"/>
      <c r="D257" s="420"/>
      <c r="E257" s="420"/>
      <c r="F257" s="420"/>
      <c r="G257" s="420"/>
      <c r="H257" s="420"/>
      <c r="I257" s="424"/>
      <c r="J257" s="424"/>
      <c r="K257" s="424"/>
      <c r="L257" s="424"/>
    </row>
    <row r="258" spans="2:12">
      <c r="B258" s="420"/>
      <c r="C258" s="420"/>
      <c r="D258" s="420"/>
      <c r="E258" s="420"/>
      <c r="F258" s="420"/>
      <c r="G258" s="420"/>
      <c r="H258" s="420"/>
      <c r="I258" s="424"/>
      <c r="J258" s="424"/>
      <c r="K258" s="424"/>
      <c r="L258" s="424"/>
    </row>
    <row r="259" spans="2:12">
      <c r="B259" s="420"/>
      <c r="C259" s="420"/>
      <c r="D259" s="420"/>
      <c r="E259" s="420"/>
      <c r="F259" s="420"/>
      <c r="G259" s="420"/>
      <c r="H259" s="420"/>
      <c r="I259" s="424"/>
      <c r="J259" s="424"/>
      <c r="K259" s="424"/>
      <c r="L259" s="424"/>
    </row>
    <row r="260" spans="2:12">
      <c r="B260" s="420"/>
      <c r="C260" s="420"/>
      <c r="D260" s="420"/>
      <c r="E260" s="420"/>
      <c r="F260" s="420"/>
      <c r="G260" s="420"/>
      <c r="H260" s="420"/>
      <c r="I260" s="424"/>
      <c r="J260" s="424"/>
      <c r="K260" s="424"/>
      <c r="L260" s="424"/>
    </row>
    <row r="261" spans="2:12">
      <c r="B261" s="420"/>
      <c r="C261" s="420"/>
      <c r="D261" s="420"/>
      <c r="E261" s="420"/>
      <c r="F261" s="420"/>
      <c r="G261" s="420"/>
      <c r="H261" s="420"/>
      <c r="I261" s="424"/>
      <c r="J261" s="424"/>
      <c r="K261" s="424"/>
      <c r="L261" s="424"/>
    </row>
    <row r="262" spans="2:12">
      <c r="B262" s="420"/>
      <c r="C262" s="420"/>
      <c r="D262" s="420"/>
      <c r="E262" s="420"/>
      <c r="F262" s="420"/>
      <c r="G262" s="420"/>
      <c r="H262" s="420"/>
      <c r="I262" s="424"/>
      <c r="J262" s="424"/>
      <c r="K262" s="424"/>
      <c r="L262" s="424"/>
    </row>
    <row r="263" spans="2:12">
      <c r="B263" s="420"/>
      <c r="C263" s="420"/>
      <c r="D263" s="420"/>
      <c r="E263" s="420"/>
      <c r="F263" s="420"/>
      <c r="G263" s="420"/>
      <c r="H263" s="420"/>
      <c r="I263" s="424"/>
      <c r="J263" s="424"/>
      <c r="K263" s="424"/>
      <c r="L263" s="424"/>
    </row>
    <row r="264" spans="2:12">
      <c r="B264" s="420"/>
      <c r="C264" s="420"/>
      <c r="D264" s="420"/>
      <c r="E264" s="420"/>
      <c r="F264" s="420"/>
      <c r="G264" s="420"/>
      <c r="H264" s="420"/>
      <c r="I264" s="424"/>
      <c r="J264" s="424"/>
      <c r="K264" s="424"/>
      <c r="L264" s="424"/>
    </row>
    <row r="265" spans="2:12">
      <c r="B265" s="420"/>
      <c r="C265" s="420"/>
      <c r="D265" s="420"/>
      <c r="E265" s="420"/>
      <c r="F265" s="420"/>
      <c r="G265" s="420"/>
      <c r="H265" s="420"/>
      <c r="I265" s="424"/>
      <c r="J265" s="424"/>
      <c r="K265" s="424"/>
      <c r="L265" s="424"/>
    </row>
    <row r="266" spans="2:12">
      <c r="B266" s="420"/>
      <c r="C266" s="420"/>
      <c r="D266" s="420"/>
      <c r="E266" s="420"/>
      <c r="F266" s="420"/>
      <c r="G266" s="420"/>
      <c r="H266" s="420"/>
      <c r="I266" s="424"/>
      <c r="J266" s="424"/>
      <c r="K266" s="424"/>
      <c r="L266" s="424"/>
    </row>
    <row r="267" spans="2:12">
      <c r="B267" s="420"/>
      <c r="C267" s="420"/>
      <c r="D267" s="420"/>
      <c r="E267" s="420"/>
      <c r="F267" s="420"/>
      <c r="G267" s="420"/>
      <c r="H267" s="420"/>
      <c r="I267" s="424"/>
      <c r="J267" s="424"/>
      <c r="K267" s="424"/>
      <c r="L267" s="424"/>
    </row>
    <row r="268" spans="2:12">
      <c r="B268" s="420"/>
      <c r="C268" s="420"/>
      <c r="D268" s="420"/>
      <c r="E268" s="420"/>
      <c r="F268" s="420"/>
      <c r="G268" s="420"/>
      <c r="H268" s="420"/>
      <c r="I268" s="424"/>
      <c r="J268" s="424"/>
      <c r="K268" s="424"/>
      <c r="L268" s="424"/>
    </row>
    <row r="269" spans="2:12">
      <c r="B269" s="420"/>
      <c r="C269" s="420"/>
      <c r="D269" s="420"/>
      <c r="E269" s="420"/>
      <c r="F269" s="420"/>
      <c r="G269" s="420"/>
      <c r="H269" s="420"/>
      <c r="I269" s="424"/>
      <c r="J269" s="424"/>
      <c r="K269" s="424"/>
      <c r="L269" s="424"/>
    </row>
    <row r="270" spans="2:12">
      <c r="B270" s="420"/>
      <c r="C270" s="420"/>
      <c r="D270" s="420"/>
      <c r="E270" s="420"/>
      <c r="F270" s="420"/>
      <c r="G270" s="420"/>
      <c r="H270" s="420"/>
      <c r="I270" s="424"/>
      <c r="J270" s="424"/>
      <c r="K270" s="424"/>
      <c r="L270" s="424"/>
    </row>
    <row r="271" spans="2:12">
      <c r="B271" s="420"/>
      <c r="C271" s="420"/>
      <c r="D271" s="420"/>
      <c r="E271" s="420"/>
      <c r="F271" s="420"/>
      <c r="G271" s="420"/>
      <c r="H271" s="420"/>
      <c r="I271" s="424"/>
      <c r="J271" s="424"/>
      <c r="K271" s="424"/>
      <c r="L271" s="424"/>
    </row>
    <row r="272" spans="2:12">
      <c r="B272" s="420"/>
      <c r="C272" s="420"/>
      <c r="D272" s="420"/>
      <c r="E272" s="420"/>
      <c r="F272" s="420"/>
      <c r="G272" s="420"/>
      <c r="H272" s="420"/>
      <c r="I272" s="424"/>
      <c r="J272" s="424"/>
      <c r="K272" s="424"/>
      <c r="L272" s="424"/>
    </row>
    <row r="273" spans="2:12">
      <c r="B273" s="420"/>
      <c r="C273" s="420"/>
      <c r="D273" s="420"/>
      <c r="E273" s="420"/>
      <c r="F273" s="420"/>
      <c r="G273" s="420"/>
      <c r="H273" s="420"/>
      <c r="I273" s="424"/>
      <c r="J273" s="424"/>
      <c r="K273" s="424"/>
      <c r="L273" s="424"/>
    </row>
    <row r="274" spans="2:12">
      <c r="B274" s="420"/>
      <c r="C274" s="420"/>
      <c r="D274" s="420"/>
      <c r="E274" s="420"/>
      <c r="F274" s="420"/>
      <c r="G274" s="420"/>
      <c r="H274" s="420"/>
      <c r="I274" s="424"/>
      <c r="J274" s="424"/>
      <c r="K274" s="424"/>
      <c r="L274" s="424"/>
    </row>
    <row r="275" spans="2:12">
      <c r="B275" s="420"/>
      <c r="C275" s="420"/>
      <c r="D275" s="420"/>
      <c r="E275" s="420"/>
      <c r="F275" s="420"/>
      <c r="G275" s="420"/>
      <c r="H275" s="420"/>
      <c r="I275" s="424"/>
      <c r="J275" s="424"/>
      <c r="K275" s="424"/>
      <c r="L275" s="424"/>
    </row>
    <row r="276" spans="2:12">
      <c r="B276" s="420"/>
      <c r="C276" s="420"/>
      <c r="D276" s="420"/>
      <c r="E276" s="420"/>
      <c r="F276" s="420"/>
      <c r="G276" s="420"/>
      <c r="H276" s="420"/>
      <c r="I276" s="424"/>
      <c r="J276" s="424"/>
      <c r="K276" s="424"/>
      <c r="L276" s="424"/>
    </row>
    <row r="277" spans="2:12">
      <c r="B277" s="420"/>
      <c r="C277" s="420"/>
      <c r="D277" s="420"/>
      <c r="E277" s="420"/>
      <c r="F277" s="420"/>
      <c r="G277" s="420"/>
      <c r="H277" s="420"/>
      <c r="I277" s="424"/>
      <c r="J277" s="424"/>
      <c r="K277" s="424"/>
      <c r="L277" s="424"/>
    </row>
    <row r="278" spans="2:12">
      <c r="B278" s="420"/>
      <c r="C278" s="420"/>
      <c r="D278" s="420"/>
      <c r="E278" s="420"/>
      <c r="F278" s="420"/>
      <c r="G278" s="420"/>
      <c r="H278" s="420"/>
      <c r="I278" s="424"/>
      <c r="J278" s="424"/>
      <c r="K278" s="424"/>
      <c r="L278" s="424"/>
    </row>
    <row r="279" spans="2:12">
      <c r="B279" s="420"/>
      <c r="C279" s="420"/>
      <c r="D279" s="420"/>
      <c r="E279" s="420"/>
      <c r="F279" s="420"/>
      <c r="G279" s="420"/>
      <c r="H279" s="420"/>
      <c r="I279" s="424"/>
      <c r="J279" s="424"/>
      <c r="K279" s="424"/>
      <c r="L279" s="424"/>
    </row>
    <row r="280" spans="2:12">
      <c r="B280" s="420"/>
      <c r="C280" s="420"/>
      <c r="D280" s="420"/>
      <c r="E280" s="420"/>
      <c r="F280" s="420"/>
      <c r="G280" s="420"/>
      <c r="H280" s="420"/>
      <c r="I280" s="424"/>
      <c r="J280" s="424"/>
      <c r="K280" s="424"/>
      <c r="L280" s="424"/>
    </row>
    <row r="281" spans="2:12">
      <c r="B281" s="420"/>
      <c r="C281" s="420"/>
      <c r="D281" s="420"/>
      <c r="E281" s="420"/>
      <c r="F281" s="420"/>
      <c r="G281" s="420"/>
      <c r="H281" s="420"/>
      <c r="I281" s="424"/>
      <c r="J281" s="424"/>
      <c r="K281" s="424"/>
      <c r="L281" s="424"/>
    </row>
    <row r="282" spans="2:12">
      <c r="B282" s="420"/>
      <c r="C282" s="420"/>
      <c r="D282" s="420"/>
      <c r="E282" s="420"/>
      <c r="F282" s="420"/>
      <c r="G282" s="420"/>
      <c r="H282" s="420"/>
      <c r="I282" s="424"/>
      <c r="J282" s="424"/>
      <c r="K282" s="424"/>
      <c r="L282" s="424"/>
    </row>
    <row r="283" spans="2:12">
      <c r="B283" s="420"/>
      <c r="C283" s="420"/>
      <c r="D283" s="420"/>
      <c r="E283" s="420"/>
      <c r="F283" s="420"/>
      <c r="G283" s="420"/>
      <c r="H283" s="420"/>
      <c r="I283" s="424"/>
      <c r="J283" s="424"/>
      <c r="K283" s="424"/>
      <c r="L283" s="424"/>
    </row>
    <row r="284" spans="2:12">
      <c r="B284" s="420"/>
      <c r="C284" s="420"/>
      <c r="D284" s="420"/>
      <c r="E284" s="420"/>
      <c r="F284" s="420"/>
      <c r="G284" s="420"/>
      <c r="H284" s="420"/>
      <c r="I284" s="424"/>
      <c r="J284" s="424"/>
      <c r="K284" s="424"/>
      <c r="L284" s="424"/>
    </row>
    <row r="285" spans="2:12">
      <c r="B285" s="420"/>
      <c r="C285" s="420"/>
      <c r="D285" s="420"/>
      <c r="E285" s="420"/>
      <c r="F285" s="420"/>
      <c r="G285" s="420"/>
      <c r="H285" s="420"/>
      <c r="I285" s="424"/>
      <c r="J285" s="424"/>
      <c r="K285" s="424"/>
      <c r="L285" s="424"/>
    </row>
    <row r="286" spans="2:12">
      <c r="B286" s="420"/>
      <c r="C286" s="420"/>
      <c r="D286" s="420"/>
      <c r="E286" s="420"/>
      <c r="F286" s="420"/>
      <c r="G286" s="420"/>
      <c r="H286" s="420"/>
      <c r="I286" s="424"/>
      <c r="J286" s="424"/>
      <c r="K286" s="424"/>
      <c r="L286" s="424"/>
    </row>
    <row r="287" spans="2:12">
      <c r="B287" s="420"/>
      <c r="C287" s="420"/>
      <c r="D287" s="420"/>
      <c r="E287" s="420"/>
      <c r="F287" s="420"/>
      <c r="G287" s="420"/>
      <c r="H287" s="420"/>
      <c r="I287" s="424"/>
      <c r="J287" s="424"/>
      <c r="K287" s="424"/>
      <c r="L287" s="424"/>
    </row>
    <row r="288" spans="2:12">
      <c r="B288" s="420"/>
      <c r="C288" s="420"/>
      <c r="D288" s="420"/>
      <c r="E288" s="420"/>
      <c r="F288" s="420"/>
      <c r="G288" s="420"/>
      <c r="H288" s="420"/>
      <c r="I288" s="424"/>
      <c r="J288" s="424"/>
      <c r="K288" s="424"/>
      <c r="L288" s="424"/>
    </row>
    <row r="289" spans="2:12">
      <c r="B289" s="420"/>
      <c r="C289" s="420"/>
      <c r="D289" s="420"/>
      <c r="E289" s="420"/>
      <c r="F289" s="420"/>
      <c r="G289" s="420"/>
      <c r="H289" s="420"/>
      <c r="I289" s="424"/>
      <c r="J289" s="424"/>
      <c r="K289" s="424"/>
      <c r="L289" s="424"/>
    </row>
    <row r="290" spans="2:12">
      <c r="B290" s="420"/>
      <c r="C290" s="420"/>
      <c r="D290" s="420"/>
      <c r="E290" s="420"/>
      <c r="F290" s="420"/>
      <c r="G290" s="420"/>
      <c r="H290" s="420"/>
      <c r="I290" s="424"/>
      <c r="J290" s="424"/>
      <c r="K290" s="424"/>
      <c r="L290" s="424"/>
    </row>
    <row r="291" spans="2:12">
      <c r="B291" s="420"/>
      <c r="C291" s="420"/>
      <c r="D291" s="420"/>
      <c r="E291" s="420"/>
      <c r="F291" s="420"/>
      <c r="G291" s="420"/>
      <c r="H291" s="420"/>
      <c r="I291" s="424"/>
      <c r="J291" s="424"/>
      <c r="K291" s="424"/>
      <c r="L291" s="424"/>
    </row>
    <row r="292" spans="2:12">
      <c r="B292" s="420"/>
      <c r="C292" s="420"/>
      <c r="D292" s="420"/>
      <c r="E292" s="420"/>
      <c r="F292" s="420"/>
      <c r="G292" s="420"/>
      <c r="H292" s="420"/>
      <c r="I292" s="424"/>
      <c r="J292" s="424"/>
      <c r="K292" s="424"/>
      <c r="L292" s="424"/>
    </row>
    <row r="293" spans="2:12">
      <c r="B293" s="420"/>
      <c r="C293" s="420"/>
      <c r="D293" s="420"/>
      <c r="E293" s="420"/>
      <c r="F293" s="420"/>
      <c r="G293" s="420"/>
      <c r="H293" s="420"/>
      <c r="I293" s="424"/>
      <c r="J293" s="424"/>
      <c r="K293" s="424"/>
      <c r="L293" s="424"/>
    </row>
    <row r="294" spans="2:12">
      <c r="B294" s="420"/>
      <c r="C294" s="420"/>
      <c r="D294" s="420"/>
      <c r="E294" s="420"/>
      <c r="F294" s="420"/>
      <c r="G294" s="420"/>
      <c r="H294" s="420"/>
      <c r="I294" s="424"/>
      <c r="J294" s="424"/>
      <c r="K294" s="424"/>
      <c r="L294" s="424"/>
    </row>
    <row r="295" spans="2:12">
      <c r="B295" s="420"/>
      <c r="C295" s="420"/>
      <c r="D295" s="420"/>
      <c r="E295" s="420"/>
      <c r="F295" s="420"/>
      <c r="G295" s="420"/>
      <c r="H295" s="420"/>
      <c r="I295" s="424"/>
      <c r="J295" s="424"/>
      <c r="K295" s="424"/>
      <c r="L295" s="424"/>
    </row>
    <row r="296" spans="2:12">
      <c r="B296" s="420"/>
      <c r="C296" s="420"/>
      <c r="D296" s="420"/>
      <c r="E296" s="420"/>
      <c r="F296" s="420"/>
      <c r="G296" s="420"/>
      <c r="H296" s="420"/>
      <c r="I296" s="424"/>
      <c r="J296" s="424"/>
      <c r="K296" s="424"/>
      <c r="L296" s="424"/>
    </row>
    <row r="297" spans="2:12">
      <c r="B297" s="420"/>
      <c r="C297" s="420"/>
      <c r="D297" s="420"/>
      <c r="E297" s="420"/>
      <c r="F297" s="420"/>
      <c r="G297" s="420"/>
      <c r="H297" s="420"/>
      <c r="I297" s="424"/>
      <c r="J297" s="424"/>
      <c r="K297" s="424"/>
      <c r="L297" s="424"/>
    </row>
    <row r="298" spans="2:12">
      <c r="B298" s="420"/>
      <c r="C298" s="420"/>
      <c r="D298" s="420"/>
      <c r="E298" s="420"/>
      <c r="F298" s="420"/>
      <c r="G298" s="420"/>
      <c r="H298" s="420"/>
      <c r="I298" s="424"/>
      <c r="J298" s="424"/>
      <c r="K298" s="424"/>
      <c r="L298" s="424"/>
    </row>
    <row r="299" spans="2:12">
      <c r="B299" s="420"/>
      <c r="C299" s="420"/>
      <c r="D299" s="420"/>
      <c r="E299" s="420"/>
      <c r="F299" s="420"/>
      <c r="G299" s="420"/>
      <c r="H299" s="420"/>
      <c r="I299" s="424"/>
      <c r="J299" s="424"/>
      <c r="K299" s="424"/>
      <c r="L299" s="424"/>
    </row>
    <row r="300" spans="2:12">
      <c r="B300" s="420"/>
      <c r="C300" s="420"/>
      <c r="D300" s="420"/>
      <c r="E300" s="420"/>
      <c r="F300" s="420"/>
      <c r="G300" s="420"/>
      <c r="H300" s="420"/>
      <c r="I300" s="424"/>
      <c r="J300" s="424"/>
      <c r="K300" s="424"/>
      <c r="L300" s="424"/>
    </row>
    <row r="301" spans="2:12">
      <c r="B301" s="420"/>
      <c r="C301" s="420"/>
      <c r="D301" s="420"/>
      <c r="E301" s="420"/>
      <c r="F301" s="420"/>
      <c r="G301" s="420"/>
      <c r="H301" s="420"/>
      <c r="I301" s="424"/>
      <c r="J301" s="424"/>
      <c r="K301" s="424"/>
      <c r="L301" s="424"/>
    </row>
    <row r="302" spans="2:12">
      <c r="B302" s="420"/>
      <c r="C302" s="420"/>
      <c r="D302" s="420"/>
      <c r="E302" s="420"/>
      <c r="F302" s="420"/>
      <c r="G302" s="420"/>
      <c r="H302" s="420"/>
      <c r="I302" s="424"/>
      <c r="J302" s="424"/>
      <c r="K302" s="424"/>
      <c r="L302" s="424"/>
    </row>
    <row r="303" spans="2:12">
      <c r="B303" s="420"/>
      <c r="C303" s="420"/>
      <c r="D303" s="420"/>
      <c r="E303" s="420"/>
      <c r="F303" s="420"/>
      <c r="G303" s="420"/>
      <c r="H303" s="420"/>
      <c r="I303" s="424"/>
      <c r="J303" s="424"/>
      <c r="K303" s="424"/>
      <c r="L303" s="424"/>
    </row>
    <row r="304" spans="2:12">
      <c r="B304" s="420"/>
      <c r="C304" s="420"/>
      <c r="D304" s="420"/>
      <c r="E304" s="420"/>
      <c r="F304" s="420"/>
      <c r="G304" s="420"/>
      <c r="H304" s="420"/>
      <c r="I304" s="424"/>
      <c r="J304" s="424"/>
      <c r="K304" s="424"/>
      <c r="L304" s="424"/>
    </row>
    <row r="305" spans="2:12">
      <c r="B305" s="420"/>
      <c r="C305" s="420"/>
      <c r="D305" s="420"/>
      <c r="E305" s="420"/>
      <c r="F305" s="420"/>
      <c r="G305" s="420"/>
      <c r="H305" s="420"/>
      <c r="I305" s="424"/>
      <c r="J305" s="424"/>
      <c r="K305" s="424"/>
      <c r="L305" s="424"/>
    </row>
    <row r="306" spans="2:12">
      <c r="B306" s="420"/>
      <c r="C306" s="420"/>
      <c r="D306" s="420"/>
      <c r="E306" s="420"/>
      <c r="F306" s="420"/>
      <c r="G306" s="420"/>
      <c r="H306" s="420"/>
      <c r="I306" s="424"/>
      <c r="J306" s="424"/>
      <c r="K306" s="424"/>
      <c r="L306" s="424"/>
    </row>
    <row r="307" spans="2:12">
      <c r="B307" s="420"/>
      <c r="C307" s="420"/>
      <c r="D307" s="420"/>
      <c r="E307" s="420"/>
      <c r="F307" s="420"/>
      <c r="G307" s="420"/>
      <c r="H307" s="420"/>
      <c r="I307" s="424"/>
      <c r="J307" s="424"/>
      <c r="K307" s="424"/>
      <c r="L307" s="424"/>
    </row>
    <row r="308" spans="2:12">
      <c r="B308" s="420"/>
      <c r="C308" s="420"/>
      <c r="D308" s="420"/>
      <c r="E308" s="420"/>
      <c r="F308" s="420"/>
      <c r="G308" s="420"/>
      <c r="H308" s="420"/>
      <c r="I308" s="424"/>
      <c r="J308" s="424"/>
      <c r="K308" s="424"/>
      <c r="L308" s="424"/>
    </row>
    <row r="309" spans="2:12">
      <c r="B309" s="420"/>
      <c r="C309" s="420"/>
      <c r="D309" s="420"/>
      <c r="E309" s="420"/>
      <c r="F309" s="420"/>
      <c r="G309" s="420"/>
      <c r="H309" s="420"/>
      <c r="I309" s="424"/>
      <c r="J309" s="424"/>
      <c r="K309" s="424"/>
      <c r="L309" s="424"/>
    </row>
    <row r="310" spans="2:12">
      <c r="B310" s="420"/>
      <c r="C310" s="420"/>
      <c r="D310" s="420"/>
      <c r="E310" s="420"/>
      <c r="F310" s="420"/>
      <c r="G310" s="420"/>
      <c r="H310" s="420"/>
      <c r="I310" s="424"/>
      <c r="J310" s="424"/>
      <c r="K310" s="424"/>
      <c r="L310" s="424"/>
    </row>
    <row r="311" spans="2:12">
      <c r="B311" s="420"/>
      <c r="C311" s="420"/>
      <c r="D311" s="420"/>
      <c r="E311" s="420"/>
      <c r="F311" s="420"/>
      <c r="G311" s="420"/>
      <c r="H311" s="420"/>
      <c r="I311" s="424"/>
      <c r="J311" s="424"/>
      <c r="K311" s="424"/>
      <c r="L311" s="424"/>
    </row>
    <row r="312" spans="2:12">
      <c r="B312" s="420"/>
      <c r="C312" s="420"/>
      <c r="D312" s="420"/>
      <c r="E312" s="420"/>
      <c r="F312" s="420"/>
      <c r="G312" s="420"/>
      <c r="H312" s="420"/>
      <c r="I312" s="424"/>
      <c r="J312" s="424"/>
      <c r="K312" s="424"/>
      <c r="L312" s="424"/>
    </row>
    <row r="313" spans="2:12">
      <c r="B313" s="420"/>
      <c r="C313" s="420"/>
      <c r="D313" s="420"/>
      <c r="E313" s="420"/>
      <c r="F313" s="420"/>
      <c r="G313" s="420"/>
      <c r="H313" s="420"/>
      <c r="I313" s="424"/>
      <c r="J313" s="424"/>
      <c r="K313" s="424"/>
      <c r="L313" s="424"/>
    </row>
    <row r="314" spans="2:12">
      <c r="B314" s="420"/>
      <c r="C314" s="420"/>
      <c r="D314" s="420"/>
      <c r="E314" s="420"/>
      <c r="F314" s="420"/>
      <c r="G314" s="420"/>
      <c r="H314" s="420"/>
      <c r="I314" s="424"/>
      <c r="J314" s="424"/>
      <c r="K314" s="424"/>
      <c r="L314" s="424"/>
    </row>
    <row r="315" spans="2:12">
      <c r="B315" s="420"/>
      <c r="C315" s="420"/>
      <c r="D315" s="420"/>
      <c r="E315" s="420"/>
      <c r="F315" s="420"/>
      <c r="G315" s="420"/>
      <c r="H315" s="420"/>
      <c r="I315" s="424"/>
      <c r="J315" s="424"/>
      <c r="K315" s="424"/>
      <c r="L315" s="424"/>
    </row>
    <row r="316" spans="2:12">
      <c r="B316" s="420"/>
      <c r="C316" s="420"/>
      <c r="D316" s="420"/>
      <c r="E316" s="420"/>
      <c r="F316" s="420"/>
      <c r="G316" s="420"/>
      <c r="H316" s="420"/>
      <c r="I316" s="424"/>
      <c r="J316" s="424"/>
      <c r="K316" s="424"/>
      <c r="L316" s="424"/>
    </row>
    <row r="317" spans="2:12">
      <c r="B317" s="420"/>
      <c r="C317" s="420"/>
      <c r="D317" s="420"/>
      <c r="E317" s="420"/>
      <c r="F317" s="420"/>
      <c r="G317" s="420"/>
      <c r="H317" s="420"/>
      <c r="I317" s="424"/>
      <c r="J317" s="424"/>
      <c r="K317" s="424"/>
      <c r="L317" s="424"/>
    </row>
    <row r="318" spans="2:12">
      <c r="B318" s="420"/>
      <c r="C318" s="420"/>
      <c r="D318" s="420"/>
      <c r="E318" s="420"/>
      <c r="F318" s="420"/>
      <c r="G318" s="420"/>
      <c r="H318" s="420"/>
      <c r="I318" s="424"/>
      <c r="J318" s="424"/>
      <c r="K318" s="424"/>
      <c r="L318" s="424"/>
    </row>
    <row r="319" spans="2:12">
      <c r="B319" s="420"/>
      <c r="C319" s="420"/>
      <c r="D319" s="420"/>
      <c r="E319" s="420"/>
      <c r="F319" s="420"/>
      <c r="G319" s="420"/>
      <c r="H319" s="420"/>
      <c r="I319" s="424"/>
      <c r="J319" s="424"/>
      <c r="K319" s="424"/>
      <c r="L319" s="424"/>
    </row>
    <row r="320" spans="2:12">
      <c r="B320" s="420"/>
      <c r="C320" s="420"/>
      <c r="D320" s="420"/>
      <c r="E320" s="420"/>
      <c r="F320" s="420"/>
      <c r="G320" s="420"/>
      <c r="H320" s="420"/>
      <c r="I320" s="424"/>
      <c r="J320" s="424"/>
      <c r="K320" s="424"/>
      <c r="L320" s="424"/>
    </row>
    <row r="321" spans="2:12">
      <c r="B321" s="420"/>
      <c r="C321" s="420"/>
      <c r="D321" s="420"/>
      <c r="E321" s="420"/>
      <c r="F321" s="420"/>
      <c r="G321" s="420"/>
      <c r="H321" s="420"/>
      <c r="I321" s="424"/>
      <c r="J321" s="424"/>
      <c r="K321" s="424"/>
      <c r="L321" s="424"/>
    </row>
    <row r="322" spans="2:12">
      <c r="B322" s="420"/>
      <c r="C322" s="420"/>
      <c r="D322" s="420"/>
      <c r="E322" s="420"/>
      <c r="F322" s="420"/>
      <c r="G322" s="420"/>
      <c r="H322" s="420"/>
      <c r="I322" s="424"/>
      <c r="J322" s="424"/>
      <c r="K322" s="424"/>
      <c r="L322" s="424"/>
    </row>
    <row r="323" spans="2:12">
      <c r="B323" s="420"/>
      <c r="C323" s="420"/>
      <c r="D323" s="420"/>
      <c r="E323" s="420"/>
      <c r="F323" s="420"/>
      <c r="G323" s="420"/>
      <c r="H323" s="420"/>
      <c r="I323" s="424"/>
      <c r="J323" s="424"/>
      <c r="K323" s="424"/>
      <c r="L323" s="424"/>
    </row>
    <row r="324" spans="2:12">
      <c r="B324" s="420"/>
      <c r="C324" s="420"/>
      <c r="D324" s="420"/>
      <c r="E324" s="420"/>
      <c r="F324" s="420"/>
      <c r="G324" s="420"/>
      <c r="H324" s="420"/>
      <c r="I324" s="424"/>
      <c r="J324" s="424"/>
      <c r="K324" s="424"/>
      <c r="L324" s="424"/>
    </row>
    <row r="325" spans="2:12">
      <c r="B325" s="420"/>
      <c r="C325" s="420"/>
      <c r="D325" s="420"/>
      <c r="E325" s="420"/>
      <c r="F325" s="420"/>
      <c r="G325" s="420"/>
      <c r="H325" s="420"/>
      <c r="I325" s="424"/>
      <c r="J325" s="424"/>
      <c r="K325" s="424"/>
      <c r="L325" s="424"/>
    </row>
    <row r="326" spans="2:12">
      <c r="B326" s="420"/>
      <c r="C326" s="420"/>
      <c r="D326" s="420"/>
      <c r="E326" s="420"/>
      <c r="F326" s="420"/>
      <c r="G326" s="420"/>
      <c r="H326" s="420"/>
      <c r="I326" s="424"/>
      <c r="J326" s="424"/>
      <c r="K326" s="424"/>
      <c r="L326" s="424"/>
    </row>
    <row r="327" spans="2:12">
      <c r="B327" s="420"/>
      <c r="C327" s="420"/>
      <c r="D327" s="420"/>
      <c r="E327" s="420"/>
      <c r="F327" s="420"/>
      <c r="G327" s="420"/>
      <c r="H327" s="420"/>
      <c r="I327" s="424"/>
      <c r="J327" s="424"/>
      <c r="K327" s="424"/>
      <c r="L327" s="424"/>
    </row>
    <row r="328" spans="2:12">
      <c r="B328" s="420"/>
      <c r="C328" s="420"/>
      <c r="D328" s="420"/>
      <c r="E328" s="420"/>
      <c r="F328" s="420"/>
      <c r="G328" s="420"/>
      <c r="H328" s="420"/>
      <c r="I328" s="424"/>
      <c r="J328" s="424"/>
      <c r="K328" s="424"/>
      <c r="L328" s="424"/>
    </row>
    <row r="329" spans="2:12">
      <c r="B329" s="420"/>
      <c r="C329" s="420"/>
      <c r="D329" s="420"/>
      <c r="E329" s="420"/>
      <c r="F329" s="420"/>
      <c r="G329" s="420"/>
      <c r="H329" s="420"/>
      <c r="I329" s="424"/>
      <c r="J329" s="424"/>
      <c r="K329" s="424"/>
      <c r="L329" s="424"/>
    </row>
    <row r="330" spans="2:12">
      <c r="B330" s="420"/>
      <c r="C330" s="420"/>
      <c r="D330" s="420"/>
      <c r="E330" s="420"/>
      <c r="F330" s="420"/>
      <c r="G330" s="420"/>
      <c r="H330" s="420"/>
      <c r="I330" s="424"/>
      <c r="J330" s="424"/>
      <c r="K330" s="424"/>
      <c r="L330" s="424"/>
    </row>
    <row r="331" spans="2:12">
      <c r="B331" s="420"/>
      <c r="C331" s="420"/>
      <c r="D331" s="420"/>
      <c r="E331" s="420"/>
      <c r="F331" s="420"/>
      <c r="G331" s="420"/>
      <c r="H331" s="420"/>
      <c r="I331" s="424"/>
      <c r="J331" s="424"/>
      <c r="K331" s="424"/>
      <c r="L331" s="424"/>
    </row>
    <row r="332" spans="2:12">
      <c r="B332" s="420"/>
      <c r="C332" s="420"/>
      <c r="D332" s="420"/>
      <c r="E332" s="420"/>
      <c r="F332" s="420"/>
      <c r="G332" s="420"/>
      <c r="H332" s="420"/>
      <c r="I332" s="424"/>
      <c r="J332" s="424"/>
      <c r="K332" s="424"/>
      <c r="L332" s="424"/>
    </row>
    <row r="333" spans="2:12">
      <c r="B333" s="420"/>
      <c r="C333" s="420"/>
      <c r="D333" s="420"/>
      <c r="E333" s="420"/>
      <c r="F333" s="420"/>
      <c r="G333" s="420"/>
      <c r="H333" s="420"/>
      <c r="I333" s="424"/>
      <c r="J333" s="424"/>
      <c r="K333" s="424"/>
      <c r="L333" s="424"/>
    </row>
    <row r="334" spans="2:12">
      <c r="B334" s="420"/>
      <c r="C334" s="420"/>
      <c r="D334" s="420"/>
      <c r="E334" s="420"/>
      <c r="F334" s="420"/>
      <c r="G334" s="420"/>
      <c r="H334" s="420"/>
      <c r="I334" s="424"/>
      <c r="J334" s="424"/>
      <c r="K334" s="424"/>
      <c r="L334" s="424"/>
    </row>
    <row r="335" spans="2:12">
      <c r="B335" s="420"/>
      <c r="C335" s="420"/>
      <c r="D335" s="420"/>
      <c r="E335" s="420"/>
      <c r="F335" s="420"/>
      <c r="G335" s="420"/>
      <c r="H335" s="420"/>
      <c r="I335" s="424"/>
      <c r="J335" s="424"/>
      <c r="K335" s="424"/>
      <c r="L335" s="424"/>
    </row>
    <row r="336" spans="2:12">
      <c r="B336" s="420"/>
      <c r="C336" s="420"/>
      <c r="D336" s="420"/>
      <c r="E336" s="420"/>
      <c r="F336" s="420"/>
      <c r="G336" s="420"/>
      <c r="H336" s="420"/>
      <c r="I336" s="424"/>
      <c r="J336" s="424"/>
      <c r="K336" s="424"/>
      <c r="L336" s="424"/>
    </row>
    <row r="337" spans="2:12">
      <c r="B337" s="420"/>
      <c r="C337" s="420"/>
      <c r="D337" s="420"/>
      <c r="E337" s="420"/>
      <c r="F337" s="420"/>
      <c r="G337" s="420"/>
      <c r="H337" s="420"/>
      <c r="I337" s="424"/>
      <c r="J337" s="424"/>
      <c r="K337" s="424"/>
      <c r="L337" s="424"/>
    </row>
    <row r="338" spans="2:12">
      <c r="B338" s="420"/>
      <c r="C338" s="420"/>
      <c r="D338" s="420"/>
      <c r="E338" s="420"/>
      <c r="F338" s="420"/>
      <c r="G338" s="420"/>
      <c r="H338" s="420"/>
      <c r="I338" s="424"/>
      <c r="J338" s="424"/>
      <c r="K338" s="424"/>
      <c r="L338" s="424"/>
    </row>
    <row r="339" spans="2:12">
      <c r="B339" s="420"/>
      <c r="C339" s="420"/>
      <c r="D339" s="420"/>
      <c r="E339" s="420"/>
      <c r="F339" s="420"/>
      <c r="G339" s="420"/>
      <c r="H339" s="420"/>
      <c r="I339" s="424"/>
      <c r="J339" s="424"/>
      <c r="K339" s="424"/>
      <c r="L339" s="424"/>
    </row>
    <row r="340" spans="2:12">
      <c r="B340" s="420"/>
      <c r="C340" s="420"/>
      <c r="D340" s="420"/>
      <c r="E340" s="420"/>
      <c r="F340" s="420"/>
      <c r="G340" s="420"/>
      <c r="H340" s="420"/>
      <c r="I340" s="424"/>
      <c r="J340" s="424"/>
      <c r="K340" s="424"/>
      <c r="L340" s="424"/>
    </row>
    <row r="341" spans="2:12">
      <c r="B341" s="420"/>
      <c r="C341" s="420"/>
      <c r="D341" s="420"/>
      <c r="E341" s="420"/>
      <c r="F341" s="420"/>
      <c r="G341" s="420"/>
      <c r="H341" s="420"/>
      <c r="I341" s="424"/>
      <c r="J341" s="424"/>
      <c r="K341" s="424"/>
      <c r="L341" s="424"/>
    </row>
    <row r="342" spans="2:12">
      <c r="B342" s="420"/>
      <c r="C342" s="420"/>
      <c r="D342" s="420"/>
      <c r="E342" s="420"/>
      <c r="F342" s="420"/>
      <c r="G342" s="420"/>
      <c r="H342" s="420"/>
      <c r="I342" s="424"/>
      <c r="J342" s="424"/>
      <c r="K342" s="424"/>
      <c r="L342" s="424"/>
    </row>
    <row r="343" spans="2:12">
      <c r="B343" s="420"/>
      <c r="C343" s="420"/>
      <c r="D343" s="420"/>
      <c r="E343" s="420"/>
      <c r="F343" s="420"/>
      <c r="G343" s="420"/>
      <c r="H343" s="420"/>
      <c r="I343" s="424"/>
      <c r="J343" s="424"/>
      <c r="K343" s="424"/>
      <c r="L343" s="424"/>
    </row>
    <row r="344" spans="2:12">
      <c r="B344" s="420"/>
      <c r="C344" s="420"/>
      <c r="D344" s="420"/>
      <c r="E344" s="420"/>
      <c r="F344" s="420"/>
      <c r="G344" s="420"/>
      <c r="H344" s="420"/>
      <c r="I344" s="424"/>
      <c r="J344" s="424"/>
      <c r="K344" s="424"/>
      <c r="L344" s="424"/>
    </row>
    <row r="345" spans="2:12">
      <c r="B345" s="420"/>
      <c r="C345" s="420"/>
      <c r="D345" s="420"/>
      <c r="E345" s="420"/>
      <c r="F345" s="420"/>
      <c r="G345" s="420"/>
      <c r="H345" s="420"/>
      <c r="I345" s="424"/>
      <c r="J345" s="424"/>
      <c r="K345" s="424"/>
      <c r="L345" s="424"/>
    </row>
    <row r="346" spans="2:12">
      <c r="B346" s="420"/>
      <c r="C346" s="420"/>
      <c r="D346" s="420"/>
      <c r="E346" s="420"/>
      <c r="F346" s="420"/>
      <c r="G346" s="420"/>
      <c r="H346" s="420"/>
      <c r="I346" s="424"/>
      <c r="J346" s="424"/>
      <c r="K346" s="424"/>
      <c r="L346" s="424"/>
    </row>
    <row r="347" spans="2:12">
      <c r="B347" s="420"/>
      <c r="C347" s="420"/>
      <c r="D347" s="420"/>
      <c r="E347" s="420"/>
      <c r="F347" s="420"/>
      <c r="G347" s="420"/>
      <c r="H347" s="420"/>
      <c r="I347" s="424"/>
      <c r="J347" s="424"/>
      <c r="K347" s="424"/>
      <c r="L347" s="424"/>
    </row>
    <row r="348" spans="2:12">
      <c r="B348" s="420"/>
      <c r="C348" s="420"/>
      <c r="D348" s="420"/>
      <c r="E348" s="420"/>
      <c r="F348" s="420"/>
      <c r="G348" s="420"/>
      <c r="H348" s="420"/>
      <c r="I348" s="424"/>
      <c r="J348" s="424"/>
      <c r="K348" s="424"/>
      <c r="L348" s="424"/>
    </row>
    <row r="349" spans="2:12">
      <c r="B349" s="420"/>
      <c r="C349" s="420"/>
      <c r="D349" s="420"/>
      <c r="E349" s="420"/>
      <c r="F349" s="420"/>
      <c r="G349" s="420"/>
      <c r="H349" s="420"/>
      <c r="I349" s="424"/>
      <c r="J349" s="424"/>
      <c r="K349" s="424"/>
      <c r="L349" s="424"/>
    </row>
    <row r="350" spans="2:12">
      <c r="B350" s="420"/>
      <c r="C350" s="420"/>
      <c r="D350" s="420"/>
      <c r="E350" s="420"/>
      <c r="F350" s="420"/>
      <c r="G350" s="420"/>
      <c r="H350" s="420"/>
      <c r="I350" s="424"/>
      <c r="J350" s="424"/>
      <c r="K350" s="424"/>
      <c r="L350" s="424"/>
    </row>
    <row r="351" spans="2:12">
      <c r="B351" s="420"/>
      <c r="C351" s="420"/>
      <c r="D351" s="420"/>
      <c r="E351" s="420"/>
      <c r="F351" s="420"/>
      <c r="G351" s="420"/>
      <c r="H351" s="420"/>
      <c r="I351" s="424"/>
      <c r="J351" s="424"/>
      <c r="K351" s="424"/>
      <c r="L351" s="424"/>
    </row>
    <row r="352" spans="2:12">
      <c r="B352" s="420"/>
      <c r="C352" s="420"/>
      <c r="D352" s="420"/>
      <c r="E352" s="420"/>
      <c r="F352" s="420"/>
      <c r="G352" s="420"/>
      <c r="H352" s="420"/>
      <c r="I352" s="424"/>
      <c r="J352" s="424"/>
      <c r="K352" s="424"/>
      <c r="L352" s="424"/>
    </row>
    <row r="353" spans="2:12">
      <c r="B353" s="420"/>
      <c r="C353" s="420"/>
      <c r="D353" s="420"/>
      <c r="E353" s="420"/>
      <c r="F353" s="420"/>
      <c r="G353" s="420"/>
      <c r="H353" s="420"/>
      <c r="I353" s="424"/>
      <c r="J353" s="424"/>
      <c r="K353" s="424"/>
      <c r="L353" s="424"/>
    </row>
    <row r="354" spans="2:12">
      <c r="B354" s="420"/>
      <c r="C354" s="420"/>
      <c r="D354" s="420"/>
      <c r="E354" s="420"/>
      <c r="F354" s="420"/>
      <c r="G354" s="420"/>
      <c r="H354" s="420"/>
      <c r="I354" s="424"/>
      <c r="J354" s="424"/>
      <c r="K354" s="424"/>
      <c r="L354" s="424"/>
    </row>
    <row r="355" spans="2:12">
      <c r="B355" s="420"/>
      <c r="C355" s="420"/>
      <c r="D355" s="420"/>
      <c r="E355" s="420"/>
      <c r="F355" s="420"/>
      <c r="G355" s="420"/>
      <c r="H355" s="420"/>
      <c r="I355" s="424"/>
      <c r="J355" s="424"/>
      <c r="K355" s="424"/>
      <c r="L355" s="424"/>
    </row>
    <row r="356" spans="2:12">
      <c r="B356" s="420"/>
      <c r="C356" s="420"/>
      <c r="D356" s="420"/>
      <c r="E356" s="420"/>
      <c r="F356" s="420"/>
      <c r="G356" s="420"/>
      <c r="H356" s="420"/>
      <c r="I356" s="424"/>
      <c r="J356" s="424"/>
      <c r="K356" s="424"/>
      <c r="L356" s="424"/>
    </row>
    <row r="357" spans="2:12">
      <c r="B357" s="420"/>
      <c r="C357" s="420"/>
      <c r="D357" s="420"/>
      <c r="E357" s="420"/>
      <c r="F357" s="420"/>
      <c r="G357" s="420"/>
      <c r="H357" s="420"/>
      <c r="I357" s="424"/>
      <c r="J357" s="424"/>
      <c r="K357" s="424"/>
      <c r="L357" s="424"/>
    </row>
    <row r="358" spans="2:12">
      <c r="B358" s="420"/>
      <c r="C358" s="420"/>
      <c r="D358" s="420"/>
      <c r="E358" s="420"/>
      <c r="F358" s="420"/>
      <c r="G358" s="420"/>
      <c r="H358" s="420"/>
      <c r="I358" s="424"/>
      <c r="J358" s="424"/>
      <c r="K358" s="424"/>
      <c r="L358" s="424"/>
    </row>
    <row r="359" spans="2:12">
      <c r="B359" s="420"/>
      <c r="C359" s="420"/>
      <c r="D359" s="420"/>
      <c r="E359" s="420"/>
      <c r="F359" s="420"/>
      <c r="G359" s="420"/>
      <c r="H359" s="420"/>
      <c r="I359" s="424"/>
      <c r="J359" s="424"/>
      <c r="K359" s="424"/>
      <c r="L359" s="424"/>
    </row>
    <row r="360" spans="2:12">
      <c r="B360" s="420"/>
      <c r="C360" s="420"/>
      <c r="D360" s="420"/>
      <c r="E360" s="420"/>
      <c r="F360" s="420"/>
      <c r="G360" s="420"/>
      <c r="H360" s="420"/>
      <c r="I360" s="424"/>
      <c r="J360" s="424"/>
      <c r="K360" s="424"/>
      <c r="L360" s="424"/>
    </row>
    <row r="361" spans="2:12">
      <c r="B361" s="420"/>
      <c r="C361" s="420"/>
      <c r="D361" s="420"/>
      <c r="E361" s="420"/>
      <c r="F361" s="420"/>
      <c r="G361" s="420"/>
      <c r="H361" s="420"/>
      <c r="I361" s="424"/>
      <c r="J361" s="424"/>
      <c r="K361" s="424"/>
      <c r="L361" s="424"/>
    </row>
    <row r="362" spans="2:12">
      <c r="B362" s="420"/>
      <c r="C362" s="420"/>
      <c r="D362" s="420"/>
      <c r="E362" s="420"/>
      <c r="F362" s="420"/>
      <c r="G362" s="420"/>
      <c r="H362" s="420"/>
      <c r="I362" s="424"/>
      <c r="J362" s="424"/>
      <c r="K362" s="424"/>
      <c r="L362" s="424"/>
    </row>
    <row r="363" spans="2:12">
      <c r="B363" s="420"/>
      <c r="C363" s="420"/>
      <c r="D363" s="420"/>
      <c r="E363" s="420"/>
      <c r="F363" s="420"/>
      <c r="G363" s="420"/>
      <c r="H363" s="420"/>
      <c r="I363" s="424"/>
      <c r="J363" s="424"/>
      <c r="K363" s="424"/>
      <c r="L363" s="424"/>
    </row>
    <row r="364" spans="2:12">
      <c r="B364" s="420"/>
      <c r="C364" s="420"/>
      <c r="D364" s="420"/>
      <c r="E364" s="420"/>
      <c r="F364" s="420"/>
      <c r="G364" s="420"/>
      <c r="H364" s="420"/>
      <c r="I364" s="424"/>
      <c r="J364" s="424"/>
      <c r="K364" s="424"/>
      <c r="L364" s="424"/>
    </row>
    <row r="365" spans="2:12">
      <c r="B365" s="420"/>
      <c r="C365" s="420"/>
      <c r="D365" s="420"/>
      <c r="E365" s="420"/>
      <c r="F365" s="420"/>
      <c r="G365" s="420"/>
      <c r="H365" s="420"/>
      <c r="I365" s="424"/>
      <c r="J365" s="424"/>
      <c r="K365" s="424"/>
      <c r="L365" s="424"/>
    </row>
    <row r="366" spans="2:12">
      <c r="B366" s="420"/>
      <c r="C366" s="420"/>
      <c r="D366" s="420"/>
      <c r="E366" s="420"/>
      <c r="F366" s="420"/>
      <c r="G366" s="420"/>
      <c r="H366" s="420"/>
      <c r="I366" s="424"/>
      <c r="J366" s="424"/>
      <c r="K366" s="424"/>
      <c r="L366" s="424"/>
    </row>
    <row r="367" spans="2:12">
      <c r="B367" s="420"/>
      <c r="C367" s="420"/>
      <c r="D367" s="420"/>
      <c r="E367" s="420"/>
      <c r="F367" s="420"/>
      <c r="G367" s="420"/>
      <c r="H367" s="420"/>
      <c r="I367" s="424"/>
      <c r="J367" s="424"/>
      <c r="K367" s="424"/>
      <c r="L367" s="424"/>
    </row>
    <row r="368" spans="2:12">
      <c r="B368" s="420"/>
      <c r="C368" s="420"/>
      <c r="D368" s="420"/>
      <c r="E368" s="420"/>
      <c r="F368" s="420"/>
      <c r="G368" s="420"/>
      <c r="H368" s="420"/>
      <c r="I368" s="424"/>
      <c r="J368" s="424"/>
      <c r="K368" s="424"/>
      <c r="L368" s="424"/>
    </row>
    <row r="369" spans="2:12">
      <c r="B369" s="420"/>
      <c r="C369" s="420"/>
      <c r="D369" s="420"/>
      <c r="E369" s="420"/>
      <c r="F369" s="420"/>
      <c r="G369" s="420"/>
      <c r="H369" s="420"/>
      <c r="I369" s="424"/>
      <c r="J369" s="424"/>
      <c r="K369" s="424"/>
      <c r="L369" s="424"/>
    </row>
    <row r="370" spans="2:12">
      <c r="B370" s="420"/>
      <c r="C370" s="420"/>
      <c r="D370" s="420"/>
      <c r="E370" s="420"/>
      <c r="F370" s="420"/>
      <c r="G370" s="420"/>
      <c r="H370" s="420"/>
      <c r="I370" s="424"/>
      <c r="J370" s="424"/>
      <c r="K370" s="424"/>
      <c r="L370" s="424"/>
    </row>
    <row r="371" spans="2:12">
      <c r="B371" s="420"/>
      <c r="C371" s="420"/>
      <c r="D371" s="420"/>
      <c r="E371" s="420"/>
      <c r="F371" s="420"/>
      <c r="G371" s="420"/>
      <c r="H371" s="420"/>
      <c r="I371" s="424"/>
      <c r="J371" s="424"/>
      <c r="K371" s="424"/>
      <c r="L371" s="424"/>
    </row>
    <row r="372" spans="2:12">
      <c r="B372" s="420"/>
      <c r="C372" s="420"/>
      <c r="D372" s="420"/>
      <c r="E372" s="420"/>
      <c r="F372" s="420"/>
      <c r="G372" s="420"/>
      <c r="H372" s="420"/>
      <c r="I372" s="424"/>
      <c r="J372" s="424"/>
      <c r="K372" s="424"/>
      <c r="L372" s="424"/>
    </row>
    <row r="373" spans="2:12">
      <c r="B373" s="420"/>
      <c r="C373" s="420"/>
      <c r="D373" s="420"/>
      <c r="E373" s="420"/>
      <c r="F373" s="420"/>
      <c r="G373" s="420"/>
      <c r="H373" s="420"/>
      <c r="I373" s="424"/>
      <c r="J373" s="424"/>
      <c r="K373" s="424"/>
      <c r="L373" s="424"/>
    </row>
    <row r="374" spans="2:12">
      <c r="B374" s="420"/>
      <c r="C374" s="420"/>
      <c r="D374" s="420"/>
      <c r="E374" s="420"/>
      <c r="F374" s="420"/>
      <c r="G374" s="420"/>
      <c r="H374" s="420"/>
      <c r="I374" s="424"/>
      <c r="J374" s="424"/>
      <c r="K374" s="424"/>
      <c r="L374" s="424"/>
    </row>
    <row r="375" spans="2:12">
      <c r="B375" s="420"/>
      <c r="C375" s="420"/>
      <c r="D375" s="420"/>
      <c r="E375" s="420"/>
      <c r="F375" s="420"/>
      <c r="G375" s="420"/>
      <c r="H375" s="420"/>
      <c r="I375" s="424"/>
      <c r="J375" s="424"/>
      <c r="K375" s="424"/>
      <c r="L375" s="424"/>
    </row>
    <row r="376" spans="2:12">
      <c r="B376" s="420"/>
      <c r="C376" s="420"/>
      <c r="D376" s="420"/>
      <c r="E376" s="420"/>
      <c r="F376" s="420"/>
      <c r="G376" s="420"/>
      <c r="H376" s="420"/>
      <c r="I376" s="424"/>
      <c r="J376" s="424"/>
      <c r="K376" s="424"/>
      <c r="L376" s="424"/>
    </row>
    <row r="377" spans="2:12">
      <c r="B377" s="420"/>
      <c r="C377" s="420"/>
      <c r="D377" s="420"/>
      <c r="E377" s="420"/>
      <c r="F377" s="420"/>
      <c r="G377" s="420"/>
      <c r="H377" s="420"/>
      <c r="I377" s="424"/>
      <c r="J377" s="424"/>
      <c r="K377" s="424"/>
      <c r="L377" s="424"/>
    </row>
    <row r="378" spans="2:12">
      <c r="B378" s="420"/>
      <c r="C378" s="420"/>
      <c r="D378" s="420"/>
      <c r="E378" s="420"/>
      <c r="F378" s="420"/>
      <c r="G378" s="420"/>
      <c r="H378" s="420"/>
      <c r="I378" s="424"/>
      <c r="J378" s="424"/>
      <c r="K378" s="424"/>
      <c r="L378" s="424"/>
    </row>
    <row r="379" spans="2:12">
      <c r="B379" s="420"/>
      <c r="C379" s="420"/>
      <c r="D379" s="420"/>
      <c r="E379" s="420"/>
      <c r="F379" s="420"/>
      <c r="G379" s="420"/>
      <c r="H379" s="420"/>
      <c r="I379" s="424"/>
      <c r="J379" s="424"/>
      <c r="K379" s="424"/>
      <c r="L379" s="424"/>
    </row>
    <row r="380" spans="2:12">
      <c r="B380" s="420"/>
      <c r="C380" s="420"/>
      <c r="D380" s="420"/>
      <c r="E380" s="420"/>
      <c r="F380" s="420"/>
      <c r="G380" s="420"/>
      <c r="H380" s="420"/>
      <c r="I380" s="424"/>
      <c r="J380" s="424"/>
      <c r="K380" s="424"/>
      <c r="L380" s="424"/>
    </row>
    <row r="381" spans="2:12">
      <c r="B381" s="420"/>
      <c r="C381" s="420"/>
      <c r="D381" s="420"/>
      <c r="E381" s="420"/>
      <c r="F381" s="420"/>
      <c r="G381" s="420"/>
      <c r="H381" s="420"/>
      <c r="I381" s="424"/>
      <c r="J381" s="424"/>
      <c r="K381" s="424"/>
      <c r="L381" s="424"/>
    </row>
    <row r="382" spans="2:12">
      <c r="B382" s="420"/>
      <c r="C382" s="420"/>
      <c r="D382" s="420"/>
      <c r="E382" s="420"/>
      <c r="F382" s="420"/>
      <c r="G382" s="420"/>
      <c r="H382" s="420"/>
      <c r="I382" s="424"/>
      <c r="J382" s="424"/>
      <c r="K382" s="424"/>
      <c r="L382" s="424"/>
    </row>
    <row r="383" spans="2:12">
      <c r="B383" s="420"/>
      <c r="C383" s="420"/>
      <c r="D383" s="420"/>
      <c r="E383" s="420"/>
      <c r="F383" s="420"/>
      <c r="G383" s="420"/>
      <c r="H383" s="420"/>
      <c r="I383" s="424"/>
      <c r="J383" s="424"/>
      <c r="K383" s="424"/>
      <c r="L383" s="424"/>
    </row>
    <row r="384" spans="2:12">
      <c r="B384" s="420"/>
      <c r="C384" s="420"/>
      <c r="D384" s="420"/>
      <c r="E384" s="420"/>
      <c r="F384" s="420"/>
      <c r="G384" s="420"/>
      <c r="H384" s="420"/>
      <c r="I384" s="424"/>
      <c r="J384" s="424"/>
      <c r="K384" s="424"/>
      <c r="L384" s="424"/>
    </row>
    <row r="385" spans="2:12">
      <c r="B385" s="420"/>
      <c r="C385" s="420"/>
      <c r="D385" s="420"/>
      <c r="E385" s="420"/>
      <c r="F385" s="420"/>
      <c r="G385" s="420"/>
      <c r="H385" s="420"/>
      <c r="I385" s="424"/>
      <c r="J385" s="424"/>
      <c r="K385" s="424"/>
      <c r="L385" s="424"/>
    </row>
    <row r="386" spans="2:12">
      <c r="B386" s="420"/>
      <c r="C386" s="420"/>
      <c r="D386" s="420"/>
      <c r="E386" s="420"/>
      <c r="F386" s="420"/>
      <c r="G386" s="420"/>
      <c r="H386" s="420"/>
      <c r="I386" s="424"/>
      <c r="J386" s="424"/>
      <c r="K386" s="424"/>
      <c r="L386" s="424"/>
    </row>
    <row r="387" spans="2:12">
      <c r="B387" s="420"/>
      <c r="C387" s="420"/>
      <c r="D387" s="420"/>
      <c r="E387" s="420"/>
      <c r="F387" s="420"/>
      <c r="G387" s="420"/>
      <c r="H387" s="420"/>
      <c r="I387" s="424"/>
      <c r="J387" s="424"/>
      <c r="K387" s="424"/>
      <c r="L387" s="424"/>
    </row>
    <row r="388" spans="2:12">
      <c r="B388" s="420"/>
      <c r="C388" s="420"/>
      <c r="D388" s="420"/>
      <c r="E388" s="420"/>
      <c r="F388" s="420"/>
      <c r="G388" s="420"/>
      <c r="H388" s="420"/>
      <c r="I388" s="424"/>
      <c r="J388" s="424"/>
      <c r="K388" s="424"/>
      <c r="L388" s="424"/>
    </row>
    <row r="389" spans="2:12">
      <c r="B389" s="420"/>
      <c r="C389" s="420"/>
      <c r="D389" s="420"/>
      <c r="E389" s="420"/>
      <c r="F389" s="420"/>
      <c r="G389" s="420"/>
      <c r="H389" s="420"/>
      <c r="I389" s="424"/>
      <c r="J389" s="424"/>
      <c r="K389" s="424"/>
      <c r="L389" s="424"/>
    </row>
    <row r="390" spans="2:12">
      <c r="B390" s="420"/>
      <c r="C390" s="420"/>
      <c r="D390" s="420"/>
      <c r="E390" s="420"/>
      <c r="F390" s="420"/>
      <c r="G390" s="420"/>
      <c r="H390" s="420"/>
      <c r="I390" s="424"/>
      <c r="J390" s="424"/>
      <c r="K390" s="424"/>
      <c r="L390" s="424"/>
    </row>
    <row r="391" spans="2:12">
      <c r="B391" s="420"/>
      <c r="C391" s="420"/>
      <c r="D391" s="420"/>
      <c r="E391" s="420"/>
      <c r="F391" s="420"/>
      <c r="G391" s="420"/>
      <c r="H391" s="420"/>
      <c r="I391" s="424"/>
      <c r="J391" s="424"/>
      <c r="K391" s="424"/>
      <c r="L391" s="424"/>
    </row>
    <row r="392" spans="2:12">
      <c r="B392" s="420"/>
      <c r="C392" s="420"/>
      <c r="D392" s="420"/>
      <c r="E392" s="420"/>
      <c r="F392" s="420"/>
      <c r="G392" s="420"/>
      <c r="H392" s="420"/>
      <c r="I392" s="424"/>
      <c r="J392" s="424"/>
      <c r="K392" s="424"/>
      <c r="L392" s="424"/>
    </row>
    <row r="393" spans="2:12">
      <c r="B393" s="420"/>
      <c r="C393" s="420"/>
      <c r="D393" s="420"/>
      <c r="E393" s="420"/>
      <c r="F393" s="420"/>
      <c r="G393" s="420"/>
      <c r="H393" s="420"/>
      <c r="I393" s="424"/>
      <c r="J393" s="424"/>
      <c r="K393" s="424"/>
      <c r="L393" s="424"/>
    </row>
    <row r="394" spans="2:12">
      <c r="B394" s="420"/>
      <c r="C394" s="420"/>
      <c r="D394" s="420"/>
      <c r="E394" s="420"/>
      <c r="F394" s="420"/>
      <c r="G394" s="420"/>
      <c r="H394" s="420"/>
      <c r="I394" s="424"/>
      <c r="J394" s="424"/>
      <c r="K394" s="424"/>
      <c r="L394" s="424"/>
    </row>
    <row r="395" spans="2:12">
      <c r="B395" s="420"/>
      <c r="C395" s="420"/>
      <c r="D395" s="420"/>
      <c r="E395" s="420"/>
      <c r="F395" s="420"/>
      <c r="G395" s="420"/>
      <c r="H395" s="420"/>
      <c r="I395" s="424"/>
      <c r="J395" s="424"/>
      <c r="K395" s="424"/>
      <c r="L395" s="424"/>
    </row>
    <row r="396" spans="2:12">
      <c r="B396" s="420"/>
      <c r="C396" s="420"/>
      <c r="D396" s="420"/>
      <c r="E396" s="420"/>
      <c r="F396" s="420"/>
      <c r="G396" s="420"/>
      <c r="H396" s="420"/>
      <c r="I396" s="424"/>
      <c r="J396" s="424"/>
      <c r="K396" s="424"/>
      <c r="L396" s="424"/>
    </row>
    <row r="397" spans="2:12">
      <c r="B397" s="420"/>
      <c r="C397" s="420"/>
      <c r="D397" s="420"/>
      <c r="E397" s="420"/>
      <c r="F397" s="420"/>
      <c r="G397" s="420"/>
      <c r="H397" s="420"/>
      <c r="I397" s="424"/>
      <c r="J397" s="424"/>
      <c r="K397" s="424"/>
      <c r="L397" s="424"/>
    </row>
    <row r="398" spans="2:12">
      <c r="B398" s="420"/>
      <c r="C398" s="420"/>
      <c r="D398" s="420"/>
      <c r="E398" s="420"/>
      <c r="F398" s="420"/>
      <c r="G398" s="420"/>
      <c r="H398" s="420"/>
      <c r="I398" s="424"/>
      <c r="J398" s="424"/>
      <c r="K398" s="424"/>
      <c r="L398" s="424"/>
    </row>
    <row r="399" spans="2:12">
      <c r="B399" s="420"/>
      <c r="C399" s="420"/>
      <c r="D399" s="420"/>
      <c r="E399" s="420"/>
      <c r="F399" s="420"/>
      <c r="G399" s="420"/>
      <c r="H399" s="420"/>
      <c r="I399" s="424"/>
      <c r="J399" s="424"/>
      <c r="K399" s="424"/>
      <c r="L399" s="424"/>
    </row>
    <row r="400" spans="2:12">
      <c r="B400" s="420"/>
      <c r="C400" s="420"/>
      <c r="D400" s="420"/>
      <c r="E400" s="420"/>
      <c r="F400" s="420"/>
      <c r="G400" s="420"/>
      <c r="H400" s="420"/>
      <c r="I400" s="424"/>
      <c r="J400" s="424"/>
      <c r="K400" s="424"/>
      <c r="L400" s="424"/>
    </row>
    <row r="401" spans="2:12">
      <c r="B401" s="420"/>
      <c r="C401" s="420"/>
      <c r="D401" s="420"/>
      <c r="E401" s="420"/>
      <c r="F401" s="420"/>
      <c r="G401" s="420"/>
      <c r="H401" s="420"/>
      <c r="I401" s="424"/>
      <c r="J401" s="424"/>
      <c r="K401" s="424"/>
      <c r="L401" s="424"/>
    </row>
    <row r="402" spans="2:12">
      <c r="B402" s="420"/>
      <c r="C402" s="420"/>
      <c r="D402" s="420"/>
      <c r="E402" s="420"/>
      <c r="F402" s="420"/>
      <c r="G402" s="420"/>
      <c r="H402" s="420"/>
      <c r="I402" s="424"/>
      <c r="J402" s="424"/>
      <c r="K402" s="424"/>
      <c r="L402" s="424"/>
    </row>
    <row r="403" spans="2:12">
      <c r="B403" s="420"/>
      <c r="C403" s="420"/>
      <c r="D403" s="420"/>
      <c r="E403" s="420"/>
      <c r="F403" s="420"/>
      <c r="G403" s="420"/>
      <c r="H403" s="420"/>
      <c r="I403" s="424"/>
      <c r="J403" s="424"/>
      <c r="K403" s="424"/>
      <c r="L403" s="424"/>
    </row>
    <row r="404" spans="2:12">
      <c r="B404" s="420"/>
      <c r="C404" s="420"/>
      <c r="D404" s="420"/>
      <c r="E404" s="420"/>
      <c r="F404" s="420"/>
      <c r="G404" s="420"/>
      <c r="H404" s="420"/>
      <c r="I404" s="424"/>
      <c r="J404" s="424"/>
      <c r="K404" s="424"/>
      <c r="L404" s="424"/>
    </row>
    <row r="405" spans="2:12">
      <c r="B405" s="420"/>
      <c r="C405" s="420"/>
      <c r="D405" s="420"/>
      <c r="E405" s="420"/>
      <c r="F405" s="420"/>
      <c r="G405" s="420"/>
      <c r="H405" s="420"/>
      <c r="I405" s="424"/>
      <c r="J405" s="424"/>
      <c r="K405" s="424"/>
      <c r="L405" s="424"/>
    </row>
    <row r="406" spans="2:12">
      <c r="B406" s="420"/>
      <c r="C406" s="420"/>
      <c r="D406" s="420"/>
      <c r="E406" s="420"/>
      <c r="F406" s="420"/>
      <c r="G406" s="420"/>
      <c r="H406" s="420"/>
      <c r="I406" s="424"/>
      <c r="J406" s="424"/>
      <c r="K406" s="424"/>
      <c r="L406" s="424"/>
    </row>
    <row r="407" spans="2:12">
      <c r="B407" s="420"/>
      <c r="C407" s="420"/>
      <c r="D407" s="420"/>
      <c r="E407" s="420"/>
      <c r="F407" s="420"/>
      <c r="G407" s="420"/>
      <c r="H407" s="420"/>
      <c r="I407" s="424"/>
      <c r="J407" s="424"/>
      <c r="K407" s="424"/>
      <c r="L407" s="424"/>
    </row>
    <row r="408" spans="2:12">
      <c r="B408" s="420"/>
      <c r="C408" s="420"/>
      <c r="D408" s="420"/>
      <c r="E408" s="420"/>
      <c r="F408" s="420"/>
      <c r="G408" s="420"/>
      <c r="H408" s="420"/>
      <c r="I408" s="424"/>
      <c r="J408" s="424"/>
      <c r="K408" s="424"/>
      <c r="L408" s="424"/>
    </row>
    <row r="409" spans="2:12">
      <c r="B409" s="420"/>
      <c r="C409" s="420"/>
      <c r="D409" s="420"/>
      <c r="E409" s="420"/>
      <c r="F409" s="420"/>
      <c r="G409" s="420"/>
      <c r="H409" s="420"/>
      <c r="I409" s="424"/>
      <c r="J409" s="424"/>
      <c r="K409" s="424"/>
      <c r="L409" s="424"/>
    </row>
    <row r="410" spans="2:12">
      <c r="B410" s="420"/>
      <c r="C410" s="420"/>
      <c r="D410" s="420"/>
      <c r="E410" s="420"/>
      <c r="F410" s="420"/>
      <c r="G410" s="420"/>
      <c r="H410" s="420"/>
      <c r="I410" s="424"/>
      <c r="J410" s="424"/>
      <c r="K410" s="424"/>
      <c r="L410" s="424"/>
    </row>
    <row r="411" spans="2:12">
      <c r="B411" s="420"/>
      <c r="C411" s="420"/>
      <c r="D411" s="420"/>
      <c r="E411" s="420"/>
      <c r="F411" s="420"/>
      <c r="G411" s="420"/>
      <c r="H411" s="420"/>
      <c r="I411" s="424"/>
      <c r="J411" s="424"/>
      <c r="K411" s="424"/>
      <c r="L411" s="424"/>
    </row>
    <row r="412" spans="2:12">
      <c r="B412" s="420"/>
      <c r="C412" s="420"/>
      <c r="D412" s="420"/>
      <c r="E412" s="420"/>
      <c r="F412" s="420"/>
      <c r="G412" s="420"/>
      <c r="H412" s="420"/>
      <c r="I412" s="424"/>
      <c r="J412" s="424"/>
      <c r="K412" s="424"/>
      <c r="L412" s="424"/>
    </row>
    <row r="413" spans="2:12">
      <c r="B413" s="420"/>
      <c r="C413" s="420"/>
      <c r="D413" s="420"/>
      <c r="E413" s="420"/>
      <c r="F413" s="420"/>
      <c r="G413" s="420"/>
      <c r="H413" s="420"/>
      <c r="I413" s="424"/>
      <c r="J413" s="424"/>
      <c r="K413" s="424"/>
      <c r="L413" s="424"/>
    </row>
    <row r="414" spans="2:12">
      <c r="B414" s="420"/>
      <c r="C414" s="420"/>
      <c r="D414" s="420"/>
      <c r="E414" s="420"/>
      <c r="F414" s="420"/>
      <c r="G414" s="420"/>
      <c r="H414" s="420"/>
      <c r="I414" s="424"/>
      <c r="J414" s="424"/>
      <c r="K414" s="424"/>
      <c r="L414" s="424"/>
    </row>
    <row r="415" spans="2:12">
      <c r="B415" s="420"/>
      <c r="C415" s="420"/>
      <c r="D415" s="420"/>
      <c r="E415" s="420"/>
      <c r="F415" s="420"/>
      <c r="G415" s="420"/>
      <c r="H415" s="420"/>
      <c r="I415" s="424"/>
      <c r="J415" s="424"/>
      <c r="K415" s="424"/>
      <c r="L415" s="424"/>
    </row>
    <row r="416" spans="2:12">
      <c r="B416" s="420"/>
      <c r="C416" s="420"/>
      <c r="D416" s="420"/>
      <c r="E416" s="420"/>
      <c r="F416" s="420"/>
      <c r="G416" s="420"/>
      <c r="H416" s="420"/>
      <c r="I416" s="424"/>
      <c r="J416" s="424"/>
      <c r="K416" s="424"/>
      <c r="L416" s="424"/>
    </row>
    <row r="417" spans="2:12">
      <c r="B417" s="420"/>
      <c r="C417" s="420"/>
      <c r="D417" s="420"/>
      <c r="E417" s="420"/>
      <c r="F417" s="420"/>
      <c r="G417" s="420"/>
      <c r="H417" s="420"/>
      <c r="I417" s="424"/>
      <c r="J417" s="424"/>
      <c r="K417" s="424"/>
      <c r="L417" s="424"/>
    </row>
    <row r="418" spans="2:12">
      <c r="B418" s="420"/>
      <c r="C418" s="420"/>
      <c r="D418" s="420"/>
      <c r="E418" s="420"/>
      <c r="F418" s="420"/>
      <c r="G418" s="420"/>
      <c r="H418" s="420"/>
      <c r="I418" s="424"/>
      <c r="J418" s="424"/>
      <c r="K418" s="424"/>
      <c r="L418" s="424"/>
    </row>
    <row r="419" spans="2:12">
      <c r="B419" s="420"/>
      <c r="C419" s="420"/>
      <c r="D419" s="420"/>
      <c r="E419" s="420"/>
      <c r="F419" s="420"/>
      <c r="G419" s="420"/>
      <c r="H419" s="420"/>
      <c r="I419" s="424"/>
      <c r="J419" s="424"/>
      <c r="K419" s="424"/>
      <c r="L419" s="424"/>
    </row>
    <row r="420" spans="2:12">
      <c r="B420" s="420"/>
      <c r="C420" s="420"/>
      <c r="D420" s="420"/>
      <c r="E420" s="420"/>
      <c r="F420" s="420"/>
      <c r="G420" s="420"/>
      <c r="H420" s="420"/>
      <c r="I420" s="424"/>
      <c r="J420" s="424"/>
      <c r="K420" s="424"/>
      <c r="L420" s="424"/>
    </row>
    <row r="421" spans="2:12">
      <c r="B421" s="420"/>
      <c r="C421" s="420"/>
      <c r="D421" s="420"/>
      <c r="E421" s="420"/>
      <c r="F421" s="420"/>
      <c r="G421" s="420"/>
      <c r="H421" s="420"/>
      <c r="I421" s="424"/>
      <c r="J421" s="424"/>
      <c r="K421" s="424"/>
      <c r="L421" s="424"/>
    </row>
    <row r="422" spans="2:12">
      <c r="B422" s="420"/>
      <c r="C422" s="420"/>
      <c r="D422" s="420"/>
      <c r="E422" s="420"/>
      <c r="F422" s="420"/>
      <c r="G422" s="420"/>
      <c r="H422" s="420"/>
      <c r="I422" s="424"/>
      <c r="J422" s="424"/>
      <c r="K422" s="424"/>
      <c r="L422" s="424"/>
    </row>
    <row r="423" spans="2:12">
      <c r="B423" s="420"/>
      <c r="C423" s="420"/>
      <c r="D423" s="420"/>
      <c r="E423" s="420"/>
      <c r="F423" s="420"/>
      <c r="G423" s="420"/>
      <c r="H423" s="420"/>
      <c r="I423" s="424"/>
      <c r="J423" s="424"/>
      <c r="K423" s="424"/>
      <c r="L423" s="424"/>
    </row>
    <row r="424" spans="2:12">
      <c r="B424" s="420"/>
      <c r="C424" s="420"/>
      <c r="D424" s="420"/>
      <c r="E424" s="420"/>
      <c r="F424" s="420"/>
      <c r="G424" s="420"/>
      <c r="H424" s="420"/>
      <c r="I424" s="424"/>
      <c r="J424" s="424"/>
      <c r="K424" s="424"/>
      <c r="L424" s="424"/>
    </row>
    <row r="425" spans="2:12">
      <c r="B425" s="420"/>
      <c r="C425" s="420"/>
      <c r="D425" s="420"/>
      <c r="E425" s="420"/>
      <c r="F425" s="420"/>
      <c r="G425" s="420"/>
      <c r="H425" s="420"/>
      <c r="I425" s="424"/>
      <c r="J425" s="424"/>
      <c r="K425" s="424"/>
      <c r="L425" s="424"/>
    </row>
    <row r="426" spans="2:12">
      <c r="B426" s="420"/>
      <c r="C426" s="420"/>
      <c r="D426" s="420"/>
      <c r="E426" s="420"/>
      <c r="F426" s="420"/>
      <c r="G426" s="420"/>
      <c r="H426" s="420"/>
      <c r="I426" s="424"/>
      <c r="J426" s="424"/>
      <c r="K426" s="424"/>
      <c r="L426" s="424"/>
    </row>
    <row r="427" spans="2:12">
      <c r="B427" s="420"/>
      <c r="C427" s="420"/>
      <c r="D427" s="420"/>
      <c r="E427" s="420"/>
      <c r="F427" s="420"/>
      <c r="G427" s="420"/>
      <c r="H427" s="420"/>
      <c r="I427" s="424"/>
      <c r="J427" s="424"/>
      <c r="K427" s="424"/>
      <c r="L427" s="424"/>
    </row>
    <row r="428" spans="2:12">
      <c r="B428" s="420"/>
      <c r="C428" s="420"/>
      <c r="D428" s="420"/>
      <c r="E428" s="420"/>
      <c r="F428" s="420"/>
      <c r="G428" s="420"/>
      <c r="H428" s="420"/>
      <c r="I428" s="424"/>
      <c r="J428" s="424"/>
      <c r="K428" s="424"/>
      <c r="L428" s="424"/>
    </row>
    <row r="429" spans="2:12">
      <c r="B429" s="420"/>
      <c r="C429" s="420"/>
      <c r="D429" s="420"/>
      <c r="E429" s="420"/>
      <c r="F429" s="420"/>
      <c r="G429" s="420"/>
      <c r="H429" s="420"/>
      <c r="I429" s="424"/>
      <c r="J429" s="424"/>
      <c r="K429" s="424"/>
      <c r="L429" s="424"/>
    </row>
    <row r="430" spans="2:12">
      <c r="B430" s="420"/>
      <c r="C430" s="420"/>
      <c r="D430" s="420"/>
      <c r="E430" s="420"/>
      <c r="F430" s="420"/>
      <c r="G430" s="420"/>
      <c r="H430" s="420"/>
      <c r="I430" s="424"/>
      <c r="J430" s="424"/>
      <c r="K430" s="424"/>
      <c r="L430" s="424"/>
    </row>
    <row r="431" spans="2:12">
      <c r="B431" s="420"/>
      <c r="C431" s="420"/>
      <c r="D431" s="420"/>
      <c r="E431" s="420"/>
      <c r="F431" s="420"/>
      <c r="G431" s="420"/>
      <c r="H431" s="420"/>
      <c r="I431" s="424"/>
      <c r="J431" s="424"/>
      <c r="K431" s="424"/>
      <c r="L431" s="424"/>
    </row>
    <row r="432" spans="2:12">
      <c r="B432" s="420"/>
      <c r="C432" s="420"/>
      <c r="D432" s="420"/>
      <c r="E432" s="420"/>
      <c r="F432" s="420"/>
      <c r="G432" s="420"/>
      <c r="H432" s="420"/>
      <c r="I432" s="424"/>
      <c r="J432" s="424"/>
      <c r="K432" s="424"/>
      <c r="L432" s="424"/>
    </row>
    <row r="433" spans="2:12">
      <c r="B433" s="420"/>
      <c r="C433" s="420"/>
      <c r="D433" s="420"/>
      <c r="E433" s="420"/>
      <c r="F433" s="420"/>
      <c r="G433" s="420"/>
      <c r="H433" s="420"/>
      <c r="I433" s="424"/>
      <c r="J433" s="424"/>
      <c r="K433" s="424"/>
      <c r="L433" s="424"/>
    </row>
    <row r="434" spans="2:12">
      <c r="B434" s="420"/>
      <c r="C434" s="420"/>
      <c r="D434" s="420"/>
      <c r="E434" s="420"/>
      <c r="F434" s="420"/>
      <c r="G434" s="420"/>
      <c r="H434" s="420"/>
      <c r="I434" s="424"/>
      <c r="J434" s="424"/>
      <c r="K434" s="424"/>
      <c r="L434" s="424"/>
    </row>
    <row r="435" spans="2:12">
      <c r="B435" s="420"/>
      <c r="C435" s="420"/>
      <c r="D435" s="420"/>
      <c r="E435" s="420"/>
      <c r="F435" s="420"/>
      <c r="G435" s="420"/>
      <c r="H435" s="420"/>
      <c r="I435" s="424"/>
      <c r="J435" s="424"/>
      <c r="K435" s="424"/>
      <c r="L435" s="424"/>
    </row>
    <row r="436" spans="2:12">
      <c r="B436" s="420"/>
      <c r="C436" s="420"/>
      <c r="D436" s="420"/>
      <c r="E436" s="420"/>
      <c r="F436" s="420"/>
      <c r="G436" s="420"/>
      <c r="H436" s="420"/>
      <c r="I436" s="424"/>
      <c r="J436" s="424"/>
      <c r="K436" s="424"/>
      <c r="L436" s="424"/>
    </row>
    <row r="437" spans="2:12">
      <c r="B437" s="420"/>
      <c r="C437" s="420"/>
      <c r="D437" s="420"/>
      <c r="E437" s="420"/>
      <c r="F437" s="420"/>
      <c r="G437" s="420"/>
      <c r="H437" s="420"/>
      <c r="I437" s="424"/>
      <c r="J437" s="424"/>
      <c r="K437" s="424"/>
      <c r="L437" s="424"/>
    </row>
    <row r="438" spans="2:12">
      <c r="B438" s="420"/>
      <c r="C438" s="420"/>
      <c r="D438" s="420"/>
      <c r="E438" s="420"/>
      <c r="F438" s="420"/>
      <c r="G438" s="420"/>
      <c r="H438" s="420"/>
      <c r="I438" s="424"/>
      <c r="J438" s="424"/>
      <c r="K438" s="424"/>
      <c r="L438" s="424"/>
    </row>
    <row r="439" spans="2:12">
      <c r="B439" s="420"/>
      <c r="C439" s="420"/>
      <c r="D439" s="420"/>
      <c r="E439" s="420"/>
      <c r="F439" s="420"/>
      <c r="G439" s="420"/>
      <c r="H439" s="420"/>
      <c r="I439" s="424"/>
      <c r="J439" s="424"/>
      <c r="K439" s="424"/>
      <c r="L439" s="424"/>
    </row>
    <row r="440" spans="2:12">
      <c r="B440" s="420"/>
      <c r="C440" s="420"/>
      <c r="D440" s="420"/>
      <c r="E440" s="420"/>
      <c r="F440" s="420"/>
      <c r="G440" s="420"/>
      <c r="H440" s="420"/>
      <c r="I440" s="424"/>
      <c r="J440" s="424"/>
      <c r="K440" s="424"/>
      <c r="L440" s="424"/>
    </row>
    <row r="441" spans="2:12">
      <c r="B441" s="420"/>
      <c r="C441" s="420"/>
      <c r="D441" s="420"/>
      <c r="E441" s="420"/>
      <c r="F441" s="420"/>
      <c r="G441" s="420"/>
      <c r="H441" s="420"/>
      <c r="I441" s="424"/>
      <c r="J441" s="424"/>
      <c r="K441" s="424"/>
      <c r="L441" s="424"/>
    </row>
    <row r="442" spans="2:12">
      <c r="B442" s="420"/>
      <c r="C442" s="420"/>
      <c r="D442" s="420"/>
      <c r="E442" s="420"/>
      <c r="F442" s="420"/>
      <c r="G442" s="420"/>
      <c r="H442" s="420"/>
      <c r="I442" s="424"/>
      <c r="J442" s="424"/>
      <c r="K442" s="424"/>
      <c r="L442" s="424"/>
    </row>
    <row r="443" spans="2:12">
      <c r="B443" s="420"/>
      <c r="C443" s="420"/>
      <c r="D443" s="420"/>
      <c r="E443" s="420"/>
      <c r="F443" s="420"/>
      <c r="G443" s="420"/>
      <c r="H443" s="420"/>
      <c r="I443" s="424"/>
      <c r="J443" s="424"/>
      <c r="K443" s="424"/>
      <c r="L443" s="424"/>
    </row>
    <row r="444" spans="2:12">
      <c r="B444" s="420"/>
      <c r="C444" s="420"/>
      <c r="D444" s="420"/>
      <c r="E444" s="420"/>
      <c r="F444" s="420"/>
      <c r="G444" s="420"/>
      <c r="H444" s="420"/>
      <c r="I444" s="424"/>
      <c r="J444" s="424"/>
      <c r="K444" s="424"/>
      <c r="L444" s="424"/>
    </row>
    <row r="445" spans="2:12">
      <c r="B445" s="420"/>
      <c r="C445" s="420"/>
      <c r="D445" s="420"/>
      <c r="E445" s="420"/>
      <c r="F445" s="420"/>
      <c r="G445" s="420"/>
      <c r="H445" s="420"/>
      <c r="I445" s="424"/>
      <c r="J445" s="424"/>
      <c r="K445" s="424"/>
      <c r="L445" s="424"/>
    </row>
    <row r="446" spans="2:12">
      <c r="B446" s="420"/>
      <c r="C446" s="420"/>
      <c r="D446" s="420"/>
      <c r="E446" s="420"/>
      <c r="F446" s="420"/>
      <c r="G446" s="420"/>
      <c r="H446" s="420"/>
      <c r="I446" s="424"/>
      <c r="J446" s="424"/>
      <c r="K446" s="424"/>
      <c r="L446" s="424"/>
    </row>
    <row r="447" spans="2:12">
      <c r="B447" s="420"/>
      <c r="C447" s="420"/>
      <c r="D447" s="420"/>
      <c r="E447" s="420"/>
      <c r="F447" s="420"/>
      <c r="G447" s="420"/>
      <c r="H447" s="420"/>
      <c r="I447" s="424"/>
      <c r="J447" s="424"/>
      <c r="K447" s="424"/>
      <c r="L447" s="424"/>
    </row>
    <row r="448" spans="2:12">
      <c r="B448" s="420"/>
      <c r="C448" s="420"/>
      <c r="D448" s="420"/>
      <c r="E448" s="420"/>
      <c r="F448" s="420"/>
      <c r="G448" s="420"/>
      <c r="H448" s="420"/>
      <c r="I448" s="424"/>
      <c r="J448" s="424"/>
      <c r="K448" s="424"/>
      <c r="L448" s="424"/>
    </row>
    <row r="449" spans="2:12">
      <c r="B449" s="420"/>
      <c r="C449" s="420"/>
      <c r="D449" s="420"/>
      <c r="E449" s="420"/>
      <c r="F449" s="420"/>
      <c r="G449" s="420"/>
      <c r="H449" s="420"/>
      <c r="I449" s="424"/>
      <c r="J449" s="424"/>
      <c r="K449" s="424"/>
      <c r="L449" s="424"/>
    </row>
    <row r="450" spans="2:12">
      <c r="B450" s="420"/>
      <c r="C450" s="420"/>
      <c r="D450" s="420"/>
      <c r="E450" s="420"/>
      <c r="F450" s="420"/>
      <c r="G450" s="420"/>
      <c r="H450" s="420"/>
      <c r="I450" s="424"/>
      <c r="J450" s="424"/>
      <c r="K450" s="424"/>
      <c r="L450" s="424"/>
    </row>
    <row r="451" spans="2:12">
      <c r="B451" s="420"/>
      <c r="C451" s="420"/>
      <c r="D451" s="420"/>
      <c r="E451" s="420"/>
      <c r="F451" s="420"/>
      <c r="G451" s="420"/>
      <c r="H451" s="420"/>
      <c r="I451" s="424"/>
      <c r="J451" s="424"/>
      <c r="K451" s="424"/>
      <c r="L451" s="424"/>
    </row>
    <row r="452" spans="2:12">
      <c r="B452" s="420"/>
      <c r="C452" s="420"/>
      <c r="D452" s="420"/>
      <c r="E452" s="420"/>
      <c r="F452" s="420"/>
      <c r="G452" s="420"/>
      <c r="H452" s="420"/>
      <c r="I452" s="424"/>
      <c r="J452" s="424"/>
      <c r="K452" s="424"/>
      <c r="L452" s="424"/>
    </row>
    <row r="453" spans="2:12">
      <c r="B453" s="420"/>
      <c r="C453" s="420"/>
      <c r="D453" s="420"/>
      <c r="E453" s="420"/>
      <c r="F453" s="420"/>
      <c r="G453" s="420"/>
      <c r="H453" s="420"/>
      <c r="I453" s="424"/>
      <c r="J453" s="424"/>
      <c r="K453" s="424"/>
      <c r="L453" s="424"/>
    </row>
    <row r="454" spans="2:12">
      <c r="B454" s="420"/>
      <c r="C454" s="420"/>
      <c r="D454" s="420"/>
      <c r="E454" s="420"/>
      <c r="F454" s="420"/>
      <c r="G454" s="420"/>
      <c r="H454" s="420"/>
      <c r="I454" s="424"/>
      <c r="J454" s="424"/>
      <c r="K454" s="424"/>
      <c r="L454" s="424"/>
    </row>
    <row r="455" spans="2:12">
      <c r="B455" s="420"/>
      <c r="C455" s="420"/>
      <c r="D455" s="420"/>
      <c r="E455" s="420"/>
      <c r="F455" s="420"/>
      <c r="G455" s="420"/>
      <c r="H455" s="420"/>
      <c r="I455" s="424"/>
      <c r="J455" s="424"/>
      <c r="K455" s="424"/>
      <c r="L455" s="424"/>
    </row>
    <row r="456" spans="2:12">
      <c r="B456" s="420"/>
      <c r="C456" s="420"/>
      <c r="D456" s="420"/>
      <c r="E456" s="420"/>
      <c r="F456" s="420"/>
      <c r="G456" s="420"/>
      <c r="H456" s="420"/>
      <c r="I456" s="424"/>
      <c r="J456" s="424"/>
      <c r="K456" s="424"/>
      <c r="L456" s="424"/>
    </row>
    <row r="457" spans="2:12">
      <c r="B457" s="420"/>
      <c r="C457" s="420"/>
      <c r="D457" s="420"/>
      <c r="E457" s="420"/>
      <c r="F457" s="420"/>
      <c r="G457" s="420"/>
      <c r="H457" s="420"/>
      <c r="I457" s="424"/>
      <c r="J457" s="424"/>
      <c r="K457" s="424"/>
      <c r="L457" s="424"/>
    </row>
    <row r="458" spans="2:12">
      <c r="B458" s="420"/>
      <c r="C458" s="420"/>
      <c r="D458" s="420"/>
      <c r="E458" s="420"/>
      <c r="F458" s="420"/>
      <c r="G458" s="420"/>
      <c r="H458" s="420"/>
      <c r="I458" s="424"/>
      <c r="J458" s="424"/>
      <c r="K458" s="424"/>
      <c r="L458" s="424"/>
    </row>
    <row r="459" spans="2:12">
      <c r="B459" s="420"/>
      <c r="C459" s="420"/>
      <c r="D459" s="420"/>
      <c r="E459" s="420"/>
      <c r="F459" s="420"/>
      <c r="G459" s="420"/>
      <c r="H459" s="420"/>
      <c r="I459" s="424"/>
      <c r="J459" s="424"/>
      <c r="K459" s="424"/>
      <c r="L459" s="424"/>
    </row>
    <row r="460" spans="2:12">
      <c r="B460" s="420"/>
      <c r="C460" s="420"/>
      <c r="D460" s="420"/>
      <c r="E460" s="420"/>
      <c r="F460" s="420"/>
      <c r="G460" s="420"/>
      <c r="H460" s="420"/>
      <c r="I460" s="424"/>
      <c r="J460" s="424"/>
      <c r="K460" s="424"/>
      <c r="L460" s="424"/>
    </row>
    <row r="461" spans="2:12">
      <c r="B461" s="420"/>
      <c r="C461" s="420"/>
      <c r="D461" s="420"/>
      <c r="E461" s="420"/>
      <c r="F461" s="420"/>
      <c r="G461" s="420"/>
      <c r="H461" s="420"/>
      <c r="I461" s="424"/>
      <c r="J461" s="424"/>
      <c r="K461" s="424"/>
      <c r="L461" s="424"/>
    </row>
    <row r="462" spans="2:12">
      <c r="B462" s="420"/>
      <c r="C462" s="420"/>
      <c r="D462" s="420"/>
      <c r="E462" s="420"/>
      <c r="F462" s="420"/>
      <c r="G462" s="420"/>
      <c r="H462" s="420"/>
      <c r="I462" s="424"/>
      <c r="J462" s="424"/>
      <c r="K462" s="424"/>
      <c r="L462" s="424"/>
    </row>
    <row r="463" spans="2:12">
      <c r="B463" s="420"/>
      <c r="C463" s="420"/>
      <c r="D463" s="420"/>
      <c r="E463" s="420"/>
      <c r="F463" s="420"/>
      <c r="G463" s="420"/>
      <c r="H463" s="420"/>
      <c r="I463" s="424"/>
      <c r="J463" s="424"/>
      <c r="K463" s="424"/>
      <c r="L463" s="424"/>
    </row>
    <row r="464" spans="2:12">
      <c r="B464" s="420"/>
      <c r="C464" s="420"/>
      <c r="D464" s="420"/>
      <c r="E464" s="420"/>
      <c r="F464" s="420"/>
      <c r="G464" s="420"/>
      <c r="H464" s="420"/>
      <c r="I464" s="424"/>
      <c r="J464" s="424"/>
      <c r="K464" s="424"/>
      <c r="L464" s="424"/>
    </row>
    <row r="465" spans="2:12">
      <c r="B465" s="420"/>
      <c r="C465" s="420"/>
      <c r="D465" s="420"/>
      <c r="E465" s="420"/>
      <c r="F465" s="420"/>
      <c r="G465" s="420"/>
      <c r="H465" s="420"/>
      <c r="I465" s="424"/>
      <c r="J465" s="424"/>
      <c r="K465" s="424"/>
      <c r="L465" s="424"/>
    </row>
    <row r="466" spans="2:12">
      <c r="B466" s="420"/>
      <c r="C466" s="420"/>
      <c r="D466" s="420"/>
      <c r="E466" s="420"/>
      <c r="F466" s="420"/>
      <c r="G466" s="420"/>
      <c r="H466" s="420"/>
      <c r="I466" s="424"/>
      <c r="J466" s="424"/>
      <c r="K466" s="424"/>
      <c r="L466" s="424"/>
    </row>
    <row r="467" spans="2:12">
      <c r="B467" s="420"/>
      <c r="C467" s="420"/>
      <c r="D467" s="420"/>
      <c r="E467" s="420"/>
      <c r="F467" s="420"/>
      <c r="G467" s="420"/>
      <c r="H467" s="420"/>
      <c r="I467" s="424"/>
      <c r="J467" s="424"/>
      <c r="K467" s="424"/>
      <c r="L467" s="424"/>
    </row>
    <row r="468" spans="2:12">
      <c r="B468" s="420"/>
      <c r="C468" s="420"/>
      <c r="D468" s="420"/>
      <c r="E468" s="420"/>
      <c r="F468" s="420"/>
      <c r="G468" s="420"/>
      <c r="H468" s="420"/>
      <c r="I468" s="424"/>
      <c r="J468" s="424"/>
      <c r="K468" s="424"/>
      <c r="L468" s="424"/>
    </row>
    <row r="469" spans="2:12">
      <c r="B469" s="420"/>
      <c r="C469" s="420"/>
      <c r="D469" s="420"/>
      <c r="E469" s="420"/>
      <c r="F469" s="420"/>
      <c r="G469" s="420"/>
      <c r="H469" s="420"/>
      <c r="I469" s="424"/>
      <c r="J469" s="424"/>
      <c r="K469" s="424"/>
      <c r="L469" s="424"/>
    </row>
    <row r="470" spans="2:12">
      <c r="B470" s="420"/>
      <c r="C470" s="420"/>
      <c r="D470" s="420"/>
      <c r="E470" s="420"/>
      <c r="F470" s="420"/>
      <c r="G470" s="420"/>
      <c r="H470" s="420"/>
      <c r="I470" s="424"/>
      <c r="J470" s="424"/>
      <c r="K470" s="424"/>
      <c r="L470" s="424"/>
    </row>
    <row r="471" spans="2:12">
      <c r="B471" s="420"/>
      <c r="C471" s="420"/>
      <c r="D471" s="420"/>
      <c r="E471" s="420"/>
      <c r="F471" s="420"/>
      <c r="G471" s="420"/>
      <c r="H471" s="420"/>
      <c r="I471" s="424"/>
      <c r="J471" s="424"/>
      <c r="K471" s="424"/>
      <c r="L471" s="424"/>
    </row>
    <row r="472" spans="2:12">
      <c r="B472" s="420"/>
      <c r="C472" s="420"/>
      <c r="D472" s="420"/>
      <c r="E472" s="420"/>
      <c r="F472" s="420"/>
      <c r="G472" s="420"/>
      <c r="H472" s="420"/>
      <c r="I472" s="424"/>
      <c r="J472" s="424"/>
      <c r="K472" s="424"/>
      <c r="L472" s="424"/>
    </row>
    <row r="473" spans="2:12">
      <c r="B473" s="420"/>
      <c r="C473" s="420"/>
      <c r="D473" s="420"/>
      <c r="E473" s="420"/>
      <c r="F473" s="420"/>
      <c r="G473" s="420"/>
      <c r="H473" s="420"/>
      <c r="I473" s="424"/>
      <c r="J473" s="424"/>
      <c r="K473" s="424"/>
      <c r="L473" s="424"/>
    </row>
    <row r="474" spans="2:12">
      <c r="B474" s="420"/>
      <c r="C474" s="420"/>
      <c r="D474" s="420"/>
      <c r="E474" s="420"/>
      <c r="F474" s="420"/>
      <c r="G474" s="420"/>
      <c r="H474" s="420"/>
      <c r="I474" s="424"/>
      <c r="J474" s="424"/>
      <c r="K474" s="424"/>
      <c r="L474" s="424"/>
    </row>
    <row r="475" spans="2:12">
      <c r="B475" s="420"/>
      <c r="C475" s="420"/>
      <c r="D475" s="420"/>
      <c r="E475" s="420"/>
      <c r="F475" s="420"/>
      <c r="G475" s="420"/>
      <c r="H475" s="420"/>
      <c r="I475" s="424"/>
      <c r="J475" s="424"/>
      <c r="K475" s="424"/>
      <c r="L475" s="424"/>
    </row>
    <row r="476" spans="2:12">
      <c r="B476" s="420"/>
      <c r="C476" s="420"/>
      <c r="D476" s="420"/>
      <c r="E476" s="420"/>
      <c r="F476" s="420"/>
      <c r="G476" s="420"/>
      <c r="H476" s="420"/>
      <c r="I476" s="424"/>
      <c r="J476" s="424"/>
      <c r="K476" s="424"/>
      <c r="L476" s="424"/>
    </row>
    <row r="477" spans="2:12">
      <c r="B477" s="420"/>
      <c r="C477" s="420"/>
      <c r="D477" s="420"/>
      <c r="E477" s="420"/>
      <c r="F477" s="420"/>
      <c r="G477" s="420"/>
      <c r="H477" s="420"/>
      <c r="I477" s="424"/>
      <c r="J477" s="424"/>
      <c r="K477" s="424"/>
      <c r="L477" s="424"/>
    </row>
    <row r="478" spans="2:12">
      <c r="B478" s="420"/>
      <c r="C478" s="420"/>
      <c r="D478" s="420"/>
      <c r="E478" s="420"/>
      <c r="F478" s="420"/>
      <c r="G478" s="420"/>
      <c r="H478" s="420"/>
      <c r="I478" s="424"/>
      <c r="J478" s="424"/>
      <c r="K478" s="424"/>
      <c r="L478" s="424"/>
    </row>
    <row r="479" spans="2:12">
      <c r="B479" s="420"/>
      <c r="C479" s="420"/>
      <c r="D479" s="420"/>
      <c r="E479" s="420"/>
      <c r="F479" s="420"/>
      <c r="G479" s="420"/>
      <c r="H479" s="420"/>
      <c r="I479" s="424"/>
      <c r="J479" s="424"/>
      <c r="K479" s="424"/>
      <c r="L479" s="424"/>
    </row>
    <row r="480" spans="2:12">
      <c r="B480" s="420"/>
      <c r="C480" s="420"/>
      <c r="D480" s="420"/>
      <c r="E480" s="420"/>
      <c r="F480" s="420"/>
      <c r="G480" s="420"/>
      <c r="H480" s="420"/>
      <c r="I480" s="424"/>
      <c r="J480" s="424"/>
      <c r="K480" s="424"/>
      <c r="L480" s="424"/>
    </row>
    <row r="481" spans="2:12">
      <c r="B481" s="420"/>
      <c r="C481" s="420"/>
      <c r="D481" s="420"/>
      <c r="E481" s="420"/>
      <c r="F481" s="420"/>
      <c r="G481" s="420"/>
      <c r="H481" s="420"/>
      <c r="I481" s="424"/>
      <c r="J481" s="424"/>
      <c r="K481" s="424"/>
      <c r="L481" s="424"/>
    </row>
    <row r="482" spans="2:12">
      <c r="B482" s="420"/>
      <c r="C482" s="420"/>
      <c r="D482" s="420"/>
      <c r="E482" s="420"/>
      <c r="F482" s="420"/>
      <c r="G482" s="420"/>
      <c r="H482" s="420"/>
      <c r="I482" s="424"/>
      <c r="J482" s="424"/>
      <c r="K482" s="424"/>
      <c r="L482" s="424"/>
    </row>
    <row r="483" spans="2:12">
      <c r="B483" s="420"/>
      <c r="C483" s="420"/>
      <c r="D483" s="420"/>
      <c r="E483" s="420"/>
      <c r="F483" s="420"/>
      <c r="G483" s="420"/>
      <c r="H483" s="420"/>
      <c r="I483" s="424"/>
      <c r="J483" s="424"/>
      <c r="K483" s="424"/>
      <c r="L483" s="424"/>
    </row>
    <row r="484" spans="2:12">
      <c r="B484" s="420"/>
      <c r="C484" s="420"/>
      <c r="D484" s="420"/>
      <c r="E484" s="420"/>
      <c r="F484" s="420"/>
      <c r="G484" s="420"/>
      <c r="H484" s="420"/>
      <c r="I484" s="424"/>
      <c r="J484" s="424"/>
      <c r="K484" s="424"/>
      <c r="L484" s="424"/>
    </row>
    <row r="485" spans="2:12">
      <c r="B485" s="420"/>
      <c r="C485" s="420"/>
      <c r="D485" s="420"/>
      <c r="E485" s="420"/>
      <c r="F485" s="420"/>
      <c r="G485" s="420"/>
      <c r="H485" s="420"/>
      <c r="I485" s="424"/>
      <c r="J485" s="424"/>
      <c r="K485" s="424"/>
      <c r="L485" s="424"/>
    </row>
    <row r="486" spans="2:12">
      <c r="B486" s="420"/>
      <c r="C486" s="420"/>
      <c r="D486" s="420"/>
      <c r="E486" s="420"/>
      <c r="F486" s="420"/>
      <c r="G486" s="420"/>
      <c r="H486" s="420"/>
      <c r="I486" s="424"/>
      <c r="J486" s="424"/>
      <c r="K486" s="424"/>
      <c r="L486" s="424"/>
    </row>
    <row r="487" spans="2:12">
      <c r="B487" s="420"/>
      <c r="C487" s="420"/>
      <c r="D487" s="420"/>
      <c r="E487" s="420"/>
      <c r="F487" s="420"/>
      <c r="G487" s="420"/>
      <c r="H487" s="420"/>
      <c r="I487" s="424"/>
      <c r="J487" s="424"/>
      <c r="K487" s="424"/>
      <c r="L487" s="424"/>
    </row>
    <row r="488" spans="2:12">
      <c r="B488" s="420"/>
      <c r="C488" s="420"/>
      <c r="D488" s="420"/>
      <c r="E488" s="420"/>
      <c r="F488" s="420"/>
      <c r="G488" s="420"/>
      <c r="H488" s="420"/>
      <c r="I488" s="424"/>
      <c r="J488" s="424"/>
      <c r="K488" s="424"/>
      <c r="L488" s="424"/>
    </row>
    <row r="489" spans="2:12">
      <c r="B489" s="420"/>
      <c r="C489" s="420"/>
      <c r="D489" s="420"/>
      <c r="E489" s="420"/>
      <c r="F489" s="420"/>
      <c r="G489" s="420"/>
      <c r="H489" s="420"/>
      <c r="I489" s="424"/>
      <c r="J489" s="424"/>
      <c r="K489" s="424"/>
      <c r="L489" s="424"/>
    </row>
    <row r="490" spans="2:12">
      <c r="B490" s="420"/>
      <c r="C490" s="420"/>
      <c r="D490" s="420"/>
      <c r="E490" s="420"/>
      <c r="F490" s="420"/>
      <c r="G490" s="420"/>
      <c r="H490" s="420"/>
      <c r="I490" s="424"/>
      <c r="J490" s="424"/>
      <c r="K490" s="424"/>
      <c r="L490" s="424"/>
    </row>
    <row r="491" spans="2:12">
      <c r="B491" s="420"/>
      <c r="C491" s="420"/>
      <c r="D491" s="420"/>
      <c r="E491" s="420"/>
      <c r="F491" s="420"/>
      <c r="G491" s="420"/>
      <c r="H491" s="420"/>
      <c r="I491" s="424"/>
      <c r="J491" s="424"/>
      <c r="K491" s="424"/>
      <c r="L491" s="424"/>
    </row>
    <row r="492" spans="2:12">
      <c r="B492" s="420"/>
      <c r="C492" s="420"/>
      <c r="D492" s="420"/>
      <c r="E492" s="420"/>
      <c r="F492" s="420"/>
      <c r="G492" s="420"/>
      <c r="H492" s="420"/>
      <c r="I492" s="424"/>
      <c r="J492" s="424"/>
      <c r="K492" s="424"/>
      <c r="L492" s="424"/>
    </row>
    <row r="493" spans="2:12">
      <c r="B493" s="420"/>
      <c r="C493" s="420"/>
      <c r="D493" s="420"/>
      <c r="E493" s="420"/>
      <c r="F493" s="420"/>
      <c r="G493" s="420"/>
      <c r="H493" s="420"/>
      <c r="I493" s="424"/>
      <c r="J493" s="424"/>
      <c r="K493" s="424"/>
      <c r="L493" s="424"/>
    </row>
    <row r="494" spans="2:12">
      <c r="B494" s="420"/>
      <c r="C494" s="420"/>
      <c r="D494" s="420"/>
      <c r="E494" s="420"/>
      <c r="F494" s="420"/>
      <c r="G494" s="420"/>
      <c r="H494" s="420"/>
      <c r="I494" s="424"/>
      <c r="J494" s="424"/>
      <c r="K494" s="424"/>
      <c r="L494" s="424"/>
    </row>
    <row r="495" spans="2:12">
      <c r="B495" s="420"/>
      <c r="C495" s="420"/>
      <c r="D495" s="420"/>
      <c r="E495" s="420"/>
      <c r="F495" s="420"/>
      <c r="G495" s="420"/>
      <c r="H495" s="420"/>
      <c r="I495" s="424"/>
      <c r="J495" s="424"/>
      <c r="K495" s="424"/>
      <c r="L495" s="424"/>
    </row>
    <row r="496" spans="2:12">
      <c r="B496" s="420"/>
      <c r="C496" s="420"/>
      <c r="D496" s="420"/>
      <c r="E496" s="420"/>
      <c r="F496" s="420"/>
      <c r="G496" s="420"/>
      <c r="H496" s="420"/>
      <c r="I496" s="424"/>
      <c r="J496" s="424"/>
      <c r="K496" s="424"/>
      <c r="L496" s="424"/>
    </row>
    <row r="497" spans="2:12">
      <c r="B497" s="420"/>
      <c r="C497" s="420"/>
      <c r="D497" s="420"/>
      <c r="E497" s="420"/>
      <c r="F497" s="420"/>
      <c r="G497" s="420"/>
      <c r="H497" s="420"/>
      <c r="I497" s="424"/>
      <c r="J497" s="424"/>
      <c r="K497" s="424"/>
      <c r="L497" s="424"/>
    </row>
    <row r="498" spans="2:12">
      <c r="B498" s="420"/>
      <c r="C498" s="420"/>
      <c r="D498" s="420"/>
      <c r="E498" s="420"/>
      <c r="F498" s="420"/>
      <c r="G498" s="420"/>
      <c r="H498" s="420"/>
      <c r="I498" s="424"/>
      <c r="J498" s="424"/>
      <c r="K498" s="424"/>
      <c r="L498" s="424"/>
    </row>
    <row r="499" spans="2:12">
      <c r="B499" s="420"/>
      <c r="C499" s="420"/>
      <c r="D499" s="420"/>
      <c r="E499" s="420"/>
      <c r="F499" s="420"/>
      <c r="G499" s="420"/>
      <c r="H499" s="420"/>
      <c r="I499" s="424"/>
      <c r="J499" s="424"/>
      <c r="K499" s="424"/>
      <c r="L499" s="424"/>
    </row>
    <row r="500" spans="2:12">
      <c r="B500" s="420"/>
      <c r="C500" s="420"/>
      <c r="D500" s="420"/>
      <c r="E500" s="420"/>
      <c r="F500" s="420"/>
      <c r="G500" s="420"/>
      <c r="H500" s="420"/>
      <c r="I500" s="424"/>
      <c r="J500" s="424"/>
      <c r="K500" s="424"/>
      <c r="L500" s="424"/>
    </row>
    <row r="501" spans="2:12">
      <c r="B501" s="420"/>
      <c r="C501" s="420"/>
      <c r="D501" s="420"/>
      <c r="E501" s="420"/>
      <c r="F501" s="420"/>
      <c r="G501" s="420"/>
      <c r="H501" s="420"/>
      <c r="I501" s="424"/>
      <c r="J501" s="424"/>
      <c r="K501" s="424"/>
      <c r="L501" s="424"/>
    </row>
    <row r="502" spans="2:12">
      <c r="B502" s="420"/>
      <c r="C502" s="420"/>
      <c r="D502" s="420"/>
      <c r="E502" s="420"/>
      <c r="F502" s="420"/>
      <c r="G502" s="420"/>
      <c r="H502" s="420"/>
      <c r="I502" s="424"/>
      <c r="J502" s="424"/>
      <c r="K502" s="424"/>
      <c r="L502" s="424"/>
    </row>
    <row r="503" spans="2:12">
      <c r="B503" s="420"/>
      <c r="C503" s="420"/>
      <c r="D503" s="420"/>
      <c r="E503" s="420"/>
      <c r="F503" s="420"/>
      <c r="G503" s="420"/>
      <c r="H503" s="420"/>
      <c r="I503" s="424"/>
      <c r="J503" s="424"/>
      <c r="K503" s="424"/>
      <c r="L503" s="424"/>
    </row>
    <row r="504" spans="2:12">
      <c r="B504" s="420"/>
      <c r="C504" s="420"/>
      <c r="D504" s="420"/>
      <c r="E504" s="420"/>
      <c r="F504" s="420"/>
      <c r="G504" s="420"/>
      <c r="H504" s="420"/>
      <c r="I504" s="424"/>
      <c r="J504" s="424"/>
      <c r="K504" s="424"/>
      <c r="L504" s="424"/>
    </row>
    <row r="505" spans="2:12">
      <c r="B505" s="420"/>
      <c r="C505" s="420"/>
      <c r="D505" s="420"/>
      <c r="E505" s="420"/>
      <c r="F505" s="420"/>
      <c r="G505" s="420"/>
      <c r="H505" s="420"/>
      <c r="I505" s="424"/>
      <c r="J505" s="424"/>
      <c r="K505" s="424"/>
      <c r="L505" s="424"/>
    </row>
    <row r="506" spans="2:12">
      <c r="B506" s="420"/>
      <c r="C506" s="420"/>
      <c r="D506" s="420"/>
      <c r="E506" s="420"/>
      <c r="F506" s="420"/>
      <c r="G506" s="420"/>
      <c r="H506" s="420"/>
      <c r="I506" s="424"/>
      <c r="J506" s="424"/>
      <c r="K506" s="424"/>
      <c r="L506" s="424"/>
    </row>
    <row r="507" spans="2:12">
      <c r="B507" s="420"/>
      <c r="C507" s="420"/>
      <c r="D507" s="420"/>
      <c r="E507" s="420"/>
      <c r="F507" s="420"/>
      <c r="G507" s="420"/>
      <c r="H507" s="420"/>
      <c r="I507" s="424"/>
      <c r="J507" s="424"/>
      <c r="K507" s="424"/>
      <c r="L507" s="424"/>
    </row>
    <row r="508" spans="2:12">
      <c r="B508" s="420"/>
      <c r="C508" s="420"/>
      <c r="D508" s="420"/>
      <c r="E508" s="420"/>
      <c r="F508" s="420"/>
      <c r="G508" s="420"/>
      <c r="H508" s="420"/>
      <c r="I508" s="424"/>
      <c r="J508" s="424"/>
      <c r="K508" s="424"/>
      <c r="L508" s="424"/>
    </row>
    <row r="509" spans="2:12">
      <c r="B509" s="420"/>
      <c r="C509" s="420"/>
      <c r="D509" s="420"/>
      <c r="E509" s="420"/>
      <c r="F509" s="420"/>
      <c r="G509" s="420"/>
      <c r="H509" s="420"/>
      <c r="I509" s="424"/>
      <c r="J509" s="424"/>
      <c r="K509" s="424"/>
      <c r="L509" s="424"/>
    </row>
    <row r="510" spans="2:12">
      <c r="B510" s="420"/>
      <c r="C510" s="420"/>
      <c r="D510" s="420"/>
      <c r="E510" s="420"/>
      <c r="F510" s="420"/>
      <c r="G510" s="420"/>
      <c r="H510" s="420"/>
      <c r="I510" s="424"/>
      <c r="J510" s="424"/>
      <c r="K510" s="424"/>
      <c r="L510" s="424"/>
    </row>
    <row r="511" spans="2:12">
      <c r="B511" s="420"/>
      <c r="C511" s="420"/>
      <c r="D511" s="420"/>
      <c r="E511" s="420"/>
      <c r="F511" s="420"/>
      <c r="G511" s="420"/>
      <c r="H511" s="420"/>
      <c r="I511" s="424"/>
      <c r="J511" s="424"/>
      <c r="K511" s="424"/>
      <c r="L511" s="424"/>
    </row>
    <row r="512" spans="2:12">
      <c r="B512" s="420"/>
      <c r="C512" s="420"/>
      <c r="D512" s="420"/>
      <c r="E512" s="420"/>
      <c r="F512" s="420"/>
      <c r="G512" s="420"/>
      <c r="H512" s="420"/>
      <c r="I512" s="424"/>
      <c r="J512" s="424"/>
      <c r="K512" s="424"/>
      <c r="L512" s="424"/>
    </row>
    <row r="513" spans="2:12">
      <c r="B513" s="420"/>
      <c r="C513" s="420"/>
      <c r="D513" s="420"/>
      <c r="E513" s="420"/>
      <c r="F513" s="420"/>
      <c r="G513" s="420"/>
      <c r="H513" s="420"/>
      <c r="I513" s="424"/>
      <c r="J513" s="424"/>
      <c r="K513" s="424"/>
      <c r="L513" s="424"/>
    </row>
    <row r="514" spans="2:12">
      <c r="B514" s="420"/>
      <c r="C514" s="420"/>
      <c r="D514" s="420"/>
      <c r="E514" s="420"/>
      <c r="F514" s="420"/>
      <c r="G514" s="420"/>
      <c r="H514" s="420"/>
      <c r="I514" s="424"/>
      <c r="J514" s="424"/>
      <c r="K514" s="424"/>
      <c r="L514" s="424"/>
    </row>
    <row r="515" spans="2:12">
      <c r="B515" s="420"/>
      <c r="C515" s="420"/>
      <c r="D515" s="420"/>
      <c r="E515" s="420"/>
      <c r="F515" s="420"/>
      <c r="G515" s="420"/>
      <c r="H515" s="420"/>
      <c r="I515" s="424"/>
      <c r="J515" s="424"/>
      <c r="K515" s="424"/>
      <c r="L515" s="424"/>
    </row>
    <row r="516" spans="2:12">
      <c r="B516" s="420"/>
      <c r="C516" s="420"/>
      <c r="D516" s="420"/>
      <c r="E516" s="420"/>
      <c r="F516" s="420"/>
      <c r="G516" s="420"/>
      <c r="H516" s="420"/>
      <c r="I516" s="424"/>
      <c r="J516" s="424"/>
      <c r="K516" s="424"/>
      <c r="L516" s="424"/>
    </row>
    <row r="517" spans="2:12">
      <c r="B517" s="420"/>
      <c r="C517" s="420"/>
      <c r="D517" s="420"/>
      <c r="E517" s="420"/>
      <c r="F517" s="420"/>
      <c r="G517" s="420"/>
      <c r="H517" s="420"/>
      <c r="I517" s="424"/>
      <c r="J517" s="424"/>
      <c r="K517" s="424"/>
      <c r="L517" s="424"/>
    </row>
    <row r="518" spans="2:12">
      <c r="B518" s="420"/>
      <c r="C518" s="420"/>
      <c r="D518" s="420"/>
      <c r="E518" s="420"/>
      <c r="F518" s="420"/>
      <c r="G518" s="420"/>
      <c r="H518" s="420"/>
      <c r="I518" s="424"/>
      <c r="J518" s="424"/>
      <c r="K518" s="424"/>
      <c r="L518" s="424"/>
    </row>
    <row r="519" spans="2:12">
      <c r="B519" s="420"/>
      <c r="C519" s="420"/>
      <c r="D519" s="420"/>
      <c r="E519" s="420"/>
      <c r="F519" s="420"/>
      <c r="G519" s="420"/>
      <c r="H519" s="420"/>
      <c r="I519" s="424"/>
      <c r="J519" s="424"/>
      <c r="K519" s="424"/>
      <c r="L519" s="424"/>
    </row>
    <row r="520" spans="2:12">
      <c r="B520" s="420"/>
      <c r="C520" s="420"/>
      <c r="D520" s="420"/>
      <c r="E520" s="420"/>
      <c r="F520" s="420"/>
      <c r="G520" s="420"/>
      <c r="H520" s="420"/>
      <c r="I520" s="424"/>
      <c r="J520" s="424"/>
      <c r="K520" s="424"/>
      <c r="L520" s="424"/>
    </row>
    <row r="521" spans="2:12">
      <c r="B521" s="420"/>
      <c r="C521" s="420"/>
      <c r="D521" s="420"/>
      <c r="E521" s="420"/>
      <c r="F521" s="420"/>
      <c r="G521" s="420"/>
      <c r="H521" s="420"/>
      <c r="I521" s="424"/>
      <c r="J521" s="424"/>
      <c r="K521" s="424"/>
      <c r="L521" s="424"/>
    </row>
    <row r="522" spans="2:12">
      <c r="B522" s="420"/>
      <c r="C522" s="420"/>
      <c r="D522" s="420"/>
      <c r="E522" s="420"/>
      <c r="F522" s="420"/>
      <c r="G522" s="420"/>
      <c r="H522" s="420"/>
      <c r="I522" s="424"/>
      <c r="J522" s="424"/>
      <c r="K522" s="424"/>
      <c r="L522" s="424"/>
    </row>
    <row r="523" spans="2:12">
      <c r="B523" s="420"/>
      <c r="C523" s="420"/>
      <c r="D523" s="420"/>
      <c r="E523" s="420"/>
      <c r="F523" s="420"/>
      <c r="G523" s="420"/>
      <c r="H523" s="420"/>
      <c r="I523" s="424"/>
      <c r="J523" s="424"/>
      <c r="K523" s="424"/>
      <c r="L523" s="424"/>
    </row>
    <row r="524" spans="2:12">
      <c r="B524" s="420"/>
      <c r="C524" s="420"/>
      <c r="D524" s="420"/>
      <c r="E524" s="420"/>
      <c r="F524" s="420"/>
      <c r="G524" s="420"/>
      <c r="H524" s="420"/>
      <c r="I524" s="424"/>
      <c r="J524" s="424"/>
      <c r="K524" s="424"/>
      <c r="L524" s="424"/>
    </row>
    <row r="525" spans="2:12">
      <c r="B525" s="420"/>
      <c r="C525" s="420"/>
      <c r="D525" s="420"/>
      <c r="E525" s="420"/>
      <c r="F525" s="420"/>
      <c r="G525" s="420"/>
      <c r="H525" s="420"/>
      <c r="I525" s="424"/>
      <c r="J525" s="424"/>
      <c r="K525" s="424"/>
      <c r="L525" s="424"/>
    </row>
    <row r="526" spans="2:12">
      <c r="B526" s="420"/>
      <c r="C526" s="420"/>
      <c r="D526" s="420"/>
      <c r="E526" s="420"/>
      <c r="F526" s="420"/>
      <c r="G526" s="420"/>
      <c r="H526" s="420"/>
      <c r="I526" s="424"/>
      <c r="J526" s="424"/>
      <c r="K526" s="424"/>
      <c r="L526" s="424"/>
    </row>
    <row r="527" spans="2:12">
      <c r="B527" s="420"/>
      <c r="C527" s="420"/>
      <c r="D527" s="420"/>
      <c r="E527" s="420"/>
      <c r="F527" s="420"/>
      <c r="G527" s="420"/>
      <c r="H527" s="420"/>
      <c r="I527" s="424"/>
      <c r="J527" s="424"/>
      <c r="K527" s="424"/>
      <c r="L527" s="424"/>
    </row>
    <row r="528" spans="2:12">
      <c r="B528" s="420"/>
      <c r="C528" s="420"/>
      <c r="D528" s="420"/>
      <c r="E528" s="420"/>
      <c r="F528" s="420"/>
      <c r="G528" s="420"/>
      <c r="H528" s="420"/>
      <c r="I528" s="424"/>
      <c r="J528" s="424"/>
      <c r="K528" s="424"/>
      <c r="L528" s="424"/>
    </row>
    <row r="529" spans="2:12">
      <c r="B529" s="420"/>
      <c r="C529" s="420"/>
      <c r="D529" s="420"/>
      <c r="E529" s="420"/>
      <c r="F529" s="420"/>
      <c r="G529" s="420"/>
      <c r="H529" s="420"/>
      <c r="I529" s="424"/>
      <c r="J529" s="424"/>
      <c r="K529" s="424"/>
      <c r="L529" s="424"/>
    </row>
    <row r="530" spans="2:12">
      <c r="B530" s="420"/>
      <c r="C530" s="420"/>
      <c r="D530" s="420"/>
      <c r="E530" s="420"/>
      <c r="F530" s="420"/>
      <c r="G530" s="420"/>
      <c r="H530" s="420"/>
      <c r="I530" s="424"/>
      <c r="J530" s="424"/>
      <c r="K530" s="424"/>
      <c r="L530" s="424"/>
    </row>
    <row r="531" spans="2:12">
      <c r="B531" s="420"/>
      <c r="C531" s="420"/>
      <c r="D531" s="420"/>
      <c r="E531" s="420"/>
      <c r="F531" s="420"/>
      <c r="G531" s="420"/>
      <c r="H531" s="420"/>
      <c r="I531" s="424"/>
      <c r="J531" s="424"/>
      <c r="K531" s="424"/>
      <c r="L531" s="424"/>
    </row>
    <row r="532" spans="2:12">
      <c r="B532" s="420"/>
      <c r="C532" s="420"/>
      <c r="D532" s="420"/>
      <c r="E532" s="420"/>
      <c r="F532" s="420"/>
      <c r="G532" s="420"/>
      <c r="H532" s="420"/>
      <c r="I532" s="424"/>
      <c r="J532" s="424"/>
      <c r="K532" s="424"/>
      <c r="L532" s="424"/>
    </row>
    <row r="533" spans="2:12">
      <c r="B533" s="420"/>
      <c r="C533" s="420"/>
      <c r="D533" s="420"/>
      <c r="E533" s="420"/>
      <c r="F533" s="420"/>
      <c r="G533" s="420"/>
      <c r="H533" s="420"/>
      <c r="I533" s="424"/>
      <c r="J533" s="424"/>
      <c r="K533" s="424"/>
      <c r="L533" s="424"/>
    </row>
    <row r="534" spans="2:12">
      <c r="B534" s="420"/>
      <c r="C534" s="420"/>
      <c r="D534" s="420"/>
      <c r="E534" s="420"/>
      <c r="F534" s="420"/>
      <c r="G534" s="420"/>
      <c r="H534" s="420"/>
      <c r="I534" s="424"/>
      <c r="J534" s="424"/>
      <c r="K534" s="424"/>
      <c r="L534" s="424"/>
    </row>
    <row r="535" spans="2:12">
      <c r="B535" s="420"/>
      <c r="C535" s="420"/>
      <c r="D535" s="420"/>
      <c r="E535" s="420"/>
      <c r="F535" s="420"/>
      <c r="G535" s="420"/>
      <c r="H535" s="420"/>
      <c r="I535" s="424"/>
      <c r="J535" s="424"/>
      <c r="K535" s="424"/>
      <c r="L535" s="424"/>
    </row>
    <row r="536" spans="2:12">
      <c r="B536" s="420"/>
      <c r="C536" s="420"/>
      <c r="D536" s="420"/>
      <c r="E536" s="420"/>
      <c r="F536" s="420"/>
      <c r="G536" s="420"/>
      <c r="H536" s="420"/>
      <c r="I536" s="424"/>
      <c r="J536" s="424"/>
      <c r="K536" s="424"/>
      <c r="L536" s="424"/>
    </row>
    <row r="537" spans="2:12">
      <c r="B537" s="420"/>
      <c r="C537" s="420"/>
      <c r="D537" s="420"/>
      <c r="E537" s="420"/>
      <c r="F537" s="420"/>
      <c r="G537" s="420"/>
      <c r="H537" s="420"/>
      <c r="I537" s="424"/>
      <c r="J537" s="424"/>
      <c r="K537" s="424"/>
      <c r="L537" s="424"/>
    </row>
    <row r="538" spans="2:12">
      <c r="B538" s="420"/>
      <c r="C538" s="420"/>
      <c r="D538" s="420"/>
      <c r="E538" s="420"/>
      <c r="F538" s="420"/>
      <c r="G538" s="420"/>
      <c r="H538" s="420"/>
      <c r="I538" s="424"/>
      <c r="J538" s="424"/>
      <c r="K538" s="424"/>
      <c r="L538" s="424"/>
    </row>
    <row r="539" spans="2:12">
      <c r="B539" s="420"/>
      <c r="C539" s="420"/>
      <c r="D539" s="420"/>
      <c r="E539" s="420"/>
      <c r="F539" s="420"/>
      <c r="G539" s="420"/>
      <c r="H539" s="420"/>
      <c r="I539" s="424"/>
      <c r="J539" s="424"/>
      <c r="K539" s="424"/>
      <c r="L539" s="424"/>
    </row>
    <row r="540" spans="2:12">
      <c r="B540" s="420"/>
      <c r="C540" s="420"/>
      <c r="D540" s="420"/>
      <c r="E540" s="420"/>
      <c r="F540" s="420"/>
      <c r="G540" s="420"/>
      <c r="H540" s="420"/>
      <c r="I540" s="424"/>
      <c r="J540" s="424"/>
      <c r="K540" s="424"/>
      <c r="L540" s="424"/>
    </row>
    <row r="541" spans="2:12">
      <c r="B541" s="420"/>
      <c r="C541" s="420"/>
      <c r="D541" s="420"/>
      <c r="E541" s="420"/>
      <c r="F541" s="420"/>
      <c r="G541" s="420"/>
      <c r="H541" s="420"/>
      <c r="I541" s="424"/>
      <c r="J541" s="424"/>
      <c r="K541" s="424"/>
      <c r="L541" s="424"/>
    </row>
    <row r="542" spans="2:12">
      <c r="B542" s="420"/>
      <c r="C542" s="420"/>
      <c r="D542" s="420"/>
      <c r="E542" s="420"/>
      <c r="F542" s="420"/>
      <c r="G542" s="420"/>
      <c r="H542" s="420"/>
      <c r="I542" s="424"/>
      <c r="J542" s="424"/>
      <c r="K542" s="424"/>
      <c r="L542" s="424"/>
    </row>
    <row r="543" spans="2:12">
      <c r="B543" s="420"/>
      <c r="C543" s="420"/>
      <c r="D543" s="420"/>
      <c r="E543" s="420"/>
      <c r="F543" s="420"/>
      <c r="G543" s="420"/>
      <c r="H543" s="420"/>
      <c r="I543" s="424"/>
      <c r="J543" s="424"/>
      <c r="K543" s="424"/>
      <c r="L543" s="424"/>
    </row>
    <row r="544" spans="2:12">
      <c r="B544" s="420"/>
      <c r="C544" s="420"/>
      <c r="D544" s="420"/>
      <c r="E544" s="420"/>
      <c r="F544" s="420"/>
      <c r="G544" s="420"/>
      <c r="H544" s="420"/>
      <c r="I544" s="424"/>
      <c r="J544" s="424"/>
      <c r="K544" s="424"/>
      <c r="L544" s="424"/>
    </row>
    <row r="545" spans="2:12">
      <c r="B545" s="420"/>
      <c r="C545" s="420"/>
      <c r="D545" s="420"/>
      <c r="E545" s="420"/>
      <c r="F545" s="420"/>
      <c r="G545" s="420"/>
      <c r="H545" s="420"/>
      <c r="I545" s="424"/>
      <c r="J545" s="424"/>
      <c r="K545" s="424"/>
      <c r="L545" s="424"/>
    </row>
    <row r="546" spans="2:12">
      <c r="B546" s="420"/>
      <c r="C546" s="420"/>
      <c r="D546" s="420"/>
      <c r="E546" s="420"/>
      <c r="F546" s="420"/>
      <c r="G546" s="420"/>
      <c r="H546" s="420"/>
      <c r="I546" s="424"/>
      <c r="J546" s="424"/>
      <c r="K546" s="424"/>
      <c r="L546" s="424"/>
    </row>
    <row r="547" spans="2:12">
      <c r="B547" s="420"/>
      <c r="C547" s="420"/>
      <c r="D547" s="420"/>
      <c r="E547" s="420"/>
      <c r="F547" s="420"/>
      <c r="G547" s="420"/>
      <c r="H547" s="420"/>
      <c r="I547" s="424"/>
      <c r="J547" s="424"/>
      <c r="K547" s="424"/>
      <c r="L547" s="424"/>
    </row>
    <row r="548" spans="2:12">
      <c r="B548" s="420"/>
      <c r="C548" s="420"/>
      <c r="D548" s="420"/>
      <c r="E548" s="420"/>
      <c r="F548" s="420"/>
      <c r="G548" s="420"/>
      <c r="H548" s="420"/>
      <c r="I548" s="424"/>
      <c r="J548" s="424"/>
      <c r="K548" s="424"/>
      <c r="L548" s="424"/>
    </row>
    <row r="549" spans="2:12">
      <c r="B549" s="420"/>
      <c r="C549" s="420"/>
      <c r="D549" s="420"/>
      <c r="E549" s="420"/>
      <c r="F549" s="420"/>
      <c r="G549" s="420"/>
      <c r="H549" s="420"/>
      <c r="I549" s="424"/>
      <c r="J549" s="424"/>
      <c r="K549" s="424"/>
      <c r="L549" s="424"/>
    </row>
    <row r="550" spans="2:12">
      <c r="B550" s="420"/>
      <c r="C550" s="420"/>
      <c r="D550" s="420"/>
      <c r="E550" s="420"/>
      <c r="F550" s="420"/>
      <c r="G550" s="420"/>
      <c r="H550" s="420"/>
      <c r="I550" s="424"/>
      <c r="J550" s="424"/>
      <c r="K550" s="424"/>
      <c r="L550" s="424"/>
    </row>
    <row r="551" spans="2:12">
      <c r="B551" s="420"/>
      <c r="C551" s="420"/>
      <c r="D551" s="420"/>
      <c r="E551" s="420"/>
      <c r="F551" s="420"/>
      <c r="G551" s="420"/>
      <c r="H551" s="420"/>
      <c r="I551" s="424"/>
      <c r="J551" s="424"/>
      <c r="K551" s="424"/>
      <c r="L551" s="424"/>
    </row>
    <row r="552" spans="2:12">
      <c r="B552" s="420"/>
      <c r="C552" s="420"/>
      <c r="D552" s="420"/>
      <c r="E552" s="420"/>
      <c r="F552" s="420"/>
      <c r="G552" s="420"/>
      <c r="H552" s="420"/>
      <c r="I552" s="424"/>
      <c r="J552" s="424"/>
      <c r="K552" s="424"/>
      <c r="L552" s="424"/>
    </row>
    <row r="553" spans="2:12">
      <c r="B553" s="420"/>
      <c r="C553" s="420"/>
      <c r="D553" s="420"/>
      <c r="E553" s="420"/>
      <c r="F553" s="420"/>
      <c r="G553" s="420"/>
      <c r="H553" s="420"/>
      <c r="I553" s="424"/>
      <c r="J553" s="424"/>
      <c r="K553" s="424"/>
      <c r="L553" s="424"/>
    </row>
    <row r="554" spans="2:12">
      <c r="B554" s="420"/>
      <c r="C554" s="420"/>
      <c r="D554" s="420"/>
      <c r="E554" s="420"/>
      <c r="F554" s="420"/>
      <c r="G554" s="420"/>
      <c r="H554" s="420"/>
      <c r="I554" s="424"/>
      <c r="J554" s="424"/>
      <c r="K554" s="424"/>
      <c r="L554" s="424"/>
    </row>
    <row r="555" spans="2:12">
      <c r="B555" s="420"/>
      <c r="C555" s="420"/>
      <c r="D555" s="420"/>
      <c r="E555" s="420"/>
      <c r="F555" s="420"/>
      <c r="G555" s="420"/>
      <c r="H555" s="420"/>
      <c r="I555" s="424"/>
      <c r="J555" s="424"/>
      <c r="K555" s="424"/>
      <c r="L555" s="424"/>
    </row>
    <row r="556" spans="2:12">
      <c r="B556" s="420"/>
      <c r="C556" s="420"/>
      <c r="D556" s="420"/>
      <c r="E556" s="420"/>
      <c r="F556" s="420"/>
      <c r="G556" s="420"/>
      <c r="H556" s="420"/>
      <c r="I556" s="424"/>
      <c r="J556" s="424"/>
      <c r="K556" s="424"/>
      <c r="L556" s="424"/>
    </row>
    <row r="557" spans="2:12">
      <c r="B557" s="420"/>
      <c r="C557" s="420"/>
      <c r="D557" s="420"/>
      <c r="E557" s="420"/>
      <c r="F557" s="420"/>
      <c r="G557" s="420"/>
      <c r="H557" s="420"/>
      <c r="I557" s="424"/>
      <c r="J557" s="424"/>
      <c r="K557" s="424"/>
      <c r="L557" s="424"/>
    </row>
    <row r="558" spans="2:12">
      <c r="B558" s="420"/>
      <c r="C558" s="420"/>
      <c r="D558" s="420"/>
      <c r="E558" s="420"/>
      <c r="F558" s="420"/>
      <c r="G558" s="420"/>
      <c r="H558" s="420"/>
      <c r="I558" s="424"/>
      <c r="J558" s="424"/>
      <c r="K558" s="424"/>
      <c r="L558" s="424"/>
    </row>
    <row r="559" spans="2:12">
      <c r="B559" s="420"/>
      <c r="C559" s="420"/>
      <c r="D559" s="420"/>
      <c r="E559" s="420"/>
      <c r="F559" s="420"/>
      <c r="G559" s="420"/>
      <c r="H559" s="420"/>
      <c r="I559" s="424"/>
      <c r="J559" s="424"/>
      <c r="K559" s="424"/>
      <c r="L559" s="424"/>
    </row>
    <row r="560" spans="2:12">
      <c r="B560" s="420"/>
      <c r="C560" s="420"/>
      <c r="D560" s="420"/>
      <c r="E560" s="420"/>
      <c r="F560" s="420"/>
      <c r="G560" s="420"/>
      <c r="H560" s="420"/>
      <c r="I560" s="424"/>
      <c r="J560" s="424"/>
      <c r="K560" s="424"/>
      <c r="L560" s="424"/>
    </row>
    <row r="561" spans="2:12">
      <c r="B561" s="420"/>
      <c r="C561" s="420"/>
      <c r="D561" s="420"/>
      <c r="E561" s="420"/>
      <c r="F561" s="420"/>
      <c r="G561" s="420"/>
      <c r="H561" s="420"/>
      <c r="I561" s="424"/>
      <c r="J561" s="424"/>
      <c r="K561" s="424"/>
      <c r="L561" s="424"/>
    </row>
    <row r="562" spans="2:12">
      <c r="B562" s="420"/>
      <c r="C562" s="420"/>
      <c r="D562" s="420"/>
      <c r="E562" s="420"/>
      <c r="F562" s="420"/>
      <c r="G562" s="420"/>
      <c r="H562" s="420"/>
      <c r="I562" s="424"/>
      <c r="J562" s="424"/>
      <c r="K562" s="424"/>
      <c r="L562" s="424"/>
    </row>
    <row r="563" spans="2:12">
      <c r="B563" s="420"/>
      <c r="C563" s="420"/>
      <c r="D563" s="420"/>
      <c r="E563" s="420"/>
      <c r="F563" s="420"/>
      <c r="G563" s="420"/>
      <c r="H563" s="420"/>
      <c r="I563" s="424"/>
      <c r="J563" s="424"/>
      <c r="K563" s="424"/>
      <c r="L563" s="424"/>
    </row>
    <row r="564" spans="2:12">
      <c r="B564" s="420"/>
      <c r="C564" s="420"/>
      <c r="D564" s="420"/>
      <c r="E564" s="420"/>
      <c r="F564" s="420"/>
      <c r="G564" s="420"/>
      <c r="H564" s="420"/>
      <c r="I564" s="424"/>
      <c r="J564" s="424"/>
      <c r="K564" s="424"/>
      <c r="L564" s="424"/>
    </row>
    <row r="565" spans="2:12">
      <c r="B565" s="420"/>
      <c r="C565" s="420"/>
      <c r="D565" s="420"/>
      <c r="E565" s="420"/>
      <c r="F565" s="420"/>
      <c r="G565" s="420"/>
      <c r="H565" s="420"/>
      <c r="I565" s="424"/>
      <c r="J565" s="424"/>
      <c r="K565" s="424"/>
      <c r="L565" s="424"/>
    </row>
    <row r="566" spans="2:12">
      <c r="B566" s="420"/>
      <c r="C566" s="420"/>
      <c r="D566" s="420"/>
      <c r="E566" s="420"/>
      <c r="F566" s="420"/>
      <c r="G566" s="420"/>
      <c r="H566" s="420"/>
      <c r="I566" s="424"/>
      <c r="J566" s="424"/>
      <c r="K566" s="424"/>
      <c r="L566" s="424"/>
    </row>
    <row r="567" spans="2:12">
      <c r="B567" s="420"/>
      <c r="C567" s="420"/>
      <c r="D567" s="420"/>
      <c r="E567" s="420"/>
      <c r="F567" s="420"/>
      <c r="G567" s="420"/>
      <c r="H567" s="420"/>
      <c r="I567" s="424"/>
      <c r="J567" s="424"/>
      <c r="K567" s="424"/>
      <c r="L567" s="424"/>
    </row>
    <row r="568" spans="2:12">
      <c r="B568" s="420"/>
      <c r="C568" s="420"/>
      <c r="D568" s="420"/>
      <c r="E568" s="420"/>
      <c r="F568" s="420"/>
      <c r="G568" s="420"/>
      <c r="H568" s="420"/>
      <c r="I568" s="424"/>
      <c r="J568" s="424"/>
      <c r="K568" s="424"/>
      <c r="L568" s="424"/>
    </row>
    <row r="569" spans="2:12">
      <c r="B569" s="420"/>
      <c r="C569" s="420"/>
      <c r="D569" s="420"/>
      <c r="E569" s="420"/>
      <c r="F569" s="420"/>
      <c r="G569" s="420"/>
      <c r="H569" s="420"/>
      <c r="I569" s="424"/>
      <c r="J569" s="424"/>
      <c r="K569" s="424"/>
      <c r="L569" s="424"/>
    </row>
    <row r="570" spans="2:12">
      <c r="B570" s="420"/>
      <c r="C570" s="420"/>
      <c r="D570" s="420"/>
      <c r="E570" s="420"/>
      <c r="F570" s="420"/>
      <c r="G570" s="420"/>
      <c r="H570" s="420"/>
      <c r="I570" s="424"/>
      <c r="J570" s="424"/>
      <c r="K570" s="424"/>
      <c r="L570" s="424"/>
    </row>
    <row r="571" spans="2:12">
      <c r="B571" s="420"/>
      <c r="C571" s="420"/>
      <c r="D571" s="420"/>
      <c r="E571" s="420"/>
      <c r="F571" s="420"/>
      <c r="G571" s="420"/>
      <c r="H571" s="420"/>
      <c r="I571" s="424"/>
      <c r="J571" s="424"/>
      <c r="K571" s="424"/>
      <c r="L571" s="424"/>
    </row>
    <row r="572" spans="2:12">
      <c r="B572" s="420"/>
      <c r="C572" s="420"/>
      <c r="D572" s="420"/>
      <c r="E572" s="420"/>
      <c r="F572" s="420"/>
      <c r="G572" s="420"/>
      <c r="H572" s="420"/>
      <c r="I572" s="424"/>
      <c r="J572" s="424"/>
      <c r="K572" s="424"/>
      <c r="L572" s="424"/>
    </row>
    <row r="573" spans="2:12">
      <c r="B573" s="420"/>
      <c r="C573" s="420"/>
      <c r="D573" s="420"/>
      <c r="E573" s="420"/>
      <c r="F573" s="420"/>
      <c r="G573" s="420"/>
      <c r="H573" s="420"/>
      <c r="I573" s="424"/>
      <c r="J573" s="424"/>
      <c r="K573" s="424"/>
      <c r="L573" s="424"/>
    </row>
    <row r="574" spans="2:12">
      <c r="B574" s="420"/>
      <c r="C574" s="420"/>
      <c r="D574" s="420"/>
      <c r="E574" s="420"/>
      <c r="F574" s="420"/>
      <c r="G574" s="420"/>
      <c r="H574" s="420"/>
      <c r="I574" s="424"/>
      <c r="J574" s="424"/>
      <c r="K574" s="424"/>
      <c r="L574" s="424"/>
    </row>
    <row r="575" spans="2:12">
      <c r="B575" s="420"/>
      <c r="C575" s="420"/>
      <c r="D575" s="420"/>
      <c r="E575" s="420"/>
      <c r="F575" s="420"/>
      <c r="G575" s="420"/>
      <c r="H575" s="420"/>
      <c r="I575" s="424"/>
      <c r="J575" s="424"/>
      <c r="K575" s="424"/>
      <c r="L575" s="424"/>
    </row>
    <row r="576" spans="2:12">
      <c r="B576" s="420"/>
      <c r="C576" s="420"/>
      <c r="D576" s="420"/>
      <c r="E576" s="420"/>
      <c r="F576" s="420"/>
      <c r="G576" s="420"/>
      <c r="H576" s="420"/>
      <c r="I576" s="424"/>
      <c r="J576" s="424"/>
      <c r="K576" s="424"/>
      <c r="L576" s="424"/>
    </row>
    <row r="577" spans="2:12">
      <c r="B577" s="420"/>
      <c r="C577" s="420"/>
      <c r="D577" s="420"/>
      <c r="E577" s="420"/>
      <c r="F577" s="420"/>
      <c r="G577" s="420"/>
      <c r="H577" s="420"/>
      <c r="I577" s="424"/>
      <c r="J577" s="424"/>
      <c r="K577" s="424"/>
      <c r="L577" s="424"/>
    </row>
    <row r="578" spans="2:12">
      <c r="B578" s="420"/>
      <c r="C578" s="420"/>
      <c r="D578" s="420"/>
      <c r="E578" s="420"/>
      <c r="F578" s="420"/>
      <c r="G578" s="420"/>
      <c r="H578" s="420"/>
      <c r="I578" s="424"/>
      <c r="J578" s="424"/>
      <c r="K578" s="424"/>
      <c r="L578" s="424"/>
    </row>
    <row r="579" spans="2:12">
      <c r="B579" s="420"/>
      <c r="C579" s="420"/>
      <c r="D579" s="420"/>
      <c r="E579" s="420"/>
      <c r="F579" s="420"/>
      <c r="G579" s="420"/>
      <c r="H579" s="420"/>
      <c r="I579" s="424"/>
      <c r="J579" s="424"/>
      <c r="K579" s="424"/>
      <c r="L579" s="424"/>
    </row>
    <row r="580" spans="2:12">
      <c r="B580" s="420"/>
      <c r="C580" s="420"/>
      <c r="D580" s="420"/>
      <c r="E580" s="420"/>
      <c r="F580" s="420"/>
      <c r="G580" s="420"/>
      <c r="H580" s="420"/>
      <c r="I580" s="424"/>
      <c r="J580" s="424"/>
      <c r="K580" s="424"/>
      <c r="L580" s="424"/>
    </row>
    <row r="581" spans="2:12">
      <c r="B581" s="420"/>
      <c r="C581" s="420"/>
      <c r="D581" s="420"/>
      <c r="E581" s="420"/>
      <c r="F581" s="420"/>
      <c r="G581" s="420"/>
      <c r="H581" s="420"/>
      <c r="I581" s="424"/>
      <c r="J581" s="424"/>
      <c r="K581" s="424"/>
      <c r="L581" s="424"/>
    </row>
    <row r="582" spans="2:12">
      <c r="B582" s="420"/>
      <c r="C582" s="420"/>
      <c r="D582" s="420"/>
      <c r="E582" s="420"/>
      <c r="F582" s="420"/>
      <c r="G582" s="420"/>
      <c r="H582" s="420"/>
      <c r="I582" s="424"/>
      <c r="J582" s="424"/>
      <c r="K582" s="424"/>
      <c r="L582" s="424"/>
    </row>
    <row r="583" spans="2:12">
      <c r="B583" s="420"/>
      <c r="C583" s="420"/>
      <c r="D583" s="420"/>
      <c r="E583" s="420"/>
      <c r="F583" s="420"/>
      <c r="G583" s="420"/>
      <c r="H583" s="420"/>
      <c r="I583" s="424"/>
      <c r="J583" s="424"/>
      <c r="K583" s="424"/>
      <c r="L583" s="424"/>
    </row>
    <row r="584" spans="2:12">
      <c r="B584" s="420"/>
      <c r="C584" s="420"/>
      <c r="D584" s="420"/>
      <c r="E584" s="420"/>
      <c r="F584" s="420"/>
      <c r="G584" s="420"/>
      <c r="H584" s="420"/>
      <c r="I584" s="424"/>
      <c r="J584" s="424"/>
      <c r="K584" s="424"/>
      <c r="L584" s="424"/>
    </row>
    <row r="585" spans="2:12">
      <c r="B585" s="420"/>
      <c r="C585" s="420"/>
      <c r="D585" s="420"/>
      <c r="E585" s="420"/>
      <c r="F585" s="420"/>
      <c r="G585" s="420"/>
      <c r="H585" s="420"/>
      <c r="I585" s="424"/>
      <c r="J585" s="424"/>
      <c r="K585" s="424"/>
      <c r="L585" s="424"/>
    </row>
    <row r="586" spans="2:12">
      <c r="B586" s="420"/>
      <c r="C586" s="420"/>
      <c r="D586" s="420"/>
      <c r="E586" s="420"/>
      <c r="F586" s="420"/>
      <c r="G586" s="420"/>
      <c r="H586" s="420"/>
      <c r="I586" s="424"/>
      <c r="J586" s="424"/>
      <c r="K586" s="424"/>
      <c r="L586" s="424"/>
    </row>
    <row r="587" spans="2:12">
      <c r="B587" s="420"/>
      <c r="C587" s="420"/>
      <c r="D587" s="420"/>
      <c r="E587" s="420"/>
      <c r="F587" s="420"/>
      <c r="G587" s="420"/>
      <c r="H587" s="420"/>
      <c r="I587" s="424"/>
      <c r="J587" s="424"/>
      <c r="K587" s="424"/>
      <c r="L587" s="424"/>
    </row>
    <row r="588" spans="2:12">
      <c r="B588" s="420"/>
      <c r="C588" s="420"/>
      <c r="D588" s="420"/>
      <c r="E588" s="420"/>
      <c r="F588" s="420"/>
      <c r="G588" s="420"/>
      <c r="H588" s="420"/>
      <c r="I588" s="424"/>
      <c r="J588" s="424"/>
      <c r="K588" s="424"/>
      <c r="L588" s="424"/>
    </row>
    <row r="589" spans="2:12">
      <c r="B589" s="420"/>
      <c r="C589" s="420"/>
      <c r="D589" s="420"/>
      <c r="E589" s="420"/>
      <c r="F589" s="420"/>
      <c r="G589" s="420"/>
      <c r="H589" s="420"/>
      <c r="I589" s="424"/>
      <c r="J589" s="424"/>
      <c r="K589" s="424"/>
      <c r="L589" s="424"/>
    </row>
    <row r="590" spans="2:12">
      <c r="B590" s="420"/>
      <c r="C590" s="420"/>
      <c r="D590" s="420"/>
      <c r="E590" s="420"/>
      <c r="F590" s="420"/>
      <c r="G590" s="420"/>
      <c r="H590" s="420"/>
      <c r="I590" s="424"/>
      <c r="J590" s="424"/>
      <c r="K590" s="424"/>
      <c r="L590" s="424"/>
    </row>
    <row r="591" spans="2:12">
      <c r="B591" s="420"/>
      <c r="C591" s="420"/>
      <c r="D591" s="420"/>
      <c r="E591" s="420"/>
      <c r="F591" s="420"/>
      <c r="G591" s="420"/>
      <c r="H591" s="420"/>
      <c r="I591" s="424"/>
      <c r="J591" s="424"/>
      <c r="K591" s="424"/>
      <c r="L591" s="424"/>
    </row>
    <row r="592" spans="2:12">
      <c r="B592" s="420"/>
      <c r="C592" s="420"/>
      <c r="D592" s="420"/>
      <c r="E592" s="420"/>
      <c r="F592" s="420"/>
      <c r="G592" s="420"/>
      <c r="H592" s="420"/>
      <c r="I592" s="424"/>
      <c r="J592" s="424"/>
      <c r="K592" s="424"/>
      <c r="L592" s="424"/>
    </row>
    <row r="593" spans="2:12">
      <c r="B593" s="420"/>
      <c r="C593" s="420"/>
      <c r="D593" s="420"/>
      <c r="E593" s="420"/>
      <c r="F593" s="420"/>
      <c r="G593" s="420"/>
      <c r="H593" s="420"/>
      <c r="I593" s="424"/>
      <c r="J593" s="424"/>
      <c r="K593" s="424"/>
      <c r="L593" s="424"/>
    </row>
    <row r="594" spans="2:12">
      <c r="B594" s="420"/>
      <c r="C594" s="420"/>
      <c r="D594" s="420"/>
      <c r="E594" s="420"/>
      <c r="F594" s="420"/>
      <c r="G594" s="420"/>
      <c r="H594" s="420"/>
      <c r="I594" s="424"/>
      <c r="J594" s="424"/>
      <c r="K594" s="424"/>
      <c r="L594" s="424"/>
    </row>
    <row r="595" spans="2:12">
      <c r="B595" s="420"/>
      <c r="C595" s="420"/>
      <c r="D595" s="420"/>
      <c r="E595" s="420"/>
      <c r="F595" s="420"/>
      <c r="G595" s="420"/>
      <c r="H595" s="420"/>
      <c r="I595" s="424"/>
      <c r="J595" s="424"/>
      <c r="K595" s="424"/>
      <c r="L595" s="424"/>
    </row>
    <row r="596" spans="2:12">
      <c r="B596" s="420"/>
      <c r="C596" s="420"/>
      <c r="D596" s="420"/>
      <c r="E596" s="420"/>
      <c r="F596" s="420"/>
      <c r="G596" s="420"/>
      <c r="H596" s="420"/>
      <c r="I596" s="424"/>
      <c r="J596" s="424"/>
      <c r="K596" s="424"/>
      <c r="L596" s="424"/>
    </row>
    <row r="597" spans="2:12">
      <c r="B597" s="420"/>
      <c r="C597" s="420"/>
      <c r="D597" s="420"/>
      <c r="E597" s="420"/>
      <c r="F597" s="420"/>
      <c r="G597" s="420"/>
      <c r="H597" s="420"/>
      <c r="I597" s="424"/>
      <c r="J597" s="424"/>
      <c r="K597" s="424"/>
      <c r="L597" s="424"/>
    </row>
    <row r="598" spans="2:12">
      <c r="B598" s="420"/>
      <c r="C598" s="420"/>
      <c r="D598" s="420"/>
      <c r="E598" s="420"/>
      <c r="F598" s="420"/>
      <c r="G598" s="420"/>
      <c r="H598" s="420"/>
      <c r="I598" s="424"/>
      <c r="J598" s="424"/>
      <c r="K598" s="424"/>
      <c r="L598" s="424"/>
    </row>
    <row r="599" spans="2:12">
      <c r="B599" s="420"/>
      <c r="C599" s="420"/>
      <c r="D599" s="420"/>
      <c r="E599" s="420"/>
      <c r="F599" s="420"/>
      <c r="G599" s="420"/>
      <c r="H599" s="420"/>
      <c r="I599" s="424"/>
      <c r="J599" s="424"/>
      <c r="K599" s="424"/>
      <c r="L599" s="424"/>
    </row>
    <row r="600" spans="2:12">
      <c r="B600" s="420"/>
      <c r="C600" s="420"/>
      <c r="D600" s="420"/>
      <c r="E600" s="420"/>
      <c r="F600" s="420"/>
      <c r="G600" s="420"/>
      <c r="H600" s="420"/>
      <c r="I600" s="424"/>
      <c r="J600" s="424"/>
      <c r="K600" s="424"/>
      <c r="L600" s="424"/>
    </row>
    <row r="601" spans="2:12">
      <c r="B601" s="420"/>
      <c r="C601" s="420"/>
      <c r="D601" s="420"/>
      <c r="E601" s="420"/>
      <c r="F601" s="420"/>
      <c r="G601" s="420"/>
      <c r="H601" s="420"/>
      <c r="I601" s="424"/>
      <c r="J601" s="424"/>
      <c r="K601" s="424"/>
      <c r="L601" s="424"/>
    </row>
    <row r="602" spans="2:12">
      <c r="B602" s="420"/>
      <c r="C602" s="420"/>
      <c r="D602" s="420"/>
      <c r="E602" s="420"/>
      <c r="F602" s="420"/>
      <c r="G602" s="420"/>
      <c r="H602" s="420"/>
      <c r="I602" s="424"/>
      <c r="J602" s="424"/>
      <c r="K602" s="424"/>
      <c r="L602" s="424"/>
    </row>
    <row r="603" spans="2:12">
      <c r="B603" s="420"/>
      <c r="C603" s="420"/>
      <c r="D603" s="420"/>
      <c r="E603" s="420"/>
      <c r="F603" s="420"/>
      <c r="G603" s="420"/>
      <c r="H603" s="420"/>
      <c r="I603" s="424"/>
      <c r="J603" s="424"/>
      <c r="K603" s="424"/>
      <c r="L603" s="424"/>
    </row>
    <row r="604" spans="2:12">
      <c r="B604" s="420"/>
      <c r="C604" s="420"/>
      <c r="D604" s="420"/>
      <c r="E604" s="420"/>
      <c r="F604" s="420"/>
      <c r="G604" s="420"/>
      <c r="H604" s="420"/>
      <c r="I604" s="424"/>
      <c r="J604" s="424"/>
      <c r="K604" s="424"/>
      <c r="L604" s="424"/>
    </row>
    <row r="605" spans="2:12">
      <c r="B605" s="420"/>
      <c r="C605" s="420"/>
      <c r="D605" s="420"/>
      <c r="E605" s="420"/>
      <c r="F605" s="420"/>
      <c r="G605" s="420"/>
      <c r="H605" s="420"/>
      <c r="I605" s="424"/>
      <c r="J605" s="424"/>
      <c r="K605" s="424"/>
      <c r="L605" s="424"/>
    </row>
    <row r="606" spans="2:12">
      <c r="B606" s="420"/>
      <c r="C606" s="420"/>
      <c r="D606" s="420"/>
      <c r="E606" s="420"/>
      <c r="F606" s="420"/>
      <c r="G606" s="420"/>
      <c r="H606" s="420"/>
      <c r="I606" s="424"/>
      <c r="J606" s="424"/>
      <c r="K606" s="424"/>
      <c r="L606" s="424"/>
    </row>
    <row r="607" spans="2:12">
      <c r="B607" s="420"/>
      <c r="C607" s="420"/>
      <c r="D607" s="420"/>
      <c r="E607" s="420"/>
      <c r="F607" s="420"/>
      <c r="G607" s="420"/>
      <c r="H607" s="420"/>
      <c r="I607" s="424"/>
      <c r="J607" s="424"/>
      <c r="K607" s="424"/>
      <c r="L607" s="424"/>
    </row>
    <row r="608" spans="2:12">
      <c r="B608" s="420"/>
      <c r="C608" s="420"/>
      <c r="D608" s="420"/>
      <c r="E608" s="420"/>
      <c r="F608" s="420"/>
      <c r="G608" s="420"/>
      <c r="H608" s="420"/>
      <c r="I608" s="424"/>
      <c r="J608" s="424"/>
      <c r="K608" s="424"/>
      <c r="L608" s="424"/>
    </row>
    <row r="609" spans="2:12">
      <c r="B609" s="420"/>
      <c r="C609" s="420"/>
      <c r="D609" s="420"/>
      <c r="E609" s="420"/>
      <c r="F609" s="420"/>
      <c r="G609" s="420"/>
      <c r="H609" s="420"/>
      <c r="I609" s="424"/>
      <c r="J609" s="424"/>
      <c r="K609" s="424"/>
      <c r="L609" s="424"/>
    </row>
    <row r="610" spans="2:12">
      <c r="B610" s="420"/>
      <c r="C610" s="420"/>
      <c r="D610" s="420"/>
      <c r="E610" s="420"/>
      <c r="F610" s="420"/>
      <c r="G610" s="420"/>
      <c r="H610" s="420"/>
      <c r="I610" s="424"/>
      <c r="J610" s="424"/>
      <c r="K610" s="424"/>
      <c r="L610" s="424"/>
    </row>
    <row r="611" spans="2:12">
      <c r="B611" s="420"/>
      <c r="C611" s="420"/>
      <c r="D611" s="420"/>
      <c r="E611" s="420"/>
      <c r="F611" s="420"/>
      <c r="G611" s="420"/>
      <c r="H611" s="420"/>
      <c r="I611" s="424"/>
      <c r="J611" s="424"/>
      <c r="K611" s="424"/>
      <c r="L611" s="424"/>
    </row>
    <row r="612" spans="2:12">
      <c r="B612" s="420"/>
      <c r="C612" s="420"/>
      <c r="D612" s="420"/>
      <c r="E612" s="420"/>
      <c r="F612" s="420"/>
      <c r="G612" s="420"/>
      <c r="H612" s="420"/>
      <c r="I612" s="424"/>
      <c r="J612" s="424"/>
      <c r="K612" s="424"/>
      <c r="L612" s="424"/>
    </row>
    <row r="613" spans="2:12">
      <c r="B613" s="420"/>
      <c r="C613" s="420"/>
      <c r="D613" s="420"/>
      <c r="E613" s="420"/>
      <c r="F613" s="420"/>
      <c r="G613" s="420"/>
      <c r="H613" s="420"/>
      <c r="I613" s="424"/>
      <c r="J613" s="424"/>
      <c r="K613" s="424"/>
      <c r="L613" s="424"/>
    </row>
    <row r="614" spans="2:12">
      <c r="B614" s="420"/>
      <c r="C614" s="420"/>
      <c r="D614" s="420"/>
      <c r="E614" s="420"/>
      <c r="F614" s="420"/>
      <c r="G614" s="420"/>
      <c r="H614" s="420"/>
      <c r="I614" s="424"/>
      <c r="J614" s="424"/>
      <c r="K614" s="424"/>
      <c r="L614" s="424"/>
    </row>
    <row r="615" spans="2:12">
      <c r="B615" s="420"/>
      <c r="C615" s="420"/>
      <c r="D615" s="420"/>
      <c r="E615" s="420"/>
      <c r="F615" s="420"/>
      <c r="G615" s="420"/>
      <c r="H615" s="420"/>
      <c r="I615" s="424"/>
      <c r="J615" s="424"/>
      <c r="K615" s="424"/>
      <c r="L615" s="424"/>
    </row>
    <row r="616" spans="2:12">
      <c r="B616" s="420"/>
      <c r="C616" s="420"/>
      <c r="D616" s="420"/>
      <c r="E616" s="420"/>
      <c r="F616" s="420"/>
      <c r="G616" s="420"/>
      <c r="H616" s="420"/>
      <c r="I616" s="424"/>
      <c r="J616" s="424"/>
      <c r="K616" s="424"/>
      <c r="L616" s="424"/>
    </row>
    <row r="617" spans="2:12">
      <c r="B617" s="420"/>
      <c r="C617" s="420"/>
      <c r="D617" s="420"/>
      <c r="E617" s="420"/>
      <c r="F617" s="420"/>
      <c r="G617" s="420"/>
      <c r="H617" s="420"/>
      <c r="I617" s="424"/>
      <c r="J617" s="424"/>
      <c r="K617" s="424"/>
      <c r="L617" s="424"/>
    </row>
    <row r="618" spans="2:12">
      <c r="B618" s="420"/>
      <c r="C618" s="420"/>
      <c r="D618" s="420"/>
      <c r="E618" s="420"/>
      <c r="F618" s="420"/>
      <c r="G618" s="420"/>
      <c r="H618" s="420"/>
      <c r="I618" s="424"/>
      <c r="J618" s="424"/>
      <c r="K618" s="424"/>
      <c r="L618" s="424"/>
    </row>
    <row r="619" spans="2:12">
      <c r="B619" s="420"/>
      <c r="C619" s="420"/>
      <c r="D619" s="420"/>
      <c r="E619" s="420"/>
      <c r="F619" s="420"/>
      <c r="G619" s="420"/>
      <c r="H619" s="420"/>
      <c r="I619" s="424"/>
      <c r="J619" s="424"/>
      <c r="K619" s="424"/>
      <c r="L619" s="424"/>
    </row>
    <row r="620" spans="2:12">
      <c r="B620" s="420"/>
      <c r="C620" s="420"/>
      <c r="D620" s="420"/>
      <c r="E620" s="420"/>
      <c r="F620" s="420"/>
      <c r="G620" s="420"/>
      <c r="H620" s="420"/>
      <c r="I620" s="424"/>
      <c r="J620" s="424"/>
      <c r="K620" s="424"/>
      <c r="L620" s="424"/>
    </row>
    <row r="621" spans="2:12">
      <c r="B621" s="420"/>
      <c r="C621" s="420"/>
      <c r="D621" s="420"/>
      <c r="E621" s="420"/>
      <c r="F621" s="420"/>
      <c r="G621" s="420"/>
      <c r="H621" s="420"/>
      <c r="I621" s="424"/>
      <c r="J621" s="424"/>
      <c r="K621" s="424"/>
      <c r="L621" s="424"/>
    </row>
    <row r="622" spans="2:12">
      <c r="B622" s="420"/>
      <c r="C622" s="420"/>
      <c r="D622" s="420"/>
      <c r="E622" s="420"/>
      <c r="F622" s="420"/>
      <c r="G622" s="420"/>
      <c r="H622" s="420"/>
      <c r="I622" s="424"/>
      <c r="J622" s="424"/>
      <c r="K622" s="424"/>
      <c r="L622" s="424"/>
    </row>
    <row r="623" spans="2:12">
      <c r="B623" s="420"/>
      <c r="C623" s="420"/>
      <c r="D623" s="420"/>
      <c r="E623" s="420"/>
      <c r="F623" s="420"/>
      <c r="G623" s="420"/>
      <c r="H623" s="420"/>
      <c r="I623" s="424"/>
      <c r="J623" s="424"/>
      <c r="K623" s="424"/>
      <c r="L623" s="424"/>
    </row>
    <row r="624" spans="2:12">
      <c r="B624" s="420"/>
      <c r="C624" s="420"/>
      <c r="D624" s="420"/>
      <c r="E624" s="420"/>
      <c r="F624" s="420"/>
      <c r="G624" s="420"/>
      <c r="H624" s="420"/>
      <c r="I624" s="424"/>
      <c r="J624" s="424"/>
      <c r="K624" s="424"/>
      <c r="L624" s="424"/>
    </row>
    <row r="625" spans="2:12">
      <c r="B625" s="420"/>
      <c r="C625" s="420"/>
      <c r="D625" s="420"/>
      <c r="E625" s="420"/>
      <c r="F625" s="420"/>
      <c r="G625" s="420"/>
      <c r="H625" s="420"/>
      <c r="I625" s="424"/>
      <c r="J625" s="424"/>
      <c r="K625" s="424"/>
      <c r="L625" s="424"/>
    </row>
    <row r="626" spans="2:12">
      <c r="B626" s="420"/>
      <c r="C626" s="420"/>
      <c r="D626" s="420"/>
      <c r="E626" s="420"/>
      <c r="F626" s="420"/>
      <c r="G626" s="420"/>
      <c r="H626" s="420"/>
      <c r="I626" s="424"/>
      <c r="J626" s="424"/>
      <c r="K626" s="424"/>
      <c r="L626" s="424"/>
    </row>
    <row r="627" spans="2:12">
      <c r="B627" s="420"/>
      <c r="C627" s="420"/>
      <c r="D627" s="420"/>
      <c r="E627" s="420"/>
      <c r="F627" s="420"/>
      <c r="G627" s="420"/>
      <c r="H627" s="420"/>
      <c r="I627" s="424"/>
      <c r="J627" s="424"/>
      <c r="K627" s="424"/>
      <c r="L627" s="424"/>
    </row>
    <row r="628" spans="2:12">
      <c r="B628" s="420"/>
      <c r="C628" s="420"/>
      <c r="D628" s="420"/>
      <c r="E628" s="420"/>
      <c r="F628" s="420"/>
      <c r="G628" s="420"/>
      <c r="H628" s="420"/>
      <c r="I628" s="424"/>
      <c r="J628" s="424"/>
      <c r="K628" s="424"/>
      <c r="L628" s="424"/>
    </row>
    <row r="629" spans="2:12">
      <c r="B629" s="420"/>
      <c r="C629" s="420"/>
      <c r="D629" s="420"/>
      <c r="E629" s="420"/>
      <c r="F629" s="420"/>
      <c r="G629" s="420"/>
      <c r="H629" s="420"/>
      <c r="I629" s="424"/>
      <c r="J629" s="424"/>
      <c r="K629" s="424"/>
      <c r="L629" s="424"/>
    </row>
    <row r="630" spans="2:12">
      <c r="B630" s="420"/>
      <c r="C630" s="420"/>
      <c r="D630" s="420"/>
      <c r="E630" s="420"/>
      <c r="F630" s="420"/>
      <c r="G630" s="420"/>
      <c r="H630" s="420"/>
      <c r="I630" s="424"/>
      <c r="J630" s="424"/>
      <c r="K630" s="424"/>
      <c r="L630" s="424"/>
    </row>
    <row r="631" spans="2:12">
      <c r="B631" s="420"/>
      <c r="C631" s="420"/>
      <c r="D631" s="420"/>
      <c r="E631" s="420"/>
      <c r="F631" s="420"/>
      <c r="G631" s="420"/>
      <c r="H631" s="420"/>
      <c r="I631" s="424"/>
      <c r="J631" s="424"/>
      <c r="K631" s="424"/>
      <c r="L631" s="424"/>
    </row>
    <row r="632" spans="2:12">
      <c r="B632" s="420"/>
      <c r="C632" s="420"/>
      <c r="D632" s="420"/>
      <c r="E632" s="420"/>
      <c r="F632" s="420"/>
      <c r="G632" s="420"/>
      <c r="H632" s="420"/>
      <c r="I632" s="424"/>
      <c r="J632" s="424"/>
      <c r="K632" s="424"/>
      <c r="L632" s="424"/>
    </row>
    <row r="633" spans="2:12">
      <c r="B633" s="420"/>
      <c r="C633" s="420"/>
      <c r="D633" s="420"/>
      <c r="E633" s="420"/>
      <c r="F633" s="420"/>
      <c r="G633" s="420"/>
      <c r="H633" s="420"/>
      <c r="I633" s="424"/>
      <c r="J633" s="424"/>
      <c r="K633" s="424"/>
      <c r="L633" s="424"/>
    </row>
    <row r="634" spans="2:12">
      <c r="B634" s="420"/>
      <c r="C634" s="420"/>
      <c r="D634" s="420"/>
      <c r="E634" s="420"/>
      <c r="F634" s="420"/>
      <c r="G634" s="420"/>
      <c r="H634" s="420"/>
      <c r="I634" s="424"/>
      <c r="J634" s="424"/>
      <c r="K634" s="424"/>
      <c r="L634" s="424"/>
    </row>
    <row r="635" spans="2:12">
      <c r="B635" s="420"/>
      <c r="C635" s="420"/>
      <c r="D635" s="420"/>
      <c r="E635" s="420"/>
      <c r="F635" s="420"/>
      <c r="G635" s="420"/>
      <c r="H635" s="420"/>
      <c r="I635" s="424"/>
      <c r="J635" s="424"/>
      <c r="K635" s="424"/>
      <c r="L635" s="424"/>
    </row>
    <row r="636" spans="2:12">
      <c r="B636" s="420"/>
      <c r="C636" s="420"/>
      <c r="D636" s="420"/>
      <c r="E636" s="420"/>
      <c r="F636" s="420"/>
      <c r="G636" s="420"/>
      <c r="H636" s="420"/>
      <c r="I636" s="424"/>
      <c r="J636" s="424"/>
      <c r="K636" s="424"/>
      <c r="L636" s="424"/>
    </row>
    <row r="637" spans="2:12">
      <c r="B637" s="420"/>
      <c r="C637" s="420"/>
      <c r="D637" s="420"/>
      <c r="E637" s="420"/>
      <c r="F637" s="420"/>
      <c r="G637" s="420"/>
      <c r="H637" s="420"/>
      <c r="I637" s="424"/>
      <c r="J637" s="424"/>
      <c r="K637" s="424"/>
      <c r="L637" s="424"/>
    </row>
    <row r="638" spans="2:12">
      <c r="B638" s="420"/>
      <c r="C638" s="420"/>
      <c r="D638" s="420"/>
      <c r="E638" s="420"/>
      <c r="F638" s="420"/>
      <c r="G638" s="420"/>
      <c r="H638" s="420"/>
      <c r="I638" s="424"/>
      <c r="J638" s="424"/>
      <c r="K638" s="424"/>
      <c r="L638" s="424"/>
    </row>
    <row r="639" spans="2:12">
      <c r="B639" s="420"/>
      <c r="C639" s="420"/>
      <c r="D639" s="420"/>
      <c r="E639" s="420"/>
      <c r="F639" s="420"/>
      <c r="G639" s="420"/>
      <c r="H639" s="420"/>
      <c r="I639" s="424"/>
      <c r="J639" s="424"/>
      <c r="K639" s="424"/>
      <c r="L639" s="424"/>
    </row>
    <row r="640" spans="2:12">
      <c r="B640" s="420"/>
      <c r="C640" s="420"/>
      <c r="D640" s="420"/>
      <c r="E640" s="420"/>
      <c r="F640" s="420"/>
      <c r="G640" s="420"/>
      <c r="H640" s="420"/>
      <c r="I640" s="424"/>
      <c r="J640" s="424"/>
      <c r="K640" s="424"/>
      <c r="L640" s="424"/>
    </row>
    <row r="641" spans="2:12">
      <c r="B641" s="420"/>
      <c r="C641" s="420"/>
      <c r="D641" s="420"/>
      <c r="E641" s="420"/>
      <c r="F641" s="420"/>
      <c r="G641" s="420"/>
      <c r="H641" s="420"/>
      <c r="I641" s="424"/>
      <c r="J641" s="424"/>
      <c r="K641" s="424"/>
      <c r="L641" s="424"/>
    </row>
    <row r="642" spans="2:12">
      <c r="B642" s="420"/>
      <c r="C642" s="420"/>
      <c r="D642" s="420"/>
      <c r="E642" s="420"/>
      <c r="F642" s="420"/>
      <c r="G642" s="420"/>
      <c r="H642" s="420"/>
      <c r="I642" s="424"/>
      <c r="J642" s="424"/>
      <c r="K642" s="424"/>
      <c r="L642" s="424"/>
    </row>
    <row r="643" spans="2:12">
      <c r="B643" s="420"/>
      <c r="C643" s="420"/>
      <c r="D643" s="420"/>
      <c r="E643" s="420"/>
      <c r="F643" s="420"/>
      <c r="G643" s="420"/>
      <c r="H643" s="420"/>
      <c r="I643" s="424"/>
      <c r="J643" s="424"/>
      <c r="K643" s="424"/>
      <c r="L643" s="424"/>
    </row>
    <row r="644" spans="2:12">
      <c r="B644" s="420"/>
      <c r="C644" s="420"/>
      <c r="D644" s="420"/>
      <c r="E644" s="420"/>
      <c r="F644" s="420"/>
      <c r="G644" s="420"/>
      <c r="H644" s="420"/>
      <c r="I644" s="424"/>
      <c r="J644" s="424"/>
      <c r="K644" s="424"/>
      <c r="L644" s="424"/>
    </row>
    <row r="645" spans="2:12">
      <c r="B645" s="420"/>
      <c r="C645" s="420"/>
      <c r="D645" s="420"/>
      <c r="E645" s="420"/>
      <c r="F645" s="420"/>
      <c r="G645" s="420"/>
      <c r="H645" s="420"/>
      <c r="I645" s="424"/>
      <c r="J645" s="424"/>
      <c r="K645" s="424"/>
      <c r="L645" s="424"/>
    </row>
    <row r="646" spans="2:12">
      <c r="B646" s="420"/>
      <c r="C646" s="420"/>
      <c r="D646" s="420"/>
      <c r="E646" s="420"/>
      <c r="F646" s="420"/>
      <c r="G646" s="420"/>
      <c r="H646" s="420"/>
      <c r="I646" s="424"/>
      <c r="J646" s="424"/>
      <c r="K646" s="424"/>
      <c r="L646" s="424"/>
    </row>
    <row r="647" spans="2:12">
      <c r="B647" s="420"/>
      <c r="C647" s="420"/>
      <c r="D647" s="420"/>
      <c r="E647" s="420"/>
      <c r="F647" s="420"/>
      <c r="G647" s="420"/>
      <c r="H647" s="420"/>
      <c r="I647" s="424"/>
      <c r="J647" s="424"/>
      <c r="K647" s="424"/>
      <c r="L647" s="424"/>
    </row>
    <row r="648" spans="2:12">
      <c r="B648" s="420"/>
      <c r="C648" s="420"/>
      <c r="D648" s="420"/>
      <c r="E648" s="420"/>
      <c r="F648" s="420"/>
      <c r="G648" s="420"/>
      <c r="H648" s="420"/>
      <c r="I648" s="424"/>
      <c r="J648" s="424"/>
      <c r="K648" s="424"/>
      <c r="L648" s="424"/>
    </row>
    <row r="649" spans="2:12">
      <c r="B649" s="420"/>
      <c r="C649" s="420"/>
      <c r="D649" s="420"/>
      <c r="E649" s="420"/>
      <c r="F649" s="420"/>
      <c r="G649" s="420"/>
      <c r="H649" s="420"/>
      <c r="I649" s="424"/>
      <c r="J649" s="424"/>
      <c r="K649" s="424"/>
      <c r="L649" s="424"/>
    </row>
    <row r="650" spans="2:12">
      <c r="B650" s="420"/>
      <c r="C650" s="420"/>
      <c r="D650" s="420"/>
      <c r="E650" s="420"/>
      <c r="F650" s="420"/>
      <c r="G650" s="420"/>
      <c r="H650" s="420"/>
      <c r="I650" s="424"/>
      <c r="J650" s="424"/>
      <c r="K650" s="424"/>
      <c r="L650" s="424"/>
    </row>
    <row r="651" spans="2:12">
      <c r="B651" s="420"/>
      <c r="C651" s="420"/>
      <c r="D651" s="420"/>
      <c r="E651" s="420"/>
      <c r="F651" s="420"/>
      <c r="G651" s="420"/>
      <c r="H651" s="420"/>
      <c r="I651" s="424"/>
      <c r="J651" s="424"/>
      <c r="K651" s="424"/>
      <c r="L651" s="424"/>
    </row>
    <row r="652" spans="2:12">
      <c r="B652" s="420"/>
      <c r="C652" s="420"/>
      <c r="D652" s="420"/>
      <c r="E652" s="420"/>
      <c r="F652" s="420"/>
      <c r="G652" s="420"/>
      <c r="H652" s="420"/>
      <c r="I652" s="424"/>
      <c r="J652" s="424"/>
      <c r="K652" s="424"/>
      <c r="L652" s="424"/>
    </row>
    <row r="653" spans="2:12">
      <c r="B653" s="420"/>
      <c r="C653" s="420"/>
      <c r="D653" s="420"/>
      <c r="E653" s="420"/>
      <c r="F653" s="420"/>
      <c r="G653" s="420"/>
      <c r="H653" s="420"/>
      <c r="I653" s="424"/>
      <c r="J653" s="424"/>
      <c r="K653" s="424"/>
      <c r="L653" s="424"/>
    </row>
    <row r="654" spans="2:12">
      <c r="B654" s="420"/>
      <c r="C654" s="420"/>
      <c r="D654" s="420"/>
      <c r="E654" s="420"/>
      <c r="F654" s="420"/>
      <c r="G654" s="420"/>
      <c r="H654" s="420"/>
      <c r="I654" s="424"/>
      <c r="J654" s="424"/>
      <c r="K654" s="424"/>
      <c r="L654" s="424"/>
    </row>
    <row r="655" spans="2:12">
      <c r="B655" s="420"/>
      <c r="C655" s="420"/>
      <c r="D655" s="420"/>
      <c r="E655" s="420"/>
      <c r="F655" s="420"/>
      <c r="G655" s="420"/>
      <c r="H655" s="420"/>
      <c r="I655" s="424"/>
      <c r="J655" s="424"/>
      <c r="K655" s="424"/>
      <c r="L655" s="424"/>
    </row>
    <row r="656" spans="2:12">
      <c r="B656" s="420"/>
      <c r="C656" s="420"/>
      <c r="D656" s="420"/>
      <c r="E656" s="420"/>
      <c r="F656" s="420"/>
      <c r="G656" s="420"/>
      <c r="H656" s="420"/>
      <c r="I656" s="424"/>
      <c r="J656" s="424"/>
      <c r="K656" s="424"/>
      <c r="L656" s="424"/>
    </row>
    <row r="657" spans="2:12">
      <c r="B657" s="420"/>
      <c r="C657" s="420"/>
      <c r="D657" s="420"/>
      <c r="E657" s="420"/>
      <c r="F657" s="420"/>
      <c r="G657" s="420"/>
      <c r="H657" s="420"/>
      <c r="I657" s="424"/>
      <c r="J657" s="424"/>
      <c r="K657" s="424"/>
      <c r="L657" s="424"/>
    </row>
    <row r="658" spans="2:12">
      <c r="B658" s="420"/>
      <c r="C658" s="420"/>
      <c r="D658" s="420"/>
      <c r="E658" s="420"/>
      <c r="F658" s="420"/>
      <c r="G658" s="420"/>
      <c r="H658" s="420"/>
      <c r="I658" s="424"/>
      <c r="J658" s="424"/>
      <c r="K658" s="424"/>
      <c r="L658" s="424"/>
    </row>
    <row r="659" spans="2:12">
      <c r="B659" s="420"/>
      <c r="C659" s="420"/>
      <c r="D659" s="420"/>
      <c r="E659" s="420"/>
      <c r="F659" s="420"/>
      <c r="G659" s="420"/>
      <c r="H659" s="420"/>
      <c r="I659" s="424"/>
      <c r="J659" s="424"/>
      <c r="K659" s="424"/>
      <c r="L659" s="424"/>
    </row>
    <row r="660" spans="2:12">
      <c r="B660" s="420"/>
      <c r="C660" s="420"/>
      <c r="D660" s="420"/>
      <c r="E660" s="420"/>
      <c r="F660" s="420"/>
      <c r="G660" s="420"/>
      <c r="H660" s="420"/>
      <c r="I660" s="424"/>
      <c r="J660" s="424"/>
      <c r="K660" s="424"/>
      <c r="L660" s="424"/>
    </row>
    <row r="661" spans="2:12">
      <c r="B661" s="420"/>
      <c r="C661" s="420"/>
      <c r="D661" s="420"/>
      <c r="E661" s="420"/>
      <c r="F661" s="420"/>
      <c r="G661" s="420"/>
      <c r="H661" s="420"/>
      <c r="I661" s="424"/>
      <c r="J661" s="424"/>
      <c r="K661" s="424"/>
      <c r="L661" s="424"/>
    </row>
    <row r="662" spans="2:12">
      <c r="B662" s="420"/>
      <c r="C662" s="420"/>
      <c r="D662" s="420"/>
      <c r="E662" s="420"/>
      <c r="F662" s="420"/>
      <c r="G662" s="420"/>
      <c r="H662" s="420"/>
      <c r="I662" s="424"/>
      <c r="J662" s="424"/>
      <c r="K662" s="424"/>
      <c r="L662" s="424"/>
    </row>
    <row r="663" spans="2:12">
      <c r="B663" s="420"/>
      <c r="C663" s="420"/>
      <c r="D663" s="420"/>
      <c r="E663" s="420"/>
      <c r="F663" s="420"/>
      <c r="G663" s="420"/>
      <c r="H663" s="420"/>
      <c r="I663" s="424"/>
      <c r="J663" s="424"/>
      <c r="K663" s="424"/>
      <c r="L663" s="424"/>
    </row>
    <row r="664" spans="2:12">
      <c r="B664" s="420"/>
      <c r="C664" s="420"/>
      <c r="D664" s="420"/>
      <c r="E664" s="420"/>
      <c r="F664" s="420"/>
      <c r="G664" s="420"/>
      <c r="H664" s="420"/>
      <c r="I664" s="424"/>
      <c r="J664" s="424"/>
      <c r="K664" s="424"/>
      <c r="L664" s="424"/>
    </row>
    <row r="665" spans="2:12">
      <c r="B665" s="420"/>
      <c r="C665" s="420"/>
      <c r="D665" s="420"/>
      <c r="E665" s="420"/>
      <c r="F665" s="420"/>
      <c r="G665" s="420"/>
      <c r="H665" s="420"/>
      <c r="I665" s="424"/>
      <c r="J665" s="424"/>
      <c r="K665" s="424"/>
      <c r="L665" s="424"/>
    </row>
    <row r="666" spans="2:12">
      <c r="B666" s="420"/>
      <c r="C666" s="420"/>
      <c r="D666" s="420"/>
      <c r="E666" s="420"/>
      <c r="F666" s="420"/>
      <c r="G666" s="420"/>
      <c r="H666" s="420"/>
      <c r="I666" s="424"/>
      <c r="J666" s="424"/>
      <c r="K666" s="424"/>
      <c r="L666" s="424"/>
    </row>
    <row r="667" spans="2:12">
      <c r="B667" s="420"/>
      <c r="C667" s="420"/>
      <c r="D667" s="420"/>
      <c r="E667" s="420"/>
      <c r="F667" s="420"/>
      <c r="G667" s="420"/>
      <c r="H667" s="420"/>
      <c r="I667" s="424"/>
      <c r="J667" s="424"/>
      <c r="K667" s="424"/>
      <c r="L667" s="424"/>
    </row>
    <row r="668" spans="2:12">
      <c r="B668" s="420"/>
      <c r="C668" s="420"/>
      <c r="D668" s="420"/>
      <c r="E668" s="420"/>
      <c r="F668" s="420"/>
      <c r="G668" s="420"/>
      <c r="H668" s="420"/>
      <c r="I668" s="424"/>
      <c r="J668" s="424"/>
      <c r="K668" s="424"/>
      <c r="L668" s="424"/>
    </row>
    <row r="669" spans="2:12">
      <c r="B669" s="420"/>
      <c r="C669" s="420"/>
      <c r="D669" s="420"/>
      <c r="E669" s="420"/>
      <c r="F669" s="420"/>
      <c r="G669" s="420"/>
      <c r="H669" s="420"/>
      <c r="I669" s="424"/>
      <c r="J669" s="424"/>
      <c r="K669" s="424"/>
      <c r="L669" s="424"/>
    </row>
    <row r="670" spans="2:12">
      <c r="B670" s="420"/>
      <c r="C670" s="420"/>
      <c r="D670" s="420"/>
      <c r="E670" s="420"/>
      <c r="F670" s="420"/>
      <c r="G670" s="420"/>
      <c r="H670" s="420"/>
      <c r="I670" s="424"/>
      <c r="J670" s="424"/>
      <c r="K670" s="424"/>
      <c r="L670" s="424"/>
    </row>
    <row r="671" spans="2:12">
      <c r="B671" s="420"/>
      <c r="C671" s="420"/>
      <c r="D671" s="420"/>
      <c r="E671" s="420"/>
      <c r="F671" s="420"/>
      <c r="G671" s="420"/>
      <c r="H671" s="420"/>
      <c r="I671" s="424"/>
      <c r="J671" s="424"/>
      <c r="K671" s="424"/>
      <c r="L671" s="424"/>
    </row>
    <row r="672" spans="2:12">
      <c r="B672" s="420"/>
      <c r="C672" s="420"/>
      <c r="D672" s="420"/>
      <c r="E672" s="420"/>
      <c r="F672" s="420"/>
      <c r="G672" s="420"/>
      <c r="H672" s="420"/>
      <c r="I672" s="424"/>
      <c r="J672" s="424"/>
      <c r="K672" s="424"/>
      <c r="L672" s="424"/>
    </row>
    <row r="673" spans="2:12">
      <c r="B673" s="420"/>
      <c r="C673" s="420"/>
      <c r="D673" s="420"/>
      <c r="E673" s="420"/>
      <c r="F673" s="420"/>
      <c r="G673" s="420"/>
      <c r="H673" s="420"/>
      <c r="I673" s="424"/>
      <c r="J673" s="424"/>
      <c r="K673" s="424"/>
      <c r="L673" s="424"/>
    </row>
    <row r="674" spans="2:12">
      <c r="B674" s="420"/>
      <c r="C674" s="420"/>
      <c r="D674" s="420"/>
      <c r="E674" s="420"/>
      <c r="F674" s="420"/>
      <c r="G674" s="420"/>
      <c r="H674" s="420"/>
      <c r="I674" s="424"/>
      <c r="J674" s="424"/>
      <c r="K674" s="424"/>
      <c r="L674" s="424"/>
    </row>
    <row r="675" spans="2:12">
      <c r="B675" s="420"/>
      <c r="C675" s="420"/>
      <c r="D675" s="420"/>
      <c r="E675" s="420"/>
      <c r="F675" s="420"/>
      <c r="G675" s="420"/>
      <c r="H675" s="420"/>
      <c r="I675" s="424"/>
      <c r="J675" s="424"/>
      <c r="K675" s="424"/>
      <c r="L675" s="424"/>
    </row>
    <row r="676" spans="2:12">
      <c r="B676" s="420"/>
      <c r="C676" s="420"/>
      <c r="D676" s="420"/>
      <c r="E676" s="420"/>
      <c r="F676" s="420"/>
      <c r="G676" s="420"/>
      <c r="H676" s="420"/>
      <c r="I676" s="424"/>
      <c r="J676" s="424"/>
      <c r="K676" s="424"/>
      <c r="L676" s="424"/>
    </row>
    <row r="677" spans="2:12">
      <c r="B677" s="420"/>
      <c r="C677" s="420"/>
      <c r="D677" s="420"/>
      <c r="E677" s="420"/>
      <c r="F677" s="420"/>
      <c r="G677" s="420"/>
      <c r="H677" s="420"/>
      <c r="I677" s="424"/>
      <c r="J677" s="424"/>
      <c r="K677" s="424"/>
      <c r="L677" s="424"/>
    </row>
    <row r="678" spans="2:12">
      <c r="B678" s="420"/>
      <c r="C678" s="420"/>
      <c r="D678" s="420"/>
      <c r="E678" s="420"/>
      <c r="F678" s="420"/>
      <c r="G678" s="420"/>
      <c r="H678" s="420"/>
      <c r="I678" s="424"/>
      <c r="J678" s="424"/>
      <c r="K678" s="424"/>
      <c r="L678" s="424"/>
    </row>
    <row r="679" spans="2:12">
      <c r="B679" s="420"/>
      <c r="C679" s="420"/>
      <c r="D679" s="420"/>
      <c r="E679" s="420"/>
      <c r="F679" s="420"/>
      <c r="G679" s="420"/>
      <c r="H679" s="420"/>
      <c r="I679" s="424"/>
      <c r="J679" s="424"/>
      <c r="K679" s="424"/>
      <c r="L679" s="424"/>
    </row>
    <row r="680" spans="2:12">
      <c r="B680" s="420"/>
      <c r="C680" s="420"/>
      <c r="D680" s="420"/>
      <c r="E680" s="420"/>
      <c r="F680" s="420"/>
      <c r="G680" s="420"/>
      <c r="H680" s="420"/>
      <c r="I680" s="424"/>
      <c r="J680" s="424"/>
      <c r="K680" s="424"/>
      <c r="L680" s="424"/>
    </row>
    <row r="681" spans="2:12">
      <c r="B681" s="420"/>
      <c r="C681" s="420"/>
      <c r="D681" s="420"/>
      <c r="E681" s="420"/>
      <c r="F681" s="420"/>
      <c r="G681" s="420"/>
      <c r="H681" s="420"/>
      <c r="I681" s="424"/>
      <c r="J681" s="424"/>
      <c r="K681" s="424"/>
      <c r="L681" s="424"/>
    </row>
    <row r="682" spans="2:12">
      <c r="B682" s="420"/>
      <c r="C682" s="420"/>
      <c r="D682" s="420"/>
      <c r="E682" s="420"/>
      <c r="F682" s="420"/>
      <c r="G682" s="420"/>
      <c r="H682" s="420"/>
      <c r="I682" s="424"/>
      <c r="J682" s="424"/>
      <c r="K682" s="424"/>
      <c r="L682" s="424"/>
    </row>
    <row r="683" spans="2:12">
      <c r="B683" s="420"/>
      <c r="C683" s="420"/>
      <c r="D683" s="420"/>
      <c r="E683" s="420"/>
      <c r="F683" s="420"/>
      <c r="G683" s="420"/>
      <c r="H683" s="420"/>
      <c r="I683" s="424"/>
      <c r="J683" s="424"/>
      <c r="K683" s="424"/>
      <c r="L683" s="424"/>
    </row>
    <row r="684" spans="2:12">
      <c r="B684" s="420"/>
      <c r="C684" s="420"/>
      <c r="D684" s="420"/>
      <c r="E684" s="420"/>
      <c r="F684" s="420"/>
      <c r="G684" s="420"/>
      <c r="H684" s="420"/>
      <c r="I684" s="424"/>
      <c r="J684" s="424"/>
      <c r="K684" s="424"/>
      <c r="L684" s="424"/>
    </row>
    <row r="685" spans="2:12">
      <c r="B685" s="420"/>
      <c r="C685" s="420"/>
      <c r="D685" s="420"/>
      <c r="E685" s="420"/>
      <c r="F685" s="420"/>
      <c r="G685" s="420"/>
      <c r="H685" s="420"/>
      <c r="I685" s="424"/>
      <c r="J685" s="424"/>
      <c r="K685" s="424"/>
      <c r="L685" s="424"/>
    </row>
    <row r="686" spans="2:12">
      <c r="B686" s="420"/>
      <c r="C686" s="420"/>
      <c r="D686" s="420"/>
      <c r="E686" s="420"/>
      <c r="F686" s="420"/>
      <c r="G686" s="420"/>
      <c r="H686" s="420"/>
      <c r="I686" s="424"/>
      <c r="J686" s="424"/>
      <c r="K686" s="424"/>
      <c r="L686" s="424"/>
    </row>
    <row r="687" spans="2:12">
      <c r="B687" s="420"/>
      <c r="C687" s="420"/>
      <c r="D687" s="420"/>
      <c r="E687" s="420"/>
      <c r="F687" s="420"/>
      <c r="G687" s="420"/>
      <c r="H687" s="420"/>
      <c r="I687" s="424"/>
      <c r="J687" s="424"/>
      <c r="K687" s="424"/>
      <c r="L687" s="424"/>
    </row>
    <row r="688" spans="2:12">
      <c r="B688" s="420"/>
      <c r="C688" s="420"/>
      <c r="D688" s="420"/>
      <c r="E688" s="420"/>
      <c r="F688" s="420"/>
      <c r="G688" s="420"/>
      <c r="H688" s="420"/>
      <c r="I688" s="424"/>
      <c r="J688" s="424"/>
      <c r="K688" s="424"/>
      <c r="L688" s="424"/>
    </row>
    <row r="689" spans="2:12">
      <c r="B689" s="420"/>
      <c r="C689" s="420"/>
      <c r="D689" s="420"/>
      <c r="E689" s="420"/>
      <c r="F689" s="420"/>
      <c r="G689" s="420"/>
      <c r="H689" s="420"/>
      <c r="I689" s="424"/>
      <c r="J689" s="424"/>
      <c r="K689" s="424"/>
      <c r="L689" s="424"/>
    </row>
    <row r="690" spans="2:12">
      <c r="B690" s="420"/>
      <c r="C690" s="420"/>
      <c r="D690" s="420"/>
      <c r="E690" s="420"/>
      <c r="F690" s="420"/>
      <c r="G690" s="420"/>
      <c r="H690" s="420"/>
      <c r="I690" s="424"/>
      <c r="J690" s="424"/>
      <c r="K690" s="424"/>
      <c r="L690" s="424"/>
    </row>
    <row r="691" spans="2:12">
      <c r="B691" s="420"/>
      <c r="C691" s="420"/>
      <c r="D691" s="420"/>
      <c r="E691" s="420"/>
      <c r="F691" s="420"/>
      <c r="G691" s="420"/>
      <c r="H691" s="420"/>
      <c r="I691" s="424"/>
      <c r="J691" s="424"/>
      <c r="K691" s="424"/>
      <c r="L691" s="424"/>
    </row>
    <row r="692" spans="2:12">
      <c r="B692" s="420"/>
      <c r="C692" s="420"/>
      <c r="D692" s="420"/>
      <c r="E692" s="420"/>
      <c r="F692" s="420"/>
      <c r="G692" s="420"/>
      <c r="H692" s="420"/>
      <c r="I692" s="424"/>
      <c r="J692" s="424"/>
      <c r="K692" s="424"/>
      <c r="L692" s="424"/>
    </row>
    <row r="693" spans="2:12">
      <c r="B693" s="420"/>
      <c r="C693" s="420"/>
      <c r="D693" s="420"/>
      <c r="E693" s="420"/>
      <c r="F693" s="420"/>
      <c r="G693" s="420"/>
      <c r="H693" s="420"/>
      <c r="I693" s="424"/>
      <c r="J693" s="424"/>
      <c r="K693" s="424"/>
      <c r="L693" s="424"/>
    </row>
    <row r="694" spans="2:12">
      <c r="B694" s="420"/>
      <c r="C694" s="420"/>
      <c r="D694" s="420"/>
      <c r="E694" s="420"/>
      <c r="F694" s="420"/>
      <c r="G694" s="420"/>
      <c r="H694" s="420"/>
      <c r="I694" s="424"/>
      <c r="J694" s="424"/>
      <c r="K694" s="424"/>
      <c r="L694" s="424"/>
    </row>
    <row r="695" spans="2:12">
      <c r="B695" s="420"/>
      <c r="C695" s="420"/>
      <c r="D695" s="420"/>
      <c r="E695" s="420"/>
      <c r="F695" s="420"/>
      <c r="G695" s="420"/>
      <c r="H695" s="420"/>
      <c r="I695" s="424"/>
      <c r="J695" s="424"/>
      <c r="K695" s="424"/>
      <c r="L695" s="424"/>
    </row>
    <row r="696" spans="2:12">
      <c r="B696" s="420"/>
      <c r="C696" s="420"/>
      <c r="D696" s="420"/>
      <c r="E696" s="420"/>
      <c r="F696" s="420"/>
      <c r="G696" s="420"/>
      <c r="H696" s="420"/>
      <c r="I696" s="424"/>
      <c r="J696" s="424"/>
      <c r="K696" s="424"/>
      <c r="L696" s="424"/>
    </row>
    <row r="697" spans="2:12">
      <c r="B697" s="420"/>
      <c r="C697" s="420"/>
      <c r="D697" s="420"/>
      <c r="E697" s="420"/>
      <c r="F697" s="420"/>
      <c r="G697" s="420"/>
      <c r="H697" s="420"/>
      <c r="I697" s="424"/>
      <c r="J697" s="424"/>
      <c r="K697" s="424"/>
      <c r="L697" s="424"/>
    </row>
    <row r="698" spans="2:12">
      <c r="B698" s="420"/>
      <c r="C698" s="420"/>
      <c r="D698" s="420"/>
      <c r="E698" s="420"/>
      <c r="F698" s="420"/>
      <c r="G698" s="420"/>
      <c r="H698" s="420"/>
      <c r="I698" s="424"/>
      <c r="J698" s="424"/>
      <c r="K698" s="424"/>
      <c r="L698" s="424"/>
    </row>
    <row r="699" spans="2:12">
      <c r="B699" s="420"/>
      <c r="C699" s="420"/>
      <c r="D699" s="420"/>
      <c r="E699" s="420"/>
      <c r="F699" s="420"/>
      <c r="G699" s="420"/>
      <c r="H699" s="420"/>
      <c r="I699" s="424"/>
      <c r="J699" s="424"/>
      <c r="K699" s="424"/>
      <c r="L699" s="424"/>
    </row>
    <row r="700" spans="2:12">
      <c r="B700" s="420"/>
      <c r="C700" s="420"/>
      <c r="D700" s="420"/>
      <c r="E700" s="420"/>
      <c r="F700" s="420"/>
      <c r="G700" s="420"/>
      <c r="H700" s="420"/>
      <c r="I700" s="424"/>
      <c r="J700" s="424"/>
      <c r="K700" s="424"/>
      <c r="L700" s="424"/>
    </row>
    <row r="701" spans="2:12">
      <c r="B701" s="420"/>
      <c r="C701" s="420"/>
      <c r="D701" s="420"/>
      <c r="E701" s="420"/>
      <c r="F701" s="420"/>
      <c r="G701" s="420"/>
      <c r="H701" s="420"/>
      <c r="I701" s="424"/>
      <c r="J701" s="424"/>
      <c r="K701" s="424"/>
      <c r="L701" s="424"/>
    </row>
    <row r="702" spans="2:12">
      <c r="B702" s="420"/>
      <c r="C702" s="420"/>
      <c r="D702" s="420"/>
      <c r="E702" s="420"/>
      <c r="F702" s="420"/>
      <c r="G702" s="420"/>
      <c r="H702" s="420"/>
      <c r="I702" s="424"/>
      <c r="J702" s="424"/>
      <c r="K702" s="424"/>
      <c r="L702" s="424"/>
    </row>
    <row r="703" spans="2:12">
      <c r="B703" s="420"/>
      <c r="C703" s="420"/>
      <c r="D703" s="420"/>
      <c r="E703" s="420"/>
      <c r="F703" s="420"/>
      <c r="G703" s="420"/>
      <c r="H703" s="420"/>
      <c r="I703" s="424"/>
      <c r="J703" s="424"/>
      <c r="K703" s="424"/>
      <c r="L703" s="424"/>
    </row>
    <row r="704" spans="2:12">
      <c r="B704" s="420"/>
      <c r="C704" s="420"/>
      <c r="D704" s="420"/>
      <c r="E704" s="420"/>
      <c r="F704" s="420"/>
      <c r="G704" s="420"/>
      <c r="H704" s="420"/>
      <c r="I704" s="424"/>
      <c r="J704" s="424"/>
      <c r="K704" s="424"/>
      <c r="L704" s="424"/>
    </row>
    <row r="705" spans="2:12">
      <c r="B705" s="420"/>
      <c r="C705" s="420"/>
      <c r="D705" s="420"/>
      <c r="E705" s="420"/>
      <c r="F705" s="420"/>
      <c r="G705" s="420"/>
      <c r="H705" s="420"/>
      <c r="I705" s="424"/>
      <c r="J705" s="424"/>
      <c r="K705" s="424"/>
      <c r="L705" s="424"/>
    </row>
    <row r="706" spans="2:12">
      <c r="B706" s="420"/>
      <c r="C706" s="420"/>
      <c r="D706" s="420"/>
      <c r="E706" s="420"/>
      <c r="F706" s="420"/>
      <c r="G706" s="420"/>
      <c r="H706" s="420"/>
      <c r="I706" s="424"/>
      <c r="J706" s="424"/>
      <c r="K706" s="424"/>
      <c r="L706" s="424"/>
    </row>
    <row r="707" spans="2:12">
      <c r="B707" s="420"/>
      <c r="C707" s="420"/>
      <c r="D707" s="420"/>
      <c r="E707" s="420"/>
      <c r="F707" s="420"/>
      <c r="G707" s="420"/>
      <c r="H707" s="420"/>
      <c r="I707" s="424"/>
      <c r="J707" s="424"/>
      <c r="K707" s="424"/>
      <c r="L707" s="424"/>
    </row>
    <row r="708" spans="2:12">
      <c r="B708" s="420"/>
      <c r="C708" s="420"/>
      <c r="D708" s="420"/>
      <c r="E708" s="420"/>
      <c r="F708" s="420"/>
      <c r="G708" s="420"/>
      <c r="H708" s="420"/>
      <c r="I708" s="424"/>
      <c r="J708" s="424"/>
      <c r="K708" s="424"/>
      <c r="L708" s="424"/>
    </row>
    <row r="709" spans="2:12">
      <c r="B709" s="420"/>
      <c r="C709" s="420"/>
      <c r="D709" s="420"/>
      <c r="E709" s="420"/>
      <c r="F709" s="420"/>
      <c r="G709" s="420"/>
      <c r="H709" s="420"/>
      <c r="I709" s="424"/>
      <c r="J709" s="424"/>
      <c r="K709" s="424"/>
      <c r="L709" s="424"/>
    </row>
    <row r="710" spans="2:12">
      <c r="B710" s="420"/>
      <c r="C710" s="420"/>
      <c r="D710" s="420"/>
      <c r="E710" s="420"/>
      <c r="F710" s="420"/>
      <c r="G710" s="420"/>
      <c r="H710" s="420"/>
      <c r="I710" s="424"/>
      <c r="J710" s="424"/>
      <c r="K710" s="424"/>
      <c r="L710" s="424"/>
    </row>
    <row r="711" spans="2:12">
      <c r="B711" s="420"/>
      <c r="C711" s="420"/>
      <c r="D711" s="420"/>
      <c r="E711" s="420"/>
      <c r="F711" s="420"/>
      <c r="G711" s="420"/>
      <c r="H711" s="420"/>
      <c r="I711" s="424"/>
      <c r="J711" s="424"/>
      <c r="K711" s="424"/>
      <c r="L711" s="424"/>
    </row>
    <row r="712" spans="2:12">
      <c r="B712" s="420"/>
      <c r="C712" s="420"/>
      <c r="D712" s="420"/>
      <c r="E712" s="420"/>
      <c r="F712" s="420"/>
      <c r="G712" s="420"/>
      <c r="H712" s="420"/>
      <c r="I712" s="424"/>
      <c r="J712" s="424"/>
      <c r="K712" s="424"/>
      <c r="L712" s="424"/>
    </row>
    <row r="713" spans="2:12">
      <c r="B713" s="420"/>
      <c r="C713" s="420"/>
      <c r="D713" s="420"/>
      <c r="E713" s="420"/>
      <c r="F713" s="420"/>
      <c r="G713" s="420"/>
      <c r="H713" s="420"/>
      <c r="I713" s="424"/>
      <c r="J713" s="424"/>
      <c r="K713" s="424"/>
      <c r="L713" s="424"/>
    </row>
    <row r="714" spans="2:12">
      <c r="B714" s="420"/>
      <c r="C714" s="420"/>
      <c r="D714" s="420"/>
      <c r="E714" s="420"/>
      <c r="F714" s="420"/>
      <c r="G714" s="420"/>
      <c r="H714" s="420"/>
      <c r="I714" s="424"/>
      <c r="J714" s="424"/>
      <c r="K714" s="424"/>
      <c r="L714" s="424"/>
    </row>
    <row r="715" spans="2:12">
      <c r="B715" s="420"/>
      <c r="C715" s="420"/>
      <c r="D715" s="420"/>
      <c r="E715" s="420"/>
      <c r="F715" s="420"/>
      <c r="G715" s="420"/>
      <c r="H715" s="420"/>
      <c r="I715" s="424"/>
      <c r="J715" s="424"/>
      <c r="K715" s="424"/>
      <c r="L715" s="424"/>
    </row>
    <row r="716" spans="2:12">
      <c r="B716" s="420"/>
      <c r="C716" s="420"/>
      <c r="D716" s="420"/>
      <c r="E716" s="420"/>
      <c r="F716" s="420"/>
      <c r="G716" s="420"/>
      <c r="H716" s="420"/>
      <c r="I716" s="424"/>
      <c r="J716" s="424"/>
      <c r="K716" s="424"/>
      <c r="L716" s="424"/>
    </row>
    <row r="717" spans="2:12">
      <c r="B717" s="420"/>
      <c r="C717" s="420"/>
      <c r="D717" s="420"/>
      <c r="E717" s="420"/>
      <c r="F717" s="420"/>
      <c r="G717" s="420"/>
      <c r="H717" s="420"/>
      <c r="I717" s="424"/>
      <c r="J717" s="424"/>
      <c r="K717" s="424"/>
      <c r="L717" s="424"/>
    </row>
    <row r="718" spans="2:12">
      <c r="B718" s="420"/>
      <c r="C718" s="420"/>
      <c r="D718" s="420"/>
      <c r="E718" s="420"/>
      <c r="F718" s="420"/>
      <c r="G718" s="420"/>
      <c r="H718" s="420"/>
      <c r="I718" s="424"/>
      <c r="J718" s="424"/>
      <c r="K718" s="424"/>
      <c r="L718" s="424"/>
    </row>
    <row r="719" spans="2:12">
      <c r="B719" s="420"/>
      <c r="C719" s="420"/>
      <c r="D719" s="420"/>
      <c r="E719" s="420"/>
      <c r="F719" s="420"/>
      <c r="G719" s="420"/>
      <c r="H719" s="420"/>
      <c r="I719" s="424"/>
      <c r="J719" s="424"/>
      <c r="K719" s="424"/>
      <c r="L719" s="424"/>
    </row>
    <row r="720" spans="2:12">
      <c r="B720" s="420"/>
      <c r="C720" s="420"/>
      <c r="D720" s="420"/>
      <c r="E720" s="420"/>
      <c r="F720" s="420"/>
      <c r="G720" s="420"/>
      <c r="H720" s="420"/>
      <c r="I720" s="424"/>
      <c r="J720" s="424"/>
      <c r="K720" s="424"/>
      <c r="L720" s="424"/>
    </row>
    <row r="721" spans="2:12">
      <c r="B721" s="420"/>
      <c r="C721" s="420"/>
      <c r="D721" s="420"/>
      <c r="E721" s="420"/>
      <c r="F721" s="420"/>
      <c r="G721" s="420"/>
      <c r="H721" s="420"/>
      <c r="I721" s="424"/>
      <c r="J721" s="424"/>
      <c r="K721" s="424"/>
      <c r="L721" s="424"/>
    </row>
    <row r="722" spans="2:12">
      <c r="B722" s="420"/>
      <c r="C722" s="420"/>
      <c r="D722" s="420"/>
      <c r="E722" s="420"/>
      <c r="F722" s="420"/>
      <c r="G722" s="420"/>
      <c r="H722" s="420"/>
      <c r="I722" s="424"/>
      <c r="J722" s="424"/>
      <c r="K722" s="424"/>
      <c r="L722" s="424"/>
    </row>
    <row r="723" spans="2:12">
      <c r="B723" s="420"/>
      <c r="C723" s="420"/>
      <c r="D723" s="420"/>
      <c r="E723" s="420"/>
      <c r="F723" s="420"/>
      <c r="G723" s="420"/>
      <c r="H723" s="420"/>
      <c r="I723" s="424"/>
      <c r="J723" s="424"/>
      <c r="K723" s="424"/>
      <c r="L723" s="424"/>
    </row>
    <row r="724" spans="2:12">
      <c r="B724" s="420"/>
      <c r="C724" s="420"/>
      <c r="D724" s="420"/>
      <c r="E724" s="420"/>
      <c r="F724" s="420"/>
      <c r="G724" s="420"/>
      <c r="H724" s="420"/>
      <c r="I724" s="424"/>
      <c r="J724" s="424"/>
      <c r="K724" s="424"/>
      <c r="L724" s="424"/>
    </row>
    <row r="725" spans="2:12">
      <c r="B725" s="420"/>
      <c r="C725" s="420"/>
      <c r="D725" s="420"/>
      <c r="E725" s="420"/>
      <c r="F725" s="420"/>
      <c r="G725" s="420"/>
      <c r="H725" s="420"/>
      <c r="I725" s="424"/>
      <c r="J725" s="424"/>
      <c r="K725" s="424"/>
      <c r="L725" s="424"/>
    </row>
    <row r="726" spans="2:12">
      <c r="B726" s="420"/>
      <c r="C726" s="420"/>
      <c r="D726" s="420"/>
      <c r="E726" s="420"/>
      <c r="F726" s="420"/>
      <c r="G726" s="420"/>
      <c r="H726" s="420"/>
      <c r="I726" s="424"/>
      <c r="J726" s="424"/>
      <c r="K726" s="424"/>
      <c r="L726" s="424"/>
    </row>
    <row r="727" spans="2:12">
      <c r="B727" s="420"/>
      <c r="C727" s="420"/>
      <c r="D727" s="420"/>
      <c r="E727" s="420"/>
      <c r="F727" s="420"/>
      <c r="G727" s="420"/>
      <c r="H727" s="420"/>
      <c r="I727" s="424"/>
      <c r="J727" s="424"/>
      <c r="K727" s="424"/>
      <c r="L727" s="424"/>
    </row>
    <row r="728" spans="2:12">
      <c r="B728" s="420"/>
      <c r="C728" s="420"/>
      <c r="D728" s="420"/>
      <c r="E728" s="420"/>
      <c r="F728" s="420"/>
      <c r="G728" s="420"/>
      <c r="H728" s="420"/>
      <c r="I728" s="424"/>
      <c r="J728" s="424"/>
      <c r="K728" s="424"/>
      <c r="L728" s="424"/>
    </row>
    <row r="729" spans="2:12">
      <c r="B729" s="420"/>
      <c r="C729" s="420"/>
      <c r="D729" s="420"/>
      <c r="E729" s="420"/>
      <c r="F729" s="420"/>
      <c r="G729" s="420"/>
      <c r="H729" s="420"/>
      <c r="I729" s="424"/>
      <c r="J729" s="424"/>
      <c r="K729" s="424"/>
      <c r="L729" s="424"/>
    </row>
    <row r="730" spans="2:12">
      <c r="B730" s="420"/>
      <c r="C730" s="420"/>
      <c r="D730" s="420"/>
      <c r="E730" s="420"/>
      <c r="F730" s="420"/>
      <c r="G730" s="420"/>
      <c r="H730" s="420"/>
      <c r="I730" s="424"/>
      <c r="J730" s="424"/>
      <c r="K730" s="424"/>
      <c r="L730" s="424"/>
    </row>
    <row r="731" spans="2:12">
      <c r="B731" s="420"/>
      <c r="C731" s="420"/>
      <c r="D731" s="420"/>
      <c r="E731" s="420"/>
      <c r="F731" s="420"/>
      <c r="G731" s="420"/>
      <c r="H731" s="420"/>
      <c r="I731" s="424"/>
      <c r="J731" s="424"/>
      <c r="K731" s="424"/>
      <c r="L731" s="424"/>
    </row>
    <row r="732" spans="2:12">
      <c r="B732" s="420"/>
      <c r="C732" s="420"/>
      <c r="D732" s="420"/>
      <c r="E732" s="420"/>
      <c r="F732" s="420"/>
      <c r="G732" s="420"/>
      <c r="H732" s="420"/>
      <c r="I732" s="424"/>
      <c r="J732" s="424"/>
      <c r="K732" s="424"/>
      <c r="L732" s="424"/>
    </row>
    <row r="733" spans="2:12">
      <c r="B733" s="420"/>
      <c r="C733" s="420"/>
      <c r="D733" s="420"/>
      <c r="E733" s="420"/>
      <c r="F733" s="420"/>
      <c r="G733" s="420"/>
      <c r="H733" s="420"/>
      <c r="I733" s="424"/>
      <c r="J733" s="424"/>
      <c r="K733" s="424"/>
      <c r="L733" s="424"/>
    </row>
    <row r="734" spans="2:12">
      <c r="B734" s="420"/>
      <c r="C734" s="420"/>
      <c r="D734" s="420"/>
      <c r="E734" s="420"/>
      <c r="F734" s="420"/>
      <c r="G734" s="420"/>
      <c r="H734" s="420"/>
      <c r="I734" s="424"/>
      <c r="J734" s="424"/>
      <c r="K734" s="424"/>
      <c r="L734" s="424"/>
    </row>
    <row r="735" spans="2:12">
      <c r="B735" s="420"/>
      <c r="C735" s="420"/>
      <c r="D735" s="420"/>
      <c r="E735" s="420"/>
      <c r="F735" s="420"/>
      <c r="G735" s="420"/>
      <c r="H735" s="420"/>
      <c r="I735" s="424"/>
      <c r="J735" s="424"/>
      <c r="K735" s="424"/>
      <c r="L735" s="424"/>
    </row>
    <row r="736" spans="2:12">
      <c r="B736" s="420"/>
      <c r="C736" s="420"/>
      <c r="D736" s="420"/>
      <c r="E736" s="420"/>
      <c r="F736" s="420"/>
      <c r="G736" s="420"/>
      <c r="H736" s="420"/>
      <c r="I736" s="424"/>
      <c r="J736" s="424"/>
      <c r="K736" s="424"/>
      <c r="L736" s="424"/>
    </row>
    <row r="737" spans="2:12">
      <c r="B737" s="420"/>
      <c r="C737" s="420"/>
      <c r="D737" s="420"/>
      <c r="E737" s="420"/>
      <c r="F737" s="420"/>
      <c r="G737" s="420"/>
      <c r="H737" s="420"/>
      <c r="I737" s="424"/>
      <c r="J737" s="424"/>
      <c r="K737" s="424"/>
      <c r="L737" s="424"/>
    </row>
    <row r="738" spans="2:12">
      <c r="B738" s="420"/>
      <c r="C738" s="420"/>
      <c r="D738" s="420"/>
      <c r="E738" s="420"/>
      <c r="F738" s="420"/>
      <c r="G738" s="420"/>
      <c r="H738" s="420"/>
      <c r="I738" s="424"/>
      <c r="J738" s="424"/>
      <c r="K738" s="424"/>
      <c r="L738" s="424"/>
    </row>
    <row r="739" spans="2:12">
      <c r="B739" s="420"/>
      <c r="C739" s="420"/>
      <c r="D739" s="420"/>
      <c r="E739" s="420"/>
      <c r="F739" s="420"/>
      <c r="G739" s="420"/>
      <c r="H739" s="420"/>
      <c r="I739" s="424"/>
      <c r="J739" s="424"/>
      <c r="K739" s="424"/>
      <c r="L739" s="424"/>
    </row>
    <row r="740" spans="2:12">
      <c r="B740" s="420"/>
      <c r="C740" s="420"/>
      <c r="D740" s="420"/>
      <c r="E740" s="420"/>
      <c r="F740" s="420"/>
      <c r="G740" s="420"/>
      <c r="H740" s="420"/>
      <c r="I740" s="424"/>
      <c r="J740" s="424"/>
      <c r="K740" s="424"/>
      <c r="L740" s="424"/>
    </row>
    <row r="741" spans="2:12">
      <c r="B741" s="420"/>
      <c r="C741" s="420"/>
      <c r="D741" s="420"/>
      <c r="E741" s="420"/>
      <c r="F741" s="420"/>
      <c r="G741" s="420"/>
      <c r="H741" s="420"/>
      <c r="I741" s="424"/>
      <c r="J741" s="424"/>
      <c r="K741" s="424"/>
      <c r="L741" s="424"/>
    </row>
    <row r="742" spans="2:12">
      <c r="B742" s="420"/>
      <c r="C742" s="420"/>
      <c r="D742" s="420"/>
      <c r="E742" s="420"/>
      <c r="F742" s="420"/>
      <c r="G742" s="420"/>
      <c r="H742" s="420"/>
      <c r="I742" s="424"/>
      <c r="J742" s="424"/>
      <c r="K742" s="424"/>
      <c r="L742" s="424"/>
    </row>
    <row r="743" spans="2:12">
      <c r="B743" s="420"/>
      <c r="C743" s="420"/>
      <c r="D743" s="420"/>
      <c r="E743" s="420"/>
      <c r="F743" s="420"/>
      <c r="G743" s="420"/>
      <c r="H743" s="420"/>
      <c r="I743" s="424"/>
      <c r="J743" s="424"/>
      <c r="K743" s="424"/>
      <c r="L743" s="424"/>
    </row>
    <row r="744" spans="2:12">
      <c r="B744" s="420"/>
      <c r="C744" s="420"/>
      <c r="D744" s="420"/>
      <c r="E744" s="420"/>
      <c r="F744" s="420"/>
      <c r="G744" s="420"/>
      <c r="H744" s="420"/>
      <c r="I744" s="424"/>
      <c r="J744" s="424"/>
      <c r="K744" s="424"/>
      <c r="L744" s="424"/>
    </row>
    <row r="745" spans="2:12">
      <c r="B745" s="420"/>
      <c r="C745" s="420"/>
      <c r="D745" s="420"/>
      <c r="E745" s="420"/>
      <c r="F745" s="420"/>
      <c r="G745" s="420"/>
      <c r="H745" s="420"/>
      <c r="I745" s="424"/>
      <c r="J745" s="424"/>
      <c r="K745" s="424"/>
      <c r="L745" s="424"/>
    </row>
    <row r="746" spans="2:12">
      <c r="B746" s="420"/>
      <c r="C746" s="420"/>
      <c r="D746" s="420"/>
      <c r="E746" s="420"/>
      <c r="F746" s="420"/>
      <c r="G746" s="420"/>
      <c r="H746" s="420"/>
      <c r="I746" s="424"/>
      <c r="J746" s="424"/>
      <c r="K746" s="424"/>
      <c r="L746" s="424"/>
    </row>
    <row r="747" spans="2:12">
      <c r="B747" s="420"/>
      <c r="C747" s="420"/>
      <c r="D747" s="420"/>
      <c r="E747" s="420"/>
      <c r="F747" s="420"/>
      <c r="G747" s="420"/>
      <c r="H747" s="420"/>
      <c r="I747" s="424"/>
      <c r="J747" s="424"/>
      <c r="K747" s="424"/>
      <c r="L747" s="424"/>
    </row>
    <row r="748" spans="2:12">
      <c r="B748" s="420"/>
      <c r="C748" s="420"/>
      <c r="D748" s="420"/>
      <c r="E748" s="420"/>
      <c r="F748" s="420"/>
      <c r="G748" s="420"/>
      <c r="H748" s="420"/>
      <c r="I748" s="424"/>
      <c r="J748" s="424"/>
      <c r="K748" s="424"/>
      <c r="L748" s="424"/>
    </row>
    <row r="749" spans="2:12">
      <c r="B749" s="420"/>
      <c r="C749" s="420"/>
      <c r="D749" s="420"/>
      <c r="E749" s="420"/>
      <c r="F749" s="420"/>
      <c r="G749" s="420"/>
      <c r="H749" s="420"/>
      <c r="I749" s="424"/>
      <c r="J749" s="424"/>
      <c r="K749" s="424"/>
      <c r="L749" s="424"/>
    </row>
    <row r="750" spans="2:12">
      <c r="B750" s="420"/>
      <c r="C750" s="420"/>
      <c r="D750" s="420"/>
      <c r="E750" s="420"/>
      <c r="F750" s="420"/>
      <c r="G750" s="420"/>
      <c r="H750" s="420"/>
      <c r="I750" s="424"/>
      <c r="J750" s="424"/>
      <c r="K750" s="424"/>
      <c r="L750" s="424"/>
    </row>
    <row r="751" spans="2:12">
      <c r="B751" s="420"/>
      <c r="C751" s="420"/>
      <c r="D751" s="420"/>
      <c r="E751" s="420"/>
      <c r="F751" s="420"/>
      <c r="G751" s="420"/>
      <c r="H751" s="420"/>
      <c r="I751" s="424"/>
      <c r="J751" s="424"/>
      <c r="K751" s="424"/>
      <c r="L751" s="424"/>
    </row>
    <row r="752" spans="2:12">
      <c r="B752" s="420"/>
      <c r="C752" s="420"/>
      <c r="D752" s="420"/>
      <c r="E752" s="420"/>
      <c r="F752" s="420"/>
      <c r="G752" s="420"/>
      <c r="H752" s="420"/>
      <c r="I752" s="424"/>
      <c r="J752" s="424"/>
      <c r="K752" s="424"/>
      <c r="L752" s="424"/>
    </row>
    <row r="753" spans="2:12">
      <c r="B753" s="420"/>
      <c r="C753" s="420"/>
      <c r="D753" s="420"/>
      <c r="E753" s="420"/>
      <c r="F753" s="420"/>
      <c r="G753" s="420"/>
      <c r="H753" s="420"/>
      <c r="I753" s="424"/>
      <c r="J753" s="424"/>
      <c r="K753" s="424"/>
      <c r="L753" s="424"/>
    </row>
    <row r="754" spans="2:12">
      <c r="B754" s="420"/>
      <c r="C754" s="420"/>
      <c r="D754" s="420"/>
      <c r="E754" s="420"/>
      <c r="F754" s="420"/>
      <c r="G754" s="420"/>
      <c r="H754" s="420"/>
      <c r="I754" s="424"/>
      <c r="J754" s="424"/>
      <c r="K754" s="424"/>
      <c r="L754" s="424"/>
    </row>
    <row r="755" spans="2:12">
      <c r="B755" s="420"/>
      <c r="C755" s="420"/>
      <c r="D755" s="420"/>
      <c r="E755" s="420"/>
      <c r="F755" s="420"/>
      <c r="G755" s="420"/>
      <c r="H755" s="420"/>
      <c r="I755" s="424"/>
      <c r="J755" s="424"/>
      <c r="K755" s="424"/>
      <c r="L755" s="424"/>
    </row>
    <row r="756" spans="2:12">
      <c r="B756" s="420"/>
      <c r="C756" s="420"/>
      <c r="D756" s="420"/>
      <c r="E756" s="420"/>
      <c r="F756" s="420"/>
      <c r="G756" s="420"/>
      <c r="H756" s="420"/>
      <c r="I756" s="424"/>
      <c r="J756" s="424"/>
      <c r="K756" s="424"/>
      <c r="L756" s="424"/>
    </row>
    <row r="757" spans="2:12">
      <c r="B757" s="420"/>
      <c r="C757" s="420"/>
      <c r="D757" s="420"/>
      <c r="E757" s="420"/>
      <c r="F757" s="420"/>
      <c r="G757" s="420"/>
      <c r="H757" s="420"/>
      <c r="I757" s="424"/>
      <c r="J757" s="424"/>
      <c r="K757" s="424"/>
      <c r="L757" s="424"/>
    </row>
    <row r="758" spans="2:12">
      <c r="B758" s="420"/>
      <c r="C758" s="420"/>
      <c r="D758" s="420"/>
      <c r="E758" s="420"/>
      <c r="F758" s="420"/>
      <c r="G758" s="420"/>
      <c r="H758" s="420"/>
      <c r="I758" s="424"/>
      <c r="J758" s="424"/>
      <c r="K758" s="424"/>
      <c r="L758" s="424"/>
    </row>
    <row r="759" spans="2:12">
      <c r="B759" s="420"/>
      <c r="C759" s="420"/>
      <c r="D759" s="420"/>
      <c r="E759" s="420"/>
      <c r="F759" s="420"/>
      <c r="G759" s="420"/>
      <c r="H759" s="420"/>
      <c r="I759" s="424"/>
      <c r="J759" s="424"/>
      <c r="K759" s="424"/>
      <c r="L759" s="424"/>
    </row>
    <row r="760" spans="2:12">
      <c r="B760" s="420"/>
      <c r="C760" s="420"/>
      <c r="D760" s="420"/>
      <c r="E760" s="420"/>
      <c r="F760" s="420"/>
      <c r="G760" s="420"/>
      <c r="H760" s="420"/>
      <c r="I760" s="424"/>
      <c r="J760" s="424"/>
      <c r="K760" s="424"/>
      <c r="L760" s="424"/>
    </row>
    <row r="761" spans="2:12">
      <c r="B761" s="420"/>
      <c r="C761" s="420"/>
      <c r="D761" s="420"/>
      <c r="E761" s="420"/>
      <c r="F761" s="420"/>
      <c r="G761" s="420"/>
      <c r="H761" s="420"/>
      <c r="I761" s="424"/>
      <c r="J761" s="424"/>
      <c r="K761" s="424"/>
      <c r="L761" s="424"/>
    </row>
    <row r="762" spans="2:12">
      <c r="B762" s="420"/>
      <c r="C762" s="420"/>
      <c r="D762" s="420"/>
      <c r="E762" s="420"/>
      <c r="F762" s="420"/>
      <c r="G762" s="420"/>
      <c r="H762" s="420"/>
      <c r="I762" s="424"/>
      <c r="J762" s="424"/>
      <c r="K762" s="424"/>
      <c r="L762" s="424"/>
    </row>
    <row r="763" spans="2:12">
      <c r="B763" s="420"/>
      <c r="C763" s="420"/>
      <c r="D763" s="420"/>
      <c r="E763" s="420"/>
      <c r="F763" s="420"/>
      <c r="G763" s="420"/>
      <c r="H763" s="420"/>
      <c r="I763" s="424"/>
      <c r="J763" s="424"/>
      <c r="K763" s="424"/>
      <c r="L763" s="424"/>
    </row>
    <row r="764" spans="2:12">
      <c r="B764" s="420"/>
      <c r="C764" s="420"/>
      <c r="D764" s="420"/>
      <c r="E764" s="420"/>
      <c r="F764" s="420"/>
      <c r="G764" s="420"/>
      <c r="H764" s="420"/>
      <c r="I764" s="424"/>
      <c r="J764" s="424"/>
      <c r="K764" s="424"/>
      <c r="L764" s="424"/>
    </row>
    <row r="765" spans="2:12">
      <c r="B765" s="420"/>
      <c r="C765" s="420"/>
      <c r="D765" s="420"/>
      <c r="E765" s="420"/>
      <c r="F765" s="420"/>
      <c r="G765" s="420"/>
      <c r="H765" s="420"/>
      <c r="I765" s="424"/>
      <c r="J765" s="424"/>
      <c r="K765" s="424"/>
      <c r="L765" s="424"/>
    </row>
    <row r="766" spans="2:12">
      <c r="B766" s="420"/>
      <c r="C766" s="420"/>
      <c r="D766" s="420"/>
      <c r="E766" s="420"/>
      <c r="F766" s="420"/>
      <c r="G766" s="420"/>
      <c r="H766" s="420"/>
      <c r="I766" s="424"/>
      <c r="J766" s="424"/>
      <c r="K766" s="424"/>
      <c r="L766" s="424"/>
    </row>
    <row r="767" spans="2:12">
      <c r="B767" s="420"/>
      <c r="C767" s="420"/>
      <c r="D767" s="420"/>
      <c r="E767" s="420"/>
      <c r="F767" s="420"/>
      <c r="G767" s="420"/>
      <c r="H767" s="420"/>
      <c r="I767" s="424"/>
      <c r="J767" s="424"/>
      <c r="K767" s="424"/>
      <c r="L767" s="424"/>
    </row>
    <row r="768" spans="2:12">
      <c r="B768" s="420"/>
      <c r="C768" s="420"/>
      <c r="D768" s="420"/>
      <c r="E768" s="420"/>
      <c r="F768" s="420"/>
      <c r="G768" s="420"/>
      <c r="H768" s="420"/>
      <c r="I768" s="424"/>
      <c r="J768" s="424"/>
      <c r="K768" s="424"/>
      <c r="L768" s="424"/>
    </row>
    <row r="769" spans="2:12">
      <c r="B769" s="420"/>
      <c r="C769" s="420"/>
      <c r="D769" s="420"/>
      <c r="E769" s="420"/>
      <c r="F769" s="420"/>
      <c r="G769" s="420"/>
      <c r="H769" s="420"/>
      <c r="I769" s="424"/>
      <c r="J769" s="424"/>
      <c r="K769" s="424"/>
      <c r="L769" s="424"/>
    </row>
    <row r="770" spans="2:12">
      <c r="B770" s="420"/>
      <c r="C770" s="420"/>
      <c r="D770" s="420"/>
      <c r="E770" s="420"/>
      <c r="F770" s="420"/>
      <c r="G770" s="420"/>
      <c r="H770" s="420"/>
      <c r="I770" s="424"/>
      <c r="J770" s="424"/>
      <c r="K770" s="424"/>
      <c r="L770" s="424"/>
    </row>
    <row r="771" spans="2:12">
      <c r="B771" s="420"/>
      <c r="C771" s="420"/>
      <c r="D771" s="420"/>
      <c r="E771" s="420"/>
      <c r="F771" s="420"/>
      <c r="G771" s="420"/>
      <c r="H771" s="420"/>
      <c r="I771" s="424"/>
      <c r="J771" s="424"/>
      <c r="K771" s="424"/>
      <c r="L771" s="424"/>
    </row>
    <row r="772" spans="2:12">
      <c r="B772" s="420"/>
      <c r="C772" s="420"/>
      <c r="D772" s="420"/>
      <c r="E772" s="420"/>
      <c r="F772" s="420"/>
      <c r="G772" s="420"/>
      <c r="H772" s="420"/>
      <c r="I772" s="424"/>
      <c r="J772" s="424"/>
      <c r="K772" s="424"/>
      <c r="L772" s="424"/>
    </row>
    <row r="773" spans="2:12">
      <c r="B773" s="420"/>
      <c r="C773" s="420"/>
      <c r="D773" s="420"/>
      <c r="E773" s="420"/>
      <c r="F773" s="420"/>
      <c r="G773" s="420"/>
      <c r="H773" s="420"/>
      <c r="I773" s="424"/>
      <c r="J773" s="424"/>
      <c r="K773" s="424"/>
      <c r="L773" s="424"/>
    </row>
    <row r="774" spans="2:12">
      <c r="B774" s="420"/>
      <c r="C774" s="420"/>
      <c r="D774" s="420"/>
      <c r="E774" s="420"/>
      <c r="F774" s="420"/>
      <c r="G774" s="420"/>
      <c r="H774" s="420"/>
      <c r="I774" s="424"/>
      <c r="J774" s="424"/>
      <c r="K774" s="424"/>
      <c r="L774" s="424"/>
    </row>
    <row r="775" spans="2:12">
      <c r="B775" s="420"/>
      <c r="C775" s="420"/>
      <c r="D775" s="420"/>
      <c r="E775" s="420"/>
      <c r="F775" s="420"/>
      <c r="G775" s="420"/>
      <c r="H775" s="420"/>
      <c r="I775" s="424"/>
      <c r="J775" s="424"/>
      <c r="K775" s="424"/>
      <c r="L775" s="424"/>
    </row>
    <row r="776" spans="2:12">
      <c r="B776" s="420"/>
      <c r="C776" s="420"/>
      <c r="D776" s="420"/>
      <c r="E776" s="420"/>
      <c r="F776" s="420"/>
      <c r="G776" s="420"/>
      <c r="H776" s="420"/>
      <c r="I776" s="424"/>
      <c r="J776" s="424"/>
      <c r="K776" s="424"/>
      <c r="L776" s="424"/>
    </row>
    <row r="777" spans="2:12">
      <c r="B777" s="420"/>
      <c r="C777" s="420"/>
      <c r="D777" s="420"/>
      <c r="E777" s="420"/>
      <c r="F777" s="420"/>
      <c r="G777" s="420"/>
      <c r="H777" s="420"/>
      <c r="I777" s="424"/>
      <c r="J777" s="424"/>
      <c r="K777" s="424"/>
      <c r="L777" s="424"/>
    </row>
    <row r="778" spans="2:12">
      <c r="B778" s="420"/>
      <c r="C778" s="420"/>
      <c r="D778" s="420"/>
      <c r="E778" s="420"/>
      <c r="F778" s="420"/>
      <c r="G778" s="420"/>
      <c r="H778" s="420"/>
      <c r="I778" s="424"/>
      <c r="J778" s="424"/>
      <c r="K778" s="424"/>
      <c r="L778" s="424"/>
    </row>
    <row r="779" spans="2:12">
      <c r="B779" s="420"/>
      <c r="C779" s="420"/>
      <c r="D779" s="420"/>
      <c r="E779" s="420"/>
      <c r="F779" s="420"/>
      <c r="G779" s="420"/>
      <c r="H779" s="420"/>
      <c r="I779" s="424"/>
      <c r="J779" s="424"/>
      <c r="K779" s="424"/>
      <c r="L779" s="424"/>
    </row>
    <row r="780" spans="2:12">
      <c r="B780" s="420"/>
      <c r="C780" s="420"/>
      <c r="D780" s="420"/>
      <c r="E780" s="420"/>
      <c r="F780" s="420"/>
      <c r="G780" s="420"/>
      <c r="H780" s="420"/>
      <c r="I780" s="424"/>
      <c r="J780" s="424"/>
      <c r="K780" s="424"/>
      <c r="L780" s="424"/>
    </row>
    <row r="781" spans="2:12">
      <c r="B781" s="420"/>
      <c r="C781" s="420"/>
      <c r="D781" s="420"/>
      <c r="E781" s="420"/>
      <c r="F781" s="420"/>
      <c r="G781" s="420"/>
      <c r="H781" s="420"/>
      <c r="I781" s="424"/>
      <c r="J781" s="424"/>
      <c r="K781" s="424"/>
      <c r="L781" s="424"/>
    </row>
    <row r="782" spans="2:12">
      <c r="B782" s="420"/>
      <c r="C782" s="420"/>
      <c r="D782" s="420"/>
      <c r="E782" s="420"/>
      <c r="F782" s="420"/>
      <c r="G782" s="420"/>
      <c r="H782" s="420"/>
      <c r="I782" s="424"/>
      <c r="J782" s="424"/>
      <c r="K782" s="424"/>
      <c r="L782" s="424"/>
    </row>
    <row r="783" spans="2:12">
      <c r="B783" s="420"/>
      <c r="C783" s="420"/>
      <c r="D783" s="420"/>
      <c r="E783" s="420"/>
      <c r="F783" s="420"/>
      <c r="G783" s="420"/>
      <c r="H783" s="420"/>
      <c r="I783" s="424"/>
      <c r="J783" s="424"/>
      <c r="K783" s="424"/>
      <c r="L783" s="424"/>
    </row>
    <row r="784" spans="2:12">
      <c r="B784" s="420"/>
      <c r="C784" s="420"/>
      <c r="D784" s="420"/>
      <c r="E784" s="420"/>
      <c r="F784" s="420"/>
      <c r="G784" s="420"/>
      <c r="H784" s="420"/>
      <c r="I784" s="424"/>
      <c r="J784" s="424"/>
      <c r="K784" s="424"/>
      <c r="L784" s="424"/>
    </row>
    <row r="785" spans="2:12">
      <c r="B785" s="420"/>
      <c r="C785" s="420"/>
      <c r="D785" s="420"/>
      <c r="E785" s="420"/>
      <c r="F785" s="420"/>
      <c r="G785" s="420"/>
      <c r="H785" s="420"/>
      <c r="I785" s="424"/>
      <c r="J785" s="424"/>
      <c r="K785" s="424"/>
      <c r="L785" s="424"/>
    </row>
    <row r="786" spans="2:12">
      <c r="B786" s="420"/>
      <c r="C786" s="420"/>
      <c r="D786" s="420"/>
      <c r="E786" s="420"/>
      <c r="F786" s="420"/>
      <c r="G786" s="420"/>
      <c r="H786" s="420"/>
      <c r="I786" s="424"/>
      <c r="J786" s="424"/>
      <c r="K786" s="424"/>
      <c r="L786" s="424"/>
    </row>
    <row r="787" spans="2:12">
      <c r="B787" s="420"/>
      <c r="C787" s="420"/>
      <c r="D787" s="420"/>
      <c r="E787" s="420"/>
      <c r="F787" s="420"/>
      <c r="G787" s="420"/>
      <c r="H787" s="420"/>
      <c r="I787" s="424"/>
      <c r="J787" s="424"/>
      <c r="K787" s="424"/>
      <c r="L787" s="424"/>
    </row>
    <row r="788" spans="2:12">
      <c r="B788" s="420"/>
      <c r="C788" s="420"/>
      <c r="D788" s="420"/>
      <c r="E788" s="420"/>
      <c r="F788" s="420"/>
      <c r="G788" s="420"/>
      <c r="H788" s="420"/>
      <c r="I788" s="424"/>
      <c r="J788" s="424"/>
      <c r="K788" s="424"/>
      <c r="L788" s="424"/>
    </row>
    <row r="789" spans="2:12">
      <c r="B789" s="420"/>
      <c r="C789" s="420"/>
      <c r="D789" s="420"/>
      <c r="E789" s="420"/>
      <c r="F789" s="420"/>
      <c r="G789" s="420"/>
      <c r="H789" s="420"/>
      <c r="I789" s="424"/>
      <c r="J789" s="424"/>
      <c r="K789" s="424"/>
      <c r="L789" s="424"/>
    </row>
    <row r="790" spans="2:12">
      <c r="B790" s="420"/>
      <c r="C790" s="420"/>
      <c r="D790" s="420"/>
      <c r="E790" s="420"/>
      <c r="F790" s="420"/>
      <c r="G790" s="420"/>
      <c r="H790" s="420"/>
      <c r="I790" s="424"/>
      <c r="J790" s="424"/>
      <c r="K790" s="424"/>
      <c r="L790" s="424"/>
    </row>
    <row r="791" spans="2:12">
      <c r="B791" s="420"/>
      <c r="C791" s="420"/>
      <c r="D791" s="420"/>
      <c r="E791" s="420"/>
      <c r="F791" s="420"/>
      <c r="G791" s="420"/>
      <c r="H791" s="420"/>
      <c r="I791" s="424"/>
      <c r="J791" s="424"/>
      <c r="K791" s="424"/>
      <c r="L791" s="424"/>
    </row>
    <row r="792" spans="2:12">
      <c r="B792" s="420"/>
      <c r="C792" s="420"/>
      <c r="D792" s="420"/>
      <c r="E792" s="420"/>
      <c r="F792" s="420"/>
      <c r="G792" s="420"/>
      <c r="H792" s="420"/>
      <c r="I792" s="424"/>
      <c r="J792" s="424"/>
      <c r="K792" s="424"/>
      <c r="L792" s="424"/>
    </row>
    <row r="793" spans="2:12">
      <c r="B793" s="420"/>
      <c r="C793" s="420"/>
      <c r="D793" s="420"/>
      <c r="E793" s="420"/>
      <c r="F793" s="420"/>
      <c r="G793" s="420"/>
      <c r="H793" s="420"/>
      <c r="I793" s="424"/>
      <c r="J793" s="424"/>
      <c r="K793" s="424"/>
      <c r="L793" s="424"/>
    </row>
    <row r="794" spans="2:12">
      <c r="B794" s="420"/>
      <c r="C794" s="420"/>
      <c r="D794" s="420"/>
      <c r="E794" s="420"/>
      <c r="F794" s="420"/>
      <c r="G794" s="420"/>
      <c r="H794" s="420"/>
      <c r="I794" s="424"/>
      <c r="J794" s="424"/>
      <c r="K794" s="424"/>
      <c r="L794" s="424"/>
    </row>
    <row r="795" spans="2:12">
      <c r="B795" s="420"/>
      <c r="C795" s="420"/>
      <c r="D795" s="420"/>
      <c r="E795" s="420"/>
      <c r="F795" s="420"/>
      <c r="G795" s="420"/>
      <c r="H795" s="420"/>
      <c r="I795" s="424"/>
      <c r="J795" s="424"/>
      <c r="K795" s="424"/>
      <c r="L795" s="424"/>
    </row>
    <row r="796" spans="2:12">
      <c r="B796" s="420"/>
      <c r="C796" s="420"/>
      <c r="D796" s="420"/>
      <c r="E796" s="420"/>
      <c r="F796" s="420"/>
      <c r="G796" s="420"/>
      <c r="H796" s="420"/>
      <c r="I796" s="424"/>
      <c r="J796" s="424"/>
      <c r="K796" s="424"/>
      <c r="L796" s="424"/>
    </row>
    <row r="797" spans="2:12">
      <c r="B797" s="420"/>
      <c r="C797" s="420"/>
      <c r="D797" s="420"/>
      <c r="E797" s="420"/>
      <c r="F797" s="420"/>
      <c r="G797" s="420"/>
      <c r="H797" s="420"/>
      <c r="I797" s="424"/>
      <c r="J797" s="424"/>
      <c r="K797" s="424"/>
      <c r="L797" s="424"/>
    </row>
    <row r="798" spans="2:12">
      <c r="B798" s="420"/>
      <c r="C798" s="420"/>
      <c r="D798" s="420"/>
      <c r="E798" s="420"/>
      <c r="F798" s="420"/>
      <c r="G798" s="420"/>
      <c r="H798" s="420"/>
      <c r="I798" s="424"/>
      <c r="J798" s="424"/>
      <c r="K798" s="424"/>
      <c r="L798" s="424"/>
    </row>
    <row r="799" spans="2:12">
      <c r="B799" s="420"/>
      <c r="C799" s="420"/>
      <c r="D799" s="420"/>
      <c r="E799" s="420"/>
      <c r="F799" s="420"/>
      <c r="G799" s="420"/>
      <c r="H799" s="420"/>
      <c r="I799" s="424"/>
      <c r="J799" s="424"/>
      <c r="K799" s="424"/>
      <c r="L799" s="424"/>
    </row>
    <row r="800" spans="2:12">
      <c r="B800" s="420"/>
      <c r="C800" s="420"/>
      <c r="D800" s="420"/>
      <c r="E800" s="420"/>
      <c r="F800" s="420"/>
      <c r="G800" s="420"/>
      <c r="H800" s="420"/>
      <c r="I800" s="424"/>
      <c r="J800" s="424"/>
      <c r="K800" s="424"/>
      <c r="L800" s="424"/>
    </row>
    <row r="801" spans="2:12">
      <c r="B801" s="420"/>
      <c r="C801" s="420"/>
      <c r="D801" s="420"/>
      <c r="E801" s="420"/>
      <c r="F801" s="420"/>
      <c r="G801" s="420"/>
      <c r="H801" s="420"/>
      <c r="I801" s="424"/>
      <c r="J801" s="424"/>
      <c r="K801" s="424"/>
      <c r="L801" s="424"/>
    </row>
    <row r="802" spans="2:12">
      <c r="B802" s="420"/>
      <c r="C802" s="420"/>
      <c r="D802" s="420"/>
      <c r="E802" s="420"/>
      <c r="F802" s="420"/>
      <c r="G802" s="420"/>
      <c r="H802" s="420"/>
      <c r="I802" s="424"/>
      <c r="J802" s="424"/>
      <c r="K802" s="424"/>
      <c r="L802" s="424"/>
    </row>
    <row r="803" spans="2:12">
      <c r="B803" s="420"/>
      <c r="C803" s="420"/>
      <c r="D803" s="420"/>
      <c r="E803" s="420"/>
      <c r="F803" s="420"/>
      <c r="G803" s="420"/>
      <c r="H803" s="420"/>
      <c r="I803" s="424"/>
      <c r="J803" s="424"/>
      <c r="K803" s="424"/>
      <c r="L803" s="424"/>
    </row>
    <row r="804" spans="2:12">
      <c r="B804" s="420"/>
      <c r="C804" s="420"/>
      <c r="D804" s="420"/>
      <c r="E804" s="420"/>
      <c r="F804" s="420"/>
      <c r="G804" s="420"/>
      <c r="H804" s="420"/>
      <c r="I804" s="424"/>
      <c r="J804" s="424"/>
      <c r="K804" s="424"/>
      <c r="L804" s="424"/>
    </row>
    <row r="805" spans="2:12">
      <c r="B805" s="420"/>
      <c r="C805" s="420"/>
      <c r="D805" s="420"/>
      <c r="E805" s="420"/>
      <c r="F805" s="420"/>
      <c r="G805" s="420"/>
      <c r="H805" s="420"/>
      <c r="I805" s="424"/>
      <c r="J805" s="424"/>
      <c r="K805" s="424"/>
      <c r="L805" s="424"/>
    </row>
    <row r="806" spans="2:12">
      <c r="B806" s="420"/>
      <c r="C806" s="420"/>
      <c r="D806" s="420"/>
      <c r="E806" s="420"/>
      <c r="F806" s="420"/>
      <c r="G806" s="420"/>
      <c r="H806" s="420"/>
      <c r="I806" s="424"/>
      <c r="J806" s="424"/>
      <c r="K806" s="424"/>
      <c r="L806" s="424"/>
    </row>
    <row r="807" spans="2:12">
      <c r="B807" s="420"/>
      <c r="C807" s="420"/>
      <c r="D807" s="420"/>
      <c r="E807" s="420"/>
      <c r="F807" s="420"/>
      <c r="G807" s="420"/>
      <c r="H807" s="420"/>
      <c r="I807" s="424"/>
      <c r="J807" s="424"/>
      <c r="K807" s="424"/>
      <c r="L807" s="424"/>
    </row>
    <row r="808" spans="2:12">
      <c r="B808" s="420"/>
      <c r="C808" s="420"/>
      <c r="D808" s="420"/>
      <c r="E808" s="420"/>
      <c r="F808" s="420"/>
      <c r="G808" s="420"/>
      <c r="H808" s="420"/>
      <c r="I808" s="424"/>
      <c r="J808" s="424"/>
      <c r="K808" s="424"/>
      <c r="L808" s="424"/>
    </row>
    <row r="809" spans="2:12">
      <c r="B809" s="420"/>
      <c r="C809" s="420"/>
      <c r="D809" s="420"/>
      <c r="E809" s="420"/>
      <c r="F809" s="420"/>
      <c r="G809" s="420"/>
      <c r="H809" s="420"/>
      <c r="I809" s="424"/>
      <c r="J809" s="424"/>
      <c r="K809" s="424"/>
      <c r="L809" s="424"/>
    </row>
    <row r="810" spans="2:12">
      <c r="B810" s="420"/>
      <c r="C810" s="420"/>
      <c r="D810" s="420"/>
      <c r="E810" s="420"/>
      <c r="F810" s="420"/>
      <c r="G810" s="420"/>
      <c r="H810" s="420"/>
      <c r="I810" s="424"/>
      <c r="J810" s="424"/>
      <c r="K810" s="424"/>
      <c r="L810" s="424"/>
    </row>
    <row r="811" spans="2:12">
      <c r="B811" s="420"/>
      <c r="C811" s="420"/>
      <c r="D811" s="420"/>
      <c r="E811" s="420"/>
      <c r="F811" s="420"/>
      <c r="G811" s="420"/>
      <c r="H811" s="420"/>
      <c r="I811" s="424"/>
      <c r="J811" s="424"/>
      <c r="K811" s="424"/>
      <c r="L811" s="424"/>
    </row>
    <row r="812" spans="2:12">
      <c r="B812" s="420"/>
      <c r="C812" s="420"/>
      <c r="D812" s="420"/>
      <c r="E812" s="420"/>
      <c r="F812" s="420"/>
      <c r="G812" s="420"/>
      <c r="H812" s="420"/>
      <c r="I812" s="424"/>
      <c r="J812" s="424"/>
      <c r="K812" s="424"/>
      <c r="L812" s="424"/>
    </row>
    <row r="813" spans="2:12">
      <c r="B813" s="420"/>
      <c r="C813" s="420"/>
      <c r="D813" s="420"/>
      <c r="E813" s="420"/>
      <c r="F813" s="420"/>
      <c r="G813" s="420"/>
      <c r="H813" s="420"/>
      <c r="I813" s="424"/>
      <c r="J813" s="424"/>
      <c r="K813" s="424"/>
      <c r="L813" s="424"/>
    </row>
    <row r="814" spans="2:12">
      <c r="B814" s="420"/>
      <c r="C814" s="420"/>
      <c r="D814" s="420"/>
      <c r="E814" s="420"/>
      <c r="F814" s="420"/>
      <c r="G814" s="420"/>
      <c r="H814" s="420"/>
      <c r="I814" s="424"/>
      <c r="J814" s="424"/>
      <c r="K814" s="424"/>
      <c r="L814" s="424"/>
    </row>
    <row r="815" spans="2:12">
      <c r="B815" s="420"/>
      <c r="C815" s="420"/>
      <c r="D815" s="420"/>
      <c r="E815" s="420"/>
      <c r="F815" s="420"/>
      <c r="G815" s="420"/>
      <c r="H815" s="420"/>
      <c r="I815" s="424"/>
      <c r="J815" s="424"/>
      <c r="K815" s="424"/>
      <c r="L815" s="424"/>
    </row>
    <row r="816" spans="2:12">
      <c r="B816" s="420"/>
      <c r="C816" s="420"/>
      <c r="D816" s="420"/>
      <c r="E816" s="420"/>
      <c r="F816" s="420"/>
      <c r="G816" s="420"/>
      <c r="H816" s="420"/>
      <c r="I816" s="424"/>
      <c r="J816" s="424"/>
      <c r="K816" s="424"/>
      <c r="L816" s="424"/>
    </row>
    <row r="817" spans="2:12">
      <c r="B817" s="420"/>
      <c r="C817" s="420"/>
      <c r="D817" s="420"/>
      <c r="E817" s="420"/>
      <c r="F817" s="420"/>
      <c r="G817" s="420"/>
      <c r="H817" s="420"/>
      <c r="I817" s="424"/>
      <c r="J817" s="424"/>
      <c r="K817" s="424"/>
      <c r="L817" s="424"/>
    </row>
    <row r="818" spans="2:12">
      <c r="B818" s="420"/>
      <c r="C818" s="420"/>
      <c r="D818" s="420"/>
      <c r="E818" s="420"/>
      <c r="F818" s="420"/>
      <c r="G818" s="420"/>
      <c r="H818" s="420"/>
      <c r="I818" s="424"/>
      <c r="J818" s="424"/>
      <c r="K818" s="424"/>
      <c r="L818" s="424"/>
    </row>
    <row r="819" spans="2:12">
      <c r="B819" s="420"/>
      <c r="C819" s="420"/>
      <c r="D819" s="420"/>
      <c r="E819" s="420"/>
      <c r="F819" s="420"/>
      <c r="G819" s="420"/>
      <c r="H819" s="420"/>
      <c r="I819" s="424"/>
      <c r="J819" s="424"/>
      <c r="K819" s="424"/>
      <c r="L819" s="424"/>
    </row>
    <row r="820" spans="2:12">
      <c r="B820" s="420"/>
      <c r="C820" s="420"/>
      <c r="D820" s="420"/>
      <c r="E820" s="420"/>
      <c r="F820" s="420"/>
      <c r="G820" s="420"/>
      <c r="H820" s="420"/>
      <c r="I820" s="424"/>
      <c r="J820" s="424"/>
      <c r="K820" s="424"/>
      <c r="L820" s="424"/>
    </row>
    <row r="821" spans="2:12">
      <c r="B821" s="420"/>
      <c r="C821" s="420"/>
      <c r="D821" s="420"/>
      <c r="E821" s="420"/>
      <c r="F821" s="420"/>
      <c r="G821" s="420"/>
      <c r="H821" s="420"/>
      <c r="I821" s="424"/>
      <c r="J821" s="424"/>
      <c r="K821" s="424"/>
      <c r="L821" s="424"/>
    </row>
    <row r="822" spans="2:12">
      <c r="B822" s="420"/>
      <c r="C822" s="420"/>
      <c r="D822" s="420"/>
      <c r="E822" s="420"/>
      <c r="F822" s="420"/>
      <c r="G822" s="420"/>
      <c r="H822" s="420"/>
      <c r="I822" s="424"/>
      <c r="J822" s="424"/>
      <c r="K822" s="424"/>
      <c r="L822" s="424"/>
    </row>
    <row r="823" spans="2:12">
      <c r="B823" s="420"/>
      <c r="C823" s="420"/>
      <c r="D823" s="420"/>
      <c r="E823" s="420"/>
      <c r="F823" s="420"/>
      <c r="G823" s="420"/>
      <c r="H823" s="420"/>
      <c r="I823" s="424"/>
      <c r="J823" s="424"/>
      <c r="K823" s="424"/>
      <c r="L823" s="424"/>
    </row>
    <row r="824" spans="2:12">
      <c r="B824" s="420"/>
      <c r="C824" s="420"/>
      <c r="D824" s="420"/>
      <c r="E824" s="420"/>
      <c r="F824" s="420"/>
      <c r="G824" s="420"/>
      <c r="H824" s="420"/>
      <c r="I824" s="424"/>
      <c r="J824" s="424"/>
      <c r="K824" s="424"/>
      <c r="L824" s="424"/>
    </row>
    <row r="825" spans="2:12">
      <c r="B825" s="420"/>
      <c r="C825" s="420"/>
      <c r="D825" s="420"/>
      <c r="E825" s="420"/>
      <c r="F825" s="420"/>
      <c r="G825" s="420"/>
      <c r="H825" s="420"/>
      <c r="I825" s="424"/>
      <c r="J825" s="424"/>
      <c r="K825" s="424"/>
      <c r="L825" s="424"/>
    </row>
    <row r="826" spans="2:12">
      <c r="B826" s="420"/>
      <c r="C826" s="420"/>
      <c r="D826" s="420"/>
      <c r="E826" s="420"/>
      <c r="F826" s="420"/>
      <c r="G826" s="420"/>
      <c r="H826" s="420"/>
      <c r="I826" s="424"/>
      <c r="J826" s="424"/>
      <c r="K826" s="424"/>
      <c r="L826" s="424"/>
    </row>
    <row r="827" spans="2:12">
      <c r="B827" s="420"/>
      <c r="C827" s="420"/>
      <c r="D827" s="420"/>
      <c r="E827" s="420"/>
      <c r="F827" s="420"/>
      <c r="G827" s="420"/>
      <c r="H827" s="420"/>
      <c r="I827" s="424"/>
      <c r="J827" s="424"/>
      <c r="K827" s="424"/>
      <c r="L827" s="424"/>
    </row>
    <row r="828" spans="2:12">
      <c r="B828" s="420"/>
      <c r="C828" s="420"/>
      <c r="D828" s="420"/>
      <c r="E828" s="420"/>
      <c r="F828" s="420"/>
      <c r="G828" s="420"/>
      <c r="H828" s="420"/>
      <c r="I828" s="424"/>
      <c r="J828" s="424"/>
      <c r="K828" s="424"/>
      <c r="L828" s="424"/>
    </row>
    <row r="829" spans="2:12">
      <c r="B829" s="420"/>
      <c r="C829" s="420"/>
      <c r="D829" s="420"/>
      <c r="E829" s="420"/>
      <c r="F829" s="420"/>
      <c r="G829" s="420"/>
      <c r="H829" s="420"/>
      <c r="I829" s="424"/>
      <c r="J829" s="424"/>
      <c r="K829" s="424"/>
      <c r="L829" s="424"/>
    </row>
    <row r="830" spans="2:12">
      <c r="B830" s="420"/>
      <c r="C830" s="420"/>
      <c r="D830" s="420"/>
      <c r="E830" s="420"/>
      <c r="F830" s="420"/>
      <c r="G830" s="420"/>
      <c r="H830" s="420"/>
      <c r="I830" s="424"/>
      <c r="J830" s="424"/>
      <c r="K830" s="424"/>
      <c r="L830" s="424"/>
    </row>
    <row r="831" spans="2:12">
      <c r="B831" s="420"/>
      <c r="C831" s="420"/>
      <c r="D831" s="420"/>
      <c r="E831" s="420"/>
      <c r="F831" s="420"/>
      <c r="G831" s="420"/>
      <c r="H831" s="420"/>
      <c r="I831" s="424"/>
      <c r="J831" s="424"/>
      <c r="K831" s="424"/>
      <c r="L831" s="424"/>
    </row>
    <row r="832" spans="2:12">
      <c r="B832" s="420"/>
      <c r="C832" s="420"/>
      <c r="D832" s="420"/>
      <c r="E832" s="420"/>
      <c r="F832" s="420"/>
      <c r="G832" s="420"/>
      <c r="H832" s="420"/>
      <c r="I832" s="424"/>
      <c r="J832" s="424"/>
      <c r="K832" s="424"/>
      <c r="L832" s="424"/>
    </row>
    <row r="833" spans="2:12">
      <c r="B833" s="420"/>
      <c r="C833" s="420"/>
      <c r="D833" s="420"/>
      <c r="E833" s="420"/>
      <c r="F833" s="420"/>
      <c r="G833" s="420"/>
      <c r="H833" s="420"/>
      <c r="I833" s="424"/>
      <c r="J833" s="424"/>
      <c r="K833" s="424"/>
      <c r="L833" s="424"/>
    </row>
    <row r="834" spans="2:12">
      <c r="B834" s="420"/>
      <c r="C834" s="420"/>
      <c r="D834" s="420"/>
      <c r="E834" s="420"/>
      <c r="F834" s="420"/>
      <c r="G834" s="420"/>
      <c r="H834" s="420"/>
      <c r="I834" s="424"/>
      <c r="J834" s="424"/>
      <c r="K834" s="424"/>
      <c r="L834" s="424"/>
    </row>
    <row r="835" spans="2:12">
      <c r="B835" s="420"/>
      <c r="C835" s="420"/>
      <c r="D835" s="420"/>
      <c r="E835" s="420"/>
      <c r="F835" s="420"/>
      <c r="G835" s="420"/>
      <c r="H835" s="420"/>
      <c r="I835" s="424"/>
      <c r="J835" s="424"/>
      <c r="K835" s="424"/>
      <c r="L835" s="424"/>
    </row>
    <row r="836" spans="2:12">
      <c r="B836" s="420"/>
      <c r="C836" s="420"/>
      <c r="D836" s="420"/>
      <c r="E836" s="420"/>
      <c r="F836" s="420"/>
      <c r="G836" s="420"/>
      <c r="H836" s="420"/>
      <c r="I836" s="424"/>
      <c r="J836" s="424"/>
      <c r="K836" s="424"/>
      <c r="L836" s="424"/>
    </row>
    <row r="837" spans="2:12">
      <c r="B837" s="420"/>
      <c r="C837" s="420"/>
      <c r="D837" s="420"/>
      <c r="E837" s="420"/>
      <c r="F837" s="420"/>
      <c r="G837" s="420"/>
      <c r="H837" s="420"/>
      <c r="I837" s="424"/>
      <c r="J837" s="424"/>
      <c r="K837" s="424"/>
      <c r="L837" s="424"/>
    </row>
    <row r="838" spans="2:12">
      <c r="B838" s="420"/>
      <c r="C838" s="420"/>
      <c r="D838" s="420"/>
      <c r="E838" s="420"/>
      <c r="F838" s="420"/>
      <c r="G838" s="420"/>
      <c r="H838" s="420"/>
      <c r="I838" s="424"/>
      <c r="J838" s="424"/>
      <c r="K838" s="424"/>
      <c r="L838" s="424"/>
    </row>
    <row r="839" spans="2:12">
      <c r="B839" s="420"/>
      <c r="C839" s="420"/>
      <c r="D839" s="420"/>
      <c r="E839" s="420"/>
      <c r="F839" s="420"/>
      <c r="G839" s="420"/>
      <c r="H839" s="420"/>
      <c r="I839" s="424"/>
      <c r="J839" s="424"/>
      <c r="K839" s="424"/>
      <c r="L839" s="424"/>
    </row>
    <row r="840" spans="2:12">
      <c r="B840" s="420"/>
      <c r="C840" s="420"/>
      <c r="D840" s="420"/>
      <c r="E840" s="420"/>
      <c r="F840" s="420"/>
      <c r="G840" s="420"/>
      <c r="H840" s="420"/>
      <c r="I840" s="424"/>
      <c r="J840" s="424"/>
      <c r="K840" s="424"/>
      <c r="L840" s="424"/>
    </row>
    <row r="841" spans="2:12">
      <c r="B841" s="420"/>
      <c r="C841" s="420"/>
      <c r="D841" s="420"/>
      <c r="E841" s="420"/>
      <c r="F841" s="420"/>
      <c r="G841" s="420"/>
      <c r="H841" s="420"/>
      <c r="I841" s="424"/>
      <c r="J841" s="424"/>
      <c r="K841" s="424"/>
      <c r="L841" s="424"/>
    </row>
    <row r="842" spans="2:12">
      <c r="B842" s="420"/>
      <c r="C842" s="420"/>
      <c r="D842" s="420"/>
      <c r="E842" s="420"/>
      <c r="F842" s="420"/>
      <c r="G842" s="420"/>
      <c r="H842" s="420"/>
      <c r="I842" s="424"/>
      <c r="J842" s="424"/>
      <c r="K842" s="424"/>
      <c r="L842" s="424"/>
    </row>
    <row r="843" spans="2:12">
      <c r="B843" s="420"/>
      <c r="C843" s="420"/>
      <c r="D843" s="420"/>
      <c r="E843" s="420"/>
      <c r="F843" s="420"/>
      <c r="G843" s="420"/>
      <c r="H843" s="420"/>
      <c r="I843" s="424"/>
      <c r="J843" s="424"/>
      <c r="K843" s="424"/>
      <c r="L843" s="424"/>
    </row>
    <row r="844" spans="2:12">
      <c r="B844" s="420"/>
      <c r="C844" s="420"/>
      <c r="D844" s="420"/>
      <c r="E844" s="420"/>
      <c r="F844" s="420"/>
      <c r="G844" s="420"/>
      <c r="H844" s="420"/>
      <c r="I844" s="424"/>
      <c r="J844" s="424"/>
      <c r="K844" s="424"/>
      <c r="L844" s="424"/>
    </row>
    <row r="845" spans="2:12">
      <c r="B845" s="420"/>
      <c r="C845" s="420"/>
      <c r="D845" s="420"/>
      <c r="E845" s="420"/>
      <c r="F845" s="420"/>
      <c r="G845" s="420"/>
      <c r="H845" s="420"/>
      <c r="I845" s="424"/>
      <c r="J845" s="424"/>
      <c r="K845" s="424"/>
      <c r="L845" s="424"/>
    </row>
    <row r="846" spans="2:12">
      <c r="B846" s="420"/>
      <c r="C846" s="420"/>
      <c r="D846" s="420"/>
      <c r="E846" s="420"/>
      <c r="F846" s="420"/>
      <c r="G846" s="420"/>
      <c r="H846" s="420"/>
      <c r="I846" s="424"/>
      <c r="J846" s="424"/>
      <c r="K846" s="424"/>
      <c r="L846" s="424"/>
    </row>
    <row r="847" spans="2:12">
      <c r="B847" s="420"/>
      <c r="C847" s="420"/>
      <c r="D847" s="420"/>
      <c r="E847" s="420"/>
      <c r="F847" s="420"/>
      <c r="G847" s="420"/>
      <c r="H847" s="420"/>
      <c r="I847" s="424"/>
      <c r="J847" s="424"/>
      <c r="K847" s="424"/>
      <c r="L847" s="424"/>
    </row>
    <row r="848" spans="2:12">
      <c r="B848" s="420"/>
      <c r="C848" s="420"/>
      <c r="D848" s="420"/>
      <c r="E848" s="420"/>
      <c r="F848" s="420"/>
      <c r="G848" s="420"/>
      <c r="H848" s="420"/>
      <c r="I848" s="424"/>
      <c r="J848" s="424"/>
      <c r="K848" s="424"/>
      <c r="L848" s="424"/>
    </row>
    <row r="849" spans="2:12">
      <c r="B849" s="420"/>
      <c r="C849" s="420"/>
      <c r="D849" s="420"/>
      <c r="E849" s="420"/>
      <c r="F849" s="420"/>
      <c r="G849" s="420"/>
      <c r="H849" s="420"/>
      <c r="I849" s="424"/>
      <c r="J849" s="424"/>
      <c r="K849" s="424"/>
      <c r="L849" s="424"/>
    </row>
    <row r="850" spans="2:12">
      <c r="B850" s="420"/>
      <c r="C850" s="420"/>
      <c r="D850" s="420"/>
      <c r="E850" s="420"/>
      <c r="F850" s="420"/>
      <c r="G850" s="420"/>
      <c r="H850" s="420"/>
      <c r="I850" s="424"/>
      <c r="J850" s="424"/>
      <c r="K850" s="424"/>
      <c r="L850" s="424"/>
    </row>
    <row r="851" spans="2:12">
      <c r="B851" s="420"/>
      <c r="C851" s="420"/>
      <c r="D851" s="420"/>
      <c r="E851" s="420"/>
      <c r="F851" s="420"/>
      <c r="G851" s="420"/>
      <c r="H851" s="420"/>
      <c r="I851" s="424"/>
      <c r="J851" s="424"/>
      <c r="K851" s="424"/>
      <c r="L851" s="424"/>
    </row>
    <row r="852" spans="2:12">
      <c r="B852" s="420"/>
      <c r="C852" s="420"/>
      <c r="D852" s="420"/>
      <c r="E852" s="420"/>
      <c r="F852" s="420"/>
      <c r="G852" s="420"/>
      <c r="H852" s="420"/>
      <c r="I852" s="424"/>
      <c r="J852" s="424"/>
      <c r="K852" s="424"/>
      <c r="L852" s="424"/>
    </row>
    <row r="853" spans="2:12">
      <c r="B853" s="420"/>
      <c r="C853" s="420"/>
      <c r="D853" s="420"/>
      <c r="E853" s="420"/>
      <c r="F853" s="420"/>
      <c r="G853" s="420"/>
      <c r="H853" s="420"/>
      <c r="I853" s="424"/>
      <c r="J853" s="424"/>
      <c r="K853" s="424"/>
      <c r="L853" s="424"/>
    </row>
    <row r="854" spans="2:12">
      <c r="B854" s="420"/>
      <c r="C854" s="420"/>
      <c r="D854" s="420"/>
      <c r="E854" s="420"/>
      <c r="F854" s="420"/>
      <c r="G854" s="420"/>
      <c r="H854" s="420"/>
      <c r="I854" s="424"/>
      <c r="J854" s="424"/>
      <c r="K854" s="424"/>
      <c r="L854" s="424"/>
    </row>
    <row r="855" spans="2:12">
      <c r="B855" s="420"/>
      <c r="C855" s="420"/>
      <c r="D855" s="420"/>
      <c r="E855" s="420"/>
      <c r="F855" s="420"/>
      <c r="G855" s="420"/>
      <c r="H855" s="420"/>
      <c r="I855" s="424"/>
      <c r="J855" s="424"/>
      <c r="K855" s="424"/>
      <c r="L855" s="424"/>
    </row>
    <row r="856" spans="2:12">
      <c r="B856" s="420"/>
      <c r="C856" s="420"/>
      <c r="D856" s="420"/>
      <c r="E856" s="420"/>
      <c r="F856" s="420"/>
      <c r="G856" s="420"/>
      <c r="H856" s="420"/>
      <c r="I856" s="424"/>
      <c r="J856" s="424"/>
      <c r="K856" s="424"/>
      <c r="L856" s="424"/>
    </row>
    <row r="857" spans="2:12">
      <c r="B857" s="420"/>
      <c r="C857" s="420"/>
      <c r="D857" s="420"/>
      <c r="E857" s="420"/>
      <c r="F857" s="420"/>
      <c r="G857" s="420"/>
      <c r="H857" s="420"/>
      <c r="I857" s="424"/>
      <c r="J857" s="424"/>
      <c r="K857" s="424"/>
      <c r="L857" s="424"/>
    </row>
    <row r="858" spans="2:12">
      <c r="B858" s="420"/>
      <c r="C858" s="420"/>
      <c r="D858" s="420"/>
      <c r="E858" s="420"/>
      <c r="F858" s="420"/>
      <c r="G858" s="420"/>
      <c r="H858" s="420"/>
      <c r="I858" s="424"/>
      <c r="J858" s="424"/>
      <c r="K858" s="424"/>
      <c r="L858" s="424"/>
    </row>
    <row r="859" spans="2:12">
      <c r="B859" s="420"/>
      <c r="C859" s="420"/>
      <c r="D859" s="420"/>
      <c r="E859" s="420"/>
      <c r="F859" s="420"/>
      <c r="G859" s="420"/>
      <c r="H859" s="420"/>
      <c r="I859" s="424"/>
      <c r="J859" s="424"/>
      <c r="K859" s="424"/>
      <c r="L859" s="424"/>
    </row>
    <row r="860" spans="2:12">
      <c r="B860" s="420"/>
      <c r="C860" s="420"/>
      <c r="D860" s="420"/>
      <c r="E860" s="420"/>
      <c r="F860" s="420"/>
      <c r="G860" s="420"/>
      <c r="H860" s="420"/>
      <c r="I860" s="424"/>
      <c r="J860" s="424"/>
      <c r="K860" s="424"/>
      <c r="L860" s="424"/>
    </row>
    <row r="861" spans="2:12">
      <c r="B861" s="420"/>
      <c r="C861" s="420"/>
      <c r="D861" s="420"/>
      <c r="E861" s="420"/>
      <c r="F861" s="420"/>
      <c r="G861" s="420"/>
      <c r="H861" s="420"/>
      <c r="I861" s="424"/>
      <c r="J861" s="424"/>
      <c r="K861" s="424"/>
      <c r="L861" s="424"/>
    </row>
    <row r="862" spans="2:12">
      <c r="B862" s="420"/>
      <c r="C862" s="420"/>
      <c r="D862" s="420"/>
      <c r="E862" s="420"/>
      <c r="F862" s="420"/>
      <c r="G862" s="420"/>
      <c r="H862" s="420"/>
      <c r="I862" s="424"/>
      <c r="J862" s="424"/>
      <c r="K862" s="424"/>
      <c r="L862" s="424"/>
    </row>
    <row r="863" spans="2:12">
      <c r="B863" s="420"/>
      <c r="C863" s="420"/>
      <c r="D863" s="420"/>
      <c r="E863" s="420"/>
      <c r="F863" s="420"/>
      <c r="G863" s="420"/>
      <c r="H863" s="420"/>
      <c r="I863" s="424"/>
      <c r="J863" s="424"/>
      <c r="K863" s="424"/>
      <c r="L863" s="424"/>
    </row>
    <row r="864" spans="2:12">
      <c r="B864" s="420"/>
      <c r="C864" s="420"/>
      <c r="D864" s="420"/>
      <c r="E864" s="420"/>
      <c r="F864" s="420"/>
      <c r="G864" s="420"/>
      <c r="H864" s="420"/>
      <c r="I864" s="424"/>
      <c r="J864" s="424"/>
      <c r="K864" s="424"/>
      <c r="L864" s="424"/>
    </row>
    <row r="865" spans="2:12">
      <c r="B865" s="420"/>
      <c r="C865" s="420"/>
      <c r="D865" s="420"/>
      <c r="E865" s="420"/>
      <c r="F865" s="420"/>
      <c r="G865" s="420"/>
      <c r="H865" s="420"/>
      <c r="I865" s="424"/>
      <c r="J865" s="424"/>
      <c r="K865" s="424"/>
      <c r="L865" s="424"/>
    </row>
    <row r="866" spans="2:12">
      <c r="B866" s="420"/>
      <c r="C866" s="420"/>
      <c r="D866" s="420"/>
      <c r="E866" s="420"/>
      <c r="F866" s="420"/>
      <c r="G866" s="420"/>
      <c r="H866" s="420"/>
      <c r="I866" s="424"/>
      <c r="J866" s="424"/>
      <c r="K866" s="424"/>
      <c r="L866" s="424"/>
    </row>
    <row r="867" spans="2:12">
      <c r="B867" s="420"/>
      <c r="C867" s="420"/>
      <c r="D867" s="420"/>
      <c r="E867" s="420"/>
      <c r="F867" s="420"/>
      <c r="G867" s="420"/>
      <c r="H867" s="420"/>
      <c r="I867" s="424"/>
      <c r="J867" s="424"/>
      <c r="K867" s="424"/>
      <c r="L867" s="424"/>
    </row>
    <row r="868" spans="2:12">
      <c r="B868" s="420"/>
      <c r="C868" s="420"/>
      <c r="D868" s="420"/>
      <c r="E868" s="420"/>
      <c r="F868" s="420"/>
      <c r="G868" s="420"/>
      <c r="H868" s="420"/>
      <c r="I868" s="424"/>
      <c r="J868" s="424"/>
      <c r="K868" s="424"/>
      <c r="L868" s="424"/>
    </row>
    <row r="869" spans="2:12">
      <c r="B869" s="420"/>
      <c r="C869" s="420"/>
      <c r="D869" s="420"/>
      <c r="E869" s="420"/>
      <c r="F869" s="420"/>
      <c r="G869" s="420"/>
      <c r="H869" s="420"/>
      <c r="I869" s="424"/>
      <c r="J869" s="424"/>
      <c r="K869" s="424"/>
      <c r="L869" s="424"/>
    </row>
    <row r="870" spans="2:12">
      <c r="B870" s="420"/>
      <c r="C870" s="420"/>
      <c r="D870" s="420"/>
      <c r="E870" s="420"/>
      <c r="F870" s="420"/>
      <c r="G870" s="420"/>
      <c r="H870" s="420"/>
      <c r="I870" s="424"/>
      <c r="J870" s="424"/>
      <c r="K870" s="424"/>
      <c r="L870" s="424"/>
    </row>
    <row r="871" spans="2:12">
      <c r="B871" s="420"/>
      <c r="C871" s="420"/>
      <c r="D871" s="420"/>
      <c r="E871" s="420"/>
      <c r="F871" s="420"/>
      <c r="G871" s="420"/>
      <c r="H871" s="420"/>
      <c r="I871" s="424"/>
      <c r="J871" s="424"/>
      <c r="K871" s="424"/>
      <c r="L871" s="424"/>
    </row>
    <row r="872" spans="2:12">
      <c r="B872" s="420"/>
      <c r="C872" s="420"/>
      <c r="D872" s="420"/>
      <c r="E872" s="420"/>
      <c r="F872" s="420"/>
      <c r="G872" s="420"/>
      <c r="H872" s="420"/>
      <c r="I872" s="424"/>
      <c r="J872" s="424"/>
      <c r="K872" s="424"/>
      <c r="L872" s="424"/>
    </row>
    <row r="873" spans="2:12">
      <c r="B873" s="420"/>
      <c r="C873" s="420"/>
      <c r="D873" s="420"/>
      <c r="E873" s="420"/>
      <c r="F873" s="420"/>
      <c r="G873" s="420"/>
      <c r="H873" s="420"/>
      <c r="I873" s="424"/>
      <c r="J873" s="424"/>
      <c r="K873" s="424"/>
      <c r="L873" s="424"/>
    </row>
    <row r="874" spans="2:12">
      <c r="B874" s="420"/>
      <c r="C874" s="420"/>
      <c r="D874" s="420"/>
      <c r="E874" s="420"/>
      <c r="F874" s="420"/>
      <c r="G874" s="420"/>
      <c r="H874" s="420"/>
      <c r="I874" s="424"/>
      <c r="J874" s="424"/>
      <c r="K874" s="424"/>
      <c r="L874" s="424"/>
    </row>
    <row r="875" spans="2:12">
      <c r="B875" s="420"/>
      <c r="C875" s="420"/>
      <c r="D875" s="420"/>
      <c r="E875" s="420"/>
      <c r="F875" s="420"/>
      <c r="G875" s="420"/>
      <c r="H875" s="420"/>
      <c r="I875" s="424"/>
      <c r="J875" s="424"/>
      <c r="K875" s="424"/>
      <c r="L875" s="424"/>
    </row>
    <row r="876" spans="2:12">
      <c r="B876" s="420"/>
      <c r="C876" s="420"/>
      <c r="D876" s="420"/>
      <c r="E876" s="420"/>
      <c r="F876" s="420"/>
      <c r="G876" s="420"/>
      <c r="H876" s="420"/>
      <c r="I876" s="424"/>
      <c r="J876" s="424"/>
      <c r="K876" s="424"/>
      <c r="L876" s="424"/>
    </row>
    <row r="877" spans="2:12">
      <c r="B877" s="420"/>
      <c r="C877" s="420"/>
      <c r="D877" s="420"/>
      <c r="E877" s="420"/>
      <c r="F877" s="420"/>
      <c r="G877" s="420"/>
      <c r="H877" s="420"/>
      <c r="I877" s="424"/>
      <c r="J877" s="424"/>
      <c r="K877" s="424"/>
      <c r="L877" s="424"/>
    </row>
    <row r="878" spans="2:12">
      <c r="B878" s="420"/>
      <c r="C878" s="420"/>
      <c r="D878" s="420"/>
      <c r="E878" s="420"/>
      <c r="F878" s="420"/>
      <c r="G878" s="420"/>
      <c r="H878" s="420"/>
      <c r="I878" s="424"/>
      <c r="J878" s="424"/>
      <c r="K878" s="424"/>
      <c r="L878" s="424"/>
    </row>
    <row r="879" spans="2:12">
      <c r="B879" s="420"/>
      <c r="C879" s="420"/>
      <c r="D879" s="420"/>
      <c r="E879" s="420"/>
      <c r="F879" s="420"/>
      <c r="G879" s="420"/>
      <c r="H879" s="420"/>
      <c r="I879" s="424"/>
      <c r="J879" s="424"/>
      <c r="K879" s="424"/>
      <c r="L879" s="424"/>
    </row>
    <row r="880" spans="2:12">
      <c r="B880" s="420"/>
      <c r="C880" s="420"/>
      <c r="D880" s="420"/>
      <c r="E880" s="420"/>
      <c r="F880" s="420"/>
      <c r="G880" s="420"/>
      <c r="H880" s="420"/>
      <c r="I880" s="424"/>
      <c r="J880" s="424"/>
      <c r="K880" s="424"/>
      <c r="L880" s="424"/>
    </row>
    <row r="881" spans="2:12">
      <c r="B881" s="420"/>
      <c r="C881" s="420"/>
      <c r="D881" s="420"/>
      <c r="E881" s="420"/>
      <c r="F881" s="420"/>
      <c r="G881" s="420"/>
      <c r="H881" s="420"/>
      <c r="I881" s="424"/>
      <c r="J881" s="424"/>
      <c r="K881" s="424"/>
      <c r="L881" s="424"/>
    </row>
    <row r="882" spans="2:12">
      <c r="B882" s="420"/>
      <c r="C882" s="420"/>
      <c r="D882" s="420"/>
      <c r="E882" s="420"/>
      <c r="F882" s="420"/>
      <c r="G882" s="420"/>
      <c r="H882" s="420"/>
      <c r="I882" s="424"/>
      <c r="J882" s="424"/>
      <c r="K882" s="424"/>
      <c r="L882" s="424"/>
    </row>
    <row r="883" spans="2:12">
      <c r="B883" s="420"/>
      <c r="C883" s="420"/>
      <c r="D883" s="420"/>
      <c r="E883" s="420"/>
      <c r="F883" s="420"/>
      <c r="G883" s="420"/>
      <c r="H883" s="420"/>
      <c r="I883" s="424"/>
      <c r="J883" s="424"/>
      <c r="K883" s="424"/>
      <c r="L883" s="424"/>
    </row>
    <row r="884" spans="2:12">
      <c r="B884" s="420"/>
      <c r="C884" s="420"/>
      <c r="D884" s="420"/>
      <c r="E884" s="420"/>
      <c r="F884" s="420"/>
      <c r="G884" s="420"/>
      <c r="H884" s="420"/>
      <c r="I884" s="424"/>
      <c r="J884" s="424"/>
      <c r="K884" s="424"/>
      <c r="L884" s="424"/>
    </row>
    <row r="885" spans="2:12">
      <c r="B885" s="420"/>
      <c r="C885" s="420"/>
      <c r="D885" s="420"/>
      <c r="E885" s="420"/>
      <c r="F885" s="420"/>
      <c r="G885" s="420"/>
      <c r="H885" s="420"/>
      <c r="I885" s="424"/>
      <c r="J885" s="424"/>
      <c r="K885" s="424"/>
      <c r="L885" s="424"/>
    </row>
    <row r="886" spans="2:12">
      <c r="B886" s="420"/>
      <c r="C886" s="420"/>
      <c r="D886" s="420"/>
      <c r="E886" s="420"/>
      <c r="F886" s="420"/>
      <c r="G886" s="420"/>
      <c r="H886" s="420"/>
      <c r="I886" s="424"/>
      <c r="J886" s="424"/>
      <c r="K886" s="424"/>
      <c r="L886" s="424"/>
    </row>
    <row r="887" spans="2:12">
      <c r="B887" s="420"/>
      <c r="C887" s="420"/>
      <c r="D887" s="420"/>
      <c r="E887" s="420"/>
      <c r="F887" s="420"/>
      <c r="G887" s="420"/>
      <c r="H887" s="420"/>
      <c r="I887" s="424"/>
      <c r="J887" s="424"/>
      <c r="K887" s="424"/>
      <c r="L887" s="424"/>
    </row>
    <row r="888" spans="2:12">
      <c r="B888" s="420"/>
      <c r="C888" s="420"/>
      <c r="D888" s="420"/>
      <c r="E888" s="420"/>
      <c r="F888" s="420"/>
      <c r="G888" s="420"/>
      <c r="H888" s="420"/>
      <c r="I888" s="424"/>
      <c r="J888" s="424"/>
      <c r="K888" s="424"/>
      <c r="L888" s="424"/>
    </row>
    <row r="889" spans="2:12">
      <c r="B889" s="420"/>
      <c r="C889" s="420"/>
      <c r="D889" s="420"/>
      <c r="E889" s="420"/>
      <c r="F889" s="420"/>
      <c r="G889" s="420"/>
      <c r="H889" s="420"/>
      <c r="I889" s="424"/>
      <c r="J889" s="424"/>
      <c r="K889" s="424"/>
      <c r="L889" s="424"/>
    </row>
    <row r="890" spans="2:12">
      <c r="B890" s="420"/>
      <c r="C890" s="420"/>
      <c r="D890" s="420"/>
      <c r="E890" s="420"/>
      <c r="F890" s="420"/>
      <c r="G890" s="420"/>
      <c r="H890" s="420"/>
      <c r="I890" s="424"/>
      <c r="J890" s="424"/>
      <c r="K890" s="424"/>
      <c r="L890" s="424"/>
    </row>
    <row r="891" spans="2:12">
      <c r="B891" s="420"/>
      <c r="C891" s="420"/>
      <c r="D891" s="420"/>
      <c r="E891" s="420"/>
      <c r="F891" s="420"/>
      <c r="G891" s="420"/>
      <c r="H891" s="420"/>
      <c r="I891" s="424"/>
      <c r="J891" s="424"/>
      <c r="K891" s="424"/>
      <c r="L891" s="424"/>
    </row>
    <row r="892" spans="2:12">
      <c r="B892" s="420"/>
      <c r="C892" s="420"/>
      <c r="D892" s="420"/>
      <c r="E892" s="420"/>
      <c r="F892" s="420"/>
      <c r="G892" s="420"/>
      <c r="H892" s="420"/>
      <c r="I892" s="424"/>
      <c r="J892" s="424"/>
      <c r="K892" s="424"/>
      <c r="L892" s="424"/>
    </row>
    <row r="893" spans="2:12">
      <c r="B893" s="420"/>
      <c r="C893" s="420"/>
      <c r="D893" s="420"/>
      <c r="E893" s="420"/>
      <c r="F893" s="420"/>
      <c r="G893" s="420"/>
      <c r="H893" s="420"/>
      <c r="I893" s="424"/>
      <c r="J893" s="424"/>
      <c r="K893" s="424"/>
      <c r="L893" s="424"/>
    </row>
    <row r="894" spans="2:12">
      <c r="B894" s="420"/>
      <c r="C894" s="420"/>
      <c r="D894" s="420"/>
      <c r="E894" s="420"/>
      <c r="F894" s="420"/>
      <c r="G894" s="420"/>
      <c r="H894" s="420"/>
      <c r="I894" s="424"/>
      <c r="J894" s="424"/>
      <c r="K894" s="424"/>
      <c r="L894" s="424"/>
    </row>
    <row r="895" spans="2:12">
      <c r="B895" s="420"/>
      <c r="C895" s="420"/>
      <c r="D895" s="420"/>
      <c r="E895" s="420"/>
      <c r="F895" s="420"/>
      <c r="G895" s="420"/>
      <c r="H895" s="420"/>
      <c r="I895" s="424"/>
      <c r="J895" s="424"/>
      <c r="K895" s="424"/>
      <c r="L895" s="424"/>
    </row>
    <row r="896" spans="2:12">
      <c r="B896" s="420"/>
      <c r="C896" s="420"/>
      <c r="D896" s="420"/>
      <c r="E896" s="420"/>
      <c r="F896" s="420"/>
      <c r="G896" s="420"/>
      <c r="H896" s="420"/>
      <c r="I896" s="424"/>
      <c r="J896" s="424"/>
      <c r="K896" s="424"/>
      <c r="L896" s="424"/>
    </row>
    <row r="897" spans="2:12">
      <c r="B897" s="420"/>
      <c r="C897" s="420"/>
      <c r="D897" s="420"/>
      <c r="E897" s="420"/>
      <c r="F897" s="420"/>
      <c r="G897" s="420"/>
      <c r="H897" s="420"/>
      <c r="I897" s="424"/>
      <c r="J897" s="424"/>
      <c r="K897" s="424"/>
      <c r="L897" s="424"/>
    </row>
    <row r="898" spans="2:12">
      <c r="B898" s="420"/>
      <c r="C898" s="420"/>
      <c r="D898" s="420"/>
      <c r="E898" s="420"/>
      <c r="F898" s="420"/>
      <c r="G898" s="420"/>
      <c r="H898" s="420"/>
      <c r="I898" s="424"/>
      <c r="J898" s="424"/>
      <c r="K898" s="424"/>
      <c r="L898" s="424"/>
    </row>
    <row r="899" spans="2:12">
      <c r="B899" s="420"/>
      <c r="C899" s="420"/>
      <c r="D899" s="420"/>
      <c r="E899" s="420"/>
      <c r="F899" s="420"/>
      <c r="G899" s="420"/>
      <c r="H899" s="420"/>
      <c r="I899" s="424"/>
      <c r="J899" s="424"/>
      <c r="K899" s="424"/>
      <c r="L899" s="424"/>
    </row>
    <row r="900" spans="2:12">
      <c r="B900" s="420"/>
      <c r="C900" s="420"/>
      <c r="D900" s="420"/>
      <c r="E900" s="420"/>
      <c r="F900" s="420"/>
      <c r="G900" s="420"/>
      <c r="H900" s="420"/>
      <c r="I900" s="424"/>
      <c r="J900" s="424"/>
      <c r="K900" s="424"/>
      <c r="L900" s="424"/>
    </row>
    <row r="901" spans="2:12">
      <c r="B901" s="420"/>
      <c r="C901" s="420"/>
      <c r="D901" s="420"/>
      <c r="E901" s="420"/>
      <c r="F901" s="420"/>
      <c r="G901" s="420"/>
      <c r="H901" s="420"/>
      <c r="I901" s="424"/>
      <c r="J901" s="424"/>
      <c r="K901" s="424"/>
      <c r="L901" s="424"/>
    </row>
    <row r="902" spans="2:12">
      <c r="B902" s="420"/>
      <c r="C902" s="420"/>
      <c r="D902" s="420"/>
      <c r="E902" s="420"/>
      <c r="F902" s="420"/>
      <c r="G902" s="420"/>
      <c r="H902" s="420"/>
      <c r="I902" s="424"/>
      <c r="J902" s="424"/>
      <c r="K902" s="424"/>
      <c r="L902" s="424"/>
    </row>
    <row r="903" spans="2:12">
      <c r="B903" s="420"/>
      <c r="C903" s="420"/>
      <c r="D903" s="420"/>
      <c r="E903" s="420"/>
      <c r="F903" s="420"/>
      <c r="G903" s="420"/>
      <c r="H903" s="420"/>
      <c r="I903" s="424"/>
      <c r="J903" s="424"/>
      <c r="K903" s="424"/>
      <c r="L903" s="424"/>
    </row>
    <row r="904" spans="2:12">
      <c r="B904" s="420"/>
      <c r="C904" s="420"/>
      <c r="D904" s="420"/>
      <c r="E904" s="420"/>
      <c r="F904" s="420"/>
      <c r="G904" s="420"/>
      <c r="H904" s="420"/>
      <c r="I904" s="424"/>
      <c r="J904" s="424"/>
      <c r="K904" s="424"/>
      <c r="L904" s="424"/>
    </row>
    <row r="905" spans="2:12">
      <c r="B905" s="420"/>
      <c r="C905" s="420"/>
      <c r="D905" s="420"/>
      <c r="E905" s="420"/>
      <c r="F905" s="420"/>
      <c r="G905" s="420"/>
      <c r="H905" s="420"/>
      <c r="I905" s="424"/>
      <c r="J905" s="424"/>
      <c r="K905" s="424"/>
      <c r="L905" s="424"/>
    </row>
    <row r="906" spans="2:12">
      <c r="B906" s="420"/>
      <c r="C906" s="420"/>
      <c r="D906" s="420"/>
      <c r="E906" s="420"/>
      <c r="F906" s="420"/>
      <c r="G906" s="420"/>
      <c r="H906" s="420"/>
      <c r="I906" s="424"/>
      <c r="J906" s="424"/>
      <c r="K906" s="424"/>
      <c r="L906" s="424"/>
    </row>
    <row r="907" spans="2:12">
      <c r="B907" s="420"/>
      <c r="C907" s="420"/>
      <c r="D907" s="420"/>
      <c r="E907" s="420"/>
      <c r="F907" s="420"/>
      <c r="G907" s="420"/>
      <c r="H907" s="420"/>
      <c r="I907" s="424"/>
      <c r="J907" s="424"/>
      <c r="K907" s="424"/>
      <c r="L907" s="424"/>
    </row>
    <row r="908" spans="2:12">
      <c r="B908" s="420"/>
      <c r="C908" s="420"/>
      <c r="D908" s="420"/>
      <c r="E908" s="420"/>
      <c r="F908" s="420"/>
      <c r="G908" s="420"/>
      <c r="H908" s="420"/>
      <c r="I908" s="424"/>
      <c r="J908" s="424"/>
      <c r="K908" s="424"/>
      <c r="L908" s="424"/>
    </row>
    <row r="909" spans="2:12">
      <c r="B909" s="420"/>
      <c r="C909" s="420"/>
      <c r="D909" s="420"/>
      <c r="E909" s="420"/>
      <c r="F909" s="420"/>
      <c r="G909" s="420"/>
      <c r="H909" s="420"/>
      <c r="I909" s="424"/>
      <c r="J909" s="424"/>
      <c r="K909" s="424"/>
      <c r="L909" s="424"/>
    </row>
    <row r="910" spans="2:12">
      <c r="B910" s="420"/>
      <c r="C910" s="420"/>
      <c r="D910" s="420"/>
      <c r="E910" s="420"/>
      <c r="F910" s="420"/>
      <c r="G910" s="420"/>
      <c r="H910" s="420"/>
      <c r="I910" s="424"/>
      <c r="J910" s="424"/>
      <c r="K910" s="424"/>
      <c r="L910" s="424"/>
    </row>
    <row r="911" spans="2:12">
      <c r="B911" s="420"/>
      <c r="C911" s="420"/>
      <c r="D911" s="420"/>
      <c r="E911" s="420"/>
      <c r="F911" s="420"/>
      <c r="G911" s="420"/>
      <c r="H911" s="420"/>
      <c r="I911" s="424"/>
      <c r="J911" s="424"/>
      <c r="K911" s="424"/>
      <c r="L911" s="424"/>
    </row>
    <row r="912" spans="2:12">
      <c r="B912" s="420"/>
      <c r="C912" s="420"/>
      <c r="D912" s="420"/>
      <c r="E912" s="420"/>
      <c r="F912" s="420"/>
      <c r="G912" s="420"/>
      <c r="H912" s="420"/>
      <c r="I912" s="424"/>
      <c r="J912" s="424"/>
      <c r="K912" s="424"/>
      <c r="L912" s="424"/>
    </row>
    <row r="913" spans="2:12">
      <c r="B913" s="420"/>
      <c r="C913" s="420"/>
      <c r="D913" s="420"/>
      <c r="E913" s="420"/>
      <c r="F913" s="420"/>
      <c r="G913" s="420"/>
      <c r="H913" s="420"/>
      <c r="I913" s="424"/>
      <c r="J913" s="424"/>
      <c r="K913" s="424"/>
      <c r="L913" s="424"/>
    </row>
    <row r="914" spans="2:12">
      <c r="B914" s="420"/>
      <c r="C914" s="420"/>
      <c r="D914" s="420"/>
      <c r="E914" s="420"/>
      <c r="F914" s="420"/>
      <c r="G914" s="420"/>
      <c r="H914" s="420"/>
      <c r="I914" s="424"/>
      <c r="J914" s="424"/>
      <c r="K914" s="424"/>
      <c r="L914" s="424"/>
    </row>
    <row r="915" spans="2:12">
      <c r="B915" s="420"/>
      <c r="C915" s="420"/>
      <c r="D915" s="420"/>
      <c r="E915" s="420"/>
      <c r="F915" s="420"/>
      <c r="G915" s="420"/>
      <c r="H915" s="420"/>
      <c r="I915" s="424"/>
      <c r="J915" s="424"/>
      <c r="K915" s="424"/>
      <c r="L915" s="424"/>
    </row>
    <row r="916" spans="2:12">
      <c r="B916" s="420"/>
      <c r="C916" s="420"/>
      <c r="D916" s="420"/>
      <c r="E916" s="420"/>
      <c r="F916" s="420"/>
      <c r="G916" s="420"/>
      <c r="H916" s="420"/>
      <c r="I916" s="424"/>
      <c r="J916" s="424"/>
      <c r="K916" s="424"/>
      <c r="L916" s="424"/>
    </row>
    <row r="917" spans="2:12">
      <c r="B917" s="420"/>
      <c r="C917" s="420"/>
      <c r="D917" s="420"/>
      <c r="E917" s="420"/>
      <c r="F917" s="420"/>
      <c r="G917" s="420"/>
      <c r="H917" s="420"/>
      <c r="I917" s="424"/>
      <c r="J917" s="424"/>
      <c r="K917" s="424"/>
      <c r="L917" s="424"/>
    </row>
    <row r="918" spans="2:12">
      <c r="B918" s="420"/>
      <c r="C918" s="420"/>
      <c r="D918" s="420"/>
      <c r="E918" s="420"/>
      <c r="F918" s="420"/>
      <c r="G918" s="420"/>
      <c r="H918" s="420"/>
      <c r="I918" s="424"/>
      <c r="J918" s="424"/>
      <c r="K918" s="424"/>
      <c r="L918" s="424"/>
    </row>
    <row r="919" spans="2:12">
      <c r="B919" s="420"/>
      <c r="C919" s="420"/>
      <c r="D919" s="420"/>
      <c r="E919" s="420"/>
      <c r="F919" s="420"/>
      <c r="G919" s="420"/>
      <c r="H919" s="420"/>
      <c r="I919" s="424"/>
      <c r="J919" s="424"/>
      <c r="K919" s="424"/>
      <c r="L919" s="424"/>
    </row>
    <row r="920" spans="2:12">
      <c r="B920" s="420"/>
      <c r="C920" s="420"/>
      <c r="D920" s="420"/>
      <c r="E920" s="420"/>
      <c r="F920" s="420"/>
      <c r="G920" s="420"/>
      <c r="H920" s="420"/>
      <c r="I920" s="424"/>
      <c r="J920" s="424"/>
      <c r="K920" s="424"/>
      <c r="L920" s="424"/>
    </row>
    <row r="921" spans="2:12">
      <c r="B921" s="420"/>
      <c r="C921" s="420"/>
      <c r="D921" s="420"/>
      <c r="E921" s="420"/>
      <c r="F921" s="420"/>
      <c r="G921" s="420"/>
      <c r="H921" s="420"/>
      <c r="I921" s="424"/>
      <c r="J921" s="424"/>
      <c r="K921" s="424"/>
      <c r="L921" s="424"/>
    </row>
    <row r="922" spans="2:12">
      <c r="B922" s="420"/>
      <c r="C922" s="420"/>
      <c r="D922" s="420"/>
      <c r="E922" s="420"/>
      <c r="F922" s="420"/>
      <c r="G922" s="420"/>
      <c r="H922" s="420"/>
      <c r="I922" s="424"/>
      <c r="J922" s="424"/>
      <c r="K922" s="424"/>
      <c r="L922" s="424"/>
    </row>
    <row r="923" spans="2:12">
      <c r="B923" s="420"/>
      <c r="C923" s="420"/>
      <c r="D923" s="420"/>
      <c r="E923" s="420"/>
      <c r="F923" s="420"/>
      <c r="G923" s="420"/>
      <c r="H923" s="420"/>
      <c r="I923" s="424"/>
      <c r="J923" s="424"/>
      <c r="K923" s="424"/>
      <c r="L923" s="424"/>
    </row>
    <row r="924" spans="2:12">
      <c r="B924" s="420"/>
      <c r="C924" s="420"/>
      <c r="D924" s="420"/>
      <c r="E924" s="420"/>
      <c r="F924" s="420"/>
      <c r="G924" s="420"/>
      <c r="H924" s="420"/>
      <c r="I924" s="424"/>
      <c r="J924" s="424"/>
      <c r="K924" s="424"/>
      <c r="L924" s="424"/>
    </row>
    <row r="925" spans="2:12">
      <c r="B925" s="420"/>
      <c r="C925" s="420"/>
      <c r="D925" s="420"/>
      <c r="E925" s="420"/>
      <c r="F925" s="420"/>
      <c r="G925" s="420"/>
      <c r="H925" s="420"/>
      <c r="I925" s="424"/>
      <c r="J925" s="424"/>
      <c r="K925" s="424"/>
      <c r="L925" s="424"/>
    </row>
    <row r="926" spans="2:12">
      <c r="B926" s="420"/>
      <c r="C926" s="420"/>
      <c r="D926" s="420"/>
      <c r="E926" s="420"/>
      <c r="F926" s="420"/>
      <c r="G926" s="420"/>
      <c r="H926" s="420"/>
      <c r="I926" s="424"/>
      <c r="J926" s="424"/>
      <c r="K926" s="424"/>
      <c r="L926" s="424"/>
    </row>
    <row r="927" spans="2:12">
      <c r="B927" s="420"/>
      <c r="C927" s="420"/>
      <c r="D927" s="420"/>
      <c r="E927" s="420"/>
      <c r="F927" s="420"/>
      <c r="G927" s="420"/>
      <c r="H927" s="420"/>
      <c r="I927" s="424"/>
      <c r="J927" s="424"/>
      <c r="K927" s="424"/>
      <c r="L927" s="424"/>
    </row>
    <row r="928" spans="2:12">
      <c r="B928" s="420"/>
      <c r="C928" s="420"/>
      <c r="D928" s="420"/>
      <c r="E928" s="420"/>
      <c r="F928" s="420"/>
      <c r="G928" s="420"/>
      <c r="H928" s="420"/>
      <c r="I928" s="424"/>
      <c r="J928" s="424"/>
      <c r="K928" s="424"/>
      <c r="L928" s="424"/>
    </row>
    <row r="929" spans="2:12">
      <c r="B929" s="420"/>
      <c r="C929" s="420"/>
      <c r="D929" s="420"/>
      <c r="E929" s="420"/>
      <c r="F929" s="420"/>
      <c r="G929" s="420"/>
      <c r="H929" s="420"/>
      <c r="I929" s="424"/>
      <c r="J929" s="424"/>
      <c r="K929" s="424"/>
      <c r="L929" s="424"/>
    </row>
    <row r="930" spans="2:12">
      <c r="B930" s="420"/>
      <c r="C930" s="420"/>
      <c r="D930" s="420"/>
      <c r="E930" s="420"/>
      <c r="F930" s="420"/>
      <c r="G930" s="420"/>
      <c r="H930" s="420"/>
      <c r="I930" s="424"/>
      <c r="J930" s="424"/>
      <c r="K930" s="424"/>
      <c r="L930" s="424"/>
    </row>
    <row r="931" spans="2:12">
      <c r="B931" s="420"/>
      <c r="C931" s="420"/>
      <c r="D931" s="420"/>
      <c r="E931" s="420"/>
      <c r="F931" s="420"/>
      <c r="G931" s="420"/>
      <c r="H931" s="420"/>
      <c r="I931" s="424"/>
      <c r="J931" s="424"/>
      <c r="K931" s="424"/>
      <c r="L931" s="424"/>
    </row>
    <row r="932" spans="2:12">
      <c r="B932" s="420"/>
      <c r="C932" s="420"/>
      <c r="D932" s="420"/>
      <c r="E932" s="420"/>
      <c r="F932" s="420"/>
      <c r="G932" s="420"/>
      <c r="H932" s="420"/>
      <c r="I932" s="424"/>
      <c r="J932" s="424"/>
      <c r="K932" s="424"/>
      <c r="L932" s="424"/>
    </row>
    <row r="933" spans="2:12">
      <c r="B933" s="420"/>
      <c r="C933" s="420"/>
      <c r="D933" s="420"/>
      <c r="E933" s="420"/>
      <c r="F933" s="420"/>
      <c r="G933" s="420"/>
      <c r="H933" s="420"/>
      <c r="I933" s="424"/>
      <c r="J933" s="424"/>
      <c r="K933" s="424"/>
      <c r="L933" s="424"/>
    </row>
    <row r="934" spans="2:12">
      <c r="B934" s="420"/>
      <c r="C934" s="420"/>
      <c r="D934" s="420"/>
      <c r="E934" s="420"/>
      <c r="F934" s="420"/>
      <c r="G934" s="420"/>
      <c r="H934" s="420"/>
      <c r="I934" s="424"/>
      <c r="J934" s="424"/>
      <c r="K934" s="424"/>
      <c r="L934" s="424"/>
    </row>
    <row r="935" spans="2:12">
      <c r="B935" s="420"/>
      <c r="C935" s="420"/>
      <c r="D935" s="420"/>
      <c r="E935" s="420"/>
      <c r="F935" s="420"/>
      <c r="G935" s="420"/>
      <c r="H935" s="420"/>
      <c r="I935" s="424"/>
      <c r="J935" s="424"/>
      <c r="K935" s="424"/>
      <c r="L935" s="424"/>
    </row>
    <row r="936" spans="2:12">
      <c r="B936" s="420"/>
      <c r="C936" s="420"/>
      <c r="D936" s="420"/>
      <c r="E936" s="420"/>
      <c r="F936" s="420"/>
      <c r="G936" s="420"/>
      <c r="H936" s="420"/>
      <c r="I936" s="424"/>
      <c r="J936" s="424"/>
      <c r="K936" s="424"/>
      <c r="L936" s="424"/>
    </row>
    <row r="937" spans="2:12">
      <c r="B937" s="420"/>
      <c r="C937" s="420"/>
      <c r="D937" s="420"/>
      <c r="E937" s="420"/>
      <c r="F937" s="420"/>
      <c r="G937" s="420"/>
      <c r="H937" s="420"/>
      <c r="I937" s="424"/>
      <c r="J937" s="424"/>
      <c r="K937" s="424"/>
      <c r="L937" s="424"/>
    </row>
    <row r="938" spans="2:12">
      <c r="B938" s="420"/>
      <c r="C938" s="420"/>
      <c r="D938" s="420"/>
      <c r="E938" s="420"/>
      <c r="F938" s="420"/>
      <c r="G938" s="420"/>
      <c r="H938" s="420"/>
      <c r="I938" s="424"/>
      <c r="J938" s="424"/>
      <c r="K938" s="424"/>
      <c r="L938" s="424"/>
    </row>
    <row r="939" spans="2:12">
      <c r="B939" s="420"/>
      <c r="C939" s="420"/>
      <c r="D939" s="420"/>
      <c r="E939" s="420"/>
      <c r="F939" s="420"/>
      <c r="G939" s="420"/>
      <c r="H939" s="420"/>
      <c r="I939" s="424"/>
      <c r="J939" s="424"/>
      <c r="K939" s="424"/>
      <c r="L939" s="424"/>
    </row>
    <row r="940" spans="2:12">
      <c r="B940" s="420"/>
      <c r="C940" s="420"/>
      <c r="D940" s="420"/>
      <c r="E940" s="420"/>
      <c r="F940" s="420"/>
      <c r="G940" s="420"/>
      <c r="H940" s="420"/>
      <c r="I940" s="424"/>
      <c r="J940" s="424"/>
      <c r="K940" s="424"/>
      <c r="L940" s="424"/>
    </row>
    <row r="941" spans="2:12">
      <c r="B941" s="420"/>
      <c r="C941" s="420"/>
      <c r="D941" s="420"/>
      <c r="E941" s="420"/>
      <c r="F941" s="420"/>
      <c r="G941" s="420"/>
      <c r="H941" s="420"/>
      <c r="I941" s="424"/>
      <c r="J941" s="424"/>
      <c r="K941" s="424"/>
      <c r="L941" s="424"/>
    </row>
    <row r="942" spans="2:12">
      <c r="B942" s="420"/>
      <c r="C942" s="420"/>
      <c r="D942" s="420"/>
      <c r="E942" s="420"/>
      <c r="F942" s="420"/>
      <c r="G942" s="420"/>
      <c r="H942" s="420"/>
      <c r="I942" s="424"/>
      <c r="J942" s="424"/>
      <c r="K942" s="424"/>
      <c r="L942" s="424"/>
    </row>
    <row r="943" spans="2:12">
      <c r="B943" s="420"/>
      <c r="C943" s="420"/>
      <c r="D943" s="420"/>
      <c r="E943" s="420"/>
      <c r="F943" s="420"/>
      <c r="G943" s="420"/>
      <c r="H943" s="420"/>
      <c r="I943" s="424"/>
      <c r="J943" s="424"/>
      <c r="K943" s="424"/>
      <c r="L943" s="424"/>
    </row>
    <row r="944" spans="2:12">
      <c r="B944" s="420"/>
      <c r="C944" s="420"/>
      <c r="D944" s="420"/>
      <c r="E944" s="420"/>
      <c r="F944" s="420"/>
      <c r="G944" s="420"/>
      <c r="H944" s="420"/>
      <c r="I944" s="424"/>
      <c r="J944" s="424"/>
      <c r="K944" s="424"/>
      <c r="L944" s="424"/>
    </row>
    <row r="945" spans="2:12">
      <c r="B945" s="420"/>
      <c r="C945" s="420"/>
      <c r="D945" s="420"/>
      <c r="E945" s="420"/>
      <c r="F945" s="420"/>
      <c r="G945" s="420"/>
      <c r="H945" s="420"/>
      <c r="I945" s="424"/>
      <c r="J945" s="424"/>
      <c r="K945" s="424"/>
      <c r="L945" s="424"/>
    </row>
    <row r="946" spans="2:12">
      <c r="B946" s="420"/>
      <c r="C946" s="420"/>
      <c r="D946" s="420"/>
      <c r="E946" s="420"/>
      <c r="F946" s="420"/>
      <c r="G946" s="420"/>
      <c r="H946" s="420"/>
      <c r="I946" s="424"/>
      <c r="J946" s="424"/>
      <c r="K946" s="424"/>
      <c r="L946" s="424"/>
    </row>
    <row r="947" spans="2:12">
      <c r="B947" s="420"/>
      <c r="C947" s="420"/>
      <c r="D947" s="420"/>
      <c r="E947" s="420"/>
      <c r="F947" s="420"/>
      <c r="G947" s="420"/>
      <c r="H947" s="420"/>
      <c r="I947" s="424"/>
      <c r="J947" s="424"/>
      <c r="K947" s="424"/>
      <c r="L947" s="424"/>
    </row>
    <row r="948" spans="2:12">
      <c r="B948" s="420"/>
      <c r="C948" s="420"/>
      <c r="D948" s="420"/>
      <c r="E948" s="420"/>
      <c r="F948" s="420"/>
      <c r="G948" s="420"/>
      <c r="H948" s="420"/>
      <c r="I948" s="424"/>
      <c r="J948" s="424"/>
      <c r="K948" s="424"/>
      <c r="L948" s="424"/>
    </row>
    <row r="949" spans="2:12">
      <c r="B949" s="420"/>
      <c r="C949" s="420"/>
      <c r="D949" s="420"/>
      <c r="E949" s="420"/>
      <c r="F949" s="420"/>
      <c r="G949" s="420"/>
      <c r="H949" s="420"/>
      <c r="I949" s="424"/>
      <c r="J949" s="424"/>
      <c r="K949" s="424"/>
      <c r="L949" s="424"/>
    </row>
    <row r="950" spans="2:12">
      <c r="B950" s="420"/>
      <c r="C950" s="420"/>
      <c r="D950" s="420"/>
      <c r="E950" s="420"/>
      <c r="F950" s="420"/>
      <c r="G950" s="420"/>
      <c r="H950" s="420"/>
      <c r="I950" s="424"/>
      <c r="J950" s="424"/>
      <c r="K950" s="424"/>
      <c r="L950" s="424"/>
    </row>
    <row r="951" spans="2:12">
      <c r="B951" s="420"/>
      <c r="C951" s="420"/>
      <c r="D951" s="420"/>
      <c r="E951" s="420"/>
      <c r="F951" s="420"/>
      <c r="G951" s="420"/>
      <c r="H951" s="420"/>
      <c r="I951" s="424"/>
      <c r="J951" s="424"/>
      <c r="K951" s="424"/>
      <c r="L951" s="424"/>
    </row>
    <row r="952" spans="2:12">
      <c r="B952" s="420"/>
      <c r="C952" s="420"/>
      <c r="D952" s="420"/>
      <c r="E952" s="420"/>
      <c r="F952" s="420"/>
      <c r="G952" s="420"/>
      <c r="H952" s="420"/>
      <c r="I952" s="424"/>
      <c r="J952" s="424"/>
      <c r="K952" s="424"/>
      <c r="L952" s="424"/>
    </row>
    <row r="953" spans="2:12">
      <c r="B953" s="420"/>
      <c r="C953" s="420"/>
      <c r="D953" s="420"/>
      <c r="E953" s="420"/>
      <c r="F953" s="420"/>
      <c r="G953" s="420"/>
      <c r="H953" s="420"/>
      <c r="I953" s="424"/>
      <c r="J953" s="424"/>
      <c r="K953" s="424"/>
      <c r="L953" s="424"/>
    </row>
    <row r="954" spans="2:12">
      <c r="B954" s="420"/>
      <c r="C954" s="420"/>
      <c r="D954" s="420"/>
      <c r="E954" s="420"/>
      <c r="F954" s="420"/>
      <c r="G954" s="420"/>
      <c r="H954" s="420"/>
      <c r="I954" s="424"/>
      <c r="J954" s="424"/>
      <c r="K954" s="424"/>
      <c r="L954" s="424"/>
    </row>
    <row r="955" spans="2:12">
      <c r="B955" s="420"/>
      <c r="C955" s="420"/>
      <c r="D955" s="420"/>
      <c r="E955" s="420"/>
      <c r="F955" s="420"/>
      <c r="G955" s="420"/>
      <c r="H955" s="420"/>
      <c r="I955" s="424"/>
      <c r="J955" s="424"/>
      <c r="K955" s="424"/>
      <c r="L955" s="424"/>
    </row>
    <row r="956" spans="2:12">
      <c r="B956" s="420"/>
      <c r="C956" s="420"/>
      <c r="D956" s="420"/>
      <c r="E956" s="420"/>
      <c r="F956" s="420"/>
      <c r="G956" s="420"/>
      <c r="H956" s="420"/>
      <c r="I956" s="424"/>
      <c r="J956" s="424"/>
      <c r="K956" s="424"/>
      <c r="L956" s="424"/>
    </row>
    <row r="957" spans="2:12">
      <c r="B957" s="420"/>
      <c r="C957" s="420"/>
      <c r="D957" s="420"/>
      <c r="E957" s="420"/>
      <c r="F957" s="420"/>
      <c r="G957" s="420"/>
      <c r="H957" s="420"/>
      <c r="I957" s="424"/>
      <c r="J957" s="424"/>
      <c r="K957" s="424"/>
      <c r="L957" s="424"/>
    </row>
    <row r="958" spans="2:12">
      <c r="B958" s="420"/>
      <c r="C958" s="420"/>
      <c r="D958" s="420"/>
      <c r="E958" s="420"/>
      <c r="F958" s="420"/>
      <c r="G958" s="420"/>
      <c r="H958" s="420"/>
      <c r="I958" s="424"/>
      <c r="J958" s="424"/>
      <c r="K958" s="424"/>
      <c r="L958" s="424"/>
    </row>
    <row r="959" spans="2:12">
      <c r="I959" s="426"/>
      <c r="J959" s="426"/>
      <c r="K959" s="426"/>
      <c r="L959" s="426"/>
    </row>
    <row r="960" spans="2:12">
      <c r="I960" s="426"/>
      <c r="J960" s="426"/>
      <c r="K960" s="426"/>
      <c r="L960" s="426"/>
    </row>
    <row r="961" spans="9:12">
      <c r="I961" s="426"/>
      <c r="J961" s="426"/>
      <c r="K961" s="426"/>
      <c r="L961" s="426"/>
    </row>
    <row r="962" spans="9:12">
      <c r="I962" s="426"/>
      <c r="J962" s="426"/>
      <c r="K962" s="426"/>
      <c r="L962" s="426"/>
    </row>
    <row r="963" spans="9:12">
      <c r="I963" s="426"/>
      <c r="J963" s="426"/>
      <c r="K963" s="426"/>
      <c r="L963" s="426"/>
    </row>
    <row r="964" spans="9:12">
      <c r="I964" s="426"/>
      <c r="J964" s="426"/>
      <c r="K964" s="426"/>
      <c r="L964" s="426"/>
    </row>
    <row r="965" spans="9:12">
      <c r="I965" s="426"/>
      <c r="J965" s="426"/>
      <c r="K965" s="426"/>
      <c r="L965" s="426"/>
    </row>
    <row r="966" spans="9:12">
      <c r="I966" s="426"/>
      <c r="J966" s="426"/>
      <c r="K966" s="426"/>
      <c r="L966" s="426"/>
    </row>
    <row r="967" spans="9:12">
      <c r="I967" s="426"/>
      <c r="J967" s="426"/>
      <c r="K967" s="426"/>
      <c r="L967" s="426"/>
    </row>
    <row r="968" spans="9:12">
      <c r="I968" s="426"/>
      <c r="J968" s="426"/>
      <c r="K968" s="426"/>
      <c r="L968" s="426"/>
    </row>
    <row r="969" spans="9:12">
      <c r="I969" s="426"/>
      <c r="J969" s="426"/>
      <c r="K969" s="426"/>
      <c r="L969" s="426"/>
    </row>
    <row r="970" spans="9:12">
      <c r="I970" s="426"/>
      <c r="J970" s="426"/>
      <c r="K970" s="426"/>
      <c r="L970" s="426"/>
    </row>
    <row r="971" spans="9:12">
      <c r="I971" s="426"/>
      <c r="J971" s="426"/>
      <c r="K971" s="426"/>
      <c r="L971" s="426"/>
    </row>
    <row r="972" spans="9:12">
      <c r="I972" s="426"/>
      <c r="J972" s="426"/>
      <c r="K972" s="426"/>
      <c r="L972" s="426"/>
    </row>
    <row r="973" spans="9:12">
      <c r="I973" s="426"/>
      <c r="J973" s="426"/>
      <c r="K973" s="426"/>
      <c r="L973" s="426"/>
    </row>
    <row r="974" spans="9:12">
      <c r="I974" s="426"/>
      <c r="J974" s="426"/>
      <c r="K974" s="426"/>
      <c r="L974" s="426"/>
    </row>
    <row r="975" spans="9:12">
      <c r="I975" s="426"/>
      <c r="J975" s="426"/>
      <c r="K975" s="426"/>
      <c r="L975" s="426"/>
    </row>
    <row r="976" spans="9:12">
      <c r="I976" s="426"/>
      <c r="J976" s="426"/>
      <c r="K976" s="426"/>
      <c r="L976" s="426"/>
    </row>
    <row r="977" spans="9:12">
      <c r="I977" s="426"/>
      <c r="J977" s="426"/>
      <c r="K977" s="426"/>
      <c r="L977" s="426"/>
    </row>
    <row r="978" spans="9:12">
      <c r="I978" s="426"/>
      <c r="J978" s="426"/>
      <c r="K978" s="426"/>
      <c r="L978" s="426"/>
    </row>
    <row r="979" spans="9:12">
      <c r="I979" s="426"/>
      <c r="J979" s="426"/>
      <c r="K979" s="426"/>
      <c r="L979" s="426"/>
    </row>
    <row r="980" spans="9:12">
      <c r="I980" s="426"/>
      <c r="J980" s="426"/>
      <c r="K980" s="426"/>
      <c r="L980" s="426"/>
    </row>
    <row r="981" spans="9:12">
      <c r="I981" s="426"/>
      <c r="J981" s="426"/>
      <c r="K981" s="426"/>
      <c r="L981" s="426"/>
    </row>
    <row r="982" spans="9:12">
      <c r="I982" s="426"/>
      <c r="J982" s="426"/>
      <c r="K982" s="426"/>
      <c r="L982" s="426"/>
    </row>
    <row r="983" spans="9:12">
      <c r="I983" s="426"/>
      <c r="J983" s="426"/>
      <c r="K983" s="426"/>
      <c r="L983" s="426"/>
    </row>
    <row r="984" spans="9:12">
      <c r="I984" s="426"/>
      <c r="J984" s="426"/>
      <c r="K984" s="426"/>
      <c r="L984" s="426"/>
    </row>
    <row r="985" spans="9:12">
      <c r="I985" s="426"/>
      <c r="J985" s="426"/>
      <c r="K985" s="426"/>
      <c r="L985" s="426"/>
    </row>
    <row r="986" spans="9:12">
      <c r="I986" s="426"/>
      <c r="J986" s="426"/>
      <c r="K986" s="426"/>
      <c r="L986" s="426"/>
    </row>
    <row r="987" spans="9:12">
      <c r="I987" s="426"/>
      <c r="J987" s="426"/>
      <c r="K987" s="426"/>
      <c r="L987" s="426"/>
    </row>
    <row r="988" spans="9:12">
      <c r="I988" s="426"/>
      <c r="J988" s="426"/>
      <c r="K988" s="426"/>
      <c r="L988" s="426"/>
    </row>
    <row r="989" spans="9:12">
      <c r="I989" s="426"/>
      <c r="J989" s="426"/>
      <c r="K989" s="426"/>
      <c r="L989" s="426"/>
    </row>
    <row r="990" spans="9:12">
      <c r="I990" s="426"/>
      <c r="J990" s="426"/>
      <c r="K990" s="426"/>
      <c r="L990" s="426"/>
    </row>
    <row r="991" spans="9:12">
      <c r="I991" s="426"/>
      <c r="J991" s="426"/>
      <c r="K991" s="426"/>
      <c r="L991" s="426"/>
    </row>
    <row r="992" spans="9:12">
      <c r="I992" s="426"/>
      <c r="J992" s="426"/>
      <c r="K992" s="426"/>
      <c r="L992" s="426"/>
    </row>
    <row r="993" spans="9:12">
      <c r="I993" s="426"/>
      <c r="J993" s="426"/>
      <c r="K993" s="426"/>
      <c r="L993" s="426"/>
    </row>
    <row r="994" spans="9:12">
      <c r="I994" s="426"/>
      <c r="J994" s="426"/>
      <c r="K994" s="426"/>
      <c r="L994" s="426"/>
    </row>
    <row r="995" spans="9:12">
      <c r="I995" s="426"/>
      <c r="J995" s="426"/>
      <c r="K995" s="426"/>
      <c r="L995" s="426"/>
    </row>
    <row r="996" spans="9:12">
      <c r="I996" s="426"/>
      <c r="J996" s="426"/>
      <c r="K996" s="426"/>
      <c r="L996" s="426"/>
    </row>
    <row r="997" spans="9:12">
      <c r="I997" s="426"/>
      <c r="J997" s="426"/>
      <c r="K997" s="426"/>
      <c r="L997" s="426"/>
    </row>
    <row r="998" spans="9:12">
      <c r="I998" s="426"/>
      <c r="J998" s="426"/>
      <c r="K998" s="426"/>
      <c r="L998" s="42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310"/>
  <sheetViews>
    <sheetView topLeftCell="G1" zoomScale="80" zoomScaleNormal="80" workbookViewId="0">
      <selection activeCell="P21" sqref="P21"/>
    </sheetView>
  </sheetViews>
  <sheetFormatPr baseColWidth="10" defaultRowHeight="15"/>
  <cols>
    <col min="1" max="1" width="27.85546875" bestFit="1" customWidth="1"/>
    <col min="2" max="2" width="18.85546875" bestFit="1" customWidth="1"/>
    <col min="3" max="3" width="15" bestFit="1" customWidth="1"/>
    <col min="4" max="4" width="17" bestFit="1" customWidth="1"/>
    <col min="5" max="5" width="15.7109375" bestFit="1" customWidth="1"/>
    <col min="7" max="7" width="26" bestFit="1" customWidth="1"/>
    <col min="8" max="8" width="12" bestFit="1" customWidth="1"/>
    <col min="9" max="9" width="11" customWidth="1"/>
    <col min="10" max="10" width="14.85546875" customWidth="1"/>
    <col min="11" max="11" width="15.5703125" customWidth="1"/>
  </cols>
  <sheetData>
    <row r="3" spans="1:11">
      <c r="A3" s="428" t="s">
        <v>383</v>
      </c>
      <c r="B3" s="420" t="s">
        <v>401</v>
      </c>
      <c r="C3" s="420" t="s">
        <v>402</v>
      </c>
      <c r="D3" s="420" t="s">
        <v>403</v>
      </c>
      <c r="E3" s="420" t="s">
        <v>404</v>
      </c>
      <c r="G3" s="446" t="s">
        <v>383</v>
      </c>
      <c r="H3" s="446" t="s">
        <v>365</v>
      </c>
      <c r="I3" s="446" t="s">
        <v>366</v>
      </c>
      <c r="J3" s="446" t="s">
        <v>367</v>
      </c>
      <c r="K3" s="446" t="s">
        <v>368</v>
      </c>
    </row>
    <row r="4" spans="1:11">
      <c r="A4" s="282" t="s">
        <v>198</v>
      </c>
      <c r="B4" s="429">
        <v>0.68700000000000006</v>
      </c>
      <c r="C4" s="429">
        <v>1.17</v>
      </c>
      <c r="D4" s="429">
        <v>1.27</v>
      </c>
      <c r="E4" s="429">
        <v>1.3</v>
      </c>
      <c r="G4" s="442" t="s">
        <v>198</v>
      </c>
      <c r="H4" s="457">
        <v>0.68700000000000006</v>
      </c>
      <c r="I4" s="457">
        <v>1.17</v>
      </c>
      <c r="J4" s="457">
        <v>1.27</v>
      </c>
      <c r="K4" s="457">
        <v>1.3</v>
      </c>
    </row>
    <row r="5" spans="1:11">
      <c r="A5" s="430">
        <v>50771</v>
      </c>
      <c r="B5" s="429">
        <v>0.68700000000000006</v>
      </c>
      <c r="C5" s="429">
        <v>1.17</v>
      </c>
      <c r="D5" s="429">
        <v>1.27</v>
      </c>
      <c r="E5" s="429">
        <v>1.3</v>
      </c>
      <c r="G5" s="430">
        <v>50771</v>
      </c>
      <c r="H5" s="424">
        <v>0.68700000000000006</v>
      </c>
      <c r="I5" s="424">
        <v>1.17</v>
      </c>
      <c r="J5" s="424">
        <v>1.27</v>
      </c>
      <c r="K5" s="424">
        <v>1.3</v>
      </c>
    </row>
    <row r="6" spans="1:11">
      <c r="A6" s="282" t="s">
        <v>70</v>
      </c>
      <c r="B6" s="429">
        <v>3.2846000000000002</v>
      </c>
      <c r="C6" s="429">
        <v>3.3149999999999999</v>
      </c>
      <c r="D6" s="429">
        <v>3.3544999999999998</v>
      </c>
      <c r="E6" s="429">
        <v>3.7044999999999999</v>
      </c>
      <c r="G6" s="442" t="s">
        <v>70</v>
      </c>
      <c r="H6" s="457">
        <v>3.2846000000000002</v>
      </c>
      <c r="I6" s="457">
        <v>3.3149999999999999</v>
      </c>
      <c r="J6" s="457">
        <v>3.3544999999999998</v>
      </c>
      <c r="K6" s="457">
        <v>3.7044999999999999</v>
      </c>
    </row>
    <row r="7" spans="1:11">
      <c r="A7" s="430">
        <v>50754</v>
      </c>
      <c r="B7" s="429">
        <v>1.6616000000000004</v>
      </c>
      <c r="C7" s="429">
        <v>1.6890000000000001</v>
      </c>
      <c r="D7" s="429">
        <v>1.7284999999999999</v>
      </c>
      <c r="E7" s="429">
        <v>2.0785</v>
      </c>
      <c r="G7" s="430">
        <v>50754</v>
      </c>
      <c r="H7" s="424">
        <v>1.6616000000000004</v>
      </c>
      <c r="I7" s="424">
        <v>1.6890000000000001</v>
      </c>
      <c r="J7" s="424">
        <v>1.7284999999999999</v>
      </c>
      <c r="K7" s="424">
        <v>2.0785</v>
      </c>
    </row>
    <row r="8" spans="1:11">
      <c r="A8" s="430">
        <v>50820</v>
      </c>
      <c r="B8" s="429">
        <v>1.623</v>
      </c>
      <c r="C8" s="429">
        <v>1.6259999999999999</v>
      </c>
      <c r="D8" s="429">
        <v>1.6259999999999999</v>
      </c>
      <c r="E8" s="429">
        <v>1.6259999999999999</v>
      </c>
      <c r="G8" s="430">
        <v>50820</v>
      </c>
      <c r="H8" s="424">
        <v>1.623</v>
      </c>
      <c r="I8" s="424">
        <v>1.6259999999999999</v>
      </c>
      <c r="J8" s="424">
        <v>1.6259999999999999</v>
      </c>
      <c r="K8" s="424">
        <v>1.6259999999999999</v>
      </c>
    </row>
    <row r="9" spans="1:11">
      <c r="A9" s="282" t="s">
        <v>161</v>
      </c>
      <c r="B9" s="429">
        <v>1.3304</v>
      </c>
      <c r="C9" s="429">
        <v>1.7999999999999998</v>
      </c>
      <c r="D9" s="429">
        <v>1.8940000000000001</v>
      </c>
      <c r="E9" s="429">
        <v>2.1013000000000002</v>
      </c>
      <c r="G9" s="442" t="s">
        <v>161</v>
      </c>
      <c r="H9" s="457">
        <v>1.3304</v>
      </c>
      <c r="I9" s="457">
        <v>1.7999999999999998</v>
      </c>
      <c r="J9" s="457">
        <v>1.8940000000000001</v>
      </c>
      <c r="K9" s="457">
        <v>2.1013000000000002</v>
      </c>
    </row>
    <row r="10" spans="1:11">
      <c r="A10" s="430">
        <v>50707</v>
      </c>
      <c r="B10" s="429">
        <v>0.68099999999999994</v>
      </c>
      <c r="C10" s="429">
        <v>0.85</v>
      </c>
      <c r="D10" s="429">
        <v>0.85</v>
      </c>
      <c r="E10" s="429">
        <v>0.86</v>
      </c>
      <c r="G10" s="430">
        <v>50707</v>
      </c>
      <c r="H10" s="424">
        <v>0.68099999999999994</v>
      </c>
      <c r="I10" s="424">
        <v>0.85</v>
      </c>
      <c r="J10" s="424">
        <v>0.85</v>
      </c>
      <c r="K10" s="424">
        <v>0.86</v>
      </c>
    </row>
    <row r="11" spans="1:11">
      <c r="A11" s="430">
        <v>50863</v>
      </c>
      <c r="B11" s="429">
        <v>0.64939999999999998</v>
      </c>
      <c r="C11" s="429">
        <v>0.95</v>
      </c>
      <c r="D11" s="429">
        <v>1.044</v>
      </c>
      <c r="E11" s="429">
        <v>1.2413000000000001</v>
      </c>
      <c r="G11" s="430">
        <v>50863</v>
      </c>
      <c r="H11" s="424">
        <v>0.64939999999999998</v>
      </c>
      <c r="I11" s="424">
        <v>0.95</v>
      </c>
      <c r="J11" s="424">
        <v>1.044</v>
      </c>
      <c r="K11" s="424">
        <v>1.2413000000000001</v>
      </c>
    </row>
    <row r="12" spans="1:11">
      <c r="A12" s="282" t="s">
        <v>190</v>
      </c>
      <c r="B12" s="429">
        <v>2.9431666666666665</v>
      </c>
      <c r="C12" s="429">
        <v>3.3719999999999999</v>
      </c>
      <c r="D12" s="429">
        <v>3.7225000000000001</v>
      </c>
      <c r="E12" s="429">
        <v>4.2816666666666663</v>
      </c>
      <c r="G12" s="442" t="s">
        <v>190</v>
      </c>
      <c r="H12" s="457">
        <v>2.9431666666666665</v>
      </c>
      <c r="I12" s="457">
        <v>3.3719999999999999</v>
      </c>
      <c r="J12" s="457">
        <v>3.7225000000000001</v>
      </c>
      <c r="K12" s="457">
        <v>4.2816666666666663</v>
      </c>
    </row>
    <row r="13" spans="1:11">
      <c r="A13" s="430">
        <v>50698</v>
      </c>
      <c r="B13" s="429">
        <v>0.67799999999999994</v>
      </c>
      <c r="C13" s="429">
        <v>0.74399999999999999</v>
      </c>
      <c r="D13" s="429">
        <v>0.75000000000000011</v>
      </c>
      <c r="E13" s="429">
        <v>0.95499999999999996</v>
      </c>
      <c r="G13" s="430">
        <v>50698</v>
      </c>
      <c r="H13" s="424">
        <v>0.67799999999999994</v>
      </c>
      <c r="I13" s="424">
        <v>0.74399999999999999</v>
      </c>
      <c r="J13" s="424">
        <v>0.75000000000000011</v>
      </c>
      <c r="K13" s="424">
        <v>0.95499999999999996</v>
      </c>
    </row>
    <row r="14" spans="1:11">
      <c r="A14" s="430">
        <v>50798</v>
      </c>
      <c r="B14" s="429">
        <v>0.73499999999999999</v>
      </c>
      <c r="C14" s="429">
        <v>0.80200000000000005</v>
      </c>
      <c r="D14" s="429">
        <v>0.8666666666666667</v>
      </c>
      <c r="E14" s="429">
        <v>0.95666666666666667</v>
      </c>
      <c r="G14" s="430">
        <v>50798</v>
      </c>
      <c r="H14" s="424">
        <v>0.73499999999999999</v>
      </c>
      <c r="I14" s="424">
        <v>0.80200000000000005</v>
      </c>
      <c r="J14" s="424">
        <v>0.8666666666666667</v>
      </c>
      <c r="K14" s="424">
        <v>0.95666666666666667</v>
      </c>
    </row>
    <row r="15" spans="1:11">
      <c r="A15" s="430">
        <v>50856</v>
      </c>
      <c r="B15" s="429">
        <v>0.66166666666666663</v>
      </c>
      <c r="C15" s="429">
        <v>0.72699999999999998</v>
      </c>
      <c r="D15" s="429">
        <v>0.77833333333333343</v>
      </c>
      <c r="E15" s="429">
        <v>0.89</v>
      </c>
      <c r="G15" s="430">
        <v>50856</v>
      </c>
      <c r="H15" s="424">
        <v>0.66166666666666663</v>
      </c>
      <c r="I15" s="424">
        <v>0.72699999999999998</v>
      </c>
      <c r="J15" s="424">
        <v>0.77833333333333343</v>
      </c>
      <c r="K15" s="424">
        <v>0.89</v>
      </c>
    </row>
    <row r="16" spans="1:11">
      <c r="A16" s="430">
        <v>50864</v>
      </c>
      <c r="B16" s="429">
        <v>0.86850000000000005</v>
      </c>
      <c r="C16" s="429">
        <v>1.099</v>
      </c>
      <c r="D16" s="429">
        <v>1.3274999999999999</v>
      </c>
      <c r="E16" s="429">
        <v>1.48</v>
      </c>
      <c r="G16" s="430">
        <v>50864</v>
      </c>
      <c r="H16" s="424">
        <v>0.86850000000000005</v>
      </c>
      <c r="I16" s="424">
        <v>1.099</v>
      </c>
      <c r="J16" s="424">
        <v>1.3274999999999999</v>
      </c>
      <c r="K16" s="424">
        <v>1.48</v>
      </c>
    </row>
    <row r="17" spans="1:11">
      <c r="A17" s="282" t="s">
        <v>36</v>
      </c>
      <c r="B17" s="429">
        <v>3.7620999999999998</v>
      </c>
      <c r="C17" s="429">
        <v>4.0369999999999999</v>
      </c>
      <c r="D17" s="429">
        <v>4.3020555555555555</v>
      </c>
      <c r="E17" s="429">
        <v>4.4657222222222224</v>
      </c>
      <c r="G17" s="442" t="s">
        <v>36</v>
      </c>
      <c r="H17" s="457">
        <v>3.7620999999999998</v>
      </c>
      <c r="I17" s="457">
        <v>4.0369999999999999</v>
      </c>
      <c r="J17" s="457">
        <v>4.3020555555555555</v>
      </c>
      <c r="K17" s="457">
        <v>4.4657222222222224</v>
      </c>
    </row>
    <row r="18" spans="1:11">
      <c r="A18" s="430">
        <v>50794</v>
      </c>
      <c r="B18" s="429">
        <v>1.4770999999999999</v>
      </c>
      <c r="C18" s="429">
        <v>1.5189999999999999</v>
      </c>
      <c r="D18" s="429">
        <v>1.5718333333333334</v>
      </c>
      <c r="E18" s="429">
        <v>1.6434999999999997</v>
      </c>
      <c r="G18" s="430">
        <v>50794</v>
      </c>
      <c r="H18" s="424">
        <v>1.4770999999999999</v>
      </c>
      <c r="I18" s="424">
        <v>1.5189999999999999</v>
      </c>
      <c r="J18" s="424">
        <v>1.5718333333333334</v>
      </c>
      <c r="K18" s="424">
        <v>1.6434999999999997</v>
      </c>
    </row>
    <row r="19" spans="1:11">
      <c r="A19" s="430">
        <v>50806</v>
      </c>
      <c r="B19" s="429">
        <v>1.222</v>
      </c>
      <c r="C19" s="429">
        <v>1.361</v>
      </c>
      <c r="D19" s="429">
        <v>1.468</v>
      </c>
      <c r="E19" s="429">
        <v>1.5055555555555555</v>
      </c>
      <c r="G19" s="430">
        <v>50806</v>
      </c>
      <c r="H19" s="424">
        <v>1.222</v>
      </c>
      <c r="I19" s="424">
        <v>1.361</v>
      </c>
      <c r="J19" s="424">
        <v>1.468</v>
      </c>
      <c r="K19" s="424">
        <v>1.5055555555555555</v>
      </c>
    </row>
    <row r="20" spans="1:11">
      <c r="A20" s="430">
        <v>50829</v>
      </c>
      <c r="B20" s="429">
        <v>1.0630000000000002</v>
      </c>
      <c r="C20" s="429">
        <v>1.157</v>
      </c>
      <c r="D20" s="429">
        <v>1.2622222222222221</v>
      </c>
      <c r="E20" s="429">
        <v>1.3166666666666669</v>
      </c>
      <c r="G20" s="430">
        <v>50829</v>
      </c>
      <c r="H20" s="424">
        <v>1.0630000000000002</v>
      </c>
      <c r="I20" s="424">
        <v>1.157</v>
      </c>
      <c r="J20" s="424">
        <v>1.2622222222222221</v>
      </c>
      <c r="K20" s="424">
        <v>1.3166666666666669</v>
      </c>
    </row>
    <row r="21" spans="1:11">
      <c r="A21" s="282" t="s">
        <v>150</v>
      </c>
      <c r="B21" s="429">
        <v>1.3643333333333334</v>
      </c>
      <c r="C21" s="429">
        <v>1.6830000000000001</v>
      </c>
      <c r="D21" s="429">
        <v>1.6833333333333333</v>
      </c>
      <c r="E21" s="429">
        <v>1.89</v>
      </c>
      <c r="G21" s="442" t="s">
        <v>414</v>
      </c>
      <c r="H21" s="457">
        <v>1.3643333333333334</v>
      </c>
      <c r="I21" s="457">
        <v>1.6830000000000001</v>
      </c>
      <c r="J21" s="457">
        <v>1.6833333333333333</v>
      </c>
      <c r="K21" s="457">
        <v>1.89</v>
      </c>
    </row>
    <row r="22" spans="1:11">
      <c r="A22" s="430">
        <v>50815</v>
      </c>
      <c r="B22" s="429">
        <v>1.3643333333333334</v>
      </c>
      <c r="C22" s="429">
        <v>1.6830000000000001</v>
      </c>
      <c r="D22" s="429">
        <v>1.6833333333333333</v>
      </c>
      <c r="E22" s="429">
        <v>1.89</v>
      </c>
      <c r="G22" s="430">
        <v>50815</v>
      </c>
      <c r="H22" s="424">
        <v>1.3643333333333334</v>
      </c>
      <c r="I22" s="424">
        <v>1.6830000000000001</v>
      </c>
      <c r="J22" s="424">
        <v>1.6833333333333333</v>
      </c>
      <c r="K22" s="424">
        <v>1.89</v>
      </c>
    </row>
    <row r="23" spans="1:11">
      <c r="A23" s="282" t="s">
        <v>137</v>
      </c>
      <c r="B23" s="429">
        <v>2.6776999999999997</v>
      </c>
      <c r="C23" s="429">
        <v>2.9889999999999999</v>
      </c>
      <c r="D23" s="429">
        <v>3.2734999999999999</v>
      </c>
      <c r="E23" s="429">
        <v>3.4211111111111112</v>
      </c>
      <c r="G23" s="442" t="s">
        <v>137</v>
      </c>
      <c r="H23" s="457">
        <v>2.6776999999999997</v>
      </c>
      <c r="I23" s="457">
        <v>2.9889999999999999</v>
      </c>
      <c r="J23" s="457">
        <v>3.2734999999999999</v>
      </c>
      <c r="K23" s="457">
        <v>3.4211111111111112</v>
      </c>
    </row>
    <row r="24" spans="1:11">
      <c r="A24" s="430">
        <v>50757</v>
      </c>
      <c r="B24" s="429">
        <v>0.57300000000000006</v>
      </c>
      <c r="C24" s="429">
        <v>0.66</v>
      </c>
      <c r="D24" s="429">
        <v>0.66</v>
      </c>
      <c r="E24" s="429">
        <v>0.73</v>
      </c>
      <c r="G24" s="430">
        <v>50757</v>
      </c>
      <c r="H24" s="424">
        <v>0.57300000000000006</v>
      </c>
      <c r="I24" s="424">
        <v>0.66</v>
      </c>
      <c r="J24" s="424">
        <v>0.66</v>
      </c>
      <c r="K24" s="424">
        <v>0.73</v>
      </c>
    </row>
    <row r="25" spans="1:11">
      <c r="A25" s="430">
        <v>50830</v>
      </c>
      <c r="B25" s="429">
        <v>0.82169999999999987</v>
      </c>
      <c r="C25" s="429">
        <v>0.96599999999999997</v>
      </c>
      <c r="D25" s="429">
        <v>0.96599999999999997</v>
      </c>
      <c r="E25" s="429">
        <v>0.98111111111111116</v>
      </c>
      <c r="G25" s="430">
        <v>50830</v>
      </c>
      <c r="H25" s="424">
        <v>0.82169999999999987</v>
      </c>
      <c r="I25" s="424">
        <v>0.96599999999999997</v>
      </c>
      <c r="J25" s="424">
        <v>0.96599999999999997</v>
      </c>
      <c r="K25" s="424">
        <v>0.98111111111111116</v>
      </c>
    </row>
    <row r="26" spans="1:11">
      <c r="A26" s="430">
        <v>50857</v>
      </c>
      <c r="B26" s="429">
        <v>1.2829999999999999</v>
      </c>
      <c r="C26" s="429">
        <v>1.363</v>
      </c>
      <c r="D26" s="429">
        <v>1.6475</v>
      </c>
      <c r="E26" s="429">
        <v>1.7100000000000002</v>
      </c>
      <c r="G26" s="430">
        <v>50857</v>
      </c>
      <c r="H26" s="424">
        <v>1.2829999999999999</v>
      </c>
      <c r="I26" s="424">
        <v>1.363</v>
      </c>
      <c r="J26" s="424">
        <v>1.6475</v>
      </c>
      <c r="K26" s="424">
        <v>1.7100000000000002</v>
      </c>
    </row>
    <row r="27" spans="1:11">
      <c r="A27" s="282" t="s">
        <v>206</v>
      </c>
      <c r="B27" s="429">
        <v>0.6663</v>
      </c>
      <c r="C27" s="429">
        <v>0.77</v>
      </c>
      <c r="D27" s="429">
        <v>0.86099999999999999</v>
      </c>
      <c r="E27" s="429">
        <v>1.2530000000000001</v>
      </c>
      <c r="G27" s="442" t="s">
        <v>415</v>
      </c>
      <c r="H27" s="457">
        <v>0.6663</v>
      </c>
      <c r="I27" s="457">
        <v>0.77</v>
      </c>
      <c r="J27" s="457">
        <v>0.86099999999999999</v>
      </c>
      <c r="K27" s="457">
        <v>1.2530000000000001</v>
      </c>
    </row>
    <row r="28" spans="1:11">
      <c r="A28" s="430">
        <v>50853</v>
      </c>
      <c r="B28" s="429">
        <v>0.6663</v>
      </c>
      <c r="C28" s="429">
        <v>0.77</v>
      </c>
      <c r="D28" s="429">
        <v>0.86099999999999999</v>
      </c>
      <c r="E28" s="429">
        <v>1.2530000000000001</v>
      </c>
      <c r="G28" s="430">
        <v>50853</v>
      </c>
      <c r="H28" s="424">
        <v>0.6663</v>
      </c>
      <c r="I28" s="424">
        <v>0.77</v>
      </c>
      <c r="J28" s="424">
        <v>0.86099999999999999</v>
      </c>
      <c r="K28" s="424">
        <v>1.2530000000000001</v>
      </c>
    </row>
    <row r="29" spans="1:11">
      <c r="A29" s="282" t="s">
        <v>57</v>
      </c>
      <c r="B29" s="429">
        <v>2.8634666666666666</v>
      </c>
      <c r="C29" s="429">
        <v>3.306</v>
      </c>
      <c r="D29" s="429">
        <v>3.4426000000000001</v>
      </c>
      <c r="E29" s="429">
        <v>3.635966666666667</v>
      </c>
      <c r="G29" s="442" t="s">
        <v>57</v>
      </c>
      <c r="H29" s="457">
        <v>2.8634666666666666</v>
      </c>
      <c r="I29" s="457">
        <v>3.306</v>
      </c>
      <c r="J29" s="457">
        <v>3.4426000000000001</v>
      </c>
      <c r="K29" s="457">
        <v>3.635966666666667</v>
      </c>
    </row>
    <row r="30" spans="1:11">
      <c r="A30" s="430">
        <v>50594</v>
      </c>
      <c r="B30" s="429">
        <v>1.512</v>
      </c>
      <c r="C30" s="429">
        <v>1.512</v>
      </c>
      <c r="D30" s="429">
        <v>1.512</v>
      </c>
      <c r="E30" s="429">
        <v>1.512</v>
      </c>
      <c r="G30" s="430">
        <v>50594</v>
      </c>
      <c r="H30" s="424">
        <v>1.512</v>
      </c>
      <c r="I30" s="424">
        <v>1.512</v>
      </c>
      <c r="J30" s="424">
        <v>1.512</v>
      </c>
      <c r="K30" s="424">
        <v>1.512</v>
      </c>
    </row>
    <row r="31" spans="1:11">
      <c r="A31" s="430">
        <v>50664</v>
      </c>
      <c r="B31" s="429">
        <v>0.6166666666666667</v>
      </c>
      <c r="C31" s="429">
        <v>0.754</v>
      </c>
      <c r="D31" s="429">
        <v>0.89100000000000001</v>
      </c>
      <c r="E31" s="429">
        <v>1.0281666666666667</v>
      </c>
      <c r="G31" s="430">
        <v>50664</v>
      </c>
      <c r="H31" s="424">
        <v>0.6166666666666667</v>
      </c>
      <c r="I31" s="424">
        <v>0.754</v>
      </c>
      <c r="J31" s="424">
        <v>0.89100000000000001</v>
      </c>
      <c r="K31" s="424">
        <v>1.0281666666666667</v>
      </c>
    </row>
    <row r="32" spans="1:11">
      <c r="A32" s="430">
        <v>50712</v>
      </c>
      <c r="B32" s="429">
        <v>0.7347999999999999</v>
      </c>
      <c r="C32" s="429">
        <v>1.04</v>
      </c>
      <c r="D32" s="429">
        <v>1.0396000000000001</v>
      </c>
      <c r="E32" s="429">
        <v>1.0958000000000001</v>
      </c>
      <c r="G32" s="430">
        <v>50712</v>
      </c>
      <c r="H32" s="424">
        <v>0.7347999999999999</v>
      </c>
      <c r="I32" s="424">
        <v>1.04</v>
      </c>
      <c r="J32" s="424">
        <v>1.0396000000000001</v>
      </c>
      <c r="K32" s="424">
        <v>1.0958000000000001</v>
      </c>
    </row>
    <row r="33" spans="1:11">
      <c r="A33" s="282" t="s">
        <v>163</v>
      </c>
      <c r="B33" s="429">
        <v>0.28500000000000003</v>
      </c>
      <c r="C33" s="429">
        <v>0.44</v>
      </c>
      <c r="D33" s="429">
        <v>0.44</v>
      </c>
      <c r="E33" s="429">
        <v>0.45</v>
      </c>
      <c r="G33" s="442" t="s">
        <v>420</v>
      </c>
      <c r="H33" s="457">
        <v>0.28500000000000003</v>
      </c>
      <c r="I33" s="457">
        <v>0.44</v>
      </c>
      <c r="J33" s="457">
        <v>0.44</v>
      </c>
      <c r="K33" s="457">
        <v>0.45</v>
      </c>
    </row>
    <row r="34" spans="1:11">
      <c r="A34" s="430">
        <v>50840</v>
      </c>
      <c r="B34" s="429">
        <v>0.28500000000000003</v>
      </c>
      <c r="C34" s="429">
        <v>0.44</v>
      </c>
      <c r="D34" s="429">
        <v>0.44</v>
      </c>
      <c r="E34" s="429">
        <v>0.45</v>
      </c>
      <c r="G34" s="430">
        <v>50840</v>
      </c>
      <c r="H34" s="424">
        <v>0.28500000000000003</v>
      </c>
      <c r="I34" s="424">
        <v>0.44</v>
      </c>
      <c r="J34" s="424">
        <v>0.44</v>
      </c>
      <c r="K34" s="424">
        <v>0.45</v>
      </c>
    </row>
    <row r="35" spans="1:11">
      <c r="A35" s="282" t="s">
        <v>242</v>
      </c>
      <c r="B35" s="429">
        <v>0.48399999999999999</v>
      </c>
      <c r="C35" s="429">
        <v>0.54300000000000004</v>
      </c>
      <c r="D35" s="429">
        <v>0.62600000000000011</v>
      </c>
      <c r="E35" s="429">
        <v>0.75777777777777777</v>
      </c>
      <c r="G35" s="442" t="s">
        <v>416</v>
      </c>
      <c r="H35" s="457">
        <v>0.48399999999999999</v>
      </c>
      <c r="I35" s="457">
        <v>0.54300000000000004</v>
      </c>
      <c r="J35" s="457">
        <v>0.62600000000000011</v>
      </c>
      <c r="K35" s="457">
        <v>0.75777777777777777</v>
      </c>
    </row>
    <row r="36" spans="1:11">
      <c r="A36" s="430">
        <v>50876</v>
      </c>
      <c r="B36" s="429">
        <v>0.48399999999999999</v>
      </c>
      <c r="C36" s="429">
        <v>0.54300000000000004</v>
      </c>
      <c r="D36" s="429">
        <v>0.62600000000000011</v>
      </c>
      <c r="E36" s="429">
        <v>0.75777777777777777</v>
      </c>
      <c r="G36" s="430">
        <v>50876</v>
      </c>
      <c r="H36" s="424">
        <v>0.48399999999999999</v>
      </c>
      <c r="I36" s="424">
        <v>0.54300000000000004</v>
      </c>
      <c r="J36" s="424">
        <v>0.62600000000000011</v>
      </c>
      <c r="K36" s="424">
        <v>0.75777777777777777</v>
      </c>
    </row>
    <row r="37" spans="1:11">
      <c r="A37" s="282" t="s">
        <v>77</v>
      </c>
      <c r="B37" s="429">
        <v>0.41999999999999993</v>
      </c>
      <c r="C37" s="429">
        <v>0.51</v>
      </c>
      <c r="D37" s="429">
        <v>0.54300000000000004</v>
      </c>
      <c r="E37" s="429">
        <v>0.58925000000000005</v>
      </c>
      <c r="G37" s="442" t="s">
        <v>77</v>
      </c>
      <c r="H37" s="457">
        <v>0.41999999999999993</v>
      </c>
      <c r="I37" s="457">
        <v>0.51</v>
      </c>
      <c r="J37" s="457">
        <v>0.54300000000000004</v>
      </c>
      <c r="K37" s="457">
        <v>0.58925000000000005</v>
      </c>
    </row>
    <row r="38" spans="1:11">
      <c r="A38" s="430">
        <v>50748</v>
      </c>
      <c r="B38" s="429">
        <v>0.41999999999999993</v>
      </c>
      <c r="C38" s="429">
        <v>0.51</v>
      </c>
      <c r="D38" s="429">
        <v>0.54300000000000004</v>
      </c>
      <c r="E38" s="429">
        <v>0.58925000000000005</v>
      </c>
      <c r="G38" s="430">
        <v>50748</v>
      </c>
      <c r="H38" s="424">
        <v>0.41999999999999993</v>
      </c>
      <c r="I38" s="424">
        <v>0.51</v>
      </c>
      <c r="J38" s="424">
        <v>0.54300000000000004</v>
      </c>
      <c r="K38" s="424">
        <v>0.58925000000000005</v>
      </c>
    </row>
    <row r="39" spans="1:11">
      <c r="A39" s="282" t="s">
        <v>47</v>
      </c>
      <c r="B39" s="429">
        <v>4.796671428571428</v>
      </c>
      <c r="C39" s="429">
        <v>4.8149999999999995</v>
      </c>
      <c r="D39" s="429">
        <v>4.9500142857142855</v>
      </c>
      <c r="E39" s="429">
        <v>5.131728571428571</v>
      </c>
      <c r="G39" s="442" t="s">
        <v>47</v>
      </c>
      <c r="H39" s="457">
        <v>4.796671428571428</v>
      </c>
      <c r="I39" s="457">
        <v>4.8149999999999995</v>
      </c>
      <c r="J39" s="457">
        <v>4.9500142857142855</v>
      </c>
      <c r="K39" s="457">
        <v>5.131728571428571</v>
      </c>
    </row>
    <row r="40" spans="1:11">
      <c r="A40" s="430">
        <v>50542</v>
      </c>
      <c r="B40" s="429">
        <v>1.4095714285714285</v>
      </c>
      <c r="C40" s="429">
        <v>1.41</v>
      </c>
      <c r="D40" s="429">
        <v>1.5447142857142857</v>
      </c>
      <c r="E40" s="429">
        <v>1.6914285714285715</v>
      </c>
      <c r="G40" s="430">
        <v>50542</v>
      </c>
      <c r="H40" s="424">
        <v>1.4095714285714285</v>
      </c>
      <c r="I40" s="424">
        <v>1.41</v>
      </c>
      <c r="J40" s="424">
        <v>1.5447142857142857</v>
      </c>
      <c r="K40" s="424">
        <v>1.6914285714285715</v>
      </c>
    </row>
    <row r="41" spans="1:11">
      <c r="A41" s="430" t="s">
        <v>385</v>
      </c>
      <c r="B41" s="429">
        <v>1.6202999999999999</v>
      </c>
      <c r="C41" s="429">
        <v>1.6379999999999999</v>
      </c>
      <c r="D41" s="429">
        <v>1.6381000000000001</v>
      </c>
      <c r="E41" s="429">
        <v>1.6477999999999997</v>
      </c>
      <c r="G41" s="430" t="s">
        <v>385</v>
      </c>
      <c r="H41" s="424">
        <v>1.6202999999999999</v>
      </c>
      <c r="I41" s="424">
        <v>1.6379999999999999</v>
      </c>
      <c r="J41" s="424">
        <v>1.6381000000000001</v>
      </c>
      <c r="K41" s="424">
        <v>1.6477999999999997</v>
      </c>
    </row>
    <row r="42" spans="1:11">
      <c r="A42" s="430" t="s">
        <v>386</v>
      </c>
      <c r="B42" s="429">
        <v>1.7667999999999999</v>
      </c>
      <c r="C42" s="429">
        <v>1.7669999999999999</v>
      </c>
      <c r="D42" s="429">
        <v>1.7672000000000001</v>
      </c>
      <c r="E42" s="429">
        <v>1.7925</v>
      </c>
      <c r="G42" s="430" t="s">
        <v>386</v>
      </c>
      <c r="H42" s="424">
        <v>1.7667999999999999</v>
      </c>
      <c r="I42" s="424">
        <v>1.7669999999999999</v>
      </c>
      <c r="J42" s="424">
        <v>1.7672000000000001</v>
      </c>
      <c r="K42" s="424">
        <v>1.7925</v>
      </c>
    </row>
    <row r="43" spans="1:11">
      <c r="A43" s="282" t="s">
        <v>202</v>
      </c>
      <c r="B43" s="429">
        <v>1.7836666666666665</v>
      </c>
      <c r="C43" s="429">
        <v>2.1369999999999996</v>
      </c>
      <c r="D43" s="429">
        <v>2.1733333333333329</v>
      </c>
      <c r="E43" s="429">
        <v>2.4266666666666667</v>
      </c>
      <c r="G43" s="442" t="s">
        <v>202</v>
      </c>
      <c r="H43" s="457">
        <v>1.7836666666666665</v>
      </c>
      <c r="I43" s="457">
        <v>2.1369999999999996</v>
      </c>
      <c r="J43" s="457">
        <v>2.1733333333333329</v>
      </c>
      <c r="K43" s="457">
        <v>2.4266666666666667</v>
      </c>
    </row>
    <row r="44" spans="1:11">
      <c r="A44" s="430">
        <v>50525</v>
      </c>
      <c r="B44" s="429">
        <v>0.87250000000000005</v>
      </c>
      <c r="C44" s="429">
        <v>1.0109999999999999</v>
      </c>
      <c r="D44" s="429">
        <v>1.0249999999999999</v>
      </c>
      <c r="E44" s="429">
        <v>1.2549999999999999</v>
      </c>
      <c r="G44" s="430">
        <v>50525</v>
      </c>
      <c r="H44" s="424">
        <v>0.87250000000000005</v>
      </c>
      <c r="I44" s="424">
        <v>1.0109999999999999</v>
      </c>
      <c r="J44" s="424">
        <v>1.0249999999999999</v>
      </c>
      <c r="K44" s="424">
        <v>1.2549999999999999</v>
      </c>
    </row>
    <row r="45" spans="1:11">
      <c r="A45" s="430">
        <v>50601</v>
      </c>
      <c r="B45" s="429">
        <v>0.91116666666666657</v>
      </c>
      <c r="C45" s="429">
        <v>1.1259999999999999</v>
      </c>
      <c r="D45" s="429">
        <v>1.1483333333333332</v>
      </c>
      <c r="E45" s="429">
        <v>1.1716666666666666</v>
      </c>
      <c r="G45" s="430">
        <v>50601</v>
      </c>
      <c r="H45" s="424">
        <v>0.91116666666666657</v>
      </c>
      <c r="I45" s="424">
        <v>1.1259999999999999</v>
      </c>
      <c r="J45" s="424">
        <v>1.1483333333333332</v>
      </c>
      <c r="K45" s="424">
        <v>1.1716666666666666</v>
      </c>
    </row>
    <row r="46" spans="1:11">
      <c r="A46" s="282" t="s">
        <v>184</v>
      </c>
      <c r="B46" s="429">
        <v>2.242</v>
      </c>
      <c r="C46" s="429">
        <v>2.4249999999999998</v>
      </c>
      <c r="D46" s="429">
        <v>2.4546000000000001</v>
      </c>
      <c r="E46" s="429">
        <v>2.5125000000000002</v>
      </c>
      <c r="G46" s="442" t="s">
        <v>424</v>
      </c>
      <c r="H46" s="457">
        <v>2.242</v>
      </c>
      <c r="I46" s="457">
        <v>2.4249999999999998</v>
      </c>
      <c r="J46" s="457">
        <v>2.4546000000000001</v>
      </c>
      <c r="K46" s="457">
        <v>2.5125000000000002</v>
      </c>
    </row>
    <row r="47" spans="1:11">
      <c r="A47" s="430">
        <v>50774</v>
      </c>
      <c r="B47" s="429">
        <v>1.175</v>
      </c>
      <c r="C47" s="429">
        <v>1.31</v>
      </c>
      <c r="D47" s="429">
        <v>1.31</v>
      </c>
      <c r="E47" s="429">
        <v>1.3149999999999999</v>
      </c>
      <c r="G47" s="430">
        <v>50774</v>
      </c>
      <c r="H47" s="424">
        <v>1.175</v>
      </c>
      <c r="I47" s="424">
        <v>1.31</v>
      </c>
      <c r="J47" s="424">
        <v>1.31</v>
      </c>
      <c r="K47" s="424">
        <v>1.3149999999999999</v>
      </c>
    </row>
    <row r="48" spans="1:11">
      <c r="A48" s="430">
        <v>50808</v>
      </c>
      <c r="B48" s="429">
        <v>1.0670000000000002</v>
      </c>
      <c r="C48" s="429">
        <v>1.115</v>
      </c>
      <c r="D48" s="429">
        <v>1.1446000000000001</v>
      </c>
      <c r="E48" s="429">
        <v>1.1975</v>
      </c>
      <c r="G48" s="430">
        <v>50808</v>
      </c>
      <c r="H48" s="424">
        <v>1.0670000000000002</v>
      </c>
      <c r="I48" s="424">
        <v>1.115</v>
      </c>
      <c r="J48" s="424">
        <v>1.1446000000000001</v>
      </c>
      <c r="K48" s="424">
        <v>1.1975</v>
      </c>
    </row>
    <row r="49" spans="1:11">
      <c r="A49" s="282" t="s">
        <v>127</v>
      </c>
      <c r="B49" s="429">
        <v>0.97699999999999998</v>
      </c>
      <c r="C49" s="429">
        <v>1.5029999999999999</v>
      </c>
      <c r="D49" s="429">
        <v>1.5029999999999999</v>
      </c>
      <c r="E49" s="429">
        <v>1.81</v>
      </c>
      <c r="G49" s="442" t="s">
        <v>127</v>
      </c>
      <c r="H49" s="457">
        <v>0.97699999999999998</v>
      </c>
      <c r="I49" s="457">
        <v>1.5029999999999999</v>
      </c>
      <c r="J49" s="457">
        <v>1.5029999999999999</v>
      </c>
      <c r="K49" s="457">
        <v>1.81</v>
      </c>
    </row>
    <row r="50" spans="1:11">
      <c r="A50" s="430">
        <v>50767</v>
      </c>
      <c r="B50" s="429">
        <v>0.97699999999999998</v>
      </c>
      <c r="C50" s="429">
        <v>1.5029999999999999</v>
      </c>
      <c r="D50" s="429">
        <v>1.5029999999999999</v>
      </c>
      <c r="E50" s="429">
        <v>1.81</v>
      </c>
      <c r="G50" s="430">
        <v>50767</v>
      </c>
      <c r="H50" s="424">
        <v>0.97699999999999998</v>
      </c>
      <c r="I50" s="424">
        <v>1.5029999999999999</v>
      </c>
      <c r="J50" s="424">
        <v>1.5029999999999999</v>
      </c>
      <c r="K50" s="424">
        <v>1.81</v>
      </c>
    </row>
    <row r="51" spans="1:11">
      <c r="A51" s="282" t="s">
        <v>231</v>
      </c>
      <c r="B51" s="429"/>
      <c r="C51" s="429"/>
      <c r="D51" s="429"/>
      <c r="E51" s="429"/>
      <c r="G51" s="442" t="s">
        <v>231</v>
      </c>
      <c r="H51" s="457"/>
      <c r="I51" s="457"/>
      <c r="J51" s="457"/>
      <c r="K51" s="457"/>
    </row>
    <row r="52" spans="1:11">
      <c r="A52" s="430">
        <v>50206</v>
      </c>
      <c r="B52" s="429"/>
      <c r="C52" s="429"/>
      <c r="D52" s="429"/>
      <c r="E52" s="429"/>
      <c r="G52" s="430">
        <v>50206</v>
      </c>
      <c r="H52" s="424"/>
      <c r="I52" s="424"/>
      <c r="J52" s="424"/>
      <c r="K52" s="424"/>
    </row>
    <row r="53" spans="1:11">
      <c r="A53" s="282" t="s">
        <v>115</v>
      </c>
      <c r="B53" s="429">
        <v>0.35533333333333328</v>
      </c>
      <c r="C53" s="429">
        <v>0.41200000000000003</v>
      </c>
      <c r="D53" s="429">
        <v>0.43733333333333335</v>
      </c>
      <c r="E53" s="429">
        <v>0.52666666666666673</v>
      </c>
      <c r="G53" s="442" t="s">
        <v>115</v>
      </c>
      <c r="H53" s="457">
        <v>0.35533333333333328</v>
      </c>
      <c r="I53" s="457">
        <v>0.41200000000000003</v>
      </c>
      <c r="J53" s="457">
        <v>0.43733333333333335</v>
      </c>
      <c r="K53" s="457">
        <v>0.52666666666666673</v>
      </c>
    </row>
    <row r="54" spans="1:11">
      <c r="A54" s="430">
        <v>50535</v>
      </c>
      <c r="B54" s="429">
        <v>0.185</v>
      </c>
      <c r="C54" s="429">
        <v>0.22</v>
      </c>
      <c r="D54" s="429">
        <v>0.23</v>
      </c>
      <c r="E54" s="429">
        <v>0.23</v>
      </c>
      <c r="G54" s="430">
        <v>50535</v>
      </c>
      <c r="H54" s="424">
        <v>0.185</v>
      </c>
      <c r="I54" s="424">
        <v>0.22</v>
      </c>
      <c r="J54" s="424">
        <v>0.23</v>
      </c>
      <c r="K54" s="424">
        <v>0.23</v>
      </c>
    </row>
    <row r="55" spans="1:11">
      <c r="A55" s="430">
        <v>50858</v>
      </c>
      <c r="B55" s="429">
        <v>0.17033333333333331</v>
      </c>
      <c r="C55" s="429">
        <v>0.192</v>
      </c>
      <c r="D55" s="429">
        <v>0.20733333333333334</v>
      </c>
      <c r="E55" s="429">
        <v>0.29666666666666669</v>
      </c>
      <c r="G55" s="430">
        <v>50858</v>
      </c>
      <c r="H55" s="424">
        <v>0.17033333333333331</v>
      </c>
      <c r="I55" s="424">
        <v>0.192</v>
      </c>
      <c r="J55" s="424">
        <v>0.20733333333333334</v>
      </c>
      <c r="K55" s="424">
        <v>0.29666666666666669</v>
      </c>
    </row>
    <row r="56" spans="1:11">
      <c r="A56" s="282" t="s">
        <v>113</v>
      </c>
      <c r="B56" s="429">
        <v>4.2168999999999999</v>
      </c>
      <c r="C56" s="429">
        <v>4.45</v>
      </c>
      <c r="D56" s="429">
        <v>4.7091250000000002</v>
      </c>
      <c r="E56" s="429">
        <v>5.5583214285714293</v>
      </c>
      <c r="G56" s="442" t="s">
        <v>113</v>
      </c>
      <c r="H56" s="457">
        <v>4.2168999999999999</v>
      </c>
      <c r="I56" s="457">
        <v>4.45</v>
      </c>
      <c r="J56" s="457">
        <v>4.7091250000000002</v>
      </c>
      <c r="K56" s="457">
        <v>5.5583214285714293</v>
      </c>
    </row>
    <row r="57" spans="1:11">
      <c r="A57" s="430">
        <v>50146</v>
      </c>
      <c r="B57" s="429">
        <v>1.3049999999999999</v>
      </c>
      <c r="C57" s="429">
        <v>1.325</v>
      </c>
      <c r="D57" s="429">
        <v>1.34</v>
      </c>
      <c r="E57" s="429">
        <v>1.86</v>
      </c>
      <c r="G57" s="430">
        <v>50146</v>
      </c>
      <c r="H57" s="424">
        <v>1.3049999999999999</v>
      </c>
      <c r="I57" s="424">
        <v>1.325</v>
      </c>
      <c r="J57" s="424">
        <v>1.34</v>
      </c>
      <c r="K57" s="424">
        <v>1.86</v>
      </c>
    </row>
    <row r="58" spans="1:11">
      <c r="A58" s="430">
        <v>50688</v>
      </c>
      <c r="B58" s="429">
        <v>1.1200000000000001</v>
      </c>
      <c r="C58" s="429">
        <v>1.24</v>
      </c>
      <c r="D58" s="429">
        <v>1.4066250000000002</v>
      </c>
      <c r="E58" s="429">
        <v>1.4497499999999999</v>
      </c>
      <c r="G58" s="430">
        <v>50688</v>
      </c>
      <c r="H58" s="424">
        <v>1.1200000000000001</v>
      </c>
      <c r="I58" s="424">
        <v>1.24</v>
      </c>
      <c r="J58" s="424">
        <v>1.4066250000000002</v>
      </c>
      <c r="K58" s="424">
        <v>1.4497499999999999</v>
      </c>
    </row>
    <row r="59" spans="1:11">
      <c r="A59" s="430">
        <v>50758</v>
      </c>
      <c r="B59" s="429">
        <v>1.1469</v>
      </c>
      <c r="C59" s="429">
        <v>1.198</v>
      </c>
      <c r="D59" s="429">
        <v>1.2425000000000002</v>
      </c>
      <c r="E59" s="429">
        <v>1.2885714285714287</v>
      </c>
      <c r="G59" s="430">
        <v>50758</v>
      </c>
      <c r="H59" s="424">
        <v>1.1469</v>
      </c>
      <c r="I59" s="424">
        <v>1.198</v>
      </c>
      <c r="J59" s="424">
        <v>1.2425000000000002</v>
      </c>
      <c r="K59" s="424">
        <v>1.2885714285714287</v>
      </c>
    </row>
    <row r="60" spans="1:11">
      <c r="A60" s="430">
        <v>50812</v>
      </c>
      <c r="B60" s="429">
        <v>0.64500000000000002</v>
      </c>
      <c r="C60" s="429">
        <v>0.68700000000000006</v>
      </c>
      <c r="D60" s="429">
        <v>0.72</v>
      </c>
      <c r="E60" s="429">
        <v>0.96</v>
      </c>
      <c r="G60" s="430">
        <v>50812</v>
      </c>
      <c r="H60" s="424">
        <v>0.64500000000000002</v>
      </c>
      <c r="I60" s="424">
        <v>0.68700000000000006</v>
      </c>
      <c r="J60" s="424">
        <v>0.72</v>
      </c>
      <c r="K60" s="424">
        <v>0.96</v>
      </c>
    </row>
    <row r="61" spans="1:11">
      <c r="A61" s="282" t="s">
        <v>61</v>
      </c>
      <c r="B61" s="429">
        <v>15.029026139182132</v>
      </c>
      <c r="C61" s="429">
        <v>15.508000000000001</v>
      </c>
      <c r="D61" s="429">
        <v>16.023041666666668</v>
      </c>
      <c r="E61" s="429">
        <v>16.920911507936506</v>
      </c>
      <c r="G61" s="442" t="s">
        <v>61</v>
      </c>
      <c r="H61" s="457">
        <v>15.029026139182132</v>
      </c>
      <c r="I61" s="457">
        <v>15.508000000000001</v>
      </c>
      <c r="J61" s="457">
        <v>16.023041666666668</v>
      </c>
      <c r="K61" s="457">
        <v>16.920911507936506</v>
      </c>
    </row>
    <row r="62" spans="1:11">
      <c r="A62" s="430">
        <v>50467</v>
      </c>
      <c r="B62" s="429">
        <v>1.4354000000000002</v>
      </c>
      <c r="C62" s="429">
        <v>1.446</v>
      </c>
      <c r="D62" s="429">
        <v>1.4458000000000002</v>
      </c>
      <c r="E62" s="429">
        <v>1.4611000000000003</v>
      </c>
      <c r="G62" s="430">
        <v>50467</v>
      </c>
      <c r="H62" s="424">
        <v>1.4354000000000002</v>
      </c>
      <c r="I62" s="424">
        <v>1.446</v>
      </c>
      <c r="J62" s="424">
        <v>1.4458000000000002</v>
      </c>
      <c r="K62" s="424">
        <v>1.4611000000000003</v>
      </c>
    </row>
    <row r="63" spans="1:11">
      <c r="A63" s="430">
        <v>50595</v>
      </c>
      <c r="B63" s="429">
        <v>1.7389999999999999</v>
      </c>
      <c r="C63" s="429">
        <v>1.77</v>
      </c>
      <c r="D63" s="429">
        <v>1.7696666666666665</v>
      </c>
      <c r="E63" s="429">
        <v>1.843333333333333</v>
      </c>
      <c r="G63" s="430">
        <v>50595</v>
      </c>
      <c r="H63" s="424">
        <v>1.7389999999999999</v>
      </c>
      <c r="I63" s="424">
        <v>1.77</v>
      </c>
      <c r="J63" s="424">
        <v>1.7696666666666665</v>
      </c>
      <c r="K63" s="424">
        <v>1.843333333333333</v>
      </c>
    </row>
    <row r="64" spans="1:11">
      <c r="A64" s="430">
        <v>50626</v>
      </c>
      <c r="B64" s="429">
        <v>1.1779999999999999</v>
      </c>
      <c r="C64" s="429">
        <v>1.34</v>
      </c>
      <c r="D64" s="429">
        <v>1.34</v>
      </c>
      <c r="E64" s="429">
        <v>1.45</v>
      </c>
      <c r="G64" s="430">
        <v>50626</v>
      </c>
      <c r="H64" s="424">
        <v>1.1779999999999999</v>
      </c>
      <c r="I64" s="424">
        <v>1.34</v>
      </c>
      <c r="J64" s="424">
        <v>1.34</v>
      </c>
      <c r="K64" s="424">
        <v>1.45</v>
      </c>
    </row>
    <row r="65" spans="1:11">
      <c r="A65" s="430">
        <v>50636</v>
      </c>
      <c r="B65" s="429">
        <v>1.34</v>
      </c>
      <c r="C65" s="429">
        <v>1.369</v>
      </c>
      <c r="D65" s="429">
        <v>1.369</v>
      </c>
      <c r="E65" s="429">
        <v>1.38</v>
      </c>
      <c r="G65" s="430">
        <v>50636</v>
      </c>
      <c r="H65" s="424">
        <v>1.34</v>
      </c>
      <c r="I65" s="424">
        <v>1.369</v>
      </c>
      <c r="J65" s="424">
        <v>1.369</v>
      </c>
      <c r="K65" s="424">
        <v>1.38</v>
      </c>
    </row>
    <row r="66" spans="1:11">
      <c r="A66" s="430">
        <v>50733</v>
      </c>
      <c r="B66" s="429">
        <v>1.0820000000000001</v>
      </c>
      <c r="C66" s="429">
        <v>1.1060000000000001</v>
      </c>
      <c r="D66" s="429">
        <v>1.44</v>
      </c>
      <c r="E66" s="429">
        <v>1.45</v>
      </c>
      <c r="G66" s="430">
        <v>50733</v>
      </c>
      <c r="H66" s="424">
        <v>1.0820000000000001</v>
      </c>
      <c r="I66" s="424">
        <v>1.1060000000000001</v>
      </c>
      <c r="J66" s="424">
        <v>1.44</v>
      </c>
      <c r="K66" s="424">
        <v>1.45</v>
      </c>
    </row>
    <row r="67" spans="1:11">
      <c r="A67" s="430">
        <v>50818</v>
      </c>
      <c r="B67" s="429">
        <v>1.1459999999999999</v>
      </c>
      <c r="C67" s="429">
        <v>1.1459999999999999</v>
      </c>
      <c r="D67" s="429">
        <v>1.1459999999999999</v>
      </c>
      <c r="E67" s="429">
        <v>1.1766666666666667</v>
      </c>
      <c r="G67" s="430">
        <v>50818</v>
      </c>
      <c r="H67" s="424">
        <v>1.1459999999999999</v>
      </c>
      <c r="I67" s="424">
        <v>1.1459999999999999</v>
      </c>
      <c r="J67" s="424">
        <v>1.1459999999999999</v>
      </c>
      <c r="K67" s="424">
        <v>1.1766666666666667</v>
      </c>
    </row>
    <row r="68" spans="1:11">
      <c r="A68" s="430">
        <v>50860</v>
      </c>
      <c r="B68" s="429">
        <v>0.70377777777777772</v>
      </c>
      <c r="C68" s="429">
        <v>0.72499999999999998</v>
      </c>
      <c r="D68" s="429">
        <v>0.85899999999999999</v>
      </c>
      <c r="E68" s="429">
        <v>1.12375</v>
      </c>
      <c r="G68" s="430">
        <v>50860</v>
      </c>
      <c r="H68" s="424">
        <v>0.70377777777777772</v>
      </c>
      <c r="I68" s="424">
        <v>0.72499999999999998</v>
      </c>
      <c r="J68" s="424">
        <v>0.85899999999999999</v>
      </c>
      <c r="K68" s="424">
        <v>1.12375</v>
      </c>
    </row>
    <row r="69" spans="1:11">
      <c r="A69" s="430" t="s">
        <v>387</v>
      </c>
      <c r="B69" s="429">
        <v>1.4363733614043555</v>
      </c>
      <c r="C69" s="429">
        <v>1.512</v>
      </c>
      <c r="D69" s="429">
        <v>1.5142500000000001</v>
      </c>
      <c r="E69" s="429">
        <v>1.6071249999999999</v>
      </c>
      <c r="G69" s="430" t="s">
        <v>387</v>
      </c>
      <c r="H69" s="424">
        <v>1.4363733614043555</v>
      </c>
      <c r="I69" s="424">
        <v>1.512</v>
      </c>
      <c r="J69" s="424">
        <v>1.5142500000000001</v>
      </c>
      <c r="K69" s="424">
        <v>1.6071249999999999</v>
      </c>
    </row>
    <row r="70" spans="1:11">
      <c r="A70" s="430" t="s">
        <v>388</v>
      </c>
      <c r="B70" s="429">
        <v>1.4319999999999999</v>
      </c>
      <c r="C70" s="429">
        <v>1.47</v>
      </c>
      <c r="D70" s="429">
        <v>1.47</v>
      </c>
      <c r="E70" s="429">
        <v>1.62</v>
      </c>
      <c r="G70" s="430" t="s">
        <v>388</v>
      </c>
      <c r="H70" s="424">
        <v>1.4319999999999999</v>
      </c>
      <c r="I70" s="424">
        <v>1.47</v>
      </c>
      <c r="J70" s="424">
        <v>1.47</v>
      </c>
      <c r="K70" s="424">
        <v>1.62</v>
      </c>
    </row>
    <row r="71" spans="1:11">
      <c r="A71" s="430" t="s">
        <v>389</v>
      </c>
      <c r="B71" s="429">
        <v>1.941875</v>
      </c>
      <c r="C71" s="429">
        <v>1.96</v>
      </c>
      <c r="D71" s="429">
        <v>1.9616250000000002</v>
      </c>
      <c r="E71" s="429">
        <v>2.0157142857142856</v>
      </c>
      <c r="G71" s="430" t="s">
        <v>389</v>
      </c>
      <c r="H71" s="424">
        <v>1.941875</v>
      </c>
      <c r="I71" s="424">
        <v>1.96</v>
      </c>
      <c r="J71" s="424">
        <v>1.9616250000000002</v>
      </c>
      <c r="K71" s="424">
        <v>2.0157142857142856</v>
      </c>
    </row>
    <row r="72" spans="1:11">
      <c r="A72" s="430" t="s">
        <v>390</v>
      </c>
      <c r="B72" s="429">
        <v>1.5946</v>
      </c>
      <c r="C72" s="429">
        <v>1.6639999999999999</v>
      </c>
      <c r="D72" s="429">
        <v>1.7076999999999998</v>
      </c>
      <c r="E72" s="429">
        <v>1.7932222222222221</v>
      </c>
      <c r="G72" s="430" t="s">
        <v>390</v>
      </c>
      <c r="H72" s="424">
        <v>1.5946</v>
      </c>
      <c r="I72" s="424">
        <v>1.6639999999999999</v>
      </c>
      <c r="J72" s="424">
        <v>1.7076999999999998</v>
      </c>
      <c r="K72" s="424">
        <v>1.7932222222222221</v>
      </c>
    </row>
    <row r="73" spans="1:11">
      <c r="A73" s="282" t="s">
        <v>71</v>
      </c>
      <c r="B73" s="429">
        <v>2.9416000000000002</v>
      </c>
      <c r="C73" s="429">
        <v>2.952</v>
      </c>
      <c r="D73" s="429">
        <v>3.0317777777777781</v>
      </c>
      <c r="E73" s="429">
        <v>3.0845555555555557</v>
      </c>
      <c r="G73" s="442" t="s">
        <v>71</v>
      </c>
      <c r="H73" s="457">
        <v>2.9416000000000002</v>
      </c>
      <c r="I73" s="457">
        <v>2.952</v>
      </c>
      <c r="J73" s="457">
        <v>3.0317777777777781</v>
      </c>
      <c r="K73" s="457">
        <v>3.0845555555555557</v>
      </c>
    </row>
    <row r="74" spans="1:11">
      <c r="A74" s="430">
        <v>50747</v>
      </c>
      <c r="B74" s="429">
        <v>1.5920000000000001</v>
      </c>
      <c r="C74" s="429">
        <v>1.5920000000000001</v>
      </c>
      <c r="D74" s="429">
        <v>1.5920000000000001</v>
      </c>
      <c r="E74" s="429">
        <v>1.6</v>
      </c>
      <c r="G74" s="430">
        <v>50747</v>
      </c>
      <c r="H74" s="424">
        <v>1.5920000000000001</v>
      </c>
      <c r="I74" s="424">
        <v>1.5920000000000001</v>
      </c>
      <c r="J74" s="424">
        <v>1.5920000000000001</v>
      </c>
      <c r="K74" s="424">
        <v>1.6</v>
      </c>
    </row>
    <row r="75" spans="1:11">
      <c r="A75" s="430">
        <v>50764</v>
      </c>
      <c r="B75" s="429">
        <v>1.3495999999999999</v>
      </c>
      <c r="C75" s="429">
        <v>1.36</v>
      </c>
      <c r="D75" s="429">
        <v>1.4397777777777778</v>
      </c>
      <c r="E75" s="429">
        <v>1.4845555555555556</v>
      </c>
      <c r="G75" s="430">
        <v>50764</v>
      </c>
      <c r="H75" s="424">
        <v>1.3495999999999999</v>
      </c>
      <c r="I75" s="424">
        <v>1.36</v>
      </c>
      <c r="J75" s="424">
        <v>1.4397777777777778</v>
      </c>
      <c r="K75" s="424">
        <v>1.4845555555555556</v>
      </c>
    </row>
    <row r="76" spans="1:11">
      <c r="A76" s="282" t="s">
        <v>33</v>
      </c>
      <c r="B76" s="429">
        <v>9.6167333333333325</v>
      </c>
      <c r="C76" s="429">
        <v>10.018999999999998</v>
      </c>
      <c r="D76" s="429">
        <v>10.202433333333333</v>
      </c>
      <c r="E76" s="429">
        <v>10.444466666666667</v>
      </c>
      <c r="G76" s="442" t="s">
        <v>33</v>
      </c>
      <c r="H76" s="457">
        <v>9.6167333333333325</v>
      </c>
      <c r="I76" s="457">
        <v>10.018999999999998</v>
      </c>
      <c r="J76" s="457">
        <v>10.202433333333333</v>
      </c>
      <c r="K76" s="457">
        <v>10.444466666666667</v>
      </c>
    </row>
    <row r="77" spans="1:11">
      <c r="A77" s="430">
        <v>50104</v>
      </c>
      <c r="B77" s="429">
        <v>1.496</v>
      </c>
      <c r="C77" s="429">
        <v>1.496</v>
      </c>
      <c r="D77" s="429">
        <v>1.496</v>
      </c>
      <c r="E77" s="429">
        <v>1.496</v>
      </c>
      <c r="G77" s="430">
        <v>50104</v>
      </c>
      <c r="H77" s="424">
        <v>1.496</v>
      </c>
      <c r="I77" s="424">
        <v>1.496</v>
      </c>
      <c r="J77" s="424">
        <v>1.496</v>
      </c>
      <c r="K77" s="424">
        <v>1.496</v>
      </c>
    </row>
    <row r="78" spans="1:11">
      <c r="A78" s="430">
        <v>50184</v>
      </c>
      <c r="B78" s="429">
        <v>0.98699999999999988</v>
      </c>
      <c r="C78" s="429">
        <v>0.98699999999999999</v>
      </c>
      <c r="D78" s="429">
        <v>0.98699999999999988</v>
      </c>
      <c r="E78" s="429">
        <v>1.0774999999999999</v>
      </c>
      <c r="G78" s="430">
        <v>50184</v>
      </c>
      <c r="H78" s="424">
        <v>0.98699999999999988</v>
      </c>
      <c r="I78" s="424">
        <v>0.98699999999999999</v>
      </c>
      <c r="J78" s="424">
        <v>0.98699999999999988</v>
      </c>
      <c r="K78" s="424">
        <v>1.0774999999999999</v>
      </c>
    </row>
    <row r="79" spans="1:11">
      <c r="A79" s="430">
        <v>50267</v>
      </c>
      <c r="B79" s="429">
        <v>1.2444000000000002</v>
      </c>
      <c r="C79" s="429">
        <v>1.272</v>
      </c>
      <c r="D79" s="429">
        <v>1.2721</v>
      </c>
      <c r="E79" s="429">
        <v>1.3479000000000001</v>
      </c>
      <c r="G79" s="430">
        <v>50267</v>
      </c>
      <c r="H79" s="424">
        <v>1.2444000000000002</v>
      </c>
      <c r="I79" s="424">
        <v>1.272</v>
      </c>
      <c r="J79" s="424">
        <v>1.2721</v>
      </c>
      <c r="K79" s="424">
        <v>1.3479000000000001</v>
      </c>
    </row>
    <row r="80" spans="1:11">
      <c r="A80" s="430">
        <v>50462</v>
      </c>
      <c r="B80" s="429">
        <v>1.4853333333333332</v>
      </c>
      <c r="C80" s="429">
        <v>1.4850000000000001</v>
      </c>
      <c r="D80" s="429">
        <v>1.4853333333333332</v>
      </c>
      <c r="E80" s="429">
        <v>1.5066666666666668</v>
      </c>
      <c r="G80" s="430">
        <v>50462</v>
      </c>
      <c r="H80" s="424">
        <v>1.4853333333333332</v>
      </c>
      <c r="I80" s="424">
        <v>1.4850000000000001</v>
      </c>
      <c r="J80" s="424">
        <v>1.4853333333333332</v>
      </c>
      <c r="K80" s="424">
        <v>1.5066666666666668</v>
      </c>
    </row>
    <row r="81" spans="1:11">
      <c r="A81" s="430">
        <v>50563</v>
      </c>
      <c r="B81" s="429">
        <v>0.91679999999999995</v>
      </c>
      <c r="C81" s="429">
        <v>0.95099999999999996</v>
      </c>
      <c r="D81" s="429">
        <v>1.0867</v>
      </c>
      <c r="E81" s="429">
        <v>1.1400999999999999</v>
      </c>
      <c r="G81" s="430">
        <v>50563</v>
      </c>
      <c r="H81" s="424">
        <v>0.91679999999999995</v>
      </c>
      <c r="I81" s="424">
        <v>0.95099999999999996</v>
      </c>
      <c r="J81" s="424">
        <v>1.0867</v>
      </c>
      <c r="K81" s="424">
        <v>1.1400999999999999</v>
      </c>
    </row>
    <row r="82" spans="1:11">
      <c r="A82" s="430">
        <v>50819</v>
      </c>
      <c r="B82" s="429">
        <v>0.96</v>
      </c>
      <c r="C82" s="429">
        <v>1.268</v>
      </c>
      <c r="D82" s="429">
        <v>1.274</v>
      </c>
      <c r="E82" s="429">
        <v>1.274</v>
      </c>
      <c r="G82" s="430">
        <v>50819</v>
      </c>
      <c r="H82" s="424">
        <v>0.96</v>
      </c>
      <c r="I82" s="424">
        <v>1.268</v>
      </c>
      <c r="J82" s="424">
        <v>1.274</v>
      </c>
      <c r="K82" s="424">
        <v>1.274</v>
      </c>
    </row>
    <row r="83" spans="1:11">
      <c r="A83" s="430" t="s">
        <v>391</v>
      </c>
      <c r="B83" s="429">
        <v>1.3497000000000001</v>
      </c>
      <c r="C83" s="429">
        <v>1.3819999999999999</v>
      </c>
      <c r="D83" s="429">
        <v>1.4238000000000002</v>
      </c>
      <c r="E83" s="429">
        <v>1.4248000000000001</v>
      </c>
      <c r="G83" s="430" t="s">
        <v>391</v>
      </c>
      <c r="H83" s="424">
        <v>1.3497000000000001</v>
      </c>
      <c r="I83" s="424">
        <v>1.3819999999999999</v>
      </c>
      <c r="J83" s="424">
        <v>1.4238000000000002</v>
      </c>
      <c r="K83" s="424">
        <v>1.4248000000000001</v>
      </c>
    </row>
    <row r="84" spans="1:11">
      <c r="A84" s="430" t="s">
        <v>392</v>
      </c>
      <c r="B84" s="429">
        <v>1.1775000000000002</v>
      </c>
      <c r="C84" s="429">
        <v>1.1779999999999999</v>
      </c>
      <c r="D84" s="429">
        <v>1.1775000000000002</v>
      </c>
      <c r="E84" s="429">
        <v>1.1775000000000002</v>
      </c>
      <c r="G84" s="430" t="s">
        <v>392</v>
      </c>
      <c r="H84" s="424">
        <v>1.1775000000000002</v>
      </c>
      <c r="I84" s="424">
        <v>1.1779999999999999</v>
      </c>
      <c r="J84" s="424">
        <v>1.1775000000000002</v>
      </c>
      <c r="K84" s="424">
        <v>1.1775000000000002</v>
      </c>
    </row>
    <row r="85" spans="1:11">
      <c r="A85" s="282" t="s">
        <v>154</v>
      </c>
      <c r="B85" s="429">
        <v>0.54299999999999993</v>
      </c>
      <c r="C85" s="429">
        <v>0.68</v>
      </c>
      <c r="D85" s="429">
        <v>0.75</v>
      </c>
      <c r="E85" s="429">
        <v>1</v>
      </c>
      <c r="G85" s="442" t="s">
        <v>154</v>
      </c>
      <c r="H85" s="457">
        <v>0.54299999999999993</v>
      </c>
      <c r="I85" s="457">
        <v>0.68</v>
      </c>
      <c r="J85" s="457">
        <v>0.75</v>
      </c>
      <c r="K85" s="457">
        <v>1</v>
      </c>
    </row>
    <row r="86" spans="1:11">
      <c r="A86" s="430">
        <v>50851</v>
      </c>
      <c r="B86" s="429">
        <v>0.54299999999999993</v>
      </c>
      <c r="C86" s="429">
        <v>0.68</v>
      </c>
      <c r="D86" s="429">
        <v>0.75</v>
      </c>
      <c r="E86" s="429">
        <v>1</v>
      </c>
      <c r="G86" s="430">
        <v>50851</v>
      </c>
      <c r="H86" s="424">
        <v>0.54299999999999993</v>
      </c>
      <c r="I86" s="424">
        <v>0.68</v>
      </c>
      <c r="J86" s="424">
        <v>0.75</v>
      </c>
      <c r="K86" s="424">
        <v>1</v>
      </c>
    </row>
    <row r="87" spans="1:11">
      <c r="A87" s="282" t="s">
        <v>67</v>
      </c>
      <c r="B87" s="429">
        <v>11.278499999999999</v>
      </c>
      <c r="C87" s="429">
        <v>12.414999999999999</v>
      </c>
      <c r="D87" s="429">
        <v>13.187872222222222</v>
      </c>
      <c r="E87" s="429">
        <v>13.967031746031743</v>
      </c>
      <c r="G87" s="442" t="s">
        <v>67</v>
      </c>
      <c r="H87" s="457">
        <v>11.278499999999999</v>
      </c>
      <c r="I87" s="457">
        <v>12.414999999999999</v>
      </c>
      <c r="J87" s="457">
        <v>13.187872222222222</v>
      </c>
      <c r="K87" s="457">
        <v>13.967031746031743</v>
      </c>
    </row>
    <row r="88" spans="1:11">
      <c r="A88" s="430">
        <v>50087</v>
      </c>
      <c r="B88" s="429">
        <v>1.4613750000000001</v>
      </c>
      <c r="C88" s="429">
        <v>1.65</v>
      </c>
      <c r="D88" s="429">
        <v>1.8499999999999999</v>
      </c>
      <c r="E88" s="429">
        <v>2.0657142857142854</v>
      </c>
      <c r="G88" s="430">
        <v>50087</v>
      </c>
      <c r="H88" s="424">
        <v>1.4613750000000001</v>
      </c>
      <c r="I88" s="424">
        <v>1.65</v>
      </c>
      <c r="J88" s="424">
        <v>1.8499999999999999</v>
      </c>
      <c r="K88" s="424">
        <v>2.0657142857142854</v>
      </c>
    </row>
    <row r="89" spans="1:11">
      <c r="A89" s="430">
        <v>50323</v>
      </c>
      <c r="B89" s="429">
        <v>1.1740000000000002</v>
      </c>
      <c r="C89" s="429">
        <v>1.5860000000000001</v>
      </c>
      <c r="D89" s="429">
        <v>1.675</v>
      </c>
      <c r="E89" s="429">
        <v>1.8816666666666666</v>
      </c>
      <c r="G89" s="430">
        <v>50323</v>
      </c>
      <c r="H89" s="424">
        <v>1.1740000000000002</v>
      </c>
      <c r="I89" s="424">
        <v>1.5860000000000001</v>
      </c>
      <c r="J89" s="424">
        <v>1.675</v>
      </c>
      <c r="K89" s="424">
        <v>1.8816666666666666</v>
      </c>
    </row>
    <row r="90" spans="1:11">
      <c r="A90" s="430">
        <v>50459</v>
      </c>
      <c r="B90" s="429">
        <v>1.68</v>
      </c>
      <c r="C90" s="429">
        <v>2</v>
      </c>
      <c r="D90" s="429">
        <v>2.0516666666666667</v>
      </c>
      <c r="E90" s="429">
        <v>1.9950000000000001</v>
      </c>
      <c r="G90" s="430">
        <v>50459</v>
      </c>
      <c r="H90" s="424">
        <v>1.68</v>
      </c>
      <c r="I90" s="424">
        <v>2</v>
      </c>
      <c r="J90" s="424">
        <v>2.0516666666666667</v>
      </c>
      <c r="K90" s="424">
        <f>J90</f>
        <v>2.0516666666666667</v>
      </c>
    </row>
    <row r="91" spans="1:11">
      <c r="A91" s="430">
        <v>50558</v>
      </c>
      <c r="B91" s="429">
        <v>1.3161</v>
      </c>
      <c r="C91" s="429">
        <v>1.3080000000000001</v>
      </c>
      <c r="D91" s="429">
        <v>1.3445555555555555</v>
      </c>
      <c r="E91" s="429">
        <v>1.3958888888888887</v>
      </c>
      <c r="G91" s="430">
        <v>50558</v>
      </c>
      <c r="H91" s="424">
        <v>1.3161</v>
      </c>
      <c r="I91" s="424">
        <v>1.3080000000000001</v>
      </c>
      <c r="J91" s="424">
        <v>1.3445555555555555</v>
      </c>
      <c r="K91" s="424">
        <v>1.3958888888888887</v>
      </c>
    </row>
    <row r="92" spans="1:11">
      <c r="A92" s="430">
        <v>50602</v>
      </c>
      <c r="B92" s="429">
        <v>1.3689999999999998</v>
      </c>
      <c r="C92" s="429">
        <v>1.369</v>
      </c>
      <c r="D92" s="429">
        <v>1.43</v>
      </c>
      <c r="E92" s="429">
        <v>1.5449999999999999</v>
      </c>
      <c r="G92" s="430">
        <v>50602</v>
      </c>
      <c r="H92" s="424">
        <v>1.3689999999999998</v>
      </c>
      <c r="I92" s="424">
        <v>1.369</v>
      </c>
      <c r="J92" s="424">
        <v>1.43</v>
      </c>
      <c r="K92" s="424">
        <v>1.5449999999999999</v>
      </c>
    </row>
    <row r="93" spans="1:11">
      <c r="A93" s="430">
        <v>50632</v>
      </c>
      <c r="B93" s="429">
        <v>1.6617000000000002</v>
      </c>
      <c r="C93" s="429">
        <v>1.6619999999999999</v>
      </c>
      <c r="D93" s="429">
        <v>1.6649999999999998</v>
      </c>
      <c r="E93" s="429">
        <v>1.6833333333333333</v>
      </c>
      <c r="G93" s="430">
        <v>50632</v>
      </c>
      <c r="H93" s="424">
        <v>1.6617000000000002</v>
      </c>
      <c r="I93" s="424">
        <v>1.6619999999999999</v>
      </c>
      <c r="J93" s="424">
        <v>1.6649999999999998</v>
      </c>
      <c r="K93" s="424">
        <v>1.6833333333333333</v>
      </c>
    </row>
    <row r="94" spans="1:11">
      <c r="A94" s="430">
        <v>50724</v>
      </c>
      <c r="B94" s="429">
        <v>1.3227</v>
      </c>
      <c r="C94" s="429">
        <v>1.3919999999999999</v>
      </c>
      <c r="D94" s="429">
        <v>1.6064000000000001</v>
      </c>
      <c r="E94" s="429">
        <v>1.6654285714285713</v>
      </c>
      <c r="G94" s="430">
        <v>50724</v>
      </c>
      <c r="H94" s="424">
        <v>1.3227</v>
      </c>
      <c r="I94" s="424">
        <v>1.3919999999999999</v>
      </c>
      <c r="J94" s="424">
        <v>1.6064000000000001</v>
      </c>
      <c r="K94" s="424">
        <v>1.6654285714285713</v>
      </c>
    </row>
    <row r="95" spans="1:11">
      <c r="A95" s="430">
        <v>50726</v>
      </c>
      <c r="B95" s="429">
        <v>1.293625</v>
      </c>
      <c r="C95" s="429">
        <v>1.448</v>
      </c>
      <c r="D95" s="429">
        <v>1.5652500000000003</v>
      </c>
      <c r="E95" s="429">
        <v>1.7349999999999999</v>
      </c>
      <c r="G95" s="430">
        <v>50726</v>
      </c>
      <c r="H95" s="424">
        <v>1.293625</v>
      </c>
      <c r="I95" s="424">
        <v>1.448</v>
      </c>
      <c r="J95" s="424">
        <v>1.5652500000000003</v>
      </c>
      <c r="K95" s="424">
        <v>1.7349999999999999</v>
      </c>
    </row>
    <row r="96" spans="1:11">
      <c r="A96" s="282" t="s">
        <v>130</v>
      </c>
      <c r="B96" s="429">
        <v>0.5031000000000001</v>
      </c>
      <c r="C96" s="429">
        <v>0.63900000000000001</v>
      </c>
      <c r="D96" s="429">
        <v>0.69611111111111112</v>
      </c>
      <c r="E96" s="429">
        <v>0.73624999999999996</v>
      </c>
      <c r="G96" s="442" t="s">
        <v>130</v>
      </c>
      <c r="H96" s="457">
        <v>0.5031000000000001</v>
      </c>
      <c r="I96" s="457">
        <v>0.63900000000000001</v>
      </c>
      <c r="J96" s="457">
        <v>0.69611111111111112</v>
      </c>
      <c r="K96" s="457">
        <v>0.73624999999999996</v>
      </c>
    </row>
    <row r="97" spans="1:11">
      <c r="A97" s="430">
        <v>50827</v>
      </c>
      <c r="B97" s="429">
        <v>0.5031000000000001</v>
      </c>
      <c r="C97" s="429">
        <v>0.63900000000000001</v>
      </c>
      <c r="D97" s="429">
        <v>0.69611111111111112</v>
      </c>
      <c r="E97" s="429">
        <v>0.73624999999999996</v>
      </c>
      <c r="G97" s="430">
        <v>50827</v>
      </c>
      <c r="H97" s="424">
        <v>0.5031000000000001</v>
      </c>
      <c r="I97" s="424">
        <v>0.63900000000000001</v>
      </c>
      <c r="J97" s="424">
        <v>0.69611111111111112</v>
      </c>
      <c r="K97" s="424">
        <v>0.73624999999999996</v>
      </c>
    </row>
    <row r="98" spans="1:11">
      <c r="A98" s="282" t="s">
        <v>106</v>
      </c>
      <c r="B98" s="429">
        <v>3.30105</v>
      </c>
      <c r="C98" s="429">
        <v>3.5009999999999999</v>
      </c>
      <c r="D98" s="429">
        <v>3.8143249999999997</v>
      </c>
      <c r="E98" s="429">
        <v>3.8715000000000002</v>
      </c>
      <c r="G98" s="442" t="s">
        <v>106</v>
      </c>
      <c r="H98" s="457">
        <v>3.30105</v>
      </c>
      <c r="I98" s="457">
        <v>3.5009999999999999</v>
      </c>
      <c r="J98" s="457">
        <v>3.8143249999999997</v>
      </c>
      <c r="K98" s="457">
        <v>3.8715000000000002</v>
      </c>
    </row>
    <row r="99" spans="1:11">
      <c r="A99" s="430">
        <v>50735</v>
      </c>
      <c r="B99" s="429">
        <v>0.68100000000000005</v>
      </c>
      <c r="C99" s="429">
        <v>0.68100000000000005</v>
      </c>
      <c r="D99" s="429">
        <v>0.83</v>
      </c>
      <c r="E99" s="429">
        <v>0.86</v>
      </c>
      <c r="G99" s="430">
        <v>50735</v>
      </c>
      <c r="H99" s="424">
        <v>0.68100000000000005</v>
      </c>
      <c r="I99" s="424">
        <v>0.68100000000000005</v>
      </c>
      <c r="J99" s="424">
        <v>0.83</v>
      </c>
      <c r="K99" s="424">
        <v>0.86</v>
      </c>
    </row>
    <row r="100" spans="1:11">
      <c r="A100" s="430">
        <v>50756</v>
      </c>
      <c r="B100" s="429">
        <v>1.075</v>
      </c>
      <c r="C100" s="429">
        <v>1.1479999999999999</v>
      </c>
      <c r="D100" s="429">
        <v>1.2</v>
      </c>
      <c r="E100" s="429">
        <v>1.21</v>
      </c>
      <c r="G100" s="430">
        <v>50756</v>
      </c>
      <c r="H100" s="424">
        <v>1.075</v>
      </c>
      <c r="I100" s="424">
        <v>1.1479999999999999</v>
      </c>
      <c r="J100" s="424">
        <v>1.2</v>
      </c>
      <c r="K100" s="424">
        <v>1.21</v>
      </c>
    </row>
    <row r="101" spans="1:11">
      <c r="A101" s="430">
        <v>50836</v>
      </c>
      <c r="B101" s="429">
        <v>0.87475000000000003</v>
      </c>
      <c r="C101" s="429">
        <v>0.94599999999999995</v>
      </c>
      <c r="D101" s="429">
        <v>0.99562500000000009</v>
      </c>
      <c r="E101" s="429">
        <v>0.97250000000000014</v>
      </c>
      <c r="G101" s="430">
        <v>50836</v>
      </c>
      <c r="H101" s="424">
        <v>0.87475000000000003</v>
      </c>
      <c r="I101" s="424">
        <v>0.94599999999999995</v>
      </c>
      <c r="J101" s="424">
        <v>0.99562500000000009</v>
      </c>
      <c r="K101" s="424">
        <v>1</v>
      </c>
    </row>
    <row r="102" spans="1:11">
      <c r="A102" s="430">
        <v>50859</v>
      </c>
      <c r="B102" s="429">
        <v>0.67030000000000001</v>
      </c>
      <c r="C102" s="429">
        <v>0.72599999999999998</v>
      </c>
      <c r="D102" s="429">
        <v>0.78870000000000007</v>
      </c>
      <c r="E102" s="429">
        <v>0.82899999999999996</v>
      </c>
      <c r="G102" s="430">
        <v>50859</v>
      </c>
      <c r="H102" s="424">
        <v>0.67030000000000001</v>
      </c>
      <c r="I102" s="424">
        <v>0.72599999999999998</v>
      </c>
      <c r="J102" s="424">
        <v>0.78870000000000007</v>
      </c>
      <c r="K102" s="424">
        <v>0.82899999999999996</v>
      </c>
    </row>
    <row r="103" spans="1:11">
      <c r="A103" s="282" t="s">
        <v>92</v>
      </c>
      <c r="B103" s="429">
        <v>1.131</v>
      </c>
      <c r="C103" s="429">
        <v>1.131</v>
      </c>
      <c r="D103" s="429">
        <v>1.131</v>
      </c>
      <c r="E103" s="429">
        <v>1.18</v>
      </c>
      <c r="G103" s="442" t="s">
        <v>92</v>
      </c>
      <c r="H103" s="457">
        <v>1.131</v>
      </c>
      <c r="I103" s="457">
        <v>1.131</v>
      </c>
      <c r="J103" s="457">
        <v>1.131</v>
      </c>
      <c r="K103" s="457">
        <v>1.18</v>
      </c>
    </row>
    <row r="104" spans="1:11">
      <c r="A104" s="430">
        <v>50784</v>
      </c>
      <c r="B104" s="429">
        <v>1.131</v>
      </c>
      <c r="C104" s="429">
        <v>1.131</v>
      </c>
      <c r="D104" s="429">
        <v>1.131</v>
      </c>
      <c r="E104" s="429">
        <v>1.18</v>
      </c>
      <c r="G104" s="430">
        <v>50784</v>
      </c>
      <c r="H104" s="424">
        <v>1.131</v>
      </c>
      <c r="I104" s="424">
        <v>1.131</v>
      </c>
      <c r="J104" s="424">
        <v>1.131</v>
      </c>
      <c r="K104" s="424">
        <v>1.18</v>
      </c>
    </row>
    <row r="105" spans="1:11">
      <c r="A105" s="282" t="s">
        <v>209</v>
      </c>
      <c r="B105" s="429">
        <v>3.2138452488130183</v>
      </c>
      <c r="C105" s="429">
        <v>3.5519999999999996</v>
      </c>
      <c r="D105" s="429">
        <v>3.5734000000000004</v>
      </c>
      <c r="E105" s="429">
        <v>3.6436000000000002</v>
      </c>
      <c r="G105" s="442" t="s">
        <v>209</v>
      </c>
      <c r="H105" s="457">
        <v>3.2138452488130183</v>
      </c>
      <c r="I105" s="457">
        <v>3.5519999999999996</v>
      </c>
      <c r="J105" s="457">
        <v>3.5734000000000004</v>
      </c>
      <c r="K105" s="457">
        <v>3.6436000000000002</v>
      </c>
    </row>
    <row r="106" spans="1:11">
      <c r="A106" s="430">
        <v>50617</v>
      </c>
      <c r="B106" s="429">
        <v>2.1008452488130183</v>
      </c>
      <c r="C106" s="429">
        <v>2.3199999999999998</v>
      </c>
      <c r="D106" s="429">
        <v>2.3199999999999998</v>
      </c>
      <c r="E106" s="429">
        <v>2.3199999999999998</v>
      </c>
      <c r="G106" s="430">
        <v>50617</v>
      </c>
      <c r="H106" s="424">
        <v>2.1008452488130183</v>
      </c>
      <c r="I106" s="424">
        <v>2.3199999999999998</v>
      </c>
      <c r="J106" s="424">
        <v>2.3199999999999998</v>
      </c>
      <c r="K106" s="424">
        <v>2.3199999999999998</v>
      </c>
    </row>
    <row r="107" spans="1:11">
      <c r="A107" s="430">
        <v>50635</v>
      </c>
      <c r="B107" s="429">
        <v>1.113</v>
      </c>
      <c r="C107" s="429">
        <v>1.232</v>
      </c>
      <c r="D107" s="429">
        <v>1.2534000000000003</v>
      </c>
      <c r="E107" s="429">
        <v>1.3236000000000003</v>
      </c>
      <c r="G107" s="430">
        <v>50635</v>
      </c>
      <c r="H107" s="424">
        <v>1.113</v>
      </c>
      <c r="I107" s="424">
        <v>1.232</v>
      </c>
      <c r="J107" s="424">
        <v>1.2534000000000003</v>
      </c>
      <c r="K107" s="424">
        <v>1.3236000000000003</v>
      </c>
    </row>
    <row r="108" spans="1:11">
      <c r="A108" s="282" t="s">
        <v>38</v>
      </c>
      <c r="B108" s="429">
        <v>8.7929999999999993</v>
      </c>
      <c r="C108" s="429">
        <v>9.5419999999999998</v>
      </c>
      <c r="D108" s="429">
        <v>10.065375</v>
      </c>
      <c r="E108" s="429">
        <v>10.807166666666665</v>
      </c>
      <c r="G108" s="442" t="s">
        <v>38</v>
      </c>
      <c r="H108" s="457">
        <v>8.7929999999999993</v>
      </c>
      <c r="I108" s="457">
        <v>9.5419999999999998</v>
      </c>
      <c r="J108" s="457">
        <v>10.065375</v>
      </c>
      <c r="K108" s="457">
        <v>10.807166666666665</v>
      </c>
    </row>
    <row r="109" spans="1:11">
      <c r="A109" s="430">
        <v>50342</v>
      </c>
      <c r="B109" s="429">
        <v>1.2</v>
      </c>
      <c r="C109" s="429">
        <v>1.34</v>
      </c>
      <c r="D109" s="429">
        <v>1.34</v>
      </c>
      <c r="E109" s="429">
        <v>1.35</v>
      </c>
      <c r="G109" s="430">
        <v>50342</v>
      </c>
      <c r="H109" s="424">
        <v>1.2</v>
      </c>
      <c r="I109" s="424">
        <v>1.34</v>
      </c>
      <c r="J109" s="424">
        <v>1.34</v>
      </c>
      <c r="K109" s="424">
        <v>1.35</v>
      </c>
    </row>
    <row r="110" spans="1:11">
      <c r="A110" s="430">
        <v>50600</v>
      </c>
      <c r="B110" s="429">
        <v>0.94</v>
      </c>
      <c r="C110" s="429">
        <v>0.94</v>
      </c>
      <c r="D110" s="429">
        <v>0.97</v>
      </c>
      <c r="E110" s="429">
        <v>0.98</v>
      </c>
      <c r="G110" s="430">
        <v>50600</v>
      </c>
      <c r="H110" s="424">
        <v>0.94</v>
      </c>
      <c r="I110" s="424">
        <v>0.94</v>
      </c>
      <c r="J110" s="424">
        <v>0.97</v>
      </c>
      <c r="K110" s="424">
        <v>0.98</v>
      </c>
    </row>
    <row r="111" spans="1:11">
      <c r="A111" s="430">
        <v>50622</v>
      </c>
      <c r="B111" s="429">
        <v>0.58299999999999996</v>
      </c>
      <c r="C111" s="429">
        <v>0.66</v>
      </c>
      <c r="D111" s="429">
        <v>0.69</v>
      </c>
      <c r="E111" s="429">
        <v>0.74</v>
      </c>
      <c r="G111" s="430">
        <v>50622</v>
      </c>
      <c r="H111" s="424">
        <v>0.58299999999999996</v>
      </c>
      <c r="I111" s="424">
        <v>0.66</v>
      </c>
      <c r="J111" s="424">
        <v>0.69</v>
      </c>
      <c r="K111" s="424">
        <v>0.74</v>
      </c>
    </row>
    <row r="112" spans="1:11">
      <c r="A112" s="430">
        <v>50694</v>
      </c>
      <c r="B112" s="429">
        <v>1.0266666666666666</v>
      </c>
      <c r="C112" s="429">
        <v>1.17</v>
      </c>
      <c r="D112" s="429">
        <v>1.17</v>
      </c>
      <c r="E112" s="429">
        <v>1.52</v>
      </c>
      <c r="G112" s="430">
        <v>50694</v>
      </c>
      <c r="H112" s="424">
        <v>1.0266666666666666</v>
      </c>
      <c r="I112" s="424">
        <v>1.17</v>
      </c>
      <c r="J112" s="424">
        <v>1.17</v>
      </c>
      <c r="K112" s="424">
        <v>1.52</v>
      </c>
    </row>
    <row r="113" spans="1:11">
      <c r="A113" s="430">
        <v>50696</v>
      </c>
      <c r="B113" s="429">
        <v>0.74</v>
      </c>
      <c r="C113" s="429">
        <v>0.97</v>
      </c>
      <c r="D113" s="429">
        <v>1.07</v>
      </c>
      <c r="E113" s="429">
        <v>1.08</v>
      </c>
      <c r="G113" s="430">
        <v>50696</v>
      </c>
      <c r="H113" s="424">
        <v>0.74</v>
      </c>
      <c r="I113" s="424">
        <v>0.97</v>
      </c>
      <c r="J113" s="424">
        <v>1.07</v>
      </c>
      <c r="K113" s="424">
        <v>1.08</v>
      </c>
    </row>
    <row r="114" spans="1:11">
      <c r="A114" s="430">
        <v>50826</v>
      </c>
      <c r="B114" s="429">
        <v>0.65033333333333343</v>
      </c>
      <c r="C114" s="429">
        <v>0.66800000000000004</v>
      </c>
      <c r="D114" s="429">
        <v>0.79150000000000009</v>
      </c>
      <c r="E114" s="429">
        <v>0.85716666666666663</v>
      </c>
      <c r="G114" s="430">
        <v>50826</v>
      </c>
      <c r="H114" s="424">
        <v>0.65033333333333343</v>
      </c>
      <c r="I114" s="424">
        <v>0.66800000000000004</v>
      </c>
      <c r="J114" s="424">
        <v>0.79150000000000009</v>
      </c>
      <c r="K114" s="424">
        <v>0.85716666666666663</v>
      </c>
    </row>
    <row r="115" spans="1:11">
      <c r="A115" s="430" t="s">
        <v>393</v>
      </c>
      <c r="B115" s="429">
        <v>1.1180000000000001</v>
      </c>
      <c r="C115" s="429">
        <v>1.1419999999999999</v>
      </c>
      <c r="D115" s="429">
        <v>1.1695</v>
      </c>
      <c r="E115" s="429">
        <v>1.3660000000000001</v>
      </c>
      <c r="G115" s="430" t="s">
        <v>393</v>
      </c>
      <c r="H115" s="424">
        <v>1.1180000000000001</v>
      </c>
      <c r="I115" s="424">
        <v>1.1419999999999999</v>
      </c>
      <c r="J115" s="424">
        <v>1.1695</v>
      </c>
      <c r="K115" s="424">
        <v>1.3660000000000001</v>
      </c>
    </row>
    <row r="116" spans="1:11">
      <c r="A116" s="430" t="s">
        <v>394</v>
      </c>
      <c r="B116" s="429">
        <v>0.63</v>
      </c>
      <c r="C116" s="429">
        <v>0.63</v>
      </c>
      <c r="D116" s="429">
        <v>0.64</v>
      </c>
      <c r="E116" s="429">
        <v>0.66</v>
      </c>
      <c r="G116" s="430" t="s">
        <v>394</v>
      </c>
      <c r="H116" s="424">
        <v>0.63</v>
      </c>
      <c r="I116" s="424">
        <v>0.63</v>
      </c>
      <c r="J116" s="424">
        <v>0.64</v>
      </c>
      <c r="K116" s="424">
        <v>0.66</v>
      </c>
    </row>
    <row r="117" spans="1:11">
      <c r="A117" s="430" t="s">
        <v>396</v>
      </c>
      <c r="B117" s="429">
        <v>1.0549999999999999</v>
      </c>
      <c r="C117" s="429">
        <v>1.0920000000000001</v>
      </c>
      <c r="D117" s="429">
        <v>1.1623750000000002</v>
      </c>
      <c r="E117" s="429">
        <v>1.18</v>
      </c>
      <c r="G117" s="430" t="s">
        <v>396</v>
      </c>
      <c r="H117" s="424">
        <v>1.0549999999999999</v>
      </c>
      <c r="I117" s="424">
        <v>1.0920000000000001</v>
      </c>
      <c r="J117" s="424">
        <v>1.1623750000000002</v>
      </c>
      <c r="K117" s="424">
        <v>1.18</v>
      </c>
    </row>
    <row r="118" spans="1:11">
      <c r="A118" s="430" t="s">
        <v>395</v>
      </c>
      <c r="B118" s="429">
        <v>0.85</v>
      </c>
      <c r="C118" s="429">
        <v>0.93</v>
      </c>
      <c r="D118" s="429">
        <v>1.0619999999999998</v>
      </c>
      <c r="E118" s="429">
        <v>1.0739999999999998</v>
      </c>
      <c r="G118" s="430" t="s">
        <v>395</v>
      </c>
      <c r="H118" s="424">
        <v>0.85</v>
      </c>
      <c r="I118" s="424">
        <v>0.93</v>
      </c>
      <c r="J118" s="424">
        <v>1.0619999999999998</v>
      </c>
      <c r="K118" s="424">
        <v>1.0739999999999998</v>
      </c>
    </row>
    <row r="119" spans="1:11">
      <c r="A119" s="282" t="s">
        <v>133</v>
      </c>
      <c r="B119" s="429">
        <v>3.3914583333333335</v>
      </c>
      <c r="C119" s="429">
        <v>3.879</v>
      </c>
      <c r="D119" s="429">
        <v>4.0348250000000005</v>
      </c>
      <c r="E119" s="429">
        <v>4.4096166666666665</v>
      </c>
      <c r="G119" s="442" t="s">
        <v>133</v>
      </c>
      <c r="H119" s="457">
        <v>3.3914583333333335</v>
      </c>
      <c r="I119" s="457">
        <v>3.879</v>
      </c>
      <c r="J119" s="457">
        <v>4.0348250000000005</v>
      </c>
      <c r="K119" s="457">
        <v>4.4096166666666665</v>
      </c>
    </row>
    <row r="120" spans="1:11">
      <c r="A120" s="430">
        <v>50454</v>
      </c>
      <c r="B120" s="429">
        <v>0.46766666666666667</v>
      </c>
      <c r="C120" s="429">
        <v>0.49299999999999999</v>
      </c>
      <c r="D120" s="429">
        <v>0.60183333333333333</v>
      </c>
      <c r="E120" s="429">
        <v>0.66016666666666668</v>
      </c>
      <c r="G120" s="430">
        <v>50454</v>
      </c>
      <c r="H120" s="424">
        <v>0.46766666666666667</v>
      </c>
      <c r="I120" s="424">
        <v>0.49299999999999999</v>
      </c>
      <c r="J120" s="424">
        <v>0.60183333333333333</v>
      </c>
      <c r="K120" s="424">
        <v>0.66016666666666668</v>
      </c>
    </row>
    <row r="121" spans="1:11">
      <c r="A121" s="430">
        <v>50570</v>
      </c>
      <c r="B121" s="429">
        <v>0.37212499999999998</v>
      </c>
      <c r="C121" s="429">
        <v>0.39600000000000002</v>
      </c>
      <c r="D121" s="429">
        <v>0.43712500000000004</v>
      </c>
      <c r="E121" s="429">
        <v>0.49524999999999997</v>
      </c>
      <c r="G121" s="430">
        <v>50570</v>
      </c>
      <c r="H121" s="424">
        <v>0.37212499999999998</v>
      </c>
      <c r="I121" s="424">
        <v>0.39600000000000002</v>
      </c>
      <c r="J121" s="424">
        <v>0.43712500000000004</v>
      </c>
      <c r="K121" s="424">
        <v>0.49524999999999997</v>
      </c>
    </row>
    <row r="122" spans="1:11">
      <c r="A122" s="430">
        <v>50710</v>
      </c>
      <c r="B122" s="429">
        <v>1.2486666666666668</v>
      </c>
      <c r="C122" s="429">
        <v>1.427</v>
      </c>
      <c r="D122" s="429">
        <v>1.4266666666666665</v>
      </c>
      <c r="E122" s="429">
        <v>1.595</v>
      </c>
      <c r="G122" s="430">
        <v>50710</v>
      </c>
      <c r="H122" s="424">
        <v>1.2486666666666668</v>
      </c>
      <c r="I122" s="424">
        <v>1.427</v>
      </c>
      <c r="J122" s="424">
        <v>1.4266666666666665</v>
      </c>
      <c r="K122" s="424">
        <v>1.595</v>
      </c>
    </row>
    <row r="123" spans="1:11">
      <c r="A123" s="430">
        <v>50716</v>
      </c>
      <c r="B123" s="429">
        <v>0.23600000000000002</v>
      </c>
      <c r="C123" s="429">
        <v>0.28000000000000003</v>
      </c>
      <c r="D123" s="429">
        <v>0.28000000000000003</v>
      </c>
      <c r="E123" s="429">
        <v>0.36999999999999994</v>
      </c>
      <c r="G123" s="430">
        <v>50716</v>
      </c>
      <c r="H123" s="424">
        <v>0.23600000000000002</v>
      </c>
      <c r="I123" s="424">
        <v>0.28000000000000003</v>
      </c>
      <c r="J123" s="424">
        <v>0.28000000000000003</v>
      </c>
      <c r="K123" s="424">
        <v>0.36999999999999994</v>
      </c>
    </row>
    <row r="124" spans="1:11">
      <c r="A124" s="430">
        <v>50789</v>
      </c>
      <c r="B124" s="429">
        <v>1.0669999999999999</v>
      </c>
      <c r="C124" s="429">
        <v>1.2829999999999999</v>
      </c>
      <c r="D124" s="429">
        <v>1.2892000000000001</v>
      </c>
      <c r="E124" s="429">
        <v>1.2892000000000001</v>
      </c>
      <c r="G124" s="430">
        <v>50789</v>
      </c>
      <c r="H124" s="424">
        <v>1.0669999999999999</v>
      </c>
      <c r="I124" s="424">
        <v>1.2829999999999999</v>
      </c>
      <c r="J124" s="424">
        <v>1.2892000000000001</v>
      </c>
      <c r="K124" s="424">
        <v>1.2892000000000001</v>
      </c>
    </row>
    <row r="125" spans="1:11">
      <c r="A125" s="282" t="s">
        <v>188</v>
      </c>
      <c r="B125" s="429">
        <v>0.26100000000000001</v>
      </c>
      <c r="C125" s="429">
        <v>0.32</v>
      </c>
      <c r="D125" s="429">
        <v>0.4244444444444444</v>
      </c>
      <c r="E125" s="429">
        <v>0.59333333333333327</v>
      </c>
      <c r="G125" s="442" t="s">
        <v>188</v>
      </c>
      <c r="H125" s="457">
        <v>0.26100000000000001</v>
      </c>
      <c r="I125" s="457">
        <v>0.32</v>
      </c>
      <c r="J125" s="457">
        <v>0.4244444444444444</v>
      </c>
      <c r="K125" s="457">
        <v>0.59333333333333327</v>
      </c>
    </row>
    <row r="126" spans="1:11">
      <c r="A126" s="430">
        <v>50881</v>
      </c>
      <c r="B126" s="429">
        <v>0.26100000000000001</v>
      </c>
      <c r="C126" s="429">
        <v>0.32</v>
      </c>
      <c r="D126" s="429">
        <v>0.4244444444444444</v>
      </c>
      <c r="E126" s="429">
        <v>0.59333333333333327</v>
      </c>
      <c r="G126" s="430">
        <v>50881</v>
      </c>
      <c r="H126" s="424">
        <v>0.26100000000000001</v>
      </c>
      <c r="I126" s="424">
        <v>0.32</v>
      </c>
      <c r="J126" s="424">
        <v>0.4244444444444444</v>
      </c>
      <c r="K126" s="424">
        <v>0.59333333333333327</v>
      </c>
    </row>
    <row r="127" spans="1:11">
      <c r="A127" s="282" t="s">
        <v>96</v>
      </c>
      <c r="B127" s="429">
        <v>1.8675999999999999</v>
      </c>
      <c r="C127" s="429">
        <v>2.0510000000000002</v>
      </c>
      <c r="D127" s="429">
        <v>2.1653333333333333</v>
      </c>
      <c r="E127" s="429">
        <v>2.3780000000000001</v>
      </c>
      <c r="G127" s="442" t="s">
        <v>96</v>
      </c>
      <c r="H127" s="457">
        <v>1.8675999999999999</v>
      </c>
      <c r="I127" s="457">
        <v>2.0510000000000002</v>
      </c>
      <c r="J127" s="457">
        <v>2.1653333333333333</v>
      </c>
      <c r="K127" s="457">
        <v>2.3780000000000001</v>
      </c>
    </row>
    <row r="128" spans="1:11">
      <c r="A128" s="430">
        <v>50620</v>
      </c>
      <c r="B128" s="429">
        <v>1.5</v>
      </c>
      <c r="C128" s="429">
        <v>1.67</v>
      </c>
      <c r="D128" s="429">
        <v>1.7733333333333334</v>
      </c>
      <c r="E128" s="429">
        <v>1.8140000000000001</v>
      </c>
      <c r="G128" s="430">
        <v>50620</v>
      </c>
      <c r="H128" s="424">
        <v>1.5</v>
      </c>
      <c r="I128" s="424">
        <v>1.67</v>
      </c>
      <c r="J128" s="424">
        <v>1.7733333333333334</v>
      </c>
      <c r="K128" s="424">
        <v>1.8140000000000001</v>
      </c>
    </row>
    <row r="129" spans="1:11">
      <c r="A129" s="430">
        <v>50886</v>
      </c>
      <c r="B129" s="429">
        <v>0.36760000000000004</v>
      </c>
      <c r="C129" s="429">
        <v>0.38100000000000001</v>
      </c>
      <c r="D129" s="429">
        <v>0.39200000000000002</v>
      </c>
      <c r="E129" s="429">
        <v>0.56399999999999995</v>
      </c>
      <c r="G129" s="430">
        <v>50886</v>
      </c>
      <c r="H129" s="424">
        <v>0.36760000000000004</v>
      </c>
      <c r="I129" s="424">
        <v>0.38100000000000001</v>
      </c>
      <c r="J129" s="424">
        <v>0.39200000000000002</v>
      </c>
      <c r="K129" s="424">
        <v>0.56399999999999995</v>
      </c>
    </row>
    <row r="130" spans="1:11">
      <c r="A130" s="282" t="s">
        <v>108</v>
      </c>
      <c r="B130" s="429">
        <v>1.5971</v>
      </c>
      <c r="C130" s="429">
        <v>1.762</v>
      </c>
      <c r="D130" s="429">
        <v>2.2382999999999997</v>
      </c>
      <c r="E130" s="429">
        <v>2.8959999999999999</v>
      </c>
      <c r="G130" s="442" t="s">
        <v>108</v>
      </c>
      <c r="H130" s="457">
        <v>1.5971</v>
      </c>
      <c r="I130" s="457">
        <v>1.762</v>
      </c>
      <c r="J130" s="457">
        <v>2.2382999999999997</v>
      </c>
      <c r="K130" s="457">
        <v>2.8959999999999999</v>
      </c>
    </row>
    <row r="131" spans="1:11">
      <c r="A131" s="430">
        <v>50743</v>
      </c>
      <c r="B131" s="429">
        <v>0.503</v>
      </c>
      <c r="C131" s="429">
        <v>0.53900000000000003</v>
      </c>
      <c r="D131" s="429">
        <v>0.65</v>
      </c>
      <c r="E131" s="429">
        <v>0.74</v>
      </c>
      <c r="G131" s="430">
        <v>50743</v>
      </c>
      <c r="H131" s="424">
        <v>0.503</v>
      </c>
      <c r="I131" s="424">
        <v>0.53900000000000003</v>
      </c>
      <c r="J131" s="424">
        <v>0.65</v>
      </c>
      <c r="K131" s="424">
        <v>0.74</v>
      </c>
    </row>
    <row r="132" spans="1:11">
      <c r="A132" s="430">
        <v>50847</v>
      </c>
      <c r="B132" s="429">
        <v>0.45149999999999996</v>
      </c>
      <c r="C132" s="429">
        <v>0.497</v>
      </c>
      <c r="D132" s="429">
        <v>0.67400000000000004</v>
      </c>
      <c r="E132" s="429">
        <v>0.93599999999999994</v>
      </c>
      <c r="G132" s="430">
        <v>50847</v>
      </c>
      <c r="H132" s="424">
        <v>0.45149999999999996</v>
      </c>
      <c r="I132" s="424">
        <v>0.497</v>
      </c>
      <c r="J132" s="424">
        <v>0.67400000000000004</v>
      </c>
      <c r="K132" s="424">
        <v>0.93599999999999994</v>
      </c>
    </row>
    <row r="133" spans="1:11">
      <c r="A133" s="430">
        <v>50862</v>
      </c>
      <c r="B133" s="429">
        <v>0.64260000000000006</v>
      </c>
      <c r="C133" s="429">
        <v>0.72599999999999998</v>
      </c>
      <c r="D133" s="429">
        <v>0.91429999999999989</v>
      </c>
      <c r="E133" s="429">
        <v>1.2200000000000002</v>
      </c>
      <c r="G133" s="430">
        <v>50862</v>
      </c>
      <c r="H133" s="424">
        <v>0.64260000000000006</v>
      </c>
      <c r="I133" s="424">
        <v>0.72599999999999998</v>
      </c>
      <c r="J133" s="424">
        <v>0.91429999999999989</v>
      </c>
      <c r="K133" s="424">
        <v>1.2200000000000002</v>
      </c>
    </row>
    <row r="134" spans="1:11">
      <c r="A134" s="282" t="s">
        <v>186</v>
      </c>
      <c r="B134" s="429">
        <v>0.52200000000000002</v>
      </c>
      <c r="C134" s="429">
        <v>0.63100000000000001</v>
      </c>
      <c r="D134" s="429">
        <v>0.90111111111111108</v>
      </c>
      <c r="E134" s="429">
        <v>1.2355555555555557</v>
      </c>
      <c r="G134" s="442" t="s">
        <v>186</v>
      </c>
      <c r="H134" s="457">
        <v>0.52200000000000002</v>
      </c>
      <c r="I134" s="457">
        <v>0.63100000000000001</v>
      </c>
      <c r="J134" s="457">
        <v>0.90111111111111108</v>
      </c>
      <c r="K134" s="457">
        <v>1.2355555555555557</v>
      </c>
    </row>
    <row r="135" spans="1:11">
      <c r="A135" s="430">
        <v>50844</v>
      </c>
      <c r="B135" s="429">
        <v>0.52200000000000002</v>
      </c>
      <c r="C135" s="429">
        <v>0.63100000000000001</v>
      </c>
      <c r="D135" s="429">
        <v>0.90111111111111108</v>
      </c>
      <c r="E135" s="429">
        <v>1.2355555555555557</v>
      </c>
      <c r="G135" s="430">
        <v>50844</v>
      </c>
      <c r="H135" s="424">
        <v>0.52200000000000002</v>
      </c>
      <c r="I135" s="424">
        <v>0.63100000000000001</v>
      </c>
      <c r="J135" s="424">
        <v>0.90111111111111108</v>
      </c>
      <c r="K135" s="424">
        <v>1.2355555555555557</v>
      </c>
    </row>
    <row r="136" spans="1:11">
      <c r="A136" s="282" t="s">
        <v>180</v>
      </c>
      <c r="B136" s="429">
        <v>0.6794</v>
      </c>
      <c r="C136" s="429">
        <v>0.80300000000000005</v>
      </c>
      <c r="D136" s="429">
        <v>1.038</v>
      </c>
      <c r="E136" s="429">
        <v>1.2810000000000001</v>
      </c>
      <c r="G136" s="442" t="s">
        <v>180</v>
      </c>
      <c r="H136" s="457">
        <v>0.6794</v>
      </c>
      <c r="I136" s="457">
        <v>0.80300000000000005</v>
      </c>
      <c r="J136" s="457">
        <v>1.038</v>
      </c>
      <c r="K136" s="457">
        <v>1.2810000000000001</v>
      </c>
    </row>
    <row r="137" spans="1:11">
      <c r="A137" s="430">
        <v>50843</v>
      </c>
      <c r="B137" s="429">
        <v>0.6794</v>
      </c>
      <c r="C137" s="429">
        <v>0.80300000000000005</v>
      </c>
      <c r="D137" s="429">
        <v>1.038</v>
      </c>
      <c r="E137" s="429">
        <v>1.2810000000000001</v>
      </c>
      <c r="G137" s="430">
        <v>50843</v>
      </c>
      <c r="H137" s="424">
        <v>0.6794</v>
      </c>
      <c r="I137" s="424">
        <v>0.80300000000000005</v>
      </c>
      <c r="J137" s="424">
        <v>1.038</v>
      </c>
      <c r="K137" s="424">
        <v>1.2810000000000001</v>
      </c>
    </row>
    <row r="138" spans="1:11">
      <c r="A138" s="282" t="s">
        <v>146</v>
      </c>
      <c r="B138" s="429">
        <v>3.3634166666666667</v>
      </c>
      <c r="C138" s="429">
        <v>4.3070000000000004</v>
      </c>
      <c r="D138" s="429">
        <v>4.4396666666666667</v>
      </c>
      <c r="E138" s="429">
        <v>5.2686666666666664</v>
      </c>
      <c r="G138" s="442" t="s">
        <v>418</v>
      </c>
      <c r="H138" s="457">
        <v>3.3634166666666667</v>
      </c>
      <c r="I138" s="457">
        <v>4.3070000000000004</v>
      </c>
      <c r="J138" s="457">
        <v>4.4396666666666667</v>
      </c>
      <c r="K138" s="457">
        <v>5.2686666666666664</v>
      </c>
    </row>
    <row r="139" spans="1:11">
      <c r="A139" s="430">
        <v>50701</v>
      </c>
      <c r="B139" s="429">
        <v>0.35666666666666663</v>
      </c>
      <c r="C139" s="429">
        <v>0.40200000000000002</v>
      </c>
      <c r="D139" s="429">
        <v>0.43666666666666659</v>
      </c>
      <c r="E139" s="429">
        <v>0.75666666666666649</v>
      </c>
      <c r="G139" s="430">
        <v>50701</v>
      </c>
      <c r="H139" s="424">
        <v>0.35666666666666663</v>
      </c>
      <c r="I139" s="424">
        <v>0.40200000000000002</v>
      </c>
      <c r="J139" s="424">
        <v>0.43666666666666659</v>
      </c>
      <c r="K139" s="424">
        <v>0.75666666666666649</v>
      </c>
    </row>
    <row r="140" spans="1:11">
      <c r="A140" s="430">
        <v>50711</v>
      </c>
      <c r="B140" s="429">
        <v>1.1299999999999999</v>
      </c>
      <c r="C140" s="429">
        <v>1.4</v>
      </c>
      <c r="D140" s="429">
        <v>1.3999999999999997</v>
      </c>
      <c r="E140" s="429">
        <v>1.5349999999999997</v>
      </c>
      <c r="G140" s="430">
        <v>50711</v>
      </c>
      <c r="H140" s="424">
        <v>1.1299999999999999</v>
      </c>
      <c r="I140" s="424">
        <v>1.4</v>
      </c>
      <c r="J140" s="424">
        <v>1.3999999999999997</v>
      </c>
      <c r="K140" s="424">
        <v>1.5349999999999997</v>
      </c>
    </row>
    <row r="141" spans="1:11">
      <c r="A141" s="430">
        <v>50809</v>
      </c>
      <c r="B141" s="429">
        <v>1.0900000000000001</v>
      </c>
      <c r="C141" s="429">
        <v>1.508</v>
      </c>
      <c r="D141" s="429">
        <v>1.5280000000000002</v>
      </c>
      <c r="E141" s="429">
        <v>1.627</v>
      </c>
      <c r="G141" s="430">
        <v>50809</v>
      </c>
      <c r="H141" s="424">
        <v>1.0900000000000001</v>
      </c>
      <c r="I141" s="424">
        <v>1.508</v>
      </c>
      <c r="J141" s="424">
        <v>1.5280000000000002</v>
      </c>
      <c r="K141" s="424">
        <v>1.627</v>
      </c>
    </row>
    <row r="142" spans="1:11">
      <c r="A142" s="430">
        <v>50866</v>
      </c>
      <c r="B142" s="429">
        <v>0.78675000000000006</v>
      </c>
      <c r="C142" s="429">
        <v>0.997</v>
      </c>
      <c r="D142" s="429">
        <v>1.075</v>
      </c>
      <c r="E142" s="429">
        <v>1.35</v>
      </c>
      <c r="G142" s="430">
        <v>50866</v>
      </c>
      <c r="H142" s="424">
        <v>0.78675000000000006</v>
      </c>
      <c r="I142" s="424">
        <v>0.997</v>
      </c>
      <c r="J142" s="424">
        <v>1.075</v>
      </c>
      <c r="K142" s="424">
        <v>1.35</v>
      </c>
    </row>
    <row r="143" spans="1:11">
      <c r="A143" s="282" t="s">
        <v>52</v>
      </c>
      <c r="B143" s="429">
        <v>0.13899999999999998</v>
      </c>
      <c r="C143" s="429">
        <v>0.14099999999999999</v>
      </c>
      <c r="D143" s="429">
        <v>0.157</v>
      </c>
      <c r="E143" s="429">
        <v>0.20300000000000001</v>
      </c>
      <c r="G143" s="442" t="s">
        <v>419</v>
      </c>
      <c r="H143" s="457">
        <v>0.13899999999999998</v>
      </c>
      <c r="I143" s="457">
        <v>0.14099999999999999</v>
      </c>
      <c r="J143" s="457">
        <v>0.157</v>
      </c>
      <c r="K143" s="457">
        <v>0.20300000000000001</v>
      </c>
    </row>
    <row r="144" spans="1:11">
      <c r="A144" s="430">
        <v>50875</v>
      </c>
      <c r="B144" s="429">
        <v>0.13899999999999998</v>
      </c>
      <c r="C144" s="429">
        <v>0.14099999999999999</v>
      </c>
      <c r="D144" s="429">
        <v>0.157</v>
      </c>
      <c r="E144" s="429">
        <v>0.20300000000000001</v>
      </c>
      <c r="G144" s="430">
        <v>50875</v>
      </c>
      <c r="H144" s="424">
        <v>0.13899999999999998</v>
      </c>
      <c r="I144" s="424">
        <v>0.14099999999999999</v>
      </c>
      <c r="J144" s="424">
        <v>0.157</v>
      </c>
      <c r="K144" s="424">
        <v>0.20300000000000001</v>
      </c>
    </row>
    <row r="145" spans="1:11">
      <c r="A145" s="282" t="s">
        <v>82</v>
      </c>
      <c r="B145" s="429">
        <v>6.7406666666666668</v>
      </c>
      <c r="C145" s="429">
        <v>8.2590000000000003</v>
      </c>
      <c r="D145" s="429">
        <v>9.3789999999999996</v>
      </c>
      <c r="E145" s="429">
        <v>10.677666666666667</v>
      </c>
      <c r="G145" s="442" t="s">
        <v>82</v>
      </c>
      <c r="H145" s="457">
        <v>6.7406666666666668</v>
      </c>
      <c r="I145" s="457">
        <v>8.2590000000000003</v>
      </c>
      <c r="J145" s="457">
        <v>9.3789999999999996</v>
      </c>
      <c r="K145" s="457">
        <v>10.677666666666667</v>
      </c>
    </row>
    <row r="146" spans="1:11">
      <c r="A146" s="430">
        <v>50518</v>
      </c>
      <c r="B146" s="429">
        <v>1.5199999999999998</v>
      </c>
      <c r="C146" s="429">
        <v>2.4470000000000001</v>
      </c>
      <c r="D146" s="429">
        <v>2.5539999999999998</v>
      </c>
      <c r="E146" s="429">
        <v>3.0709999999999997</v>
      </c>
      <c r="G146" s="430">
        <v>50518</v>
      </c>
      <c r="H146" s="424">
        <v>1.5199999999999998</v>
      </c>
      <c r="I146" s="424">
        <v>2.4470000000000001</v>
      </c>
      <c r="J146" s="424">
        <v>2.5539999999999998</v>
      </c>
      <c r="K146" s="424">
        <v>3.0709999999999997</v>
      </c>
    </row>
    <row r="147" spans="1:11">
      <c r="A147" s="430">
        <v>50520</v>
      </c>
      <c r="B147" s="429">
        <v>1.2316666666666667</v>
      </c>
      <c r="C147" s="429">
        <v>1.5169999999999999</v>
      </c>
      <c r="D147" s="429">
        <v>1.57</v>
      </c>
      <c r="E147" s="429">
        <v>1.7391666666666667</v>
      </c>
      <c r="G147" s="430">
        <v>50520</v>
      </c>
      <c r="H147" s="424">
        <v>1.2316666666666667</v>
      </c>
      <c r="I147" s="424">
        <v>1.5169999999999999</v>
      </c>
      <c r="J147" s="424">
        <v>1.57</v>
      </c>
      <c r="K147" s="424">
        <v>1.7391666666666667</v>
      </c>
    </row>
    <row r="148" spans="1:11">
      <c r="A148" s="430">
        <v>50555</v>
      </c>
      <c r="B148" s="429">
        <v>1.089</v>
      </c>
      <c r="C148" s="429">
        <v>1.1599999999999999</v>
      </c>
      <c r="D148" s="429">
        <v>1.27</v>
      </c>
      <c r="E148" s="429">
        <v>1.34</v>
      </c>
      <c r="G148" s="430">
        <v>50555</v>
      </c>
      <c r="H148" s="424">
        <v>1.089</v>
      </c>
      <c r="I148" s="424">
        <v>1.1599999999999999</v>
      </c>
      <c r="J148" s="424">
        <v>1.27</v>
      </c>
      <c r="K148" s="424">
        <v>1.34</v>
      </c>
    </row>
    <row r="149" spans="1:11">
      <c r="A149" s="430">
        <v>50628</v>
      </c>
      <c r="B149" s="429">
        <v>1.6</v>
      </c>
      <c r="C149" s="429">
        <v>1.6</v>
      </c>
      <c r="D149" s="429">
        <v>2.2599999999999998</v>
      </c>
      <c r="E149" s="429">
        <v>2.59</v>
      </c>
      <c r="G149" s="430">
        <v>50628</v>
      </c>
      <c r="H149" s="424">
        <v>1.6</v>
      </c>
      <c r="I149" s="424">
        <v>1.6</v>
      </c>
      <c r="J149" s="424">
        <v>2.2599999999999998</v>
      </c>
      <c r="K149" s="424">
        <v>2.59</v>
      </c>
    </row>
    <row r="150" spans="1:11">
      <c r="A150" s="430">
        <v>50723</v>
      </c>
      <c r="B150" s="429">
        <v>1.3</v>
      </c>
      <c r="C150" s="429">
        <v>1.5349999999999999</v>
      </c>
      <c r="D150" s="429">
        <v>1.7250000000000001</v>
      </c>
      <c r="E150" s="429">
        <v>1.9375</v>
      </c>
      <c r="G150" s="430">
        <v>50723</v>
      </c>
      <c r="H150" s="424">
        <v>1.3</v>
      </c>
      <c r="I150" s="424">
        <v>1.5349999999999999</v>
      </c>
      <c r="J150" s="424">
        <v>1.7250000000000001</v>
      </c>
      <c r="K150" s="424">
        <v>1.9375</v>
      </c>
    </row>
    <row r="151" spans="1:11">
      <c r="A151" s="282" t="s">
        <v>384</v>
      </c>
      <c r="B151" s="429"/>
      <c r="C151" s="429"/>
      <c r="D151" s="429"/>
      <c r="E151" s="429"/>
      <c r="G151" s="442" t="s">
        <v>384</v>
      </c>
      <c r="H151" s="457"/>
      <c r="I151" s="457"/>
      <c r="J151" s="457"/>
      <c r="K151" s="457"/>
    </row>
    <row r="152" spans="1:11">
      <c r="A152" s="430">
        <v>50779</v>
      </c>
      <c r="B152" s="429"/>
      <c r="C152" s="429"/>
      <c r="D152" s="429"/>
      <c r="E152" s="429"/>
      <c r="G152" s="430">
        <v>50779</v>
      </c>
      <c r="H152" s="424"/>
      <c r="I152" s="424"/>
      <c r="J152" s="424"/>
      <c r="K152" s="424"/>
    </row>
    <row r="153" spans="1:11">
      <c r="A153" s="282" t="s">
        <v>86</v>
      </c>
      <c r="B153" s="429">
        <v>1.0085000000000002</v>
      </c>
      <c r="C153" s="429">
        <v>1.2384999999999999</v>
      </c>
      <c r="D153" s="429">
        <v>1.3837000000000002</v>
      </c>
      <c r="E153" s="429">
        <v>1.4750000000000001</v>
      </c>
      <c r="G153" s="442" t="s">
        <v>86</v>
      </c>
      <c r="H153" s="457">
        <v>1.0085000000000002</v>
      </c>
      <c r="I153" s="457">
        <v>1.2384999999999999</v>
      </c>
      <c r="J153" s="457">
        <v>1.3837000000000002</v>
      </c>
      <c r="K153" s="457">
        <v>1.4750000000000001</v>
      </c>
    </row>
    <row r="154" spans="1:11">
      <c r="A154" s="430">
        <v>50796</v>
      </c>
      <c r="B154" s="429">
        <v>0.50849999999999995</v>
      </c>
      <c r="C154" s="429">
        <v>0.65849999999999997</v>
      </c>
      <c r="D154" s="429">
        <v>0.8</v>
      </c>
      <c r="E154" s="429">
        <v>0.86499999999999999</v>
      </c>
      <c r="G154" s="430">
        <v>50796</v>
      </c>
      <c r="H154" s="424">
        <v>0.50849999999999995</v>
      </c>
      <c r="I154" s="424">
        <v>0.65849999999999997</v>
      </c>
      <c r="J154" s="424">
        <v>0.8</v>
      </c>
      <c r="K154" s="424">
        <v>0.86499999999999999</v>
      </c>
    </row>
    <row r="155" spans="1:11">
      <c r="A155" s="430">
        <v>50832</v>
      </c>
      <c r="B155" s="429">
        <v>0.50000000000000011</v>
      </c>
      <c r="C155" s="429">
        <v>0.57999999999999996</v>
      </c>
      <c r="D155" s="429">
        <v>0.5837</v>
      </c>
      <c r="E155" s="429">
        <v>0.61</v>
      </c>
      <c r="G155" s="430">
        <v>50832</v>
      </c>
      <c r="H155" s="424">
        <v>0.50000000000000011</v>
      </c>
      <c r="I155" s="424">
        <v>0.57999999999999996</v>
      </c>
      <c r="J155" s="424">
        <v>0.5837</v>
      </c>
      <c r="K155" s="424">
        <v>0.61</v>
      </c>
    </row>
    <row r="156" spans="1:11">
      <c r="A156" s="282" t="s">
        <v>192</v>
      </c>
      <c r="B156" s="429">
        <v>0.54299999999999993</v>
      </c>
      <c r="C156" s="429">
        <v>0.55000000000000004</v>
      </c>
      <c r="D156" s="429">
        <v>0.57599999999999996</v>
      </c>
      <c r="E156" s="429">
        <v>0.66999999999999993</v>
      </c>
      <c r="G156" s="442" t="s">
        <v>192</v>
      </c>
      <c r="H156" s="457">
        <v>0.54299999999999993</v>
      </c>
      <c r="I156" s="457">
        <v>0.55000000000000004</v>
      </c>
      <c r="J156" s="457">
        <v>0.57599999999999996</v>
      </c>
      <c r="K156" s="457">
        <v>0.66999999999999993</v>
      </c>
    </row>
    <row r="157" spans="1:11">
      <c r="A157" s="430">
        <v>50837</v>
      </c>
      <c r="B157" s="429">
        <v>0.54299999999999993</v>
      </c>
      <c r="C157" s="429">
        <v>0.55000000000000004</v>
      </c>
      <c r="D157" s="429">
        <v>0.57599999999999996</v>
      </c>
      <c r="E157" s="429">
        <v>0.66999999999999993</v>
      </c>
      <c r="G157" s="430">
        <v>50837</v>
      </c>
      <c r="H157" s="424">
        <v>0.54299999999999993</v>
      </c>
      <c r="I157" s="424">
        <v>0.55000000000000004</v>
      </c>
      <c r="J157" s="424">
        <v>0.57599999999999996</v>
      </c>
      <c r="K157" s="424">
        <v>0.66999999999999993</v>
      </c>
    </row>
    <row r="158" spans="1:11">
      <c r="A158" s="282" t="s">
        <v>217</v>
      </c>
      <c r="B158" s="429">
        <v>1.1538733374162413</v>
      </c>
      <c r="C158" s="429">
        <v>1.1539999999999999</v>
      </c>
      <c r="D158" s="429">
        <v>1.22</v>
      </c>
      <c r="E158" s="429">
        <v>1.3456666666666666</v>
      </c>
      <c r="G158" s="442" t="s">
        <v>412</v>
      </c>
      <c r="H158" s="457">
        <v>1.1538733374162413</v>
      </c>
      <c r="I158" s="457">
        <v>1.1539999999999999</v>
      </c>
      <c r="J158" s="457">
        <v>1.22</v>
      </c>
      <c r="K158" s="457">
        <v>1.3456666666666666</v>
      </c>
    </row>
    <row r="159" spans="1:11">
      <c r="A159" s="430">
        <v>50584</v>
      </c>
      <c r="B159" s="429">
        <v>1.1538733374162413</v>
      </c>
      <c r="C159" s="429">
        <v>1.1539999999999999</v>
      </c>
      <c r="D159" s="429">
        <v>1.22</v>
      </c>
      <c r="E159" s="429">
        <v>1.3456666666666666</v>
      </c>
      <c r="G159" s="430">
        <v>50584</v>
      </c>
      <c r="H159" s="424">
        <v>1.1538733374162413</v>
      </c>
      <c r="I159" s="424">
        <v>1.1539999999999999</v>
      </c>
      <c r="J159" s="424">
        <v>1.22</v>
      </c>
      <c r="K159" s="424">
        <v>1.3456666666666666</v>
      </c>
    </row>
    <row r="160" spans="1:11">
      <c r="A160" s="282" t="s">
        <v>196</v>
      </c>
      <c r="B160" s="429">
        <v>1.3045714285714285</v>
      </c>
      <c r="C160" s="429">
        <v>1.3360000000000001</v>
      </c>
      <c r="D160" s="429">
        <v>1.413</v>
      </c>
      <c r="E160" s="429">
        <v>1.4157142857142857</v>
      </c>
      <c r="G160" s="442" t="s">
        <v>196</v>
      </c>
      <c r="H160" s="457">
        <v>1.3045714285714285</v>
      </c>
      <c r="I160" s="457">
        <v>1.3360000000000001</v>
      </c>
      <c r="J160" s="457">
        <v>1.413</v>
      </c>
      <c r="K160" s="457">
        <v>1.4157142857142857</v>
      </c>
    </row>
    <row r="161" spans="1:11">
      <c r="A161" s="430">
        <v>50703</v>
      </c>
      <c r="B161" s="429">
        <v>1.3045714285714285</v>
      </c>
      <c r="C161" s="429">
        <v>1.3360000000000001</v>
      </c>
      <c r="D161" s="429">
        <v>1.413</v>
      </c>
      <c r="E161" s="429">
        <v>1.4157142857142857</v>
      </c>
      <c r="G161" s="430">
        <v>50703</v>
      </c>
      <c r="H161" s="424">
        <v>1.3045714285714285</v>
      </c>
      <c r="I161" s="424">
        <v>1.3360000000000001</v>
      </c>
      <c r="J161" s="424">
        <v>1.413</v>
      </c>
      <c r="K161" s="424">
        <v>1.4157142857142857</v>
      </c>
    </row>
    <row r="162" spans="1:11">
      <c r="A162" s="282" t="s">
        <v>172</v>
      </c>
      <c r="B162" s="429">
        <v>1.8378333333333334</v>
      </c>
      <c r="C162" s="429">
        <v>2.2149999999999999</v>
      </c>
      <c r="D162" s="429">
        <v>2.4565999999999999</v>
      </c>
      <c r="E162" s="429">
        <v>2.7877777777777779</v>
      </c>
      <c r="G162" s="442" t="s">
        <v>172</v>
      </c>
      <c r="H162" s="457">
        <v>1.8378333333333334</v>
      </c>
      <c r="I162" s="457">
        <v>2.2149999999999999</v>
      </c>
      <c r="J162" s="457">
        <v>2.4565999999999999</v>
      </c>
      <c r="K162" s="457">
        <v>2.7877777777777779</v>
      </c>
    </row>
    <row r="163" spans="1:11">
      <c r="A163" s="430">
        <v>50831</v>
      </c>
      <c r="B163" s="429">
        <v>1.2595000000000001</v>
      </c>
      <c r="C163" s="429">
        <v>1.5089999999999999</v>
      </c>
      <c r="D163" s="429">
        <v>1.6065999999999998</v>
      </c>
      <c r="E163" s="429">
        <v>1.6744444444444446</v>
      </c>
      <c r="G163" s="430">
        <v>50831</v>
      </c>
      <c r="H163" s="424">
        <v>1.2595000000000001</v>
      </c>
      <c r="I163" s="424">
        <v>1.5089999999999999</v>
      </c>
      <c r="J163" s="424">
        <v>1.6065999999999998</v>
      </c>
      <c r="K163" s="424">
        <v>1.6744444444444446</v>
      </c>
    </row>
    <row r="164" spans="1:11">
      <c r="A164" s="430">
        <v>50878</v>
      </c>
      <c r="B164" s="429">
        <v>0.57833333333333337</v>
      </c>
      <c r="C164" s="429">
        <v>0.70599999999999996</v>
      </c>
      <c r="D164" s="429">
        <v>0.85000000000000009</v>
      </c>
      <c r="E164" s="429">
        <v>1.1133333333333333</v>
      </c>
      <c r="G164" s="430">
        <v>50878</v>
      </c>
      <c r="H164" s="424">
        <v>0.57833333333333337</v>
      </c>
      <c r="I164" s="424">
        <v>0.70599999999999996</v>
      </c>
      <c r="J164" s="424">
        <v>0.85000000000000009</v>
      </c>
      <c r="K164" s="424">
        <v>1.1133333333333333</v>
      </c>
    </row>
    <row r="165" spans="1:11">
      <c r="A165" s="282" t="s">
        <v>213</v>
      </c>
      <c r="B165" s="429">
        <v>0.73283333333333334</v>
      </c>
      <c r="C165" s="429">
        <v>0.85799999999999998</v>
      </c>
      <c r="D165" s="429">
        <v>1.1183333333333334</v>
      </c>
      <c r="E165" s="429">
        <v>1.385</v>
      </c>
      <c r="G165" s="442" t="s">
        <v>213</v>
      </c>
      <c r="H165" s="457">
        <v>0.73283333333333334</v>
      </c>
      <c r="I165" s="457">
        <v>0.85799999999999998</v>
      </c>
      <c r="J165" s="457">
        <v>1.1183333333333334</v>
      </c>
      <c r="K165" s="457">
        <v>1.385</v>
      </c>
    </row>
    <row r="166" spans="1:11">
      <c r="A166" s="430">
        <v>10995</v>
      </c>
      <c r="B166" s="429">
        <v>0.73283333333333334</v>
      </c>
      <c r="C166" s="429">
        <v>0.85799999999999998</v>
      </c>
      <c r="D166" s="429">
        <v>1.1183333333333334</v>
      </c>
      <c r="E166" s="429">
        <v>1.385</v>
      </c>
      <c r="G166" s="430">
        <v>10995</v>
      </c>
      <c r="H166" s="424">
        <v>0.73283333333333334</v>
      </c>
      <c r="I166" s="424">
        <v>0.85799999999999998</v>
      </c>
      <c r="J166" s="424">
        <v>1.1183333333333334</v>
      </c>
      <c r="K166" s="424">
        <v>1.385</v>
      </c>
    </row>
    <row r="167" spans="1:11">
      <c r="A167" s="282" t="s">
        <v>406</v>
      </c>
      <c r="B167" s="429">
        <v>0.5</v>
      </c>
      <c r="C167" s="429">
        <v>0.55000000000000004</v>
      </c>
      <c r="D167" s="429">
        <v>0.57999999999999996</v>
      </c>
      <c r="E167" s="429">
        <v>0.70749999999999991</v>
      </c>
      <c r="G167" s="442" t="s">
        <v>406</v>
      </c>
      <c r="H167" s="457">
        <v>0.5</v>
      </c>
      <c r="I167" s="457">
        <v>0.55000000000000004</v>
      </c>
      <c r="J167" s="457">
        <v>0.57999999999999996</v>
      </c>
      <c r="K167" s="457">
        <v>0.70749999999999991</v>
      </c>
    </row>
    <row r="168" spans="1:11">
      <c r="A168" s="430">
        <v>50848</v>
      </c>
      <c r="B168" s="429">
        <v>0.5</v>
      </c>
      <c r="C168" s="429">
        <v>0.55000000000000004</v>
      </c>
      <c r="D168" s="429">
        <v>0.57999999999999996</v>
      </c>
      <c r="E168" s="429">
        <v>0.70749999999999991</v>
      </c>
      <c r="G168" s="430">
        <v>50848</v>
      </c>
      <c r="H168" s="424">
        <v>0.5</v>
      </c>
      <c r="I168" s="424">
        <v>0.55000000000000004</v>
      </c>
      <c r="J168" s="424">
        <v>0.57999999999999996</v>
      </c>
      <c r="K168" s="424">
        <v>0.70749999999999991</v>
      </c>
    </row>
    <row r="169" spans="1:11">
      <c r="A169" s="282" t="s">
        <v>143</v>
      </c>
      <c r="B169" s="429">
        <v>2.0209999999999999</v>
      </c>
      <c r="C169" s="429">
        <v>2.62</v>
      </c>
      <c r="D169" s="429">
        <v>3.31</v>
      </c>
      <c r="E169" s="429">
        <v>3.8945000000000003</v>
      </c>
      <c r="G169" s="442" t="s">
        <v>143</v>
      </c>
      <c r="H169" s="457">
        <v>2.0209999999999999</v>
      </c>
      <c r="I169" s="457">
        <v>2.62</v>
      </c>
      <c r="J169" s="457">
        <v>3.31</v>
      </c>
      <c r="K169" s="457">
        <v>3.8945000000000003</v>
      </c>
    </row>
    <row r="170" spans="1:11">
      <c r="A170" s="430">
        <v>50766</v>
      </c>
      <c r="B170" s="429">
        <v>1.2909999999999999</v>
      </c>
      <c r="C170" s="429">
        <v>1.77</v>
      </c>
      <c r="D170" s="429">
        <v>2.46</v>
      </c>
      <c r="E170" s="429">
        <v>3.0445000000000002</v>
      </c>
      <c r="G170" s="430">
        <v>50766</v>
      </c>
      <c r="H170" s="424">
        <v>1.2909999999999999</v>
      </c>
      <c r="I170" s="424">
        <v>1.77</v>
      </c>
      <c r="J170" s="424">
        <v>2.46</v>
      </c>
      <c r="K170" s="424">
        <v>3.0445000000000002</v>
      </c>
    </row>
    <row r="171" spans="1:11">
      <c r="A171" s="430">
        <v>50824</v>
      </c>
      <c r="B171" s="429">
        <v>0.73</v>
      </c>
      <c r="C171" s="429">
        <v>0.85</v>
      </c>
      <c r="D171" s="429">
        <v>0.85</v>
      </c>
      <c r="E171" s="429">
        <v>0.85</v>
      </c>
      <c r="G171" s="430">
        <v>50824</v>
      </c>
      <c r="H171" s="424">
        <v>0.73</v>
      </c>
      <c r="I171" s="424">
        <v>0.85</v>
      </c>
      <c r="J171" s="424">
        <v>0.85</v>
      </c>
      <c r="K171" s="424">
        <v>0.85</v>
      </c>
    </row>
    <row r="172" spans="1:11">
      <c r="A172" s="282" t="s">
        <v>204</v>
      </c>
      <c r="B172" s="429">
        <v>4.1769750000000005</v>
      </c>
      <c r="C172" s="429">
        <v>4.9740000000000002</v>
      </c>
      <c r="D172" s="429">
        <v>5.719125</v>
      </c>
      <c r="E172" s="429">
        <v>6.3486333333333329</v>
      </c>
      <c r="G172" s="442" t="s">
        <v>204</v>
      </c>
      <c r="H172" s="457">
        <v>4.1769750000000005</v>
      </c>
      <c r="I172" s="457">
        <v>4.9740000000000002</v>
      </c>
      <c r="J172" s="457">
        <v>5.719125</v>
      </c>
      <c r="K172" s="457">
        <v>6.3486333333333329</v>
      </c>
    </row>
    <row r="173" spans="1:11">
      <c r="A173" s="430">
        <v>50657</v>
      </c>
      <c r="B173" s="429">
        <v>0.75700000000000001</v>
      </c>
      <c r="C173" s="429">
        <v>1.2</v>
      </c>
      <c r="D173" s="429">
        <v>1.2</v>
      </c>
      <c r="E173" s="429">
        <v>1.4215</v>
      </c>
      <c r="G173" s="430">
        <v>50657</v>
      </c>
      <c r="H173" s="424">
        <v>0.75700000000000001</v>
      </c>
      <c r="I173" s="424">
        <v>1.2</v>
      </c>
      <c r="J173" s="424">
        <v>1.2</v>
      </c>
      <c r="K173" s="424">
        <v>1.4215</v>
      </c>
    </row>
    <row r="174" spans="1:11">
      <c r="A174" s="430">
        <v>50777</v>
      </c>
      <c r="B174" s="429">
        <v>0.54700000000000004</v>
      </c>
      <c r="C174" s="429">
        <v>0.61</v>
      </c>
      <c r="D174" s="429">
        <v>0.95</v>
      </c>
      <c r="E174" s="429">
        <v>1.1515</v>
      </c>
      <c r="G174" s="430">
        <v>50777</v>
      </c>
      <c r="H174" s="424">
        <v>0.54700000000000004</v>
      </c>
      <c r="I174" s="424">
        <v>0.61</v>
      </c>
      <c r="J174" s="424">
        <v>0.95</v>
      </c>
      <c r="K174" s="424">
        <v>1.1515</v>
      </c>
    </row>
    <row r="175" spans="1:11">
      <c r="A175" s="430">
        <v>50799</v>
      </c>
      <c r="B175" s="429">
        <v>0.55700000000000005</v>
      </c>
      <c r="C175" s="429">
        <v>0.67</v>
      </c>
      <c r="D175" s="429">
        <v>0.97</v>
      </c>
      <c r="E175" s="429">
        <v>1.1764999999999999</v>
      </c>
      <c r="G175" s="430">
        <v>50799</v>
      </c>
      <c r="H175" s="424">
        <v>0.55700000000000005</v>
      </c>
      <c r="I175" s="424">
        <v>0.67</v>
      </c>
      <c r="J175" s="424">
        <v>0.97</v>
      </c>
      <c r="K175" s="424">
        <v>1.1764999999999999</v>
      </c>
    </row>
    <row r="176" spans="1:11">
      <c r="A176" s="430">
        <v>50841</v>
      </c>
      <c r="B176" s="429">
        <v>0.7770999999999999</v>
      </c>
      <c r="C176" s="429">
        <v>0.84599999999999997</v>
      </c>
      <c r="D176" s="429">
        <v>0.91720000000000002</v>
      </c>
      <c r="E176" s="429">
        <v>0.91833333333333345</v>
      </c>
      <c r="G176" s="430">
        <v>50841</v>
      </c>
      <c r="H176" s="424">
        <v>0.7770999999999999</v>
      </c>
      <c r="I176" s="424">
        <v>0.84599999999999997</v>
      </c>
      <c r="J176" s="424">
        <v>0.91720000000000002</v>
      </c>
      <c r="K176" s="424">
        <v>0.91833333333333345</v>
      </c>
    </row>
    <row r="177" spans="1:11">
      <c r="A177" s="430" t="s">
        <v>397</v>
      </c>
      <c r="B177" s="429">
        <v>0.82099999999999995</v>
      </c>
      <c r="C177" s="429">
        <v>0.88100000000000001</v>
      </c>
      <c r="D177" s="429">
        <v>0.91230000000000011</v>
      </c>
      <c r="E177" s="429">
        <v>0.9173</v>
      </c>
      <c r="G177" s="430" t="s">
        <v>397</v>
      </c>
      <c r="H177" s="424">
        <v>0.82099999999999995</v>
      </c>
      <c r="I177" s="424">
        <v>0.88100000000000001</v>
      </c>
      <c r="J177" s="424">
        <v>0.91230000000000011</v>
      </c>
      <c r="K177" s="424">
        <v>0.9173</v>
      </c>
    </row>
    <row r="178" spans="1:11">
      <c r="A178" s="430" t="s">
        <v>398</v>
      </c>
      <c r="B178" s="429">
        <v>0.71787500000000004</v>
      </c>
      <c r="C178" s="429">
        <v>0.76700000000000002</v>
      </c>
      <c r="D178" s="429">
        <v>0.769625</v>
      </c>
      <c r="E178" s="429">
        <v>0.76349999999999996</v>
      </c>
      <c r="G178" s="430" t="s">
        <v>398</v>
      </c>
      <c r="H178" s="424">
        <v>0.71787500000000004</v>
      </c>
      <c r="I178" s="424">
        <v>0.76700000000000002</v>
      </c>
      <c r="J178" s="424">
        <v>0.769625</v>
      </c>
      <c r="K178" s="424">
        <v>0.76349999999999996</v>
      </c>
    </row>
    <row r="179" spans="1:11">
      <c r="A179" s="282" t="s">
        <v>101</v>
      </c>
      <c r="B179" s="429">
        <v>1.4814333333333334</v>
      </c>
      <c r="C179" s="429">
        <v>1.623</v>
      </c>
      <c r="D179" s="429">
        <v>1.8431</v>
      </c>
      <c r="E179" s="429">
        <v>2.0700000000000003</v>
      </c>
      <c r="G179" s="442" t="s">
        <v>101</v>
      </c>
      <c r="H179" s="457">
        <v>1.4814333333333334</v>
      </c>
      <c r="I179" s="457">
        <v>1.623</v>
      </c>
      <c r="J179" s="457">
        <v>1.8431</v>
      </c>
      <c r="K179" s="457">
        <v>2.0700000000000003</v>
      </c>
    </row>
    <row r="180" spans="1:11">
      <c r="A180" s="430">
        <v>50692</v>
      </c>
      <c r="B180" s="429">
        <v>0.25010000000000004</v>
      </c>
      <c r="C180" s="429">
        <v>0.28100000000000003</v>
      </c>
      <c r="D180" s="429">
        <v>0.33809999999999996</v>
      </c>
      <c r="E180" s="429">
        <v>0.42333333333333334</v>
      </c>
      <c r="G180" s="430">
        <v>50692</v>
      </c>
      <c r="H180" s="424">
        <v>0.25010000000000004</v>
      </c>
      <c r="I180" s="424">
        <v>0.28100000000000003</v>
      </c>
      <c r="J180" s="424">
        <v>0.33809999999999996</v>
      </c>
      <c r="K180" s="424">
        <v>0.42333333333333334</v>
      </c>
    </row>
    <row r="181" spans="1:11">
      <c r="A181" s="430">
        <v>50746</v>
      </c>
      <c r="B181" s="429">
        <v>0.53333333333333333</v>
      </c>
      <c r="C181" s="429">
        <v>0.56799999999999995</v>
      </c>
      <c r="D181" s="429">
        <v>0.73099999999999998</v>
      </c>
      <c r="E181" s="429">
        <v>0.8666666666666667</v>
      </c>
      <c r="G181" s="430">
        <v>50746</v>
      </c>
      <c r="H181" s="424">
        <v>0.53333333333333333</v>
      </c>
      <c r="I181" s="424">
        <v>0.56799999999999995</v>
      </c>
      <c r="J181" s="424">
        <v>0.73099999999999998</v>
      </c>
      <c r="K181" s="424">
        <v>0.8666666666666667</v>
      </c>
    </row>
    <row r="182" spans="1:11">
      <c r="A182" s="430">
        <v>50804</v>
      </c>
      <c r="B182" s="429">
        <v>0.69799999999999995</v>
      </c>
      <c r="C182" s="429">
        <v>0.77400000000000002</v>
      </c>
      <c r="D182" s="429">
        <v>0.77400000000000002</v>
      </c>
      <c r="E182" s="429">
        <v>0.78</v>
      </c>
      <c r="G182" s="430">
        <v>50804</v>
      </c>
      <c r="H182" s="424">
        <v>0.69799999999999995</v>
      </c>
      <c r="I182" s="424">
        <v>0.77400000000000002</v>
      </c>
      <c r="J182" s="424">
        <v>0.77400000000000002</v>
      </c>
      <c r="K182" s="424">
        <v>0.78</v>
      </c>
    </row>
    <row r="183" spans="1:11">
      <c r="A183" s="282" t="s">
        <v>152</v>
      </c>
      <c r="B183" s="429">
        <v>0.628</v>
      </c>
      <c r="C183" s="429">
        <v>0.83</v>
      </c>
      <c r="D183" s="429">
        <v>0.9</v>
      </c>
      <c r="E183" s="429">
        <v>1.31</v>
      </c>
      <c r="G183" s="442" t="s">
        <v>152</v>
      </c>
      <c r="H183" s="457">
        <v>0.628</v>
      </c>
      <c r="I183" s="457">
        <v>0.83</v>
      </c>
      <c r="J183" s="457">
        <v>0.9</v>
      </c>
      <c r="K183" s="457">
        <v>1.31</v>
      </c>
    </row>
    <row r="184" spans="1:11">
      <c r="A184" s="430">
        <v>50776</v>
      </c>
      <c r="B184" s="429">
        <v>0.628</v>
      </c>
      <c r="C184" s="429">
        <v>0.83</v>
      </c>
      <c r="D184" s="429">
        <v>0.9</v>
      </c>
      <c r="E184" s="429">
        <v>1.31</v>
      </c>
      <c r="G184" s="430">
        <v>50776</v>
      </c>
      <c r="H184" s="424">
        <v>0.628</v>
      </c>
      <c r="I184" s="424">
        <v>0.83</v>
      </c>
      <c r="J184" s="424">
        <v>0.9</v>
      </c>
      <c r="K184" s="424">
        <v>1.31</v>
      </c>
    </row>
    <row r="185" spans="1:11">
      <c r="A185" s="282" t="s">
        <v>104</v>
      </c>
      <c r="B185" s="429">
        <v>0.87259999999999993</v>
      </c>
      <c r="C185" s="429">
        <v>0.88500000000000001</v>
      </c>
      <c r="D185" s="429">
        <v>1.0244</v>
      </c>
      <c r="E185" s="429">
        <v>1.202</v>
      </c>
      <c r="G185" s="442" t="s">
        <v>104</v>
      </c>
      <c r="H185" s="457">
        <v>0.87259999999999993</v>
      </c>
      <c r="I185" s="457">
        <v>0.88500000000000001</v>
      </c>
      <c r="J185" s="457">
        <v>1.0244</v>
      </c>
      <c r="K185" s="457">
        <v>1.202</v>
      </c>
    </row>
    <row r="186" spans="1:11">
      <c r="A186" s="430">
        <v>50658</v>
      </c>
      <c r="B186" s="429">
        <v>0.87259999999999993</v>
      </c>
      <c r="C186" s="429">
        <v>0.88500000000000001</v>
      </c>
      <c r="D186" s="429">
        <v>1.0244</v>
      </c>
      <c r="E186" s="429">
        <v>1.202</v>
      </c>
      <c r="G186" s="430">
        <v>50658</v>
      </c>
      <c r="H186" s="424">
        <v>0.87259999999999993</v>
      </c>
      <c r="I186" s="424">
        <v>0.88500000000000001</v>
      </c>
      <c r="J186" s="424">
        <v>1.0244</v>
      </c>
      <c r="K186" s="424">
        <v>1.202</v>
      </c>
    </row>
    <row r="187" spans="1:11">
      <c r="A187" s="282" t="s">
        <v>103</v>
      </c>
      <c r="B187" s="429">
        <v>1.754111111111111</v>
      </c>
      <c r="C187" s="429">
        <v>1.855</v>
      </c>
      <c r="D187" s="429">
        <v>2.0378777777777777</v>
      </c>
      <c r="E187" s="429">
        <v>2.3823333333333334</v>
      </c>
      <c r="G187" s="442" t="s">
        <v>103</v>
      </c>
      <c r="H187" s="457">
        <v>1.754111111111111</v>
      </c>
      <c r="I187" s="457">
        <v>1.855</v>
      </c>
      <c r="J187" s="457">
        <v>2.0378777777777777</v>
      </c>
      <c r="K187" s="457">
        <v>2.3823333333333334</v>
      </c>
    </row>
    <row r="188" spans="1:11">
      <c r="A188" s="430">
        <v>50817</v>
      </c>
      <c r="B188" s="429">
        <v>0.66300000000000003</v>
      </c>
      <c r="C188" s="429">
        <v>0.69499999999999995</v>
      </c>
      <c r="D188" s="429">
        <v>0.72899999999999998</v>
      </c>
      <c r="E188" s="429">
        <v>0.82400000000000007</v>
      </c>
      <c r="G188" s="430">
        <v>50817</v>
      </c>
      <c r="H188" s="424">
        <v>0.66300000000000003</v>
      </c>
      <c r="I188" s="424">
        <v>0.69499999999999995</v>
      </c>
      <c r="J188" s="424">
        <v>0.72899999999999998</v>
      </c>
      <c r="K188" s="424">
        <v>0.82400000000000007</v>
      </c>
    </row>
    <row r="189" spans="1:11">
      <c r="A189" s="430">
        <v>50821</v>
      </c>
      <c r="B189" s="429">
        <v>0.85</v>
      </c>
      <c r="C189" s="429">
        <v>0.88900000000000001</v>
      </c>
      <c r="D189" s="429">
        <v>1.0110999999999999</v>
      </c>
      <c r="E189" s="429">
        <v>1.1349999999999998</v>
      </c>
      <c r="G189" s="430">
        <v>50821</v>
      </c>
      <c r="H189" s="424">
        <v>0.85</v>
      </c>
      <c r="I189" s="424">
        <v>0.88900000000000001</v>
      </c>
      <c r="J189" s="424">
        <v>1.0110999999999999</v>
      </c>
      <c r="K189" s="424">
        <v>1.1349999999999998</v>
      </c>
    </row>
    <row r="190" spans="1:11">
      <c r="A190" s="430">
        <v>50882</v>
      </c>
      <c r="B190" s="429">
        <v>0.24111111111111111</v>
      </c>
      <c r="C190" s="429">
        <v>0.27100000000000002</v>
      </c>
      <c r="D190" s="429">
        <v>0.29777777777777775</v>
      </c>
      <c r="E190" s="429">
        <v>0.42333333333333339</v>
      </c>
      <c r="G190" s="430">
        <v>50882</v>
      </c>
      <c r="H190" s="424">
        <v>0.24111111111111111</v>
      </c>
      <c r="I190" s="424">
        <v>0.27100000000000002</v>
      </c>
      <c r="J190" s="424">
        <v>0.29777777777777775</v>
      </c>
      <c r="K190" s="424">
        <v>0.42333333333333339</v>
      </c>
    </row>
    <row r="191" spans="1:11">
      <c r="A191" s="282" t="s">
        <v>139</v>
      </c>
      <c r="B191" s="429">
        <v>3.3434000000000004</v>
      </c>
      <c r="C191" s="429">
        <v>3.5350000000000001</v>
      </c>
      <c r="D191" s="429">
        <v>3.7029000000000001</v>
      </c>
      <c r="E191" s="429">
        <v>4.4039555555555552</v>
      </c>
      <c r="G191" s="442" t="s">
        <v>139</v>
      </c>
      <c r="H191" s="457">
        <v>3.3434000000000004</v>
      </c>
      <c r="I191" s="457">
        <v>3.5350000000000001</v>
      </c>
      <c r="J191" s="457">
        <v>3.7029000000000001</v>
      </c>
      <c r="K191" s="457">
        <v>4.4039555555555552</v>
      </c>
    </row>
    <row r="192" spans="1:11">
      <c r="A192" s="430">
        <v>50295</v>
      </c>
      <c r="B192" s="429">
        <v>0.86199999999999999</v>
      </c>
      <c r="C192" s="429">
        <v>0.88500000000000001</v>
      </c>
      <c r="D192" s="429">
        <v>0.95</v>
      </c>
      <c r="E192" s="429">
        <v>0.9850000000000001</v>
      </c>
      <c r="G192" s="430">
        <v>50295</v>
      </c>
      <c r="H192" s="424">
        <v>0.86199999999999999</v>
      </c>
      <c r="I192" s="424">
        <v>0.88500000000000001</v>
      </c>
      <c r="J192" s="424">
        <v>0.95</v>
      </c>
      <c r="K192" s="424">
        <v>0.9850000000000001</v>
      </c>
    </row>
    <row r="193" spans="1:11">
      <c r="A193" s="430">
        <v>50750</v>
      </c>
      <c r="B193" s="429">
        <v>1.2490000000000001</v>
      </c>
      <c r="C193" s="429">
        <v>1.2490000000000001</v>
      </c>
      <c r="D193" s="429">
        <v>1.2490000000000001</v>
      </c>
      <c r="E193" s="429">
        <v>1.4</v>
      </c>
      <c r="G193" s="430">
        <v>50750</v>
      </c>
      <c r="H193" s="424">
        <v>1.2490000000000001</v>
      </c>
      <c r="I193" s="424">
        <v>1.2490000000000001</v>
      </c>
      <c r="J193" s="424">
        <v>1.2490000000000001</v>
      </c>
      <c r="K193" s="424">
        <v>1.4</v>
      </c>
    </row>
    <row r="194" spans="1:11">
      <c r="A194" s="430">
        <v>50828</v>
      </c>
      <c r="B194" s="429">
        <v>0.60609999999999997</v>
      </c>
      <c r="C194" s="429">
        <v>0.70599999999999996</v>
      </c>
      <c r="D194" s="429">
        <v>0.71360000000000001</v>
      </c>
      <c r="E194" s="429">
        <v>0.76555555555555543</v>
      </c>
      <c r="G194" s="430">
        <v>50828</v>
      </c>
      <c r="H194" s="424">
        <v>0.60609999999999997</v>
      </c>
      <c r="I194" s="424">
        <v>0.70599999999999996</v>
      </c>
      <c r="J194" s="424">
        <v>0.71360000000000001</v>
      </c>
      <c r="K194" s="424">
        <v>0.76555555555555543</v>
      </c>
    </row>
    <row r="195" spans="1:11">
      <c r="A195" s="430">
        <v>50871</v>
      </c>
      <c r="B195" s="429">
        <v>0.36350000000000005</v>
      </c>
      <c r="C195" s="429">
        <v>0.39900000000000002</v>
      </c>
      <c r="D195" s="429">
        <v>0.45610000000000001</v>
      </c>
      <c r="E195" s="429">
        <v>0.69410000000000005</v>
      </c>
      <c r="G195" s="430">
        <v>50871</v>
      </c>
      <c r="H195" s="424">
        <v>0.36350000000000005</v>
      </c>
      <c r="I195" s="424">
        <v>0.39900000000000002</v>
      </c>
      <c r="J195" s="424">
        <v>0.45610000000000001</v>
      </c>
      <c r="K195" s="424">
        <v>0.69410000000000005</v>
      </c>
    </row>
    <row r="196" spans="1:11">
      <c r="A196" s="430">
        <v>50879</v>
      </c>
      <c r="B196" s="429">
        <v>0.26279999999999998</v>
      </c>
      <c r="C196" s="429">
        <v>0.29599999999999999</v>
      </c>
      <c r="D196" s="429">
        <v>0.3342</v>
      </c>
      <c r="E196" s="429">
        <v>0.55930000000000002</v>
      </c>
      <c r="G196" s="430">
        <v>50879</v>
      </c>
      <c r="H196" s="424">
        <v>0.26279999999999998</v>
      </c>
      <c r="I196" s="424">
        <v>0.29599999999999999</v>
      </c>
      <c r="J196" s="424">
        <v>0.3342</v>
      </c>
      <c r="K196" s="424">
        <v>0.55930000000000002</v>
      </c>
    </row>
    <row r="197" spans="1:11">
      <c r="A197" s="282" t="s">
        <v>141</v>
      </c>
      <c r="B197" s="429">
        <v>1.9626666666666666</v>
      </c>
      <c r="C197" s="429">
        <v>2.5369999999999999</v>
      </c>
      <c r="D197" s="429">
        <v>2.5966666666666667</v>
      </c>
      <c r="E197" s="429">
        <v>2.793333333333333</v>
      </c>
      <c r="G197" s="442" t="s">
        <v>407</v>
      </c>
      <c r="H197" s="457">
        <v>1.9626666666666666</v>
      </c>
      <c r="I197" s="457">
        <v>2.5369999999999999</v>
      </c>
      <c r="J197" s="457">
        <v>2.5966666666666667</v>
      </c>
      <c r="K197" s="457">
        <v>2.793333333333333</v>
      </c>
    </row>
    <row r="198" spans="1:11">
      <c r="A198" s="430">
        <v>50638</v>
      </c>
      <c r="B198" s="429">
        <v>0.60866666666666669</v>
      </c>
      <c r="C198" s="429">
        <v>0.83699999999999997</v>
      </c>
      <c r="D198" s="429">
        <v>0.8966666666666665</v>
      </c>
      <c r="E198" s="429">
        <v>1.093333333333333</v>
      </c>
      <c r="G198" s="430">
        <v>50638</v>
      </c>
      <c r="H198" s="424">
        <v>0.60866666666666669</v>
      </c>
      <c r="I198" s="424">
        <v>0.83699999999999997</v>
      </c>
      <c r="J198" s="424">
        <v>0.8966666666666665</v>
      </c>
      <c r="K198" s="424">
        <v>1.093333333333333</v>
      </c>
    </row>
    <row r="199" spans="1:11">
      <c r="A199" s="430">
        <v>50763</v>
      </c>
      <c r="B199" s="429">
        <v>1.3539999999999999</v>
      </c>
      <c r="C199" s="429">
        <v>1.7</v>
      </c>
      <c r="D199" s="429">
        <v>1.7</v>
      </c>
      <c r="E199" s="429">
        <v>1.7</v>
      </c>
      <c r="G199" s="430">
        <v>50763</v>
      </c>
      <c r="H199" s="424">
        <v>1.3539999999999999</v>
      </c>
      <c r="I199" s="424">
        <v>1.7</v>
      </c>
      <c r="J199" s="424">
        <v>1.7</v>
      </c>
      <c r="K199" s="424">
        <v>1.7</v>
      </c>
    </row>
    <row r="200" spans="1:11">
      <c r="A200" s="282" t="s">
        <v>75</v>
      </c>
      <c r="B200" s="429">
        <v>3.1949888888888882</v>
      </c>
      <c r="C200" s="429">
        <v>3.3090000000000002</v>
      </c>
      <c r="D200" s="429">
        <v>3.3538222222222225</v>
      </c>
      <c r="E200" s="429">
        <v>3.5467055555555556</v>
      </c>
      <c r="G200" s="442" t="s">
        <v>75</v>
      </c>
      <c r="H200" s="457">
        <v>3.1949888888888882</v>
      </c>
      <c r="I200" s="457">
        <v>3.3090000000000002</v>
      </c>
      <c r="J200" s="457">
        <v>3.3538222222222225</v>
      </c>
      <c r="K200" s="457">
        <v>3.5467055555555556</v>
      </c>
    </row>
    <row r="201" spans="1:11">
      <c r="A201" s="430">
        <v>50505</v>
      </c>
      <c r="B201" s="429">
        <v>1.3049999999999999</v>
      </c>
      <c r="C201" s="429">
        <v>1.3049999999999999</v>
      </c>
      <c r="D201" s="429">
        <v>1.3049999999999999</v>
      </c>
      <c r="E201" s="429">
        <v>1.42</v>
      </c>
      <c r="G201" s="430">
        <v>50505</v>
      </c>
      <c r="H201" s="424">
        <v>1.3049999999999999</v>
      </c>
      <c r="I201" s="424">
        <v>1.3049999999999999</v>
      </c>
      <c r="J201" s="424">
        <v>1.3049999999999999</v>
      </c>
      <c r="K201" s="424">
        <v>1.42</v>
      </c>
    </row>
    <row r="202" spans="1:11">
      <c r="A202" s="430">
        <v>50736</v>
      </c>
      <c r="B202" s="429">
        <v>1.42</v>
      </c>
      <c r="C202" s="429">
        <v>1.52</v>
      </c>
      <c r="D202" s="429">
        <v>1.5538000000000001</v>
      </c>
      <c r="E202" s="429">
        <v>1.4692499999999999</v>
      </c>
      <c r="G202" s="430">
        <v>50736</v>
      </c>
      <c r="H202" s="424">
        <v>1.42</v>
      </c>
      <c r="I202" s="424">
        <v>1.52</v>
      </c>
      <c r="J202" s="424">
        <v>1.5538000000000001</v>
      </c>
      <c r="K202" s="424">
        <f>1.56</f>
        <v>1.56</v>
      </c>
    </row>
    <row r="203" spans="1:11">
      <c r="A203" s="430">
        <v>50885</v>
      </c>
      <c r="B203" s="429">
        <v>0.20910000000000001</v>
      </c>
      <c r="C203" s="429">
        <v>0.217</v>
      </c>
      <c r="D203" s="429">
        <v>0.2238</v>
      </c>
      <c r="E203" s="429">
        <v>0.33189999999999997</v>
      </c>
      <c r="G203" s="430">
        <v>50885</v>
      </c>
      <c r="H203" s="424">
        <v>0.20910000000000001</v>
      </c>
      <c r="I203" s="424">
        <v>0.217</v>
      </c>
      <c r="J203" s="424">
        <v>0.2238</v>
      </c>
      <c r="K203" s="424">
        <v>0.33189999999999997</v>
      </c>
    </row>
    <row r="204" spans="1:11">
      <c r="A204" s="430">
        <v>50887</v>
      </c>
      <c r="B204" s="429">
        <v>0.26088888888888889</v>
      </c>
      <c r="C204" s="429">
        <v>0.26700000000000002</v>
      </c>
      <c r="D204" s="429">
        <v>0.27122222222222225</v>
      </c>
      <c r="E204" s="429">
        <v>0.3255555555555556</v>
      </c>
      <c r="G204" s="430">
        <v>50887</v>
      </c>
      <c r="H204" s="424">
        <v>0.26088888888888889</v>
      </c>
      <c r="I204" s="424">
        <v>0.26700000000000002</v>
      </c>
      <c r="J204" s="424">
        <v>0.27122222222222225</v>
      </c>
      <c r="K204" s="424">
        <v>0.3255555555555556</v>
      </c>
    </row>
    <row r="205" spans="1:11">
      <c r="A205" s="282" t="s">
        <v>135</v>
      </c>
      <c r="B205" s="429">
        <v>2.6685499999999998</v>
      </c>
      <c r="C205" s="429">
        <v>3.1339999999999999</v>
      </c>
      <c r="D205" s="429">
        <v>3.2252333333333332</v>
      </c>
      <c r="E205" s="429">
        <v>3.712041666666666</v>
      </c>
      <c r="G205" s="442" t="s">
        <v>135</v>
      </c>
      <c r="H205" s="457">
        <v>2.6685499999999998</v>
      </c>
      <c r="I205" s="457">
        <v>3.1339999999999999</v>
      </c>
      <c r="J205" s="457">
        <v>3.2252333333333332</v>
      </c>
      <c r="K205" s="457">
        <v>3.712041666666666</v>
      </c>
    </row>
    <row r="206" spans="1:11">
      <c r="A206" s="430">
        <v>50142</v>
      </c>
      <c r="B206" s="429">
        <v>1.02</v>
      </c>
      <c r="C206" s="429">
        <v>1.204</v>
      </c>
      <c r="D206" s="429">
        <v>1.2833333333333332</v>
      </c>
      <c r="E206" s="429">
        <v>1.65</v>
      </c>
      <c r="G206" s="430">
        <v>50142</v>
      </c>
      <c r="H206" s="424">
        <v>1.02</v>
      </c>
      <c r="I206" s="424">
        <v>1.204</v>
      </c>
      <c r="J206" s="424">
        <v>1.2833333333333332</v>
      </c>
      <c r="K206" s="424">
        <v>1.65</v>
      </c>
    </row>
    <row r="207" spans="1:11">
      <c r="A207" s="430" t="s">
        <v>400</v>
      </c>
      <c r="B207" s="429">
        <v>0.87829999999999997</v>
      </c>
      <c r="C207" s="429">
        <v>0.99399999999999999</v>
      </c>
      <c r="D207" s="429">
        <v>0.99490000000000001</v>
      </c>
      <c r="E207" s="429">
        <v>1.0266666666666664</v>
      </c>
      <c r="G207" s="430" t="s">
        <v>400</v>
      </c>
      <c r="H207" s="424">
        <v>0.87829999999999997</v>
      </c>
      <c r="I207" s="424">
        <v>0.99399999999999999</v>
      </c>
      <c r="J207" s="424">
        <v>0.99490000000000001</v>
      </c>
      <c r="K207" s="424">
        <v>1.0266666666666664</v>
      </c>
    </row>
    <row r="208" spans="1:11">
      <c r="A208" s="430" t="s">
        <v>399</v>
      </c>
      <c r="B208" s="429">
        <v>0.77024999999999999</v>
      </c>
      <c r="C208" s="429">
        <v>0.93600000000000005</v>
      </c>
      <c r="D208" s="429">
        <v>0.94699999999999995</v>
      </c>
      <c r="E208" s="429">
        <v>1.0353749999999999</v>
      </c>
      <c r="G208" s="430" t="s">
        <v>399</v>
      </c>
      <c r="H208" s="424">
        <v>0.77024999999999999</v>
      </c>
      <c r="I208" s="424">
        <v>0.93600000000000005</v>
      </c>
      <c r="J208" s="424">
        <v>0.94699999999999995</v>
      </c>
      <c r="K208" s="424">
        <v>1.0353749999999999</v>
      </c>
    </row>
    <row r="209" spans="1:11">
      <c r="A209" s="282" t="s">
        <v>223</v>
      </c>
      <c r="B209" s="429">
        <v>0.55200000000000005</v>
      </c>
      <c r="C209" s="429">
        <v>0.56899999999999995</v>
      </c>
      <c r="D209" s="429">
        <v>0.625</v>
      </c>
      <c r="E209" s="429">
        <v>0.73449999999999993</v>
      </c>
      <c r="G209" s="442" t="s">
        <v>223</v>
      </c>
      <c r="H209" s="457">
        <v>0.55200000000000005</v>
      </c>
      <c r="I209" s="457">
        <v>0.56899999999999995</v>
      </c>
      <c r="J209" s="457">
        <v>0.625</v>
      </c>
      <c r="K209" s="457">
        <v>0.73449999999999993</v>
      </c>
    </row>
    <row r="210" spans="1:11">
      <c r="A210" s="430">
        <v>50870</v>
      </c>
      <c r="B210" s="429">
        <v>0.55200000000000005</v>
      </c>
      <c r="C210" s="429">
        <v>0.56899999999999995</v>
      </c>
      <c r="D210" s="429">
        <v>0.625</v>
      </c>
      <c r="E210" s="429">
        <v>0.73449999999999993</v>
      </c>
      <c r="G210" s="430">
        <v>50870</v>
      </c>
      <c r="H210" s="424">
        <v>0.55200000000000005</v>
      </c>
      <c r="I210" s="424">
        <v>0.56899999999999995</v>
      </c>
      <c r="J210" s="424">
        <v>0.625</v>
      </c>
      <c r="K210" s="424">
        <v>0.73449999999999993</v>
      </c>
    </row>
    <row r="211" spans="1:11">
      <c r="A211" s="282" t="s">
        <v>125</v>
      </c>
      <c r="B211" s="429">
        <v>2.1330749999999998</v>
      </c>
      <c r="C211" s="429">
        <v>2.2560000000000002</v>
      </c>
      <c r="D211" s="429">
        <v>2.3378749999999999</v>
      </c>
      <c r="E211" s="429">
        <v>2.4289027777777781</v>
      </c>
      <c r="G211" s="442" t="s">
        <v>125</v>
      </c>
      <c r="H211" s="457">
        <v>2.1330749999999998</v>
      </c>
      <c r="I211" s="457">
        <v>2.2560000000000002</v>
      </c>
      <c r="J211" s="457">
        <v>2.3378749999999999</v>
      </c>
      <c r="K211" s="457">
        <v>2.4289027777777781</v>
      </c>
    </row>
    <row r="212" spans="1:11">
      <c r="A212" s="430">
        <v>50113</v>
      </c>
      <c r="B212" s="429">
        <v>1.1653749999999998</v>
      </c>
      <c r="C212" s="429">
        <v>1.252</v>
      </c>
      <c r="D212" s="429">
        <v>1.3243750000000001</v>
      </c>
      <c r="E212" s="429">
        <v>1.3431250000000001</v>
      </c>
      <c r="G212" s="430">
        <v>50113</v>
      </c>
      <c r="H212" s="424">
        <v>1.1653749999999998</v>
      </c>
      <c r="I212" s="424">
        <v>1.252</v>
      </c>
      <c r="J212" s="424">
        <v>1.3243750000000001</v>
      </c>
      <c r="K212" s="424">
        <v>1.3431250000000001</v>
      </c>
    </row>
    <row r="213" spans="1:11">
      <c r="A213" s="430">
        <v>50761</v>
      </c>
      <c r="B213" s="429">
        <v>0.9677</v>
      </c>
      <c r="C213" s="429">
        <v>1.004</v>
      </c>
      <c r="D213" s="429">
        <v>1.0134999999999998</v>
      </c>
      <c r="E213" s="429">
        <v>1.0857777777777777</v>
      </c>
      <c r="G213" s="430">
        <v>50761</v>
      </c>
      <c r="H213" s="424">
        <v>0.9677</v>
      </c>
      <c r="I213" s="424">
        <v>1.004</v>
      </c>
      <c r="J213" s="424">
        <v>1.0134999999999998</v>
      </c>
      <c r="K213" s="424">
        <v>1.0857777777777777</v>
      </c>
    </row>
    <row r="214" spans="1:11">
      <c r="A214" s="282" t="s">
        <v>234</v>
      </c>
      <c r="B214" s="429">
        <v>2.117</v>
      </c>
      <c r="C214" s="429">
        <v>2.1659999999999999</v>
      </c>
      <c r="D214" s="429">
        <v>2.31</v>
      </c>
      <c r="E214" s="429">
        <v>2.5337499999999999</v>
      </c>
      <c r="G214" s="442" t="s">
        <v>234</v>
      </c>
      <c r="H214" s="457">
        <v>2.117</v>
      </c>
      <c r="I214" s="457">
        <v>2.1659999999999999</v>
      </c>
      <c r="J214" s="457">
        <v>2.31</v>
      </c>
      <c r="K214" s="457">
        <v>2.5337499999999999</v>
      </c>
    </row>
    <row r="215" spans="1:11">
      <c r="A215" s="430">
        <v>50587</v>
      </c>
      <c r="B215" s="429">
        <v>1.1125</v>
      </c>
      <c r="C215" s="429">
        <v>1.117</v>
      </c>
      <c r="D215" s="429">
        <v>1.21</v>
      </c>
      <c r="E215" s="429">
        <v>1.25875</v>
      </c>
      <c r="G215" s="430">
        <v>50587</v>
      </c>
      <c r="H215" s="424">
        <v>1.1125</v>
      </c>
      <c r="I215" s="424">
        <v>1.117</v>
      </c>
      <c r="J215" s="424">
        <v>1.21</v>
      </c>
      <c r="K215" s="424">
        <v>1.25875</v>
      </c>
    </row>
    <row r="216" spans="1:11">
      <c r="A216" s="430">
        <v>50778</v>
      </c>
      <c r="B216" s="429">
        <v>1.0044999999999999</v>
      </c>
      <c r="C216" s="429">
        <v>1.0489999999999999</v>
      </c>
      <c r="D216" s="429">
        <v>1.1000000000000001</v>
      </c>
      <c r="E216" s="429">
        <v>1.2749999999999999</v>
      </c>
      <c r="G216" s="430">
        <v>50778</v>
      </c>
      <c r="H216" s="424">
        <v>1.0044999999999999</v>
      </c>
      <c r="I216" s="424">
        <v>1.0489999999999999</v>
      </c>
      <c r="J216" s="424">
        <v>1.1000000000000001</v>
      </c>
      <c r="K216" s="424">
        <v>1.2749999999999999</v>
      </c>
    </row>
    <row r="217" spans="1:11">
      <c r="A217" s="282" t="s">
        <v>50</v>
      </c>
      <c r="B217" s="429">
        <v>3.3465833333333332</v>
      </c>
      <c r="C217" s="429">
        <v>3.8809999999999998</v>
      </c>
      <c r="D217" s="429">
        <v>4.1259500000000005</v>
      </c>
      <c r="E217" s="429">
        <v>4.7326666666666668</v>
      </c>
      <c r="G217" s="442" t="s">
        <v>50</v>
      </c>
      <c r="H217" s="457">
        <v>3.3465833333333332</v>
      </c>
      <c r="I217" s="457">
        <v>3.8809999999999998</v>
      </c>
      <c r="J217" s="457">
        <v>4.1259500000000005</v>
      </c>
      <c r="K217" s="457">
        <v>4.7326666666666668</v>
      </c>
    </row>
    <row r="218" spans="1:11">
      <c r="A218" s="430">
        <v>50476</v>
      </c>
      <c r="B218" s="429">
        <v>0.69125000000000014</v>
      </c>
      <c r="C218" s="429">
        <v>0.97699999999999998</v>
      </c>
      <c r="D218" s="429">
        <v>1.0162500000000001</v>
      </c>
      <c r="E218" s="429">
        <v>1.046</v>
      </c>
      <c r="G218" s="430">
        <v>50476</v>
      </c>
      <c r="H218" s="424">
        <v>0.69125000000000014</v>
      </c>
      <c r="I218" s="424">
        <v>0.97699999999999998</v>
      </c>
      <c r="J218" s="424">
        <v>1.0162500000000001</v>
      </c>
      <c r="K218" s="424">
        <v>1.046</v>
      </c>
    </row>
    <row r="219" spans="1:11">
      <c r="A219" s="430">
        <v>50566</v>
      </c>
      <c r="B219" s="429">
        <v>1.1599999999999999</v>
      </c>
      <c r="C219" s="429">
        <v>1.1599999999999999</v>
      </c>
      <c r="D219" s="429">
        <v>1.1599999999999999</v>
      </c>
      <c r="E219" s="429">
        <v>1.37</v>
      </c>
      <c r="G219" s="430">
        <v>50566</v>
      </c>
      <c r="H219" s="424">
        <v>1.1599999999999999</v>
      </c>
      <c r="I219" s="424">
        <v>1.1599999999999999</v>
      </c>
      <c r="J219" s="424">
        <v>1.1599999999999999</v>
      </c>
      <c r="K219" s="424">
        <v>1.37</v>
      </c>
    </row>
    <row r="220" spans="1:11">
      <c r="A220" s="430">
        <v>50633</v>
      </c>
      <c r="B220" s="429">
        <v>0.45333333333333337</v>
      </c>
      <c r="C220" s="429">
        <v>0.56699999999999995</v>
      </c>
      <c r="D220" s="429">
        <v>0.6283333333333333</v>
      </c>
      <c r="E220" s="429">
        <v>0.72666666666666657</v>
      </c>
      <c r="G220" s="430">
        <v>50633</v>
      </c>
      <c r="H220" s="424">
        <v>0.45333333333333337</v>
      </c>
      <c r="I220" s="424">
        <v>0.56699999999999995</v>
      </c>
      <c r="J220" s="424">
        <v>0.6283333333333333</v>
      </c>
      <c r="K220" s="424">
        <v>0.72666666666666657</v>
      </c>
    </row>
    <row r="221" spans="1:11">
      <c r="A221" s="430">
        <v>50838</v>
      </c>
      <c r="B221" s="429">
        <v>0.60299999999999998</v>
      </c>
      <c r="C221" s="429">
        <v>0.66100000000000003</v>
      </c>
      <c r="D221" s="429">
        <v>0.67870000000000008</v>
      </c>
      <c r="E221" s="429">
        <v>0.79</v>
      </c>
      <c r="G221" s="430">
        <v>50838</v>
      </c>
      <c r="H221" s="424">
        <v>0.60299999999999998</v>
      </c>
      <c r="I221" s="424">
        <v>0.66100000000000003</v>
      </c>
      <c r="J221" s="424">
        <v>0.67870000000000008</v>
      </c>
      <c r="K221" s="424">
        <v>0.79</v>
      </c>
    </row>
    <row r="222" spans="1:11">
      <c r="A222" s="430">
        <v>50874</v>
      </c>
      <c r="B222" s="429">
        <v>0.43900000000000006</v>
      </c>
      <c r="C222" s="429">
        <v>0.51600000000000001</v>
      </c>
      <c r="D222" s="429">
        <v>0.64266666666666672</v>
      </c>
      <c r="E222" s="429">
        <v>0.79999999999999993</v>
      </c>
      <c r="G222" s="430">
        <v>50874</v>
      </c>
      <c r="H222" s="424">
        <v>0.43900000000000006</v>
      </c>
      <c r="I222" s="424">
        <v>0.51600000000000001</v>
      </c>
      <c r="J222" s="424">
        <v>0.64266666666666672</v>
      </c>
      <c r="K222" s="424">
        <v>0.79999999999999993</v>
      </c>
    </row>
    <row r="223" spans="1:11">
      <c r="A223" s="282" t="s">
        <v>194</v>
      </c>
      <c r="B223" s="429">
        <v>0.45999999999999996</v>
      </c>
      <c r="C223" s="429">
        <v>0.6</v>
      </c>
      <c r="D223" s="429">
        <v>0.6</v>
      </c>
      <c r="E223" s="429">
        <v>0.66999999999999993</v>
      </c>
      <c r="G223" s="442" t="s">
        <v>194</v>
      </c>
      <c r="H223" s="457">
        <v>0.45999999999999996</v>
      </c>
      <c r="I223" s="457">
        <v>0.6</v>
      </c>
      <c r="J223" s="457">
        <v>0.6</v>
      </c>
      <c r="K223" s="457">
        <v>0.66999999999999993</v>
      </c>
    </row>
    <row r="224" spans="1:11">
      <c r="A224" s="430">
        <v>50634</v>
      </c>
      <c r="B224" s="429">
        <v>0.45999999999999996</v>
      </c>
      <c r="C224" s="429">
        <v>0.6</v>
      </c>
      <c r="D224" s="429">
        <v>0.6</v>
      </c>
      <c r="E224" s="429">
        <v>0.66999999999999993</v>
      </c>
      <c r="G224" s="430">
        <v>50634</v>
      </c>
      <c r="H224" s="424">
        <v>0.45999999999999996</v>
      </c>
      <c r="I224" s="424">
        <v>0.6</v>
      </c>
      <c r="J224" s="424">
        <v>0.6</v>
      </c>
      <c r="K224" s="424">
        <v>0.66999999999999993</v>
      </c>
    </row>
    <row r="225" spans="1:11">
      <c r="A225" s="282" t="s">
        <v>45</v>
      </c>
      <c r="B225" s="429">
        <v>1.2383</v>
      </c>
      <c r="C225" s="429">
        <v>1.3089999999999999</v>
      </c>
      <c r="D225" s="429">
        <v>1.3706666666666667</v>
      </c>
      <c r="E225" s="429">
        <v>1.3867500000000001</v>
      </c>
      <c r="G225" s="442" t="s">
        <v>45</v>
      </c>
      <c r="H225" s="457">
        <v>1.2383</v>
      </c>
      <c r="I225" s="457">
        <v>1.3089999999999999</v>
      </c>
      <c r="J225" s="457">
        <v>1.3706666666666667</v>
      </c>
      <c r="K225" s="457">
        <v>1.3867500000000001</v>
      </c>
    </row>
    <row r="226" spans="1:11">
      <c r="A226" s="430">
        <v>50795</v>
      </c>
      <c r="B226" s="429">
        <v>1.2383</v>
      </c>
      <c r="C226" s="429">
        <v>1.3089999999999999</v>
      </c>
      <c r="D226" s="429">
        <v>1.3706666666666667</v>
      </c>
      <c r="E226" s="429">
        <v>1.3867500000000001</v>
      </c>
      <c r="G226" s="430">
        <v>50795</v>
      </c>
      <c r="H226" s="424">
        <v>1.2383</v>
      </c>
      <c r="I226" s="424">
        <v>1.3089999999999999</v>
      </c>
      <c r="J226" s="424">
        <v>1.3706666666666667</v>
      </c>
      <c r="K226" s="424">
        <v>1.3867500000000001</v>
      </c>
    </row>
    <row r="227" spans="1:11">
      <c r="A227" s="282" t="s">
        <v>176</v>
      </c>
      <c r="B227" s="429">
        <v>0.56774999999999998</v>
      </c>
      <c r="C227" s="429">
        <v>0.73</v>
      </c>
      <c r="D227" s="429">
        <v>0.76137500000000002</v>
      </c>
      <c r="E227" s="429">
        <v>0.83</v>
      </c>
      <c r="G227" s="442" t="s">
        <v>176</v>
      </c>
      <c r="H227" s="457">
        <v>0.56774999999999998</v>
      </c>
      <c r="I227" s="457">
        <v>0.73</v>
      </c>
      <c r="J227" s="457">
        <v>0.76137500000000002</v>
      </c>
      <c r="K227" s="457">
        <v>0.83</v>
      </c>
    </row>
    <row r="228" spans="1:11">
      <c r="A228" s="430">
        <v>50867</v>
      </c>
      <c r="B228" s="429">
        <v>0.56774999999999998</v>
      </c>
      <c r="C228" s="429">
        <v>0.73</v>
      </c>
      <c r="D228" s="429">
        <v>0.76137500000000002</v>
      </c>
      <c r="E228" s="429">
        <v>0.83</v>
      </c>
      <c r="G228" s="430">
        <v>50867</v>
      </c>
      <c r="H228" s="424">
        <v>0.56774999999999998</v>
      </c>
      <c r="I228" s="424">
        <v>0.73</v>
      </c>
      <c r="J228" s="424">
        <v>0.76137500000000002</v>
      </c>
      <c r="K228" s="424">
        <v>0.83</v>
      </c>
    </row>
    <row r="229" spans="1:11">
      <c r="A229" s="282" t="s">
        <v>182</v>
      </c>
      <c r="B229" s="429">
        <v>1.2250000000000001</v>
      </c>
      <c r="C229" s="429">
        <v>1.296</v>
      </c>
      <c r="D229" s="429">
        <v>1.3399999999999999</v>
      </c>
      <c r="E229" s="429">
        <v>1.3619999999999999</v>
      </c>
      <c r="G229" s="442" t="s">
        <v>182</v>
      </c>
      <c r="H229" s="457">
        <v>1.2250000000000001</v>
      </c>
      <c r="I229" s="457">
        <v>1.296</v>
      </c>
      <c r="J229" s="457">
        <v>1.3399999999999999</v>
      </c>
      <c r="K229" s="457">
        <v>1.3619999999999999</v>
      </c>
    </row>
    <row r="230" spans="1:11">
      <c r="A230" s="430">
        <v>50782</v>
      </c>
      <c r="B230" s="429">
        <v>1.2250000000000001</v>
      </c>
      <c r="C230" s="429">
        <v>1.296</v>
      </c>
      <c r="D230" s="429">
        <v>1.3399999999999999</v>
      </c>
      <c r="E230" s="429">
        <v>1.3619999999999999</v>
      </c>
      <c r="G230" s="430">
        <v>50782</v>
      </c>
      <c r="H230" s="424">
        <v>1.2250000000000001</v>
      </c>
      <c r="I230" s="424">
        <v>1.296</v>
      </c>
      <c r="J230" s="424">
        <v>1.3399999999999999</v>
      </c>
      <c r="K230" s="424">
        <v>1.3619999999999999</v>
      </c>
    </row>
    <row r="231" spans="1:11">
      <c r="A231" s="282" t="s">
        <v>157</v>
      </c>
      <c r="B231" s="429">
        <v>0.37</v>
      </c>
      <c r="C231" s="429">
        <v>0.44</v>
      </c>
      <c r="D231" s="429">
        <v>0.44</v>
      </c>
      <c r="E231" s="429">
        <v>1.1399999999999999</v>
      </c>
      <c r="G231" s="442" t="s">
        <v>157</v>
      </c>
      <c r="H231" s="457">
        <v>0.37</v>
      </c>
      <c r="I231" s="457">
        <v>0.44</v>
      </c>
      <c r="J231" s="457">
        <v>0.44</v>
      </c>
      <c r="K231" s="457">
        <v>1.1399999999999999</v>
      </c>
    </row>
    <row r="232" spans="1:11">
      <c r="A232" s="430">
        <v>50805</v>
      </c>
      <c r="B232" s="429">
        <v>0.37</v>
      </c>
      <c r="C232" s="429">
        <v>0.44</v>
      </c>
      <c r="D232" s="429">
        <v>0.44</v>
      </c>
      <c r="E232" s="429">
        <v>1.1399999999999999</v>
      </c>
      <c r="G232" s="430">
        <v>50805</v>
      </c>
      <c r="H232" s="424">
        <v>0.37</v>
      </c>
      <c r="I232" s="424">
        <v>0.44</v>
      </c>
      <c r="J232" s="424">
        <v>0.44</v>
      </c>
      <c r="K232" s="424">
        <v>1.1399999999999999</v>
      </c>
    </row>
    <row r="233" spans="1:11">
      <c r="A233" s="282" t="s">
        <v>30</v>
      </c>
      <c r="B233" s="429">
        <v>1.4239999999999999</v>
      </c>
      <c r="C233" s="429">
        <v>1.5029999999999999</v>
      </c>
      <c r="D233" s="429">
        <v>1.5299</v>
      </c>
      <c r="E233" s="429">
        <v>1.4773749999999999</v>
      </c>
      <c r="G233" s="442" t="s">
        <v>30</v>
      </c>
      <c r="H233" s="457">
        <v>1.4239999999999999</v>
      </c>
      <c r="I233" s="457">
        <v>1.5029999999999999</v>
      </c>
      <c r="J233" s="457">
        <v>1.5299</v>
      </c>
      <c r="K233" s="457">
        <v>1.4773749999999999</v>
      </c>
    </row>
    <row r="234" spans="1:11">
      <c r="A234" s="430">
        <v>50759</v>
      </c>
      <c r="B234" s="429">
        <v>1.4239999999999999</v>
      </c>
      <c r="C234" s="429">
        <v>1.5029999999999999</v>
      </c>
      <c r="D234" s="429">
        <v>1.5299</v>
      </c>
      <c r="E234" s="429">
        <v>1.4773749999999999</v>
      </c>
      <c r="G234" s="430">
        <v>50759</v>
      </c>
      <c r="H234" s="424">
        <v>1.4239999999999999</v>
      </c>
      <c r="I234" s="424">
        <v>1.5029999999999999</v>
      </c>
      <c r="J234" s="424">
        <v>1.5299</v>
      </c>
      <c r="K234" s="424">
        <v>1.5373749999999999</v>
      </c>
    </row>
    <row r="235" spans="1:11">
      <c r="A235" s="282" t="s">
        <v>63</v>
      </c>
      <c r="B235" s="429">
        <v>1.5025000000000002</v>
      </c>
      <c r="C235" s="429">
        <v>1.573</v>
      </c>
      <c r="D235" s="429">
        <v>1.605</v>
      </c>
      <c r="E235" s="429">
        <v>1.895</v>
      </c>
      <c r="G235" s="442" t="s">
        <v>63</v>
      </c>
      <c r="H235" s="457">
        <v>1.5025000000000002</v>
      </c>
      <c r="I235" s="457">
        <v>1.573</v>
      </c>
      <c r="J235" s="457">
        <v>1.605</v>
      </c>
      <c r="K235" s="457">
        <v>1.895</v>
      </c>
    </row>
    <row r="236" spans="1:11">
      <c r="A236" s="430">
        <v>50188</v>
      </c>
      <c r="B236" s="429">
        <v>0.68500000000000005</v>
      </c>
      <c r="C236" s="429">
        <v>0.68500000000000005</v>
      </c>
      <c r="D236" s="429">
        <v>0.68500000000000005</v>
      </c>
      <c r="E236" s="429">
        <v>0.68500000000000005</v>
      </c>
      <c r="G236" s="430">
        <v>50188</v>
      </c>
      <c r="H236" s="424">
        <v>0.68500000000000005</v>
      </c>
      <c r="I236" s="424">
        <v>0.68500000000000005</v>
      </c>
      <c r="J236" s="424">
        <v>0.68500000000000005</v>
      </c>
      <c r="K236" s="424">
        <v>0.68500000000000005</v>
      </c>
    </row>
    <row r="237" spans="1:11">
      <c r="A237" s="430">
        <v>50752</v>
      </c>
      <c r="B237" s="429">
        <v>0.81750000000000012</v>
      </c>
      <c r="C237" s="429">
        <v>0.88800000000000001</v>
      </c>
      <c r="D237" s="429">
        <v>0.91999999999999993</v>
      </c>
      <c r="E237" s="429">
        <v>1.21</v>
      </c>
      <c r="G237" s="430">
        <v>50752</v>
      </c>
      <c r="H237" s="424">
        <v>0.81750000000000012</v>
      </c>
      <c r="I237" s="424">
        <v>0.88800000000000001</v>
      </c>
      <c r="J237" s="424">
        <v>0.91999999999999993</v>
      </c>
      <c r="K237" s="424">
        <v>1.21</v>
      </c>
    </row>
    <row r="238" spans="1:11">
      <c r="A238" s="282" t="s">
        <v>170</v>
      </c>
      <c r="B238" s="429">
        <v>2.2162083333333333</v>
      </c>
      <c r="C238" s="429">
        <v>2.7285000000000004</v>
      </c>
      <c r="D238" s="429">
        <v>2.9551666666666669</v>
      </c>
      <c r="E238" s="429">
        <v>3.2529166666666662</v>
      </c>
      <c r="G238" s="442" t="s">
        <v>170</v>
      </c>
      <c r="H238" s="457">
        <v>2.2162083333333333</v>
      </c>
      <c r="I238" s="457">
        <v>2.7285000000000004</v>
      </c>
      <c r="J238" s="457">
        <v>2.9551666666666669</v>
      </c>
      <c r="K238" s="457">
        <v>3.2529166666666662</v>
      </c>
    </row>
    <row r="239" spans="1:11">
      <c r="A239" s="430">
        <v>50571</v>
      </c>
      <c r="B239" s="429">
        <v>0.87487500000000007</v>
      </c>
      <c r="C239" s="429">
        <v>1.036</v>
      </c>
      <c r="D239" s="429">
        <v>1.036</v>
      </c>
      <c r="E239" s="429">
        <v>1.0483333333333333</v>
      </c>
      <c r="G239" s="430">
        <v>50571</v>
      </c>
      <c r="H239" s="424">
        <v>0.87487500000000007</v>
      </c>
      <c r="I239" s="424">
        <v>1.036</v>
      </c>
      <c r="J239" s="424">
        <v>1.036</v>
      </c>
      <c r="K239" s="424">
        <v>1.0483333333333333</v>
      </c>
    </row>
    <row r="240" spans="1:11">
      <c r="A240" s="430">
        <v>50596</v>
      </c>
      <c r="B240" s="429">
        <v>1.1043333333333332</v>
      </c>
      <c r="C240" s="429">
        <v>1.409</v>
      </c>
      <c r="D240" s="429">
        <v>1.4916666666666665</v>
      </c>
      <c r="E240" s="429">
        <v>1.5683333333333331</v>
      </c>
      <c r="G240" s="430">
        <v>50596</v>
      </c>
      <c r="H240" s="424">
        <v>1.1043333333333332</v>
      </c>
      <c r="I240" s="424">
        <v>1.409</v>
      </c>
      <c r="J240" s="424">
        <v>1.4916666666666665</v>
      </c>
      <c r="K240" s="424">
        <v>1.5683333333333331</v>
      </c>
    </row>
    <row r="241" spans="1:11">
      <c r="A241" s="430">
        <v>50883</v>
      </c>
      <c r="B241" s="429">
        <v>0.23700000000000002</v>
      </c>
      <c r="C241" s="429">
        <v>0.28349999999999997</v>
      </c>
      <c r="D241" s="429">
        <v>0.42749999999999999</v>
      </c>
      <c r="E241" s="429">
        <v>0.63624999999999998</v>
      </c>
      <c r="G241" s="430">
        <v>50883</v>
      </c>
      <c r="H241" s="424">
        <v>0.23700000000000002</v>
      </c>
      <c r="I241" s="424">
        <v>0.28349999999999997</v>
      </c>
      <c r="J241" s="424">
        <v>0.42749999999999999</v>
      </c>
      <c r="K241" s="424">
        <v>0.63624999999999998</v>
      </c>
    </row>
    <row r="242" spans="1:11">
      <c r="A242" s="282" t="s">
        <v>215</v>
      </c>
      <c r="B242" s="429">
        <v>1.7649999999999999</v>
      </c>
      <c r="C242" s="429">
        <v>1.85</v>
      </c>
      <c r="D242" s="429">
        <v>1.85</v>
      </c>
      <c r="E242" s="429">
        <v>1.8925000000000001</v>
      </c>
      <c r="G242" s="442" t="s">
        <v>215</v>
      </c>
      <c r="H242" s="457">
        <v>1.7649999999999999</v>
      </c>
      <c r="I242" s="457">
        <v>1.85</v>
      </c>
      <c r="J242" s="457">
        <v>1.85</v>
      </c>
      <c r="K242" s="457">
        <v>1.8925000000000001</v>
      </c>
    </row>
    <row r="243" spans="1:11">
      <c r="A243" s="430">
        <v>50580</v>
      </c>
      <c r="B243" s="429">
        <v>1.7649999999999999</v>
      </c>
      <c r="C243" s="429">
        <v>1.85</v>
      </c>
      <c r="D243" s="429">
        <v>1.85</v>
      </c>
      <c r="E243" s="429">
        <v>1.8925000000000001</v>
      </c>
      <c r="G243" s="430">
        <v>50580</v>
      </c>
      <c r="H243" s="424">
        <v>1.7649999999999999</v>
      </c>
      <c r="I243" s="424">
        <v>1.85</v>
      </c>
      <c r="J243" s="424">
        <v>1.85</v>
      </c>
      <c r="K243" s="424">
        <v>1.8925000000000001</v>
      </c>
    </row>
    <row r="244" spans="1:11">
      <c r="A244" s="282" t="s">
        <v>123</v>
      </c>
      <c r="B244" s="429">
        <v>4.5604500000000003</v>
      </c>
      <c r="C244" s="429">
        <v>4.8409999999999993</v>
      </c>
      <c r="D244" s="429">
        <v>5.1397666666666666</v>
      </c>
      <c r="E244" s="429">
        <v>5.7993499999999996</v>
      </c>
      <c r="G244" s="442" t="s">
        <v>123</v>
      </c>
      <c r="H244" s="457">
        <v>4.5604500000000003</v>
      </c>
      <c r="I244" s="457">
        <v>4.8409999999999993</v>
      </c>
      <c r="J244" s="457">
        <v>5.1397666666666666</v>
      </c>
      <c r="K244" s="457">
        <v>5.7993499999999996</v>
      </c>
    </row>
    <row r="245" spans="1:11">
      <c r="A245" s="430">
        <v>50545</v>
      </c>
      <c r="B245" s="429">
        <v>0.95760000000000001</v>
      </c>
      <c r="C245" s="429">
        <v>1.0740000000000001</v>
      </c>
      <c r="D245" s="429">
        <v>1.1138000000000001</v>
      </c>
      <c r="E245" s="429">
        <v>1.1138000000000001</v>
      </c>
      <c r="G245" s="430">
        <v>50545</v>
      </c>
      <c r="H245" s="424">
        <v>0.95760000000000001</v>
      </c>
      <c r="I245" s="424">
        <v>1.0740000000000001</v>
      </c>
      <c r="J245" s="424">
        <v>1.1138000000000001</v>
      </c>
      <c r="K245" s="424">
        <v>1.1138000000000001</v>
      </c>
    </row>
    <row r="246" spans="1:11">
      <c r="A246" s="430">
        <v>50725</v>
      </c>
      <c r="B246" s="429">
        <v>1.1123333333333334</v>
      </c>
      <c r="C246" s="429">
        <v>1.1419999999999999</v>
      </c>
      <c r="D246" s="429">
        <v>1.1816666666666666</v>
      </c>
      <c r="E246" s="429">
        <v>1.4343333333333332</v>
      </c>
      <c r="G246" s="430">
        <v>50725</v>
      </c>
      <c r="H246" s="424">
        <v>1.1123333333333334</v>
      </c>
      <c r="I246" s="424">
        <v>1.1419999999999999</v>
      </c>
      <c r="J246" s="424">
        <v>1.1816666666666666</v>
      </c>
      <c r="K246" s="424">
        <v>1.4343333333333332</v>
      </c>
    </row>
    <row r="247" spans="1:11">
      <c r="A247" s="430">
        <v>50732</v>
      </c>
      <c r="B247" s="429">
        <v>1.3501000000000001</v>
      </c>
      <c r="C247" s="429">
        <v>1.393</v>
      </c>
      <c r="D247" s="429">
        <v>1.4593</v>
      </c>
      <c r="E247" s="429">
        <v>1.5183</v>
      </c>
      <c r="G247" s="430">
        <v>50732</v>
      </c>
      <c r="H247" s="424">
        <v>1.3501000000000001</v>
      </c>
      <c r="I247" s="424">
        <v>1.393</v>
      </c>
      <c r="J247" s="424">
        <v>1.4593</v>
      </c>
      <c r="K247" s="424">
        <v>1.5183</v>
      </c>
    </row>
    <row r="248" spans="1:11">
      <c r="A248" s="430">
        <v>50833</v>
      </c>
      <c r="B248" s="429">
        <v>0.83274999999999988</v>
      </c>
      <c r="C248" s="429">
        <v>0.89</v>
      </c>
      <c r="D248" s="429">
        <v>1</v>
      </c>
      <c r="E248" s="429">
        <v>1.1612499999999999</v>
      </c>
      <c r="G248" s="430">
        <v>50833</v>
      </c>
      <c r="H248" s="424">
        <v>0.83274999999999988</v>
      </c>
      <c r="I248" s="424">
        <v>0.89</v>
      </c>
      <c r="J248" s="424">
        <v>1</v>
      </c>
      <c r="K248" s="424">
        <v>1.1612499999999999</v>
      </c>
    </row>
    <row r="249" spans="1:11">
      <c r="A249" s="430">
        <v>50888</v>
      </c>
      <c r="B249" s="429">
        <v>0.3076666666666667</v>
      </c>
      <c r="C249" s="429">
        <v>0.34200000000000003</v>
      </c>
      <c r="D249" s="429">
        <v>0.38500000000000001</v>
      </c>
      <c r="E249" s="429">
        <v>0.57166666666666666</v>
      </c>
      <c r="G249" s="430">
        <v>50888</v>
      </c>
      <c r="H249" s="424">
        <v>0.3076666666666667</v>
      </c>
      <c r="I249" s="424">
        <v>0.34200000000000003</v>
      </c>
      <c r="J249" s="424">
        <v>0.38500000000000001</v>
      </c>
      <c r="K249" s="424">
        <v>0.57166666666666666</v>
      </c>
    </row>
    <row r="250" spans="1:11">
      <c r="A250" s="282" t="s">
        <v>219</v>
      </c>
      <c r="B250" s="429">
        <v>6.0773737308213143</v>
      </c>
      <c r="C250" s="429">
        <v>6.1720000000000006</v>
      </c>
      <c r="D250" s="429">
        <v>6.3129166666666672</v>
      </c>
      <c r="E250" s="429">
        <v>6.871666666666667</v>
      </c>
      <c r="G250" s="442" t="s">
        <v>219</v>
      </c>
      <c r="H250" s="457">
        <v>6.0773737308213143</v>
      </c>
      <c r="I250" s="457">
        <v>6.1720000000000006</v>
      </c>
      <c r="J250" s="457">
        <v>6.3129166666666672</v>
      </c>
      <c r="K250" s="457">
        <v>6.871666666666667</v>
      </c>
    </row>
    <row r="251" spans="1:11">
      <c r="A251" s="430">
        <v>50389</v>
      </c>
      <c r="B251" s="429">
        <v>1.6552114081557117</v>
      </c>
      <c r="C251" s="429">
        <v>1.655</v>
      </c>
      <c r="D251" s="429">
        <v>1.655</v>
      </c>
      <c r="E251" s="429">
        <v>1.655</v>
      </c>
      <c r="G251" s="430">
        <v>50389</v>
      </c>
      <c r="H251" s="424">
        <v>1.6552114081557117</v>
      </c>
      <c r="I251" s="424">
        <v>1.655</v>
      </c>
      <c r="J251" s="424">
        <v>1.655</v>
      </c>
      <c r="K251" s="424">
        <v>1.655</v>
      </c>
    </row>
    <row r="252" spans="1:11">
      <c r="A252" s="430">
        <v>50547</v>
      </c>
      <c r="B252" s="429">
        <v>1.2414085561167836</v>
      </c>
      <c r="C252" s="429">
        <v>1.2869999999999999</v>
      </c>
      <c r="D252" s="429">
        <v>1.3466666666666667</v>
      </c>
      <c r="E252" s="429">
        <v>1.5166666666666666</v>
      </c>
      <c r="G252" s="430">
        <v>50547</v>
      </c>
      <c r="H252" s="424">
        <v>1.2414085561167836</v>
      </c>
      <c r="I252" s="424">
        <v>1.2869999999999999</v>
      </c>
      <c r="J252" s="424">
        <v>1.3466666666666667</v>
      </c>
      <c r="K252" s="424">
        <v>1.5166666666666666</v>
      </c>
    </row>
    <row r="253" spans="1:11">
      <c r="A253" s="430">
        <v>50676</v>
      </c>
      <c r="B253" s="429">
        <v>2.8902537665488195</v>
      </c>
      <c r="C253" s="429">
        <v>2.89</v>
      </c>
      <c r="D253" s="429">
        <v>2.89</v>
      </c>
      <c r="E253" s="429">
        <v>3.13</v>
      </c>
      <c r="G253" s="430">
        <v>50676</v>
      </c>
      <c r="H253" s="424">
        <v>2.8902537665488195</v>
      </c>
      <c r="I253" s="424">
        <v>2.89</v>
      </c>
      <c r="J253" s="424">
        <v>2.89</v>
      </c>
      <c r="K253" s="424">
        <v>3.13</v>
      </c>
    </row>
    <row r="254" spans="1:11">
      <c r="A254" s="430">
        <v>50884</v>
      </c>
      <c r="B254" s="429">
        <v>0.29050000000000004</v>
      </c>
      <c r="C254" s="429">
        <v>0.34</v>
      </c>
      <c r="D254" s="429">
        <v>0.42125000000000001</v>
      </c>
      <c r="E254" s="429">
        <v>0.56999999999999995</v>
      </c>
      <c r="G254" s="430">
        <v>50884</v>
      </c>
      <c r="H254" s="424">
        <v>0.29050000000000004</v>
      </c>
      <c r="I254" s="424">
        <v>0.34</v>
      </c>
      <c r="J254" s="424">
        <v>0.42125000000000001</v>
      </c>
      <c r="K254" s="424">
        <v>0.56999999999999995</v>
      </c>
    </row>
    <row r="255" spans="1:11">
      <c r="A255" s="282" t="s">
        <v>227</v>
      </c>
      <c r="B255" s="429">
        <v>0.51300000000000001</v>
      </c>
      <c r="C255" s="429">
        <v>0.57999999999999996</v>
      </c>
      <c r="D255" s="429">
        <v>0.66</v>
      </c>
      <c r="E255" s="429">
        <v>0.94</v>
      </c>
      <c r="G255" s="442" t="s">
        <v>408</v>
      </c>
      <c r="H255" s="457">
        <v>0.51300000000000001</v>
      </c>
      <c r="I255" s="457">
        <v>0.57999999999999996</v>
      </c>
      <c r="J255" s="457">
        <v>0.66</v>
      </c>
      <c r="K255" s="457">
        <v>0.94</v>
      </c>
    </row>
    <row r="256" spans="1:11">
      <c r="A256" s="430">
        <v>50662</v>
      </c>
      <c r="B256" s="429">
        <v>0.51300000000000001</v>
      </c>
      <c r="C256" s="429">
        <v>0.57999999999999996</v>
      </c>
      <c r="D256" s="429">
        <v>0.66</v>
      </c>
      <c r="E256" s="429">
        <v>0.94</v>
      </c>
      <c r="G256" s="430">
        <v>50662</v>
      </c>
      <c r="H256" s="424">
        <v>0.51300000000000001</v>
      </c>
      <c r="I256" s="424">
        <v>0.57999999999999996</v>
      </c>
      <c r="J256" s="424">
        <v>0.66</v>
      </c>
      <c r="K256" s="424">
        <v>0.94</v>
      </c>
    </row>
    <row r="257" spans="1:11">
      <c r="A257" s="282" t="s">
        <v>121</v>
      </c>
      <c r="B257" s="429">
        <v>4.4487083333333333</v>
      </c>
      <c r="C257" s="429">
        <v>4.4809999999999999</v>
      </c>
      <c r="D257" s="429">
        <v>4.5968333333333327</v>
      </c>
      <c r="E257" s="429">
        <v>6.4497999999999998</v>
      </c>
      <c r="G257" s="442" t="s">
        <v>121</v>
      </c>
      <c r="H257" s="457">
        <v>4.4487083333333333</v>
      </c>
      <c r="I257" s="457">
        <v>4.4809999999999999</v>
      </c>
      <c r="J257" s="457">
        <v>4.5968333333333327</v>
      </c>
      <c r="K257" s="457">
        <v>6.4497999999999998</v>
      </c>
    </row>
    <row r="258" spans="1:11">
      <c r="A258" s="430">
        <v>50681</v>
      </c>
      <c r="B258" s="429">
        <v>1.2729999999999999</v>
      </c>
      <c r="C258" s="429">
        <v>1.2729999999999999</v>
      </c>
      <c r="D258" s="429">
        <v>1.2729999999999999</v>
      </c>
      <c r="E258" s="429">
        <v>2.81</v>
      </c>
      <c r="G258" s="430">
        <v>50681</v>
      </c>
      <c r="H258" s="424">
        <v>1.2729999999999999</v>
      </c>
      <c r="I258" s="424">
        <v>1.2729999999999999</v>
      </c>
      <c r="J258" s="424">
        <v>1.2729999999999999</v>
      </c>
      <c r="K258" s="424">
        <v>2.81</v>
      </c>
    </row>
    <row r="259" spans="1:11">
      <c r="A259" s="430">
        <v>50718</v>
      </c>
      <c r="B259" s="429">
        <v>1.4248749999999999</v>
      </c>
      <c r="C259" s="429">
        <v>1.4570000000000001</v>
      </c>
      <c r="D259" s="429">
        <v>1.5579999999999998</v>
      </c>
      <c r="E259" s="429">
        <v>1.6377999999999999</v>
      </c>
      <c r="G259" s="430">
        <v>50718</v>
      </c>
      <c r="H259" s="424">
        <v>1.4248749999999999</v>
      </c>
      <c r="I259" s="424">
        <v>1.4570000000000001</v>
      </c>
      <c r="J259" s="424">
        <v>1.5579999999999998</v>
      </c>
      <c r="K259" s="424">
        <v>1.6377999999999999</v>
      </c>
    </row>
    <row r="260" spans="1:11">
      <c r="A260" s="430">
        <v>50745</v>
      </c>
      <c r="B260" s="429">
        <v>1.7508333333333335</v>
      </c>
      <c r="C260" s="429">
        <v>1.7509999999999999</v>
      </c>
      <c r="D260" s="429">
        <v>1.7658333333333334</v>
      </c>
      <c r="E260" s="429">
        <v>2.0019999999999998</v>
      </c>
      <c r="G260" s="430">
        <v>50745</v>
      </c>
      <c r="H260" s="424">
        <v>1.7508333333333335</v>
      </c>
      <c r="I260" s="424">
        <v>1.7509999999999999</v>
      </c>
      <c r="J260" s="424">
        <v>1.7658333333333334</v>
      </c>
      <c r="K260" s="424">
        <v>2.0019999999999998</v>
      </c>
    </row>
    <row r="261" spans="1:11">
      <c r="A261" s="282" t="s">
        <v>168</v>
      </c>
      <c r="B261" s="429">
        <v>2.2347564650638163</v>
      </c>
      <c r="C261" s="429">
        <v>2.44</v>
      </c>
      <c r="D261" s="429">
        <v>2.84</v>
      </c>
      <c r="E261" s="429">
        <v>2.9729999999999999</v>
      </c>
      <c r="G261" s="442" t="s">
        <v>168</v>
      </c>
      <c r="H261" s="457">
        <v>2.2347564650638163</v>
      </c>
      <c r="I261" s="457">
        <v>2.44</v>
      </c>
      <c r="J261" s="457">
        <v>2.84</v>
      </c>
      <c r="K261" s="457">
        <v>2.9729999999999999</v>
      </c>
    </row>
    <row r="262" spans="1:11">
      <c r="A262" s="430">
        <v>50744</v>
      </c>
      <c r="B262" s="429">
        <v>1.4960564650638162</v>
      </c>
      <c r="C262" s="429">
        <v>1.52</v>
      </c>
      <c r="D262" s="429">
        <v>1.78</v>
      </c>
      <c r="E262" s="429">
        <v>1.78</v>
      </c>
      <c r="G262" s="430">
        <v>50744</v>
      </c>
      <c r="H262" s="424">
        <v>1.4960564650638162</v>
      </c>
      <c r="I262" s="424">
        <v>1.52</v>
      </c>
      <c r="J262" s="424">
        <v>1.78</v>
      </c>
      <c r="K262" s="424">
        <v>1.78</v>
      </c>
    </row>
    <row r="263" spans="1:11">
      <c r="A263" s="430">
        <v>50865</v>
      </c>
      <c r="B263" s="429">
        <v>0.73870000000000002</v>
      </c>
      <c r="C263" s="429">
        <v>0.92</v>
      </c>
      <c r="D263" s="429">
        <v>1.06</v>
      </c>
      <c r="E263" s="429">
        <v>1.1930000000000001</v>
      </c>
      <c r="G263" s="430">
        <v>50865</v>
      </c>
      <c r="H263" s="424">
        <v>0.73870000000000002</v>
      </c>
      <c r="I263" s="424">
        <v>0.92</v>
      </c>
      <c r="J263" s="424">
        <v>1.06</v>
      </c>
      <c r="K263" s="424">
        <v>1.1930000000000001</v>
      </c>
    </row>
    <row r="264" spans="1:11">
      <c r="A264" s="282" t="s">
        <v>90</v>
      </c>
      <c r="B264" s="429">
        <v>2.4469166666666671</v>
      </c>
      <c r="C264" s="429">
        <v>2.577</v>
      </c>
      <c r="D264" s="429">
        <v>2.8914583333333335</v>
      </c>
      <c r="E264" s="429">
        <v>3.4749999999999996</v>
      </c>
      <c r="G264" s="442" t="s">
        <v>90</v>
      </c>
      <c r="H264" s="457">
        <v>2.4469166666666671</v>
      </c>
      <c r="I264" s="457">
        <v>2.577</v>
      </c>
      <c r="J264" s="457">
        <v>2.8914583333333335</v>
      </c>
      <c r="K264" s="457">
        <v>3.4749999999999996</v>
      </c>
    </row>
    <row r="265" spans="1:11">
      <c r="A265" s="430">
        <v>50846</v>
      </c>
      <c r="B265" s="429">
        <v>1.525166666666667</v>
      </c>
      <c r="C265" s="429">
        <v>1.601</v>
      </c>
      <c r="D265" s="429">
        <v>1.7288333333333334</v>
      </c>
      <c r="E265" s="429">
        <v>1.9949999999999999</v>
      </c>
      <c r="G265" s="430">
        <v>50846</v>
      </c>
      <c r="H265" s="424">
        <v>1.525166666666667</v>
      </c>
      <c r="I265" s="424">
        <v>1.601</v>
      </c>
      <c r="J265" s="424">
        <v>1.7288333333333334</v>
      </c>
      <c r="K265" s="424">
        <v>1.9949999999999999</v>
      </c>
    </row>
    <row r="266" spans="1:11">
      <c r="A266" s="430">
        <v>50854</v>
      </c>
      <c r="B266" s="429">
        <v>0.92174999999999996</v>
      </c>
      <c r="C266" s="429">
        <v>0.97599999999999998</v>
      </c>
      <c r="D266" s="429">
        <v>1.162625</v>
      </c>
      <c r="E266" s="429">
        <v>1.48</v>
      </c>
      <c r="G266" s="430">
        <v>50854</v>
      </c>
      <c r="H266" s="424">
        <v>0.92174999999999996</v>
      </c>
      <c r="I266" s="424">
        <v>0.97599999999999998</v>
      </c>
      <c r="J266" s="424">
        <v>1.162625</v>
      </c>
      <c r="K266" s="424">
        <v>1.48</v>
      </c>
    </row>
    <row r="267" spans="1:11">
      <c r="A267" s="282" t="s">
        <v>238</v>
      </c>
      <c r="B267" s="429">
        <v>3.9562500000000003</v>
      </c>
      <c r="C267" s="429">
        <v>4.9770000000000003</v>
      </c>
      <c r="D267" s="429">
        <v>5.3313333333333333</v>
      </c>
      <c r="E267" s="429">
        <v>5.6954999999999991</v>
      </c>
      <c r="G267" s="442" t="s">
        <v>238</v>
      </c>
      <c r="H267" s="457">
        <v>3.9562500000000003</v>
      </c>
      <c r="I267" s="457">
        <v>4.9770000000000003</v>
      </c>
      <c r="J267" s="457">
        <v>5.3313333333333333</v>
      </c>
      <c r="K267" s="457">
        <v>5.6954999999999991</v>
      </c>
    </row>
    <row r="268" spans="1:11">
      <c r="A268" s="430">
        <v>50644</v>
      </c>
      <c r="B268" s="429">
        <v>1.538</v>
      </c>
      <c r="C268" s="429">
        <v>1.538</v>
      </c>
      <c r="D268" s="429">
        <v>1.77</v>
      </c>
      <c r="E268" s="429">
        <v>1.8860000000000001</v>
      </c>
      <c r="G268" s="430">
        <v>50644</v>
      </c>
      <c r="H268" s="424">
        <v>1.538</v>
      </c>
      <c r="I268" s="424">
        <v>1.538</v>
      </c>
      <c r="J268" s="424">
        <v>1.77</v>
      </c>
      <c r="K268" s="424">
        <v>1.8860000000000001</v>
      </c>
    </row>
    <row r="269" spans="1:11">
      <c r="A269" s="430">
        <v>50737</v>
      </c>
      <c r="B269" s="429">
        <v>0.77300000000000002</v>
      </c>
      <c r="C269" s="429">
        <v>1.71</v>
      </c>
      <c r="D269" s="429">
        <v>1.71</v>
      </c>
      <c r="E269" s="429">
        <v>1.71</v>
      </c>
      <c r="G269" s="430">
        <v>50737</v>
      </c>
      <c r="H269" s="424">
        <v>0.77300000000000002</v>
      </c>
      <c r="I269" s="424">
        <v>1.71</v>
      </c>
      <c r="J269" s="424">
        <v>1.71</v>
      </c>
      <c r="K269" s="424">
        <v>1.71</v>
      </c>
    </row>
    <row r="270" spans="1:11">
      <c r="A270" s="430">
        <v>50738</v>
      </c>
      <c r="B270" s="429">
        <v>0.63100000000000001</v>
      </c>
      <c r="C270" s="429">
        <v>0.64500000000000002</v>
      </c>
      <c r="D270" s="429">
        <v>0.65</v>
      </c>
      <c r="E270" s="429">
        <v>0.65949999999999998</v>
      </c>
      <c r="G270" s="430">
        <v>50738</v>
      </c>
      <c r="H270" s="424">
        <v>0.63100000000000001</v>
      </c>
      <c r="I270" s="424">
        <v>0.64500000000000002</v>
      </c>
      <c r="J270" s="424">
        <v>0.65</v>
      </c>
      <c r="K270" s="424">
        <v>0.65949999999999998</v>
      </c>
    </row>
    <row r="271" spans="1:11">
      <c r="A271" s="430">
        <v>50751</v>
      </c>
      <c r="B271" s="429">
        <v>1.0142500000000001</v>
      </c>
      <c r="C271" s="429">
        <v>1.0840000000000001</v>
      </c>
      <c r="D271" s="429">
        <v>1.2013333333333334</v>
      </c>
      <c r="E271" s="429">
        <v>1.44</v>
      </c>
      <c r="G271" s="430">
        <v>50751</v>
      </c>
      <c r="H271" s="424">
        <v>1.0142500000000001</v>
      </c>
      <c r="I271" s="424">
        <v>1.0840000000000001</v>
      </c>
      <c r="J271" s="424">
        <v>1.2013333333333334</v>
      </c>
      <c r="K271" s="424">
        <v>1.44</v>
      </c>
    </row>
    <row r="272" spans="1:11">
      <c r="A272" s="282" t="s">
        <v>40</v>
      </c>
      <c r="B272" s="429">
        <v>1.8993333333333335</v>
      </c>
      <c r="C272" s="429">
        <v>1.964</v>
      </c>
      <c r="D272" s="429">
        <v>1.9643333333333335</v>
      </c>
      <c r="E272" s="429">
        <v>2.1283333333333334</v>
      </c>
      <c r="G272" s="442" t="s">
        <v>363</v>
      </c>
      <c r="H272" s="457">
        <v>1.8993333333333335</v>
      </c>
      <c r="I272" s="457">
        <v>1.964</v>
      </c>
      <c r="J272" s="457">
        <v>1.9643333333333335</v>
      </c>
      <c r="K272" s="457">
        <v>2.1283333333333334</v>
      </c>
    </row>
    <row r="273" spans="1:11">
      <c r="A273" s="430">
        <v>50530</v>
      </c>
      <c r="B273" s="429">
        <v>1.8993333333333335</v>
      </c>
      <c r="C273" s="429">
        <v>1.964</v>
      </c>
      <c r="D273" s="429">
        <v>1.9643333333333335</v>
      </c>
      <c r="E273" s="429">
        <v>2.1283333333333334</v>
      </c>
      <c r="G273" s="430">
        <v>50530</v>
      </c>
      <c r="H273" s="424">
        <v>1.8993333333333335</v>
      </c>
      <c r="I273" s="424">
        <v>1.964</v>
      </c>
      <c r="J273" s="424">
        <v>1.9643333333333335</v>
      </c>
      <c r="K273" s="424">
        <v>2.1283333333333334</v>
      </c>
    </row>
    <row r="274" spans="1:11">
      <c r="A274" s="282" t="s">
        <v>200</v>
      </c>
      <c r="B274" s="429">
        <v>1.6680000000000001</v>
      </c>
      <c r="C274" s="429">
        <v>1.84</v>
      </c>
      <c r="D274" s="429">
        <v>1.84</v>
      </c>
      <c r="E274" s="429">
        <v>1.93</v>
      </c>
      <c r="G274" s="442" t="s">
        <v>200</v>
      </c>
      <c r="H274" s="457">
        <v>1.6680000000000001</v>
      </c>
      <c r="I274" s="457">
        <v>1.84</v>
      </c>
      <c r="J274" s="457">
        <v>1.84</v>
      </c>
      <c r="K274" s="457">
        <v>1.93</v>
      </c>
    </row>
    <row r="275" spans="1:11">
      <c r="A275" s="430">
        <v>50603</v>
      </c>
      <c r="B275" s="429">
        <v>1.6680000000000001</v>
      </c>
      <c r="C275" s="429">
        <v>1.84</v>
      </c>
      <c r="D275" s="429">
        <v>1.84</v>
      </c>
      <c r="E275" s="429">
        <v>1.93</v>
      </c>
      <c r="G275" s="430">
        <v>50603</v>
      </c>
      <c r="H275" s="424">
        <v>1.6680000000000001</v>
      </c>
      <c r="I275" s="424">
        <v>1.84</v>
      </c>
      <c r="J275" s="424">
        <v>1.84</v>
      </c>
      <c r="K275" s="424">
        <v>1.93</v>
      </c>
    </row>
    <row r="276" spans="1:11">
      <c r="A276" s="282" t="s">
        <v>220</v>
      </c>
      <c r="B276" s="429">
        <v>0.35274999999999995</v>
      </c>
      <c r="C276" s="429">
        <v>0.39400000000000002</v>
      </c>
      <c r="D276" s="429">
        <v>0.49100000000000005</v>
      </c>
      <c r="E276" s="429">
        <v>0.51749999999999996</v>
      </c>
      <c r="G276" s="442" t="s">
        <v>409</v>
      </c>
      <c r="H276" s="457">
        <v>0.35274999999999995</v>
      </c>
      <c r="I276" s="457">
        <v>0.39400000000000002</v>
      </c>
      <c r="J276" s="457">
        <v>0.49100000000000005</v>
      </c>
      <c r="K276" s="457">
        <v>0.51749999999999996</v>
      </c>
    </row>
    <row r="277" spans="1:11">
      <c r="A277" s="430">
        <v>50869</v>
      </c>
      <c r="B277" s="429">
        <v>0.35274999999999995</v>
      </c>
      <c r="C277" s="429">
        <v>0.39400000000000002</v>
      </c>
      <c r="D277" s="429">
        <v>0.49100000000000005</v>
      </c>
      <c r="E277" s="429">
        <v>0.51749999999999996</v>
      </c>
      <c r="G277" s="430">
        <v>50869</v>
      </c>
      <c r="H277" s="424">
        <v>0.35274999999999995</v>
      </c>
      <c r="I277" s="424">
        <v>0.39400000000000002</v>
      </c>
      <c r="J277" s="424">
        <v>0.49100000000000005</v>
      </c>
      <c r="K277" s="424">
        <v>0.51749999999999996</v>
      </c>
    </row>
    <row r="278" spans="1:11">
      <c r="A278" s="282" t="s">
        <v>98</v>
      </c>
      <c r="B278" s="429">
        <v>0.48419999999999996</v>
      </c>
      <c r="C278" s="429">
        <v>0.51200000000000001</v>
      </c>
      <c r="D278" s="429">
        <v>0.60270000000000001</v>
      </c>
      <c r="E278" s="429">
        <v>0.65500000000000003</v>
      </c>
      <c r="G278" s="442" t="s">
        <v>98</v>
      </c>
      <c r="H278" s="457">
        <v>0.48419999999999996</v>
      </c>
      <c r="I278" s="457">
        <v>0.51200000000000001</v>
      </c>
      <c r="J278" s="457">
        <v>0.60270000000000001</v>
      </c>
      <c r="K278" s="457">
        <v>0.65500000000000003</v>
      </c>
    </row>
    <row r="279" spans="1:11">
      <c r="A279" s="430">
        <v>50845</v>
      </c>
      <c r="B279" s="429">
        <v>0.48419999999999996</v>
      </c>
      <c r="C279" s="429">
        <v>0.51200000000000001</v>
      </c>
      <c r="D279" s="429">
        <v>0.60270000000000001</v>
      </c>
      <c r="E279" s="429">
        <v>0.65500000000000003</v>
      </c>
      <c r="G279" s="430">
        <v>50845</v>
      </c>
      <c r="H279" s="424">
        <v>0.48419999999999996</v>
      </c>
      <c r="I279" s="424">
        <v>0.51200000000000001</v>
      </c>
      <c r="J279" s="424">
        <v>0.60270000000000001</v>
      </c>
      <c r="K279" s="424">
        <v>0.65500000000000003</v>
      </c>
    </row>
    <row r="280" spans="1:11">
      <c r="A280" s="282" t="s">
        <v>225</v>
      </c>
      <c r="B280" s="429">
        <v>0.45599999999999996</v>
      </c>
      <c r="C280" s="429">
        <v>0.68</v>
      </c>
      <c r="D280" s="429">
        <v>0.78</v>
      </c>
      <c r="E280" s="429">
        <v>0.84</v>
      </c>
      <c r="G280" s="442" t="s">
        <v>225</v>
      </c>
      <c r="H280" s="457">
        <v>0.45599999999999996</v>
      </c>
      <c r="I280" s="457">
        <v>0.68</v>
      </c>
      <c r="J280" s="457">
        <v>0.78</v>
      </c>
      <c r="K280" s="457">
        <v>0.84</v>
      </c>
    </row>
    <row r="281" spans="1:11">
      <c r="A281" s="430">
        <v>50872</v>
      </c>
      <c r="B281" s="429">
        <v>0.45599999999999996</v>
      </c>
      <c r="C281" s="429">
        <v>0.68</v>
      </c>
      <c r="D281" s="429">
        <v>0.78</v>
      </c>
      <c r="E281" s="429">
        <v>0.84</v>
      </c>
      <c r="G281" s="430">
        <v>50872</v>
      </c>
      <c r="H281" s="424">
        <v>0.45599999999999996</v>
      </c>
      <c r="I281" s="424">
        <v>0.68</v>
      </c>
      <c r="J281" s="424">
        <v>0.78</v>
      </c>
      <c r="K281" s="424">
        <v>0.84</v>
      </c>
    </row>
    <row r="282" spans="1:11">
      <c r="A282" s="282" t="s">
        <v>79</v>
      </c>
      <c r="B282" s="429">
        <v>3.3191500000000005</v>
      </c>
      <c r="C282" s="429">
        <v>3.6879999999999997</v>
      </c>
      <c r="D282" s="429">
        <v>3.9211166666666668</v>
      </c>
      <c r="E282" s="429">
        <v>4.2048571428571426</v>
      </c>
      <c r="G282" s="442" t="s">
        <v>79</v>
      </c>
      <c r="H282" s="457">
        <v>3.3191500000000005</v>
      </c>
      <c r="I282" s="457">
        <v>3.6879999999999997</v>
      </c>
      <c r="J282" s="457">
        <v>3.9211166666666668</v>
      </c>
      <c r="K282" s="457">
        <v>4.2048571428571426</v>
      </c>
    </row>
    <row r="283" spans="1:11">
      <c r="A283" s="430">
        <v>50741</v>
      </c>
      <c r="B283" s="429">
        <v>0.59</v>
      </c>
      <c r="C283" s="429">
        <v>0.76700000000000002</v>
      </c>
      <c r="D283" s="429">
        <v>0.77666666666666673</v>
      </c>
      <c r="E283" s="429">
        <v>0.92</v>
      </c>
      <c r="G283" s="430">
        <v>50741</v>
      </c>
      <c r="H283" s="424">
        <v>0.59</v>
      </c>
      <c r="I283" s="424">
        <v>0.76700000000000002</v>
      </c>
      <c r="J283" s="424">
        <v>0.77666666666666673</v>
      </c>
      <c r="K283" s="424">
        <v>0.92</v>
      </c>
    </row>
    <row r="284" spans="1:11">
      <c r="A284" s="430">
        <v>50791</v>
      </c>
      <c r="B284" s="429">
        <v>0.51</v>
      </c>
      <c r="C284" s="429">
        <v>0.58499999999999996</v>
      </c>
      <c r="D284" s="429">
        <v>0.77</v>
      </c>
      <c r="E284" s="429">
        <v>0.91</v>
      </c>
      <c r="G284" s="430">
        <v>50791</v>
      </c>
      <c r="H284" s="424">
        <v>0.51</v>
      </c>
      <c r="I284" s="424">
        <v>0.58499999999999996</v>
      </c>
      <c r="J284" s="424">
        <v>0.77</v>
      </c>
      <c r="K284" s="424">
        <v>0.91</v>
      </c>
    </row>
    <row r="285" spans="1:11">
      <c r="A285" s="430">
        <v>50801</v>
      </c>
      <c r="B285" s="429">
        <v>0.68289999999999995</v>
      </c>
      <c r="C285" s="429">
        <v>0.79</v>
      </c>
      <c r="D285" s="429">
        <v>0.79020000000000001</v>
      </c>
      <c r="E285" s="429">
        <v>0.82485714285714284</v>
      </c>
      <c r="G285" s="430">
        <v>50801</v>
      </c>
      <c r="H285" s="424">
        <v>0.68289999999999995</v>
      </c>
      <c r="I285" s="424">
        <v>0.79</v>
      </c>
      <c r="J285" s="424">
        <v>0.79020000000000001</v>
      </c>
      <c r="K285" s="424">
        <v>0.82485714285714284</v>
      </c>
    </row>
    <row r="286" spans="1:11">
      <c r="A286" s="430">
        <v>50814</v>
      </c>
      <c r="B286" s="429">
        <v>0.58125000000000004</v>
      </c>
      <c r="C286" s="429">
        <v>0.59099999999999997</v>
      </c>
      <c r="D286" s="429">
        <v>0.62924999999999998</v>
      </c>
      <c r="E286" s="429">
        <v>0.58000000000000007</v>
      </c>
      <c r="G286" s="430">
        <v>50814</v>
      </c>
      <c r="H286" s="424">
        <v>0.58125000000000004</v>
      </c>
      <c r="I286" s="424">
        <v>0.59099999999999997</v>
      </c>
      <c r="J286" s="424">
        <v>0.62924999999999998</v>
      </c>
      <c r="K286" s="424">
        <v>0.64</v>
      </c>
    </row>
    <row r="287" spans="1:11">
      <c r="A287" s="430">
        <v>50850</v>
      </c>
      <c r="B287" s="429">
        <v>0.95499999999999996</v>
      </c>
      <c r="C287" s="429">
        <v>0.95499999999999996</v>
      </c>
      <c r="D287" s="429">
        <v>0.95499999999999996</v>
      </c>
      <c r="E287" s="429">
        <v>0.97</v>
      </c>
      <c r="G287" s="430">
        <v>50850</v>
      </c>
      <c r="H287" s="424">
        <v>0.95499999999999996</v>
      </c>
      <c r="I287" s="424">
        <v>0.95499999999999996</v>
      </c>
      <c r="J287" s="424">
        <v>0.95499999999999996</v>
      </c>
      <c r="K287" s="424">
        <v>0.97</v>
      </c>
    </row>
    <row r="288" spans="1:11">
      <c r="A288" s="282" t="s">
        <v>174</v>
      </c>
      <c r="B288" s="429">
        <v>2.9868333333333332</v>
      </c>
      <c r="C288" s="429">
        <v>3.46</v>
      </c>
      <c r="D288" s="429">
        <v>3.6466666666666665</v>
      </c>
      <c r="E288" s="429">
        <v>3.9050000000000002</v>
      </c>
      <c r="G288" s="442" t="s">
        <v>174</v>
      </c>
      <c r="H288" s="457">
        <v>2.9868333333333332</v>
      </c>
      <c r="I288" s="457">
        <v>3.46</v>
      </c>
      <c r="J288" s="457">
        <v>3.6466666666666665</v>
      </c>
      <c r="K288" s="457">
        <v>3.9050000000000002</v>
      </c>
    </row>
    <row r="289" spans="1:11">
      <c r="A289" s="430">
        <v>50678</v>
      </c>
      <c r="B289" s="429">
        <v>1.0609999999999999</v>
      </c>
      <c r="C289" s="429">
        <v>1.4</v>
      </c>
      <c r="D289" s="429">
        <v>1.4</v>
      </c>
      <c r="E289" s="429">
        <v>1.41</v>
      </c>
      <c r="G289" s="430">
        <v>50678</v>
      </c>
      <c r="H289" s="424">
        <v>1.0609999999999999</v>
      </c>
      <c r="I289" s="424">
        <v>1.4</v>
      </c>
      <c r="J289" s="424">
        <v>1.4</v>
      </c>
      <c r="K289" s="424">
        <v>1.41</v>
      </c>
    </row>
    <row r="290" spans="1:11">
      <c r="A290" s="430">
        <v>50825</v>
      </c>
      <c r="B290" s="429">
        <v>1.9258333333333333</v>
      </c>
      <c r="C290" s="429">
        <v>2.06</v>
      </c>
      <c r="D290" s="429">
        <v>2.2466666666666666</v>
      </c>
      <c r="E290" s="429">
        <v>2.4950000000000006</v>
      </c>
      <c r="G290" s="430">
        <v>50825</v>
      </c>
      <c r="H290" s="424">
        <v>1.9258333333333333</v>
      </c>
      <c r="I290" s="424">
        <v>2.06</v>
      </c>
      <c r="J290" s="424">
        <v>2.2466666666666666</v>
      </c>
      <c r="K290" s="424">
        <v>2.4950000000000006</v>
      </c>
    </row>
    <row r="291" spans="1:11">
      <c r="A291" s="282" t="s">
        <v>59</v>
      </c>
      <c r="B291" s="429">
        <v>5.907866666666667</v>
      </c>
      <c r="C291" s="429">
        <v>6.4669999999999996</v>
      </c>
      <c r="D291" s="429">
        <v>6.9991000000000003</v>
      </c>
      <c r="E291" s="429">
        <v>7.4416222222222226</v>
      </c>
      <c r="G291" s="442" t="s">
        <v>59</v>
      </c>
      <c r="H291" s="457">
        <v>5.907866666666667</v>
      </c>
      <c r="I291" s="457">
        <v>6.4669999999999996</v>
      </c>
      <c r="J291" s="457">
        <v>6.9991000000000003</v>
      </c>
      <c r="K291" s="457">
        <v>7.4416222222222226</v>
      </c>
    </row>
    <row r="292" spans="1:11">
      <c r="A292" s="430">
        <v>50773</v>
      </c>
      <c r="B292" s="429">
        <v>0.99199999999999999</v>
      </c>
      <c r="C292" s="429">
        <v>1.107</v>
      </c>
      <c r="D292" s="429">
        <v>1.35</v>
      </c>
      <c r="E292" s="429">
        <v>1.44</v>
      </c>
      <c r="G292" s="430">
        <v>50773</v>
      </c>
      <c r="H292" s="424">
        <v>0.99199999999999999</v>
      </c>
      <c r="I292" s="424">
        <v>1.107</v>
      </c>
      <c r="J292" s="424">
        <v>1.35</v>
      </c>
      <c r="K292" s="424">
        <v>1.44</v>
      </c>
    </row>
    <row r="293" spans="1:11">
      <c r="A293" s="430">
        <v>50797</v>
      </c>
      <c r="B293" s="429">
        <v>1.6519999999999999</v>
      </c>
      <c r="C293" s="429">
        <v>1.6579999999999999</v>
      </c>
      <c r="D293" s="429">
        <v>1.6791999999999998</v>
      </c>
      <c r="E293" s="429">
        <v>1.6994</v>
      </c>
      <c r="G293" s="430">
        <v>50797</v>
      </c>
      <c r="H293" s="424">
        <v>1.6519999999999999</v>
      </c>
      <c r="I293" s="424">
        <v>1.6579999999999999</v>
      </c>
      <c r="J293" s="424">
        <v>1.6791999999999998</v>
      </c>
      <c r="K293" s="424">
        <v>1.6994</v>
      </c>
    </row>
    <row r="294" spans="1:11">
      <c r="A294" s="430">
        <v>50816</v>
      </c>
      <c r="B294" s="429">
        <v>0.99320000000000008</v>
      </c>
      <c r="C294" s="429">
        <v>1.0960000000000001</v>
      </c>
      <c r="D294" s="429">
        <v>1.1579000000000002</v>
      </c>
      <c r="E294" s="429">
        <v>1.152222222222222</v>
      </c>
      <c r="G294" s="430">
        <v>50816</v>
      </c>
      <c r="H294" s="424">
        <v>0.99320000000000008</v>
      </c>
      <c r="I294" s="424">
        <v>1.0960000000000001</v>
      </c>
      <c r="J294" s="424">
        <v>1.1579000000000002</v>
      </c>
      <c r="K294" s="424">
        <v>1.17</v>
      </c>
    </row>
    <row r="295" spans="1:11">
      <c r="A295" s="430">
        <v>50839</v>
      </c>
      <c r="B295" s="429">
        <v>1.1176666666666668</v>
      </c>
      <c r="C295" s="429">
        <v>1.224</v>
      </c>
      <c r="D295" s="429">
        <v>1.32</v>
      </c>
      <c r="E295" s="429">
        <v>1.46</v>
      </c>
      <c r="G295" s="430">
        <v>50839</v>
      </c>
      <c r="H295" s="424">
        <v>1.1176666666666668</v>
      </c>
      <c r="I295" s="424">
        <v>1.224</v>
      </c>
      <c r="J295" s="424">
        <v>1.32</v>
      </c>
      <c r="K295" s="424">
        <v>1.46</v>
      </c>
    </row>
    <row r="296" spans="1:11">
      <c r="A296" s="430">
        <v>50868</v>
      </c>
      <c r="B296" s="429">
        <v>1.153</v>
      </c>
      <c r="C296" s="429">
        <v>1.3819999999999999</v>
      </c>
      <c r="D296" s="429">
        <v>1.492</v>
      </c>
      <c r="E296" s="429">
        <v>1.6900000000000002</v>
      </c>
      <c r="G296" s="430">
        <v>50868</v>
      </c>
      <c r="H296" s="424">
        <v>1.153</v>
      </c>
      <c r="I296" s="424">
        <v>1.3819999999999999</v>
      </c>
      <c r="J296" s="424">
        <v>1.492</v>
      </c>
      <c r="K296" s="424">
        <v>1.6900000000000002</v>
      </c>
    </row>
    <row r="297" spans="1:11">
      <c r="A297" s="282" t="s">
        <v>178</v>
      </c>
      <c r="B297" s="429">
        <v>0.98455000000000004</v>
      </c>
      <c r="C297" s="429">
        <v>1.2160000000000002</v>
      </c>
      <c r="D297" s="429">
        <v>1.4050000000000002</v>
      </c>
      <c r="E297" s="429">
        <v>1.82575</v>
      </c>
      <c r="G297" s="442" t="s">
        <v>178</v>
      </c>
      <c r="H297" s="457">
        <v>0.98455000000000004</v>
      </c>
      <c r="I297" s="457">
        <v>1.2160000000000002</v>
      </c>
      <c r="J297" s="457">
        <v>1.4050000000000002</v>
      </c>
      <c r="K297" s="457">
        <v>1.82575</v>
      </c>
    </row>
    <row r="298" spans="1:11">
      <c r="A298" s="430">
        <v>50852</v>
      </c>
      <c r="B298" s="429">
        <v>0.56225000000000003</v>
      </c>
      <c r="C298" s="429">
        <v>0.65600000000000003</v>
      </c>
      <c r="D298" s="429">
        <v>0.79000000000000015</v>
      </c>
      <c r="E298" s="429">
        <v>0.98375000000000001</v>
      </c>
      <c r="G298" s="430">
        <v>50852</v>
      </c>
      <c r="H298" s="424">
        <v>0.56225000000000003</v>
      </c>
      <c r="I298" s="424">
        <v>0.65600000000000003</v>
      </c>
      <c r="J298" s="424">
        <v>0.79000000000000015</v>
      </c>
      <c r="K298" s="424">
        <v>0.98375000000000001</v>
      </c>
    </row>
    <row r="299" spans="1:11">
      <c r="A299" s="430">
        <v>50861</v>
      </c>
      <c r="B299" s="429">
        <v>0.42230000000000001</v>
      </c>
      <c r="C299" s="429">
        <v>0.56000000000000005</v>
      </c>
      <c r="D299" s="429">
        <v>0.61499999999999999</v>
      </c>
      <c r="E299" s="429">
        <v>0.84199999999999997</v>
      </c>
      <c r="G299" s="430">
        <v>50861</v>
      </c>
      <c r="H299" s="424">
        <v>0.42230000000000001</v>
      </c>
      <c r="I299" s="424">
        <v>0.56000000000000005</v>
      </c>
      <c r="J299" s="424">
        <v>0.61499999999999999</v>
      </c>
      <c r="K299" s="424">
        <v>0.84199999999999997</v>
      </c>
    </row>
    <row r="300" spans="1:11">
      <c r="A300" s="282" t="s">
        <v>159</v>
      </c>
      <c r="B300" s="429">
        <v>0.60299999999999998</v>
      </c>
      <c r="C300" s="429">
        <v>0.67</v>
      </c>
      <c r="D300" s="429">
        <v>0.67</v>
      </c>
      <c r="E300" s="429">
        <v>0.95</v>
      </c>
      <c r="G300" s="442" t="s">
        <v>410</v>
      </c>
      <c r="H300" s="457">
        <v>0.60299999999999998</v>
      </c>
      <c r="I300" s="457">
        <v>0.67</v>
      </c>
      <c r="J300" s="457">
        <v>0.67</v>
      </c>
      <c r="K300" s="457">
        <v>0.95</v>
      </c>
    </row>
    <row r="301" spans="1:11">
      <c r="A301" s="430">
        <v>50849</v>
      </c>
      <c r="B301" s="429">
        <v>0.60299999999999998</v>
      </c>
      <c r="C301" s="429">
        <v>0.67</v>
      </c>
      <c r="D301" s="429">
        <v>0.67</v>
      </c>
      <c r="E301" s="429">
        <v>0.95</v>
      </c>
      <c r="G301" s="430">
        <v>50849</v>
      </c>
      <c r="H301" s="424">
        <v>0.60299999999999998</v>
      </c>
      <c r="I301" s="424">
        <v>0.67</v>
      </c>
      <c r="J301" s="424">
        <v>0.67</v>
      </c>
      <c r="K301" s="424">
        <v>0.95</v>
      </c>
    </row>
    <row r="302" spans="1:11">
      <c r="A302" s="282" t="s">
        <v>73</v>
      </c>
      <c r="B302" s="429">
        <v>2.7611666666666665</v>
      </c>
      <c r="C302" s="429">
        <v>2.9380000000000002</v>
      </c>
      <c r="D302" s="429">
        <v>3.2689583333333334</v>
      </c>
      <c r="E302" s="429">
        <v>3.6866666666666665</v>
      </c>
      <c r="G302" s="442" t="s">
        <v>411</v>
      </c>
      <c r="H302" s="457">
        <v>2.7611666666666665</v>
      </c>
      <c r="I302" s="457">
        <v>2.9380000000000002</v>
      </c>
      <c r="J302" s="457">
        <v>3.2689583333333334</v>
      </c>
      <c r="K302" s="457">
        <v>3.6866666666666665</v>
      </c>
    </row>
    <row r="303" spans="1:11">
      <c r="A303" s="430">
        <v>50426</v>
      </c>
      <c r="B303" s="429">
        <v>0.42700000000000005</v>
      </c>
      <c r="C303" s="429">
        <v>0.47799999999999998</v>
      </c>
      <c r="D303" s="429">
        <v>0.56174999999999997</v>
      </c>
      <c r="E303" s="429">
        <v>0.77666666666666673</v>
      </c>
      <c r="G303" s="430">
        <v>50426</v>
      </c>
      <c r="H303" s="424">
        <v>0.42700000000000005</v>
      </c>
      <c r="I303" s="424">
        <v>0.47799999999999998</v>
      </c>
      <c r="J303" s="424">
        <v>0.56174999999999997</v>
      </c>
      <c r="K303" s="424">
        <v>0.77666666666666673</v>
      </c>
    </row>
    <row r="304" spans="1:11">
      <c r="A304" s="430">
        <v>50618</v>
      </c>
      <c r="B304" s="429">
        <v>0.26</v>
      </c>
      <c r="C304" s="429">
        <v>0.30599999999999999</v>
      </c>
      <c r="D304" s="429">
        <v>0.32833333333333331</v>
      </c>
      <c r="E304" s="429">
        <v>0.39999999999999997</v>
      </c>
      <c r="G304" s="430">
        <v>50618</v>
      </c>
      <c r="H304" s="424">
        <v>0.26</v>
      </c>
      <c r="I304" s="424">
        <v>0.30599999999999999</v>
      </c>
      <c r="J304" s="424">
        <v>0.32833333333333331</v>
      </c>
      <c r="K304" s="424">
        <v>0.39999999999999997</v>
      </c>
    </row>
    <row r="305" spans="1:11">
      <c r="A305" s="430">
        <v>50706</v>
      </c>
      <c r="B305" s="429">
        <v>0.40666666666666673</v>
      </c>
      <c r="C305" s="429">
        <v>0.45400000000000001</v>
      </c>
      <c r="D305" s="429">
        <v>0.52999999999999992</v>
      </c>
      <c r="E305" s="429">
        <v>0.52999999999999992</v>
      </c>
      <c r="G305" s="430">
        <v>50706</v>
      </c>
      <c r="H305" s="424">
        <v>0.40666666666666673</v>
      </c>
      <c r="I305" s="424">
        <v>0.45400000000000001</v>
      </c>
      <c r="J305" s="424">
        <v>0.52999999999999992</v>
      </c>
      <c r="K305" s="424">
        <v>0.52999999999999992</v>
      </c>
    </row>
    <row r="306" spans="1:11">
      <c r="A306" s="430">
        <v>50760</v>
      </c>
      <c r="B306" s="429">
        <v>1.1399999999999999</v>
      </c>
      <c r="C306" s="429">
        <v>1.143</v>
      </c>
      <c r="D306" s="429">
        <v>1.1737500000000001</v>
      </c>
      <c r="E306" s="429">
        <v>1.2416666666666667</v>
      </c>
      <c r="G306" s="430">
        <v>50760</v>
      </c>
      <c r="H306" s="424">
        <v>1.1399999999999999</v>
      </c>
      <c r="I306" s="424">
        <v>1.143</v>
      </c>
      <c r="J306" s="424">
        <v>1.1737500000000001</v>
      </c>
      <c r="K306" s="424">
        <v>1.2416666666666667</v>
      </c>
    </row>
    <row r="307" spans="1:11">
      <c r="A307" s="430">
        <v>50803</v>
      </c>
      <c r="B307" s="429">
        <v>0.52749999999999997</v>
      </c>
      <c r="C307" s="429">
        <v>0.55700000000000005</v>
      </c>
      <c r="D307" s="429">
        <v>0.67512499999999998</v>
      </c>
      <c r="E307" s="429">
        <v>0.73833333333333329</v>
      </c>
      <c r="G307" s="430">
        <v>50803</v>
      </c>
      <c r="H307" s="424">
        <v>0.52749999999999997</v>
      </c>
      <c r="I307" s="424">
        <v>0.55700000000000005</v>
      </c>
      <c r="J307" s="424">
        <v>0.67512499999999998</v>
      </c>
      <c r="K307" s="424">
        <v>0.73833333333333329</v>
      </c>
    </row>
    <row r="308" spans="1:11">
      <c r="A308" s="282" t="s">
        <v>94</v>
      </c>
      <c r="B308" s="429">
        <v>1.2707000000000002</v>
      </c>
      <c r="C308" s="429">
        <v>1.3660000000000001</v>
      </c>
      <c r="D308" s="429">
        <v>1.4393999999999996</v>
      </c>
      <c r="E308" s="429">
        <v>1.5129999999999999</v>
      </c>
      <c r="G308" s="442" t="s">
        <v>94</v>
      </c>
      <c r="H308" s="457">
        <v>1.2707000000000002</v>
      </c>
      <c r="I308" s="457">
        <v>1.3660000000000001</v>
      </c>
      <c r="J308" s="457">
        <v>1.4393999999999996</v>
      </c>
      <c r="K308" s="457">
        <v>1.5129999999999999</v>
      </c>
    </row>
    <row r="309" spans="1:11">
      <c r="A309" s="430">
        <v>50604</v>
      </c>
      <c r="B309" s="429">
        <v>1.2707000000000002</v>
      </c>
      <c r="C309" s="429">
        <v>1.3660000000000001</v>
      </c>
      <c r="D309" s="429">
        <v>1.4393999999999996</v>
      </c>
      <c r="E309" s="429">
        <v>1.5129999999999999</v>
      </c>
      <c r="G309" s="430">
        <v>50604</v>
      </c>
      <c r="H309" s="424">
        <v>1.2707000000000002</v>
      </c>
      <c r="I309" s="424">
        <v>1.3660000000000001</v>
      </c>
      <c r="J309" s="424">
        <v>1.4393999999999996</v>
      </c>
      <c r="K309" s="424">
        <v>1.5129999999999999</v>
      </c>
    </row>
    <row r="310" spans="1:11">
      <c r="A310" s="282" t="s">
        <v>382</v>
      </c>
      <c r="B310" s="429">
        <v>205.0848927784395</v>
      </c>
      <c r="C310" s="429">
        <v>227.13700000000003</v>
      </c>
      <c r="D310" s="429">
        <v>242.00518650793657</v>
      </c>
      <c r="E310" s="429">
        <v>268.00306746031731</v>
      </c>
    </row>
  </sheetData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K94"/>
  <sheetViews>
    <sheetView zoomScale="60" zoomScaleNormal="60" workbookViewId="0">
      <selection activeCell="C9" sqref="C9"/>
    </sheetView>
  </sheetViews>
  <sheetFormatPr baseColWidth="10" defaultRowHeight="15"/>
  <cols>
    <col min="1" max="1" width="26" customWidth="1"/>
    <col min="2" max="2" width="22.5703125" customWidth="1"/>
    <col min="3" max="3" width="19.28515625" customWidth="1"/>
    <col min="4" max="4" width="22.5703125" customWidth="1"/>
    <col min="5" max="5" width="16.5703125" customWidth="1"/>
    <col min="7" max="7" width="26" bestFit="1" customWidth="1"/>
    <col min="8" max="8" width="18.5703125" customWidth="1"/>
    <col min="9" max="9" width="13.85546875" customWidth="1"/>
    <col min="10" max="10" width="13.7109375" customWidth="1"/>
    <col min="11" max="11" width="13.85546875" customWidth="1"/>
    <col min="12" max="12" width="16.7109375" bestFit="1" customWidth="1"/>
  </cols>
  <sheetData>
    <row r="3" spans="1:37">
      <c r="A3" s="461"/>
      <c r="B3" s="464" t="s">
        <v>432</v>
      </c>
      <c r="C3" s="462"/>
      <c r="D3" s="462"/>
      <c r="E3" s="463"/>
      <c r="H3" s="684" t="s">
        <v>442</v>
      </c>
      <c r="I3" s="684"/>
      <c r="J3" s="684" t="s">
        <v>443</v>
      </c>
      <c r="K3" s="684"/>
    </row>
    <row r="4" spans="1:37" ht="58.5" customHeight="1">
      <c r="A4" s="464" t="s">
        <v>7</v>
      </c>
      <c r="B4" s="468" t="s">
        <v>439</v>
      </c>
      <c r="C4" s="479" t="s">
        <v>440</v>
      </c>
      <c r="D4" s="479" t="s">
        <v>437</v>
      </c>
      <c r="E4" s="467" t="s">
        <v>438</v>
      </c>
      <c r="G4" s="451" t="s">
        <v>350</v>
      </c>
      <c r="H4" s="496" t="s">
        <v>435</v>
      </c>
      <c r="I4" s="496" t="s">
        <v>436</v>
      </c>
      <c r="J4" s="496" t="s">
        <v>433</v>
      </c>
      <c r="K4" s="496" t="s">
        <v>434</v>
      </c>
      <c r="L4" s="451" t="s">
        <v>425</v>
      </c>
      <c r="AI4" s="500" t="s">
        <v>444</v>
      </c>
      <c r="AJ4" s="500" t="s">
        <v>445</v>
      </c>
      <c r="AK4" s="500" t="s">
        <v>446</v>
      </c>
    </row>
    <row r="5" spans="1:37">
      <c r="A5" s="461" t="s">
        <v>198</v>
      </c>
      <c r="B5" s="473">
        <v>10.333333333333334</v>
      </c>
      <c r="C5" s="480">
        <v>31</v>
      </c>
      <c r="D5" s="480">
        <v>0.20433333333333334</v>
      </c>
      <c r="E5" s="474">
        <v>0.61299999999999999</v>
      </c>
      <c r="G5" s="497" t="s">
        <v>408</v>
      </c>
      <c r="H5" s="498">
        <v>15.666666666666666</v>
      </c>
      <c r="I5" s="498">
        <v>47</v>
      </c>
      <c r="J5" s="498">
        <v>0.14233333333333331</v>
      </c>
      <c r="K5" s="498">
        <v>0.42699999999999994</v>
      </c>
      <c r="L5" s="451" t="s">
        <v>426</v>
      </c>
      <c r="AI5" s="497" t="s">
        <v>127</v>
      </c>
      <c r="AJ5" s="498">
        <v>0.27766666666666667</v>
      </c>
      <c r="AK5" s="498">
        <v>0.83300000000000007</v>
      </c>
    </row>
    <row r="6" spans="1:37">
      <c r="A6" s="465" t="s">
        <v>70</v>
      </c>
      <c r="B6" s="475">
        <v>5.8499999999999988</v>
      </c>
      <c r="C6" s="423">
        <v>17.549999999999997</v>
      </c>
      <c r="D6" s="423">
        <v>6.9983333333333259E-2</v>
      </c>
      <c r="E6" s="476">
        <v>0.20994999999999975</v>
      </c>
      <c r="G6" s="497" t="s">
        <v>90</v>
      </c>
      <c r="H6" s="498">
        <v>14.521666666666667</v>
      </c>
      <c r="I6" s="498">
        <v>43.564999999999998</v>
      </c>
      <c r="J6" s="498">
        <v>0.17134722222222215</v>
      </c>
      <c r="K6" s="498">
        <v>0.51404166666666651</v>
      </c>
      <c r="L6" s="451" t="s">
        <v>426</v>
      </c>
      <c r="AI6" s="497" t="s">
        <v>82</v>
      </c>
      <c r="AJ6" s="498">
        <v>0.26246666666666668</v>
      </c>
      <c r="AK6" s="498">
        <v>0.7874000000000001</v>
      </c>
    </row>
    <row r="7" spans="1:37">
      <c r="A7" s="465" t="s">
        <v>161</v>
      </c>
      <c r="B7" s="475">
        <v>11.001666666666667</v>
      </c>
      <c r="C7" s="423">
        <v>33.005000000000003</v>
      </c>
      <c r="D7" s="423">
        <v>0.12848333333333337</v>
      </c>
      <c r="E7" s="476">
        <v>0.38545000000000007</v>
      </c>
      <c r="G7" s="497" t="s">
        <v>86</v>
      </c>
      <c r="H7" s="498">
        <v>10.366666666666667</v>
      </c>
      <c r="I7" s="498">
        <v>31.1</v>
      </c>
      <c r="J7" s="498">
        <v>7.7749999999999986E-2</v>
      </c>
      <c r="K7" s="498">
        <v>0.23324999999999996</v>
      </c>
      <c r="L7" s="451" t="s">
        <v>426</v>
      </c>
      <c r="AI7" s="497" t="s">
        <v>198</v>
      </c>
      <c r="AJ7" s="498">
        <v>0.20433333333333334</v>
      </c>
      <c r="AK7" s="498">
        <v>0.61299999999999999</v>
      </c>
    </row>
    <row r="8" spans="1:37">
      <c r="A8" s="465" t="s">
        <v>190</v>
      </c>
      <c r="B8" s="475">
        <v>11.324999999999999</v>
      </c>
      <c r="C8" s="423">
        <v>33.975000000000001</v>
      </c>
      <c r="D8" s="423">
        <v>0.11154166666666666</v>
      </c>
      <c r="E8" s="476">
        <v>0.33462500000000001</v>
      </c>
      <c r="G8" s="497" t="s">
        <v>198</v>
      </c>
      <c r="H8" s="498">
        <v>10.333333333333334</v>
      </c>
      <c r="I8" s="498">
        <v>31</v>
      </c>
      <c r="J8" s="498">
        <v>0.20433333333333334</v>
      </c>
      <c r="K8" s="498">
        <v>0.61299999999999999</v>
      </c>
      <c r="L8" s="451" t="s">
        <v>426</v>
      </c>
      <c r="AI8" s="497" t="s">
        <v>180</v>
      </c>
      <c r="AJ8" s="498">
        <v>0.20053333333333337</v>
      </c>
      <c r="AK8" s="498">
        <v>0.60160000000000013</v>
      </c>
    </row>
    <row r="9" spans="1:37">
      <c r="A9" s="465" t="s">
        <v>418</v>
      </c>
      <c r="B9" s="475">
        <v>5.3716666666666679</v>
      </c>
      <c r="C9" s="423">
        <v>16.115000000000002</v>
      </c>
      <c r="D9" s="423">
        <v>0.15877083333333328</v>
      </c>
      <c r="E9" s="476">
        <v>0.47631249999999992</v>
      </c>
      <c r="G9" s="497" t="s">
        <v>45</v>
      </c>
      <c r="H9" s="498">
        <v>9.6366666666666649</v>
      </c>
      <c r="I9" s="498">
        <v>28.909999999999997</v>
      </c>
      <c r="J9" s="498">
        <v>4.94833333333334E-2</v>
      </c>
      <c r="K9" s="498">
        <v>0.14845000000000019</v>
      </c>
      <c r="L9" s="451" t="s">
        <v>426</v>
      </c>
      <c r="AI9" s="497" t="s">
        <v>90</v>
      </c>
      <c r="AJ9" s="498">
        <v>0.17134722222222215</v>
      </c>
      <c r="AK9" s="498">
        <v>0.51404166666666651</v>
      </c>
    </row>
    <row r="10" spans="1:37">
      <c r="A10" s="465" t="s">
        <v>36</v>
      </c>
      <c r="B10" s="475">
        <v>6.9400000000000013</v>
      </c>
      <c r="C10" s="423">
        <v>20.820000000000004</v>
      </c>
      <c r="D10" s="423">
        <v>7.8180246913580234E-2</v>
      </c>
      <c r="E10" s="476">
        <v>0.23454074074074072</v>
      </c>
      <c r="G10" s="497" t="s">
        <v>180</v>
      </c>
      <c r="H10" s="498">
        <v>9.0333333333333332</v>
      </c>
      <c r="I10" s="498">
        <v>27.1</v>
      </c>
      <c r="J10" s="498">
        <v>0.20053333333333337</v>
      </c>
      <c r="K10" s="498">
        <v>0.60160000000000013</v>
      </c>
      <c r="L10" s="451" t="s">
        <v>426</v>
      </c>
      <c r="AI10" s="497" t="s">
        <v>172</v>
      </c>
      <c r="AJ10" s="498">
        <v>0.15832407407407409</v>
      </c>
      <c r="AK10" s="498">
        <v>0.47497222222222224</v>
      </c>
    </row>
    <row r="11" spans="1:37">
      <c r="A11" s="465" t="s">
        <v>414</v>
      </c>
      <c r="B11" s="475">
        <v>5.3766666666666749</v>
      </c>
      <c r="C11" s="423">
        <v>16.130000000000024</v>
      </c>
      <c r="D11" s="423">
        <v>0.17522222222222217</v>
      </c>
      <c r="E11" s="476">
        <v>0.5256666666666665</v>
      </c>
      <c r="G11" s="497" t="s">
        <v>219</v>
      </c>
      <c r="H11" s="498">
        <v>9.0208333333333357</v>
      </c>
      <c r="I11" s="498">
        <v>27.0625</v>
      </c>
      <c r="J11" s="498">
        <v>6.6191077987112643E-2</v>
      </c>
      <c r="K11" s="498">
        <v>0.19857323396133791</v>
      </c>
      <c r="L11" s="451" t="s">
        <v>426</v>
      </c>
      <c r="AI11" s="497" t="s">
        <v>174</v>
      </c>
      <c r="AJ11" s="498">
        <v>0.15302777777777787</v>
      </c>
      <c r="AK11" s="498">
        <v>0.45908333333333362</v>
      </c>
    </row>
    <row r="12" spans="1:37">
      <c r="A12" s="465" t="s">
        <v>137</v>
      </c>
      <c r="B12" s="475">
        <v>8.7355555555555569</v>
      </c>
      <c r="C12" s="423">
        <v>26.206666666666667</v>
      </c>
      <c r="D12" s="423">
        <v>8.2601234567901277E-2</v>
      </c>
      <c r="E12" s="476">
        <v>0.24780370370370383</v>
      </c>
      <c r="G12" s="497" t="s">
        <v>170</v>
      </c>
      <c r="H12" s="498">
        <v>8.637777777777778</v>
      </c>
      <c r="I12" s="498">
        <v>25.91333333333333</v>
      </c>
      <c r="J12" s="498">
        <v>0.11518981481481479</v>
      </c>
      <c r="K12" s="498">
        <v>0.34556944444444443</v>
      </c>
      <c r="L12" s="451" t="s">
        <v>426</v>
      </c>
      <c r="AI12" s="497" t="s">
        <v>408</v>
      </c>
      <c r="AJ12" s="498">
        <v>0.14233333333333331</v>
      </c>
      <c r="AK12" s="498">
        <v>0.42699999999999994</v>
      </c>
    </row>
    <row r="13" spans="1:37">
      <c r="A13" s="465" t="s">
        <v>415</v>
      </c>
      <c r="B13" s="475">
        <v>6.8666666666666645</v>
      </c>
      <c r="C13" s="423">
        <v>20.599999999999994</v>
      </c>
      <c r="D13" s="423">
        <v>0.19556666666666669</v>
      </c>
      <c r="E13" s="476">
        <v>0.58670000000000011</v>
      </c>
      <c r="G13" s="497" t="s">
        <v>59</v>
      </c>
      <c r="H13" s="498">
        <v>8.543333333333333</v>
      </c>
      <c r="I13" s="498">
        <v>25.629999999999995</v>
      </c>
      <c r="J13" s="498">
        <v>0.10225037037037035</v>
      </c>
      <c r="K13" s="498">
        <v>0.30675111111111109</v>
      </c>
      <c r="L13" s="451" t="s">
        <v>426</v>
      </c>
      <c r="AI13" s="497" t="s">
        <v>178</v>
      </c>
      <c r="AJ13" s="498">
        <v>0.14019999999999999</v>
      </c>
      <c r="AK13" s="498">
        <v>0.42059999999999997</v>
      </c>
    </row>
    <row r="14" spans="1:37">
      <c r="A14" s="465" t="s">
        <v>420</v>
      </c>
      <c r="B14" s="475">
        <v>5.833333333333333</v>
      </c>
      <c r="C14" s="423">
        <v>17.5</v>
      </c>
      <c r="D14" s="423">
        <v>5.4999999999999993E-2</v>
      </c>
      <c r="E14" s="476">
        <v>0.16499999999999998</v>
      </c>
      <c r="G14" s="497" t="s">
        <v>172</v>
      </c>
      <c r="H14" s="498">
        <v>8.5066666666666677</v>
      </c>
      <c r="I14" s="498">
        <v>25.520000000000003</v>
      </c>
      <c r="J14" s="498">
        <v>0.15832407407407409</v>
      </c>
      <c r="K14" s="498">
        <v>0.47497222222222224</v>
      </c>
      <c r="L14" s="451" t="s">
        <v>426</v>
      </c>
      <c r="AI14" s="497" t="s">
        <v>407</v>
      </c>
      <c r="AJ14" s="498">
        <v>0.1384444444444444</v>
      </c>
      <c r="AK14" s="498">
        <v>0.41533333333333322</v>
      </c>
    </row>
    <row r="15" spans="1:37">
      <c r="A15" s="465" t="s">
        <v>57</v>
      </c>
      <c r="B15" s="475">
        <v>2.7300000000000009</v>
      </c>
      <c r="C15" s="423">
        <v>8.1900000000000031</v>
      </c>
      <c r="D15" s="423">
        <v>8.5833333333333359E-2</v>
      </c>
      <c r="E15" s="476">
        <v>0.25750000000000006</v>
      </c>
      <c r="G15" s="497" t="s">
        <v>178</v>
      </c>
      <c r="H15" s="498">
        <v>8.2550000000000026</v>
      </c>
      <c r="I15" s="498">
        <v>24.765000000000004</v>
      </c>
      <c r="J15" s="498">
        <v>0.14019999999999999</v>
      </c>
      <c r="K15" s="498">
        <v>0.42059999999999997</v>
      </c>
      <c r="L15" s="451" t="s">
        <v>426</v>
      </c>
      <c r="AI15" s="497" t="s">
        <v>67</v>
      </c>
      <c r="AJ15" s="498">
        <v>0.1269951625094482</v>
      </c>
      <c r="AK15" s="498">
        <v>0.3809854875283446</v>
      </c>
    </row>
    <row r="16" spans="1:37">
      <c r="A16" s="465" t="s">
        <v>416</v>
      </c>
      <c r="B16" s="475">
        <v>2.6400000000000006</v>
      </c>
      <c r="C16" s="423">
        <v>7.9200000000000017</v>
      </c>
      <c r="D16" s="423">
        <v>9.1259259259259262E-2</v>
      </c>
      <c r="E16" s="476">
        <v>0.27377777777777779</v>
      </c>
      <c r="G16" s="497" t="s">
        <v>139</v>
      </c>
      <c r="H16" s="498">
        <v>7.5759999999999987</v>
      </c>
      <c r="I16" s="498">
        <v>22.727999999999998</v>
      </c>
      <c r="J16" s="498">
        <v>7.0703703703703685E-2</v>
      </c>
      <c r="K16" s="498">
        <v>0.21211111111111108</v>
      </c>
      <c r="L16" s="451" t="s">
        <v>426</v>
      </c>
      <c r="AI16" s="497" t="s">
        <v>168</v>
      </c>
      <c r="AJ16" s="498">
        <v>0.12304058915603064</v>
      </c>
      <c r="AK16" s="498">
        <v>0.36912176746809194</v>
      </c>
    </row>
    <row r="17" spans="1:37">
      <c r="A17" s="465" t="s">
        <v>77</v>
      </c>
      <c r="B17" s="475">
        <v>6.8766666666666652</v>
      </c>
      <c r="C17" s="423">
        <v>20.629999999999995</v>
      </c>
      <c r="D17" s="423">
        <v>5.6416666666666705E-2</v>
      </c>
      <c r="E17" s="476">
        <v>0.16925000000000012</v>
      </c>
      <c r="G17" s="497" t="s">
        <v>123</v>
      </c>
      <c r="H17" s="498">
        <v>7.4253333333333345</v>
      </c>
      <c r="I17" s="498">
        <v>22.276</v>
      </c>
      <c r="J17" s="498">
        <v>8.2593333333333324E-2</v>
      </c>
      <c r="K17" s="498">
        <v>0.24777999999999997</v>
      </c>
      <c r="L17" s="451" t="s">
        <v>426</v>
      </c>
      <c r="AI17" s="497" t="s">
        <v>410</v>
      </c>
      <c r="AJ17" s="498">
        <v>0.11566666666666665</v>
      </c>
      <c r="AK17" s="498">
        <v>0.34699999999999998</v>
      </c>
    </row>
    <row r="18" spans="1:37">
      <c r="A18" s="465" t="s">
        <v>47</v>
      </c>
      <c r="B18" s="475">
        <v>5.9899999999999993</v>
      </c>
      <c r="C18" s="423">
        <v>17.97</v>
      </c>
      <c r="D18" s="423">
        <v>3.7228571428571437E-2</v>
      </c>
      <c r="E18" s="476">
        <v>0.11168571428571432</v>
      </c>
      <c r="G18" s="497" t="s">
        <v>61</v>
      </c>
      <c r="H18" s="498">
        <v>7.3172727272727256</v>
      </c>
      <c r="I18" s="498">
        <v>21.951818181818172</v>
      </c>
      <c r="J18" s="498">
        <v>5.7329859659223464E-2</v>
      </c>
      <c r="K18" s="498">
        <v>0.17198957897767039</v>
      </c>
      <c r="L18" s="454" t="s">
        <v>426</v>
      </c>
      <c r="AI18" s="497" t="s">
        <v>170</v>
      </c>
      <c r="AJ18" s="498">
        <v>0.11518981481481479</v>
      </c>
      <c r="AK18" s="498">
        <v>0.34556944444444443</v>
      </c>
    </row>
    <row r="19" spans="1:37">
      <c r="A19" s="465" t="s">
        <v>202</v>
      </c>
      <c r="B19" s="475">
        <v>0.53666666666666651</v>
      </c>
      <c r="C19" s="423">
        <v>1.6099999999999994</v>
      </c>
      <c r="D19" s="423">
        <v>0.10716666666666666</v>
      </c>
      <c r="E19" s="476">
        <v>0.32149999999999995</v>
      </c>
      <c r="G19" s="497" t="s">
        <v>36</v>
      </c>
      <c r="H19" s="498">
        <v>6.9400000000000013</v>
      </c>
      <c r="I19" s="498">
        <v>20.820000000000004</v>
      </c>
      <c r="J19" s="498">
        <v>7.8180246913580234E-2</v>
      </c>
      <c r="K19" s="498">
        <v>0.23454074074074072</v>
      </c>
      <c r="L19" s="451" t="s">
        <v>426</v>
      </c>
      <c r="AI19" s="497" t="s">
        <v>59</v>
      </c>
      <c r="AJ19" s="498">
        <v>0.10225037037037035</v>
      </c>
      <c r="AK19" s="498">
        <v>0.30675111111111109</v>
      </c>
    </row>
    <row r="20" spans="1:37">
      <c r="A20" s="465" t="s">
        <v>127</v>
      </c>
      <c r="B20" s="475">
        <v>1.5</v>
      </c>
      <c r="C20" s="423">
        <v>4.5</v>
      </c>
      <c r="D20" s="423">
        <v>0.27766666666666667</v>
      </c>
      <c r="E20" s="476">
        <v>0.83300000000000007</v>
      </c>
      <c r="G20" s="497" t="s">
        <v>574</v>
      </c>
      <c r="H20" s="498">
        <v>6.166666666666667</v>
      </c>
      <c r="I20" s="498">
        <v>18.5</v>
      </c>
      <c r="J20" s="498">
        <v>0.11566666666666665</v>
      </c>
      <c r="K20" s="498">
        <v>0.34699999999999998</v>
      </c>
      <c r="L20" s="451" t="s">
        <v>426</v>
      </c>
      <c r="AI20" s="497" t="s">
        <v>50</v>
      </c>
      <c r="AJ20" s="498">
        <v>9.2405555555555546E-2</v>
      </c>
      <c r="AK20" s="498">
        <v>0.27721666666666667</v>
      </c>
    </row>
    <row r="21" spans="1:37">
      <c r="A21" s="465" t="s">
        <v>231</v>
      </c>
      <c r="B21" s="475">
        <v>10.816666666666668</v>
      </c>
      <c r="C21" s="423">
        <v>32.450000000000003</v>
      </c>
      <c r="D21" s="423">
        <v>0</v>
      </c>
      <c r="E21" s="476">
        <v>0</v>
      </c>
      <c r="G21" s="497" t="s">
        <v>47</v>
      </c>
      <c r="H21" s="498">
        <v>5.9899999999999993</v>
      </c>
      <c r="I21" s="498">
        <v>17.97</v>
      </c>
      <c r="J21" s="498">
        <v>3.7228571428571437E-2</v>
      </c>
      <c r="K21" s="498">
        <v>0.11168571428571432</v>
      </c>
      <c r="L21" s="451" t="s">
        <v>426</v>
      </c>
      <c r="AI21" s="497" t="s">
        <v>416</v>
      </c>
      <c r="AJ21" s="498">
        <v>9.1259259259259262E-2</v>
      </c>
      <c r="AK21" s="498">
        <v>0.27377777777777779</v>
      </c>
    </row>
    <row r="22" spans="1:37">
      <c r="A22" s="465" t="s">
        <v>115</v>
      </c>
      <c r="B22" s="475">
        <v>2.1049999999999995</v>
      </c>
      <c r="C22" s="423">
        <v>6.3149999999999995</v>
      </c>
      <c r="D22" s="423">
        <v>2.8555555555555567E-2</v>
      </c>
      <c r="E22" s="476">
        <v>8.5666666666666696E-2</v>
      </c>
      <c r="G22" s="497" t="s">
        <v>70</v>
      </c>
      <c r="H22" s="498">
        <v>5.8499999999999988</v>
      </c>
      <c r="I22" s="498">
        <v>17.549999999999997</v>
      </c>
      <c r="J22" s="498">
        <v>6.9983333333333259E-2</v>
      </c>
      <c r="K22" s="498">
        <v>0.20994999999999975</v>
      </c>
      <c r="L22" s="451" t="s">
        <v>426</v>
      </c>
      <c r="AI22" s="497" t="s">
        <v>176</v>
      </c>
      <c r="AJ22" s="498">
        <v>8.7416666666666656E-2</v>
      </c>
      <c r="AK22" s="498">
        <v>0.26224999999999998</v>
      </c>
    </row>
    <row r="23" spans="1:37">
      <c r="A23" s="465" t="s">
        <v>113</v>
      </c>
      <c r="B23" s="475">
        <v>2.4050000000000002</v>
      </c>
      <c r="C23" s="423">
        <v>7.2149999999999999</v>
      </c>
      <c r="D23" s="423">
        <v>0.11178511904761905</v>
      </c>
      <c r="E23" s="476">
        <v>0.33535535714285714</v>
      </c>
      <c r="G23" s="497" t="s">
        <v>106</v>
      </c>
      <c r="H23" s="498">
        <v>5.2149999999999972</v>
      </c>
      <c r="I23" s="498">
        <v>15.644999999999992</v>
      </c>
      <c r="J23" s="498">
        <v>4.7537500000000003E-2</v>
      </c>
      <c r="K23" s="498">
        <v>0.1426125</v>
      </c>
      <c r="L23" s="451" t="s">
        <v>426</v>
      </c>
      <c r="AI23" s="497" t="s">
        <v>96</v>
      </c>
      <c r="AJ23" s="498">
        <v>8.5066666666666652E-2</v>
      </c>
      <c r="AK23" s="498">
        <v>0.25519999999999998</v>
      </c>
    </row>
    <row r="24" spans="1:37">
      <c r="A24" s="465" t="s">
        <v>61</v>
      </c>
      <c r="B24" s="475">
        <v>7.3172727272727256</v>
      </c>
      <c r="C24" s="423">
        <v>21.951818181818172</v>
      </c>
      <c r="D24" s="423">
        <v>5.7329859659223464E-2</v>
      </c>
      <c r="E24" s="476">
        <v>0.17198957897767039</v>
      </c>
      <c r="G24" s="497" t="s">
        <v>407</v>
      </c>
      <c r="H24" s="498">
        <v>5.1716666666666669</v>
      </c>
      <c r="I24" s="498">
        <v>15.515000000000001</v>
      </c>
      <c r="J24" s="498">
        <v>0.1384444444444444</v>
      </c>
      <c r="K24" s="498">
        <v>0.41533333333333322</v>
      </c>
      <c r="L24" s="451" t="s">
        <v>426</v>
      </c>
      <c r="AI24" s="497" t="s">
        <v>123</v>
      </c>
      <c r="AJ24" s="498">
        <v>8.2593333333333324E-2</v>
      </c>
      <c r="AK24" s="498">
        <v>0.24777999999999997</v>
      </c>
    </row>
    <row r="25" spans="1:37">
      <c r="A25" s="465" t="s">
        <v>71</v>
      </c>
      <c r="B25" s="475">
        <v>4.9983333333333295</v>
      </c>
      <c r="C25" s="423">
        <v>14.99499999999999</v>
      </c>
      <c r="D25" s="423">
        <v>2.3825925925925955E-2</v>
      </c>
      <c r="E25" s="476">
        <v>7.1477777777777862E-2</v>
      </c>
      <c r="G25" s="497" t="s">
        <v>168</v>
      </c>
      <c r="H25" s="498">
        <v>5.1333333333333337</v>
      </c>
      <c r="I25" s="498">
        <v>15.400000000000002</v>
      </c>
      <c r="J25" s="498">
        <v>0.12304058915603064</v>
      </c>
      <c r="K25" s="498">
        <v>0.36912176746809194</v>
      </c>
      <c r="L25" s="451" t="s">
        <v>426</v>
      </c>
      <c r="AI25" s="497" t="s">
        <v>36</v>
      </c>
      <c r="AJ25" s="498">
        <v>7.8180246913580234E-2</v>
      </c>
      <c r="AK25" s="498">
        <v>0.23454074074074072</v>
      </c>
    </row>
    <row r="26" spans="1:37">
      <c r="A26" s="465" t="s">
        <v>33</v>
      </c>
      <c r="B26" s="475">
        <v>4.6385185185185174</v>
      </c>
      <c r="C26" s="423">
        <v>13.915555555555553</v>
      </c>
      <c r="D26" s="423">
        <v>3.9291975308641973E-2</v>
      </c>
      <c r="E26" s="476">
        <v>0.11787592592592594</v>
      </c>
      <c r="G26" s="497" t="s">
        <v>71</v>
      </c>
      <c r="H26" s="498">
        <v>4.9983333333333295</v>
      </c>
      <c r="I26" s="498">
        <v>14.99499999999999</v>
      </c>
      <c r="J26" s="498">
        <v>2.3825925925925955E-2</v>
      </c>
      <c r="K26" s="498">
        <v>7.1477777777777862E-2</v>
      </c>
      <c r="L26" s="451" t="s">
        <v>426</v>
      </c>
      <c r="AI26" s="497" t="s">
        <v>209</v>
      </c>
      <c r="AJ26" s="498">
        <v>7.1625791864496982E-2</v>
      </c>
      <c r="AK26" s="498">
        <v>0.21487737559349096</v>
      </c>
    </row>
    <row r="27" spans="1:37">
      <c r="A27" s="465" t="s">
        <v>154</v>
      </c>
      <c r="B27" s="475">
        <v>4.5333333333333341</v>
      </c>
      <c r="C27" s="423">
        <v>13.600000000000001</v>
      </c>
      <c r="D27" s="423">
        <v>0.15233333333333335</v>
      </c>
      <c r="E27" s="476">
        <v>0.45700000000000007</v>
      </c>
      <c r="G27" s="497" t="s">
        <v>215</v>
      </c>
      <c r="H27" s="498">
        <v>4.75</v>
      </c>
      <c r="I27" s="498">
        <v>14.25</v>
      </c>
      <c r="J27" s="498">
        <v>4.2500000000000059E-2</v>
      </c>
      <c r="K27" s="498">
        <v>0.12750000000000017</v>
      </c>
      <c r="L27" s="451" t="s">
        <v>426</v>
      </c>
      <c r="AI27" s="497" t="s">
        <v>139</v>
      </c>
      <c r="AJ27" s="498">
        <v>7.0703703703703685E-2</v>
      </c>
      <c r="AK27" s="498">
        <v>0.21211111111111108</v>
      </c>
    </row>
    <row r="28" spans="1:37">
      <c r="A28" s="465" t="s">
        <v>355</v>
      </c>
      <c r="B28" s="475">
        <v>1</v>
      </c>
      <c r="C28" s="423">
        <v>3</v>
      </c>
      <c r="D28" s="423">
        <v>7.2111111111110571E-3</v>
      </c>
      <c r="E28" s="476">
        <v>2.1633333333333171E-2</v>
      </c>
      <c r="G28" s="497" t="s">
        <v>196</v>
      </c>
      <c r="H28" s="498">
        <v>4.6366666666666703</v>
      </c>
      <c r="I28" s="498">
        <v>13.910000000000011</v>
      </c>
      <c r="J28" s="498">
        <v>3.7047619047619072E-2</v>
      </c>
      <c r="K28" s="498">
        <v>0.11114285714285721</v>
      </c>
      <c r="L28" s="451" t="s">
        <v>426</v>
      </c>
      <c r="AI28" s="497" t="s">
        <v>70</v>
      </c>
      <c r="AJ28" s="498">
        <v>6.9983333333333259E-2</v>
      </c>
      <c r="AK28" s="498">
        <v>0.20994999999999975</v>
      </c>
    </row>
    <row r="29" spans="1:37">
      <c r="A29" s="465" t="s">
        <v>67</v>
      </c>
      <c r="B29" s="475">
        <v>1.4528571428571424</v>
      </c>
      <c r="C29" s="423">
        <v>4.3585714285714277</v>
      </c>
      <c r="D29" s="423">
        <v>0.1269951625094482</v>
      </c>
      <c r="E29" s="476">
        <v>0.3809854875283446</v>
      </c>
      <c r="G29" s="497" t="s">
        <v>412</v>
      </c>
      <c r="H29" s="498">
        <v>4.3433333333333337</v>
      </c>
      <c r="I29" s="498">
        <v>13.030000000000001</v>
      </c>
      <c r="J29" s="498">
        <v>6.3931109750141754E-2</v>
      </c>
      <c r="K29" s="498">
        <v>0.19179332925042525</v>
      </c>
      <c r="L29" s="454" t="s">
        <v>426</v>
      </c>
      <c r="AI29" s="497" t="s">
        <v>234</v>
      </c>
      <c r="AJ29" s="498">
        <v>6.945833333333333E-2</v>
      </c>
      <c r="AK29" s="498">
        <v>0.20837499999999998</v>
      </c>
    </row>
    <row r="30" spans="1:37">
      <c r="A30" s="465" t="s">
        <v>106</v>
      </c>
      <c r="B30" s="475">
        <v>5.2149999999999972</v>
      </c>
      <c r="C30" s="423">
        <v>15.644999999999992</v>
      </c>
      <c r="D30" s="423">
        <v>4.7537500000000003E-2</v>
      </c>
      <c r="E30" s="476">
        <v>0.1426125</v>
      </c>
      <c r="G30" s="497" t="s">
        <v>176</v>
      </c>
      <c r="H30" s="498">
        <v>3.65</v>
      </c>
      <c r="I30" s="498">
        <v>10.95</v>
      </c>
      <c r="J30" s="498">
        <v>8.7416666666666656E-2</v>
      </c>
      <c r="K30" s="498">
        <v>0.26224999999999998</v>
      </c>
      <c r="L30" s="451" t="s">
        <v>426</v>
      </c>
      <c r="AI30" s="497" t="s">
        <v>133</v>
      </c>
      <c r="AJ30" s="498">
        <v>6.7877222222222214E-2</v>
      </c>
      <c r="AK30" s="498">
        <v>0.20363166666666666</v>
      </c>
    </row>
    <row r="31" spans="1:37">
      <c r="A31" s="465" t="s">
        <v>92</v>
      </c>
      <c r="B31" s="475">
        <v>3.25</v>
      </c>
      <c r="C31" s="423">
        <v>9.75</v>
      </c>
      <c r="D31" s="423">
        <v>1.6333333333333311E-2</v>
      </c>
      <c r="E31" s="476">
        <v>4.8999999999999932E-2</v>
      </c>
      <c r="G31" s="497" t="s">
        <v>409</v>
      </c>
      <c r="H31" s="498">
        <v>3.3766666666666665</v>
      </c>
      <c r="I31" s="498">
        <v>10.129999999999999</v>
      </c>
      <c r="J31" s="498">
        <v>5.4916666666666669E-2</v>
      </c>
      <c r="K31" s="498">
        <v>0.16475000000000001</v>
      </c>
      <c r="L31" s="451" t="s">
        <v>426</v>
      </c>
      <c r="AI31" s="497" t="s">
        <v>219</v>
      </c>
      <c r="AJ31" s="498">
        <v>6.6191077987112643E-2</v>
      </c>
      <c r="AK31" s="498">
        <v>0.19857323396133791</v>
      </c>
    </row>
    <row r="32" spans="1:37">
      <c r="A32" s="465" t="s">
        <v>209</v>
      </c>
      <c r="B32" s="475">
        <v>2.5883333333333338</v>
      </c>
      <c r="C32" s="423">
        <v>7.7650000000000006</v>
      </c>
      <c r="D32" s="423">
        <v>7.1625791864496982E-2</v>
      </c>
      <c r="E32" s="476">
        <v>0.21487737559349096</v>
      </c>
      <c r="G32" s="497" t="s">
        <v>234</v>
      </c>
      <c r="H32" s="498">
        <v>3.3333333333333335</v>
      </c>
      <c r="I32" s="498">
        <v>10</v>
      </c>
      <c r="J32" s="498">
        <v>6.945833333333333E-2</v>
      </c>
      <c r="K32" s="498">
        <v>0.20837499999999998</v>
      </c>
      <c r="L32" s="451" t="s">
        <v>426</v>
      </c>
      <c r="AI32" s="497" t="s">
        <v>412</v>
      </c>
      <c r="AJ32" s="498">
        <v>6.3931109750141754E-2</v>
      </c>
      <c r="AK32" s="498">
        <v>0.19179332925042525</v>
      </c>
    </row>
    <row r="33" spans="1:37">
      <c r="A33" s="465" t="s">
        <v>38</v>
      </c>
      <c r="B33" s="475">
        <v>2.7319999999999998</v>
      </c>
      <c r="C33" s="423">
        <v>8.1959999999999997</v>
      </c>
      <c r="D33" s="423">
        <v>6.7138888888888887E-2</v>
      </c>
      <c r="E33" s="476">
        <v>0.20141666666666672</v>
      </c>
      <c r="G33" s="497" t="s">
        <v>96</v>
      </c>
      <c r="H33" s="498">
        <v>2.8633333333333328</v>
      </c>
      <c r="I33" s="498">
        <v>8.5899999999999981</v>
      </c>
      <c r="J33" s="498">
        <v>8.5066666666666652E-2</v>
      </c>
      <c r="K33" s="498">
        <v>0.25519999999999998</v>
      </c>
      <c r="L33" s="451" t="s">
        <v>426</v>
      </c>
      <c r="AI33" s="497" t="s">
        <v>411</v>
      </c>
      <c r="AJ33" s="498">
        <v>6.1699999999999998E-2</v>
      </c>
      <c r="AK33" s="498">
        <v>0.18509999999999999</v>
      </c>
    </row>
    <row r="34" spans="1:37">
      <c r="A34" s="465" t="s">
        <v>133</v>
      </c>
      <c r="B34" s="475">
        <v>1.0026666666666666</v>
      </c>
      <c r="C34" s="423">
        <v>3.008</v>
      </c>
      <c r="D34" s="423">
        <v>6.7877222222222214E-2</v>
      </c>
      <c r="E34" s="476">
        <v>0.20363166666666666</v>
      </c>
      <c r="G34" s="497" t="s">
        <v>82</v>
      </c>
      <c r="H34" s="498">
        <v>2.6946666666666674</v>
      </c>
      <c r="I34" s="498">
        <v>8.0840000000000014</v>
      </c>
      <c r="J34" s="498">
        <v>0.26246666666666668</v>
      </c>
      <c r="K34" s="498">
        <v>0.7874000000000001</v>
      </c>
      <c r="L34" s="451" t="s">
        <v>426</v>
      </c>
      <c r="AI34" s="497" t="s">
        <v>61</v>
      </c>
      <c r="AJ34" s="498">
        <v>5.7329859659223464E-2</v>
      </c>
      <c r="AK34" s="498">
        <v>0.17198957897767039</v>
      </c>
    </row>
    <row r="35" spans="1:37">
      <c r="A35" s="465" t="s">
        <v>188</v>
      </c>
      <c r="B35" s="475">
        <v>6.4799999999999995</v>
      </c>
      <c r="C35" s="423">
        <v>19.439999999999998</v>
      </c>
      <c r="D35" s="423">
        <v>0.11077777777777775</v>
      </c>
      <c r="E35" s="476">
        <v>0.33233333333333326</v>
      </c>
      <c r="G35" s="497" t="s">
        <v>416</v>
      </c>
      <c r="H35" s="498">
        <v>2.6400000000000006</v>
      </c>
      <c r="I35" s="498">
        <v>7.9200000000000017</v>
      </c>
      <c r="J35" s="498">
        <v>9.1259259259259262E-2</v>
      </c>
      <c r="K35" s="498">
        <v>0.27377777777777779</v>
      </c>
      <c r="L35" s="451" t="s">
        <v>426</v>
      </c>
      <c r="AI35" s="497" t="s">
        <v>409</v>
      </c>
      <c r="AJ35" s="498">
        <v>5.4916666666666669E-2</v>
      </c>
      <c r="AK35" s="498">
        <v>0.16475000000000001</v>
      </c>
    </row>
    <row r="36" spans="1:37">
      <c r="A36" s="465" t="s">
        <v>96</v>
      </c>
      <c r="B36" s="475">
        <v>2.8633333333333328</v>
      </c>
      <c r="C36" s="423">
        <v>8.5899999999999981</v>
      </c>
      <c r="D36" s="423">
        <v>8.5066666666666652E-2</v>
      </c>
      <c r="E36" s="476">
        <v>0.25519999999999998</v>
      </c>
      <c r="G36" s="497" t="s">
        <v>575</v>
      </c>
      <c r="H36" s="498">
        <v>2.5883333333333338</v>
      </c>
      <c r="I36" s="498">
        <v>7.7650000000000006</v>
      </c>
      <c r="J36" s="498">
        <v>7.1625791864496982E-2</v>
      </c>
      <c r="K36" s="498">
        <v>0.21487737559349096</v>
      </c>
      <c r="L36" s="451" t="s">
        <v>426</v>
      </c>
      <c r="AI36" s="497" t="s">
        <v>45</v>
      </c>
      <c r="AJ36" s="498">
        <v>4.94833333333334E-2</v>
      </c>
      <c r="AK36" s="498">
        <v>0.14845000000000019</v>
      </c>
    </row>
    <row r="37" spans="1:37">
      <c r="A37" s="465" t="s">
        <v>108</v>
      </c>
      <c r="B37" s="475">
        <v>6.5822222222222235</v>
      </c>
      <c r="C37" s="423">
        <v>19.746666666666666</v>
      </c>
      <c r="D37" s="423">
        <v>0.14432222222222224</v>
      </c>
      <c r="E37" s="476">
        <v>0.43296666666666672</v>
      </c>
      <c r="G37" s="497" t="s">
        <v>411</v>
      </c>
      <c r="H37" s="498">
        <v>2.1573333333333329</v>
      </c>
      <c r="I37" s="498">
        <v>6.4719999999999995</v>
      </c>
      <c r="J37" s="498">
        <v>6.1699999999999998E-2</v>
      </c>
      <c r="K37" s="498">
        <v>0.18509999999999999</v>
      </c>
      <c r="L37" s="451" t="s">
        <v>426</v>
      </c>
      <c r="AI37" s="497" t="s">
        <v>106</v>
      </c>
      <c r="AJ37" s="498">
        <v>4.7537500000000003E-2</v>
      </c>
      <c r="AK37" s="498">
        <v>0.1426125</v>
      </c>
    </row>
    <row r="38" spans="1:37">
      <c r="A38" s="465" t="s">
        <v>186</v>
      </c>
      <c r="B38" s="475">
        <v>8.83</v>
      </c>
      <c r="C38" s="423">
        <v>26.49</v>
      </c>
      <c r="D38" s="423">
        <v>0.2378518518518519</v>
      </c>
      <c r="E38" s="476">
        <v>0.71355555555555572</v>
      </c>
      <c r="G38" s="497" t="s">
        <v>50</v>
      </c>
      <c r="H38" s="498">
        <v>1.5433333333333332</v>
      </c>
      <c r="I38" s="498">
        <v>4.629999999999999</v>
      </c>
      <c r="J38" s="498">
        <v>9.2405555555555546E-2</v>
      </c>
      <c r="K38" s="498">
        <v>0.27721666666666667</v>
      </c>
      <c r="L38" s="451" t="s">
        <v>426</v>
      </c>
      <c r="AI38" s="497" t="s">
        <v>182</v>
      </c>
      <c r="AJ38" s="498">
        <v>4.5666666666666599E-2</v>
      </c>
      <c r="AK38" s="498">
        <v>0.13699999999999979</v>
      </c>
    </row>
    <row r="39" spans="1:37">
      <c r="A39" s="465" t="s">
        <v>180</v>
      </c>
      <c r="B39" s="475">
        <v>9.0333333333333332</v>
      </c>
      <c r="C39" s="423">
        <v>27.1</v>
      </c>
      <c r="D39" s="423">
        <v>0.20053333333333337</v>
      </c>
      <c r="E39" s="476">
        <v>0.60160000000000013</v>
      </c>
      <c r="G39" s="497" t="s">
        <v>127</v>
      </c>
      <c r="H39" s="498">
        <v>1.5</v>
      </c>
      <c r="I39" s="498">
        <v>4.5</v>
      </c>
      <c r="J39" s="498">
        <v>0.27766666666666667</v>
      </c>
      <c r="K39" s="498">
        <v>0.83300000000000007</v>
      </c>
      <c r="L39" s="451" t="s">
        <v>426</v>
      </c>
      <c r="AI39" s="497" t="s">
        <v>215</v>
      </c>
      <c r="AJ39" s="498">
        <v>4.2500000000000059E-2</v>
      </c>
      <c r="AK39" s="498">
        <v>0.12750000000000017</v>
      </c>
    </row>
    <row r="40" spans="1:37">
      <c r="A40" s="465" t="s">
        <v>408</v>
      </c>
      <c r="B40" s="475">
        <v>15.666666666666666</v>
      </c>
      <c r="C40" s="423">
        <v>47</v>
      </c>
      <c r="D40" s="423">
        <v>0.14233333333333331</v>
      </c>
      <c r="E40" s="476">
        <v>0.42699999999999994</v>
      </c>
      <c r="G40" s="497" t="s">
        <v>75</v>
      </c>
      <c r="H40" s="498">
        <v>1.4850000000000001</v>
      </c>
      <c r="I40" s="498">
        <v>4.4550000000000001</v>
      </c>
      <c r="J40" s="498">
        <v>2.9309722222222223E-2</v>
      </c>
      <c r="K40" s="498">
        <v>8.7929166666666669E-2</v>
      </c>
      <c r="L40" s="451" t="s">
        <v>426</v>
      </c>
      <c r="AI40" s="497" t="s">
        <v>47</v>
      </c>
      <c r="AJ40" s="498">
        <v>3.7228571428571437E-2</v>
      </c>
      <c r="AK40" s="498">
        <v>0.11168571428571432</v>
      </c>
    </row>
    <row r="41" spans="1:37">
      <c r="A41" s="465" t="s">
        <v>419</v>
      </c>
      <c r="B41" s="475">
        <v>0.63333333333333341</v>
      </c>
      <c r="C41" s="423">
        <v>1.9000000000000004</v>
      </c>
      <c r="D41" s="423">
        <v>2.1333333333333343E-2</v>
      </c>
      <c r="E41" s="476">
        <v>6.4000000000000029E-2</v>
      </c>
      <c r="G41" s="497" t="s">
        <v>67</v>
      </c>
      <c r="H41" s="498">
        <v>1.4528571428571424</v>
      </c>
      <c r="I41" s="498">
        <v>4.3585714285714277</v>
      </c>
      <c r="J41" s="498">
        <v>0.1269951625094482</v>
      </c>
      <c r="K41" s="498">
        <v>0.3809854875283446</v>
      </c>
      <c r="L41" s="451" t="s">
        <v>426</v>
      </c>
      <c r="AI41" s="497" t="s">
        <v>196</v>
      </c>
      <c r="AJ41" s="498">
        <v>3.7047619047619072E-2</v>
      </c>
      <c r="AK41" s="498">
        <v>0.11114285714285721</v>
      </c>
    </row>
    <row r="42" spans="1:37">
      <c r="A42" s="465" t="s">
        <v>82</v>
      </c>
      <c r="B42" s="475">
        <v>2.6946666666666674</v>
      </c>
      <c r="C42" s="423">
        <v>8.0840000000000014</v>
      </c>
      <c r="D42" s="423">
        <v>0.26246666666666668</v>
      </c>
      <c r="E42" s="476">
        <v>0.7874000000000001</v>
      </c>
      <c r="G42" s="497" t="s">
        <v>572</v>
      </c>
      <c r="H42" s="498">
        <v>1.2833333333333339</v>
      </c>
      <c r="I42" s="498">
        <v>3.8500000000000014</v>
      </c>
      <c r="J42" s="498">
        <v>0.15302777777777787</v>
      </c>
      <c r="K42" s="498">
        <v>0.45908333333333362</v>
      </c>
      <c r="L42" s="451" t="s">
        <v>426</v>
      </c>
      <c r="AI42" s="497" t="s">
        <v>75</v>
      </c>
      <c r="AJ42" s="498">
        <v>2.9309722222222223E-2</v>
      </c>
      <c r="AK42" s="498">
        <v>8.7929166666666669E-2</v>
      </c>
    </row>
    <row r="43" spans="1:37">
      <c r="A43" s="465" t="s">
        <v>384</v>
      </c>
      <c r="B43" s="475">
        <v>3.776666666666666</v>
      </c>
      <c r="C43" s="423">
        <v>11.329999999999998</v>
      </c>
      <c r="D43" s="423">
        <v>0</v>
      </c>
      <c r="E43" s="476">
        <v>0</v>
      </c>
      <c r="G43" s="497" t="s">
        <v>133</v>
      </c>
      <c r="H43" s="498">
        <v>1.0026666666666666</v>
      </c>
      <c r="I43" s="498">
        <v>3.008</v>
      </c>
      <c r="J43" s="498">
        <v>6.7877222222222214E-2</v>
      </c>
      <c r="K43" s="498">
        <v>0.20363166666666666</v>
      </c>
      <c r="L43" s="451" t="s">
        <v>426</v>
      </c>
      <c r="AI43" s="497" t="s">
        <v>71</v>
      </c>
      <c r="AJ43" s="498">
        <v>2.3825925925925955E-2</v>
      </c>
      <c r="AK43" s="498">
        <v>7.1477777777777862E-2</v>
      </c>
    </row>
    <row r="44" spans="1:37">
      <c r="A44" s="465" t="s">
        <v>86</v>
      </c>
      <c r="B44" s="475">
        <v>10.366666666666667</v>
      </c>
      <c r="C44" s="423">
        <v>31.1</v>
      </c>
      <c r="D44" s="423">
        <v>7.7749999999999986E-2</v>
      </c>
      <c r="E44" s="476">
        <v>0.23324999999999996</v>
      </c>
      <c r="G44" s="497" t="s">
        <v>355</v>
      </c>
      <c r="H44" s="498">
        <v>1</v>
      </c>
      <c r="I44" s="498">
        <v>3</v>
      </c>
      <c r="J44" s="498">
        <v>7.2111111111110571E-3</v>
      </c>
      <c r="K44" s="498">
        <v>2.1633333333333171E-2</v>
      </c>
      <c r="L44" s="451" t="s">
        <v>426</v>
      </c>
      <c r="AI44" s="497" t="s">
        <v>355</v>
      </c>
      <c r="AJ44" s="498">
        <v>7.2111111111110571E-3</v>
      </c>
      <c r="AK44" s="498">
        <v>2.1633333333333171E-2</v>
      </c>
    </row>
    <row r="45" spans="1:37">
      <c r="A45" s="465" t="s">
        <v>192</v>
      </c>
      <c r="B45" s="475">
        <v>1.5</v>
      </c>
      <c r="C45" s="423">
        <v>4.5</v>
      </c>
      <c r="D45" s="423">
        <v>4.2333333333333334E-2</v>
      </c>
      <c r="E45" s="476">
        <v>0.127</v>
      </c>
      <c r="G45" s="497" t="s">
        <v>182</v>
      </c>
      <c r="H45" s="498">
        <v>0.63333333333333286</v>
      </c>
      <c r="I45" s="498">
        <v>1.8999999999999986</v>
      </c>
      <c r="J45" s="498">
        <v>4.5666666666666599E-2</v>
      </c>
      <c r="K45" s="498">
        <v>0.13699999999999979</v>
      </c>
      <c r="L45" s="451" t="s">
        <v>426</v>
      </c>
    </row>
    <row r="46" spans="1:37">
      <c r="A46" s="465" t="s">
        <v>412</v>
      </c>
      <c r="B46" s="475">
        <v>4.3433333333333337</v>
      </c>
      <c r="C46" s="423">
        <v>13.030000000000001</v>
      </c>
      <c r="D46" s="423">
        <v>6.3931109750141754E-2</v>
      </c>
      <c r="E46" s="476">
        <v>0.19179332925042525</v>
      </c>
      <c r="G46" s="497" t="s">
        <v>79</v>
      </c>
      <c r="H46" s="498">
        <v>9.3679999999999986</v>
      </c>
      <c r="I46" s="498">
        <v>28.103999999999996</v>
      </c>
      <c r="J46" s="498">
        <v>5.9047142857142874E-2</v>
      </c>
      <c r="K46" s="498">
        <v>0.17714142857142862</v>
      </c>
      <c r="L46" s="454" t="s">
        <v>428</v>
      </c>
    </row>
    <row r="47" spans="1:37">
      <c r="A47" s="465" t="s">
        <v>196</v>
      </c>
      <c r="B47" s="475">
        <v>4.6366666666666703</v>
      </c>
      <c r="C47" s="423">
        <v>13.910000000000011</v>
      </c>
      <c r="D47" s="423">
        <v>3.7047619047619072E-2</v>
      </c>
      <c r="E47" s="476">
        <v>0.11114285714285721</v>
      </c>
      <c r="G47" s="497" t="s">
        <v>152</v>
      </c>
      <c r="H47" s="498">
        <v>9.1666666666666661</v>
      </c>
      <c r="I47" s="498">
        <v>27.5</v>
      </c>
      <c r="J47" s="498">
        <v>0.22733333333333336</v>
      </c>
      <c r="K47" s="498">
        <v>0.68200000000000005</v>
      </c>
      <c r="L47" s="451" t="s">
        <v>428</v>
      </c>
    </row>
    <row r="48" spans="1:37">
      <c r="A48" s="465" t="s">
        <v>172</v>
      </c>
      <c r="B48" s="475">
        <v>8.5066666666666677</v>
      </c>
      <c r="C48" s="423">
        <v>25.520000000000003</v>
      </c>
      <c r="D48" s="423">
        <v>0.15832407407407409</v>
      </c>
      <c r="E48" s="476">
        <v>0.47497222222222224</v>
      </c>
      <c r="G48" s="497" t="s">
        <v>186</v>
      </c>
      <c r="H48" s="498">
        <v>8.83</v>
      </c>
      <c r="I48" s="498">
        <v>26.49</v>
      </c>
      <c r="J48" s="498">
        <v>0.2378518518518519</v>
      </c>
      <c r="K48" s="498">
        <v>0.71355555555555572</v>
      </c>
      <c r="L48" s="451" t="s">
        <v>428</v>
      </c>
    </row>
    <row r="49" spans="1:12">
      <c r="A49" s="465" t="s">
        <v>213</v>
      </c>
      <c r="B49" s="475">
        <v>6.7066666666666679</v>
      </c>
      <c r="C49" s="423">
        <v>20.120000000000005</v>
      </c>
      <c r="D49" s="423">
        <v>0.21738888888888888</v>
      </c>
      <c r="E49" s="476">
        <v>0.65216666666666667</v>
      </c>
      <c r="G49" s="497" t="s">
        <v>137</v>
      </c>
      <c r="H49" s="498">
        <v>8.7355555555555569</v>
      </c>
      <c r="I49" s="498">
        <v>26.206666666666667</v>
      </c>
      <c r="J49" s="498">
        <v>8.2601234567901277E-2</v>
      </c>
      <c r="K49" s="498">
        <v>0.24780370370370383</v>
      </c>
      <c r="L49" s="454" t="s">
        <v>428</v>
      </c>
    </row>
    <row r="50" spans="1:12">
      <c r="A50" s="465" t="s">
        <v>406</v>
      </c>
      <c r="B50" s="475">
        <v>4.746666666666667</v>
      </c>
      <c r="C50" s="423">
        <v>14.240000000000002</v>
      </c>
      <c r="D50" s="423">
        <v>6.916666666666664E-2</v>
      </c>
      <c r="E50" s="476">
        <v>0.20749999999999991</v>
      </c>
      <c r="G50" s="497" t="s">
        <v>108</v>
      </c>
      <c r="H50" s="498">
        <v>6.5822222222222235</v>
      </c>
      <c r="I50" s="498">
        <v>19.746666666666666</v>
      </c>
      <c r="J50" s="498">
        <v>0.14432222222222224</v>
      </c>
      <c r="K50" s="498">
        <v>0.43296666666666672</v>
      </c>
      <c r="L50" s="451" t="s">
        <v>428</v>
      </c>
    </row>
    <row r="51" spans="1:12">
      <c r="A51" s="465" t="s">
        <v>143</v>
      </c>
      <c r="B51" s="475">
        <v>5</v>
      </c>
      <c r="C51" s="423">
        <v>15</v>
      </c>
      <c r="D51" s="423">
        <v>0.31225000000000008</v>
      </c>
      <c r="E51" s="476">
        <v>0.93675000000000019</v>
      </c>
      <c r="G51" s="497" t="s">
        <v>188</v>
      </c>
      <c r="H51" s="498">
        <v>6.4799999999999995</v>
      </c>
      <c r="I51" s="498">
        <v>19.439999999999998</v>
      </c>
      <c r="J51" s="498">
        <v>0.11077777777777775</v>
      </c>
      <c r="K51" s="498">
        <v>0.33233333333333326</v>
      </c>
      <c r="L51" s="451" t="s">
        <v>428</v>
      </c>
    </row>
    <row r="52" spans="1:12">
      <c r="A52" s="465" t="s">
        <v>204</v>
      </c>
      <c r="B52" s="475">
        <v>2.9949999999999992</v>
      </c>
      <c r="C52" s="423">
        <v>8.9849999999999977</v>
      </c>
      <c r="D52" s="423">
        <v>0.12064768518518519</v>
      </c>
      <c r="E52" s="476">
        <v>0.36194305555555556</v>
      </c>
      <c r="G52" s="497" t="s">
        <v>406</v>
      </c>
      <c r="H52" s="498">
        <v>4.746666666666667</v>
      </c>
      <c r="I52" s="498">
        <v>14.240000000000002</v>
      </c>
      <c r="J52" s="498">
        <v>6.916666666666664E-2</v>
      </c>
      <c r="K52" s="498">
        <v>0.20749999999999991</v>
      </c>
      <c r="L52" s="451" t="s">
        <v>428</v>
      </c>
    </row>
    <row r="53" spans="1:12">
      <c r="A53" s="465" t="s">
        <v>101</v>
      </c>
      <c r="B53" s="475">
        <v>3.1011111111111114</v>
      </c>
      <c r="C53" s="423">
        <v>9.3033333333333346</v>
      </c>
      <c r="D53" s="423">
        <v>6.53962962962963E-2</v>
      </c>
      <c r="E53" s="476">
        <v>0.19618888888888888</v>
      </c>
      <c r="G53" s="497" t="s">
        <v>154</v>
      </c>
      <c r="H53" s="498">
        <v>4.5333333333333341</v>
      </c>
      <c r="I53" s="498">
        <v>13.600000000000001</v>
      </c>
      <c r="J53" s="498">
        <v>0.15233333333333335</v>
      </c>
      <c r="K53" s="498">
        <v>0.45700000000000007</v>
      </c>
      <c r="L53" s="451" t="s">
        <v>428</v>
      </c>
    </row>
    <row r="54" spans="1:12">
      <c r="A54" s="465" t="s">
        <v>152</v>
      </c>
      <c r="B54" s="475">
        <v>9.1666666666666661</v>
      </c>
      <c r="C54" s="423">
        <v>27.5</v>
      </c>
      <c r="D54" s="423">
        <v>0.22733333333333336</v>
      </c>
      <c r="E54" s="476">
        <v>0.68200000000000005</v>
      </c>
      <c r="G54" s="497" t="s">
        <v>103</v>
      </c>
      <c r="H54" s="498">
        <v>4.2722222222222213</v>
      </c>
      <c r="I54" s="498">
        <v>12.816666666666663</v>
      </c>
      <c r="J54" s="498">
        <v>6.9802469135802458E-2</v>
      </c>
      <c r="K54" s="498">
        <v>0.20940740740740738</v>
      </c>
      <c r="L54" s="451" t="s">
        <v>428</v>
      </c>
    </row>
    <row r="55" spans="1:12">
      <c r="A55" s="465" t="s">
        <v>104</v>
      </c>
      <c r="B55" s="475">
        <v>4.4000000000000012</v>
      </c>
      <c r="C55" s="423">
        <v>13.200000000000003</v>
      </c>
      <c r="D55" s="423">
        <v>0.10980000000000001</v>
      </c>
      <c r="E55" s="476">
        <v>0.32940000000000003</v>
      </c>
      <c r="G55" s="497" t="s">
        <v>200</v>
      </c>
      <c r="H55" s="498">
        <v>4.166666666666667</v>
      </c>
      <c r="I55" s="498">
        <v>12.5</v>
      </c>
      <c r="J55" s="498">
        <v>8.7333333333333263E-2</v>
      </c>
      <c r="K55" s="498">
        <v>0.26199999999999979</v>
      </c>
      <c r="L55" s="451" t="s">
        <v>428</v>
      </c>
    </row>
    <row r="56" spans="1:12">
      <c r="A56" s="465" t="s">
        <v>103</v>
      </c>
      <c r="B56" s="475">
        <v>4.2722222222222213</v>
      </c>
      <c r="C56" s="423">
        <v>12.816666666666663</v>
      </c>
      <c r="D56" s="423">
        <v>6.9802469135802458E-2</v>
      </c>
      <c r="E56" s="476">
        <v>0.20940740740740738</v>
      </c>
      <c r="G56" s="497" t="s">
        <v>94</v>
      </c>
      <c r="H56" s="498">
        <v>4.0666666666666673</v>
      </c>
      <c r="I56" s="498">
        <v>12.200000000000003</v>
      </c>
      <c r="J56" s="498">
        <v>8.0766666666666584E-2</v>
      </c>
      <c r="K56" s="498">
        <v>0.24229999999999974</v>
      </c>
      <c r="L56" s="499" t="s">
        <v>428</v>
      </c>
    </row>
    <row r="57" spans="1:12">
      <c r="A57" s="465" t="s">
        <v>139</v>
      </c>
      <c r="B57" s="475">
        <v>7.5759999999999987</v>
      </c>
      <c r="C57" s="423">
        <v>22.727999999999998</v>
      </c>
      <c r="D57" s="423">
        <v>7.0703703703703685E-2</v>
      </c>
      <c r="E57" s="476">
        <v>0.21211111111111108</v>
      </c>
      <c r="G57" s="497" t="s">
        <v>121</v>
      </c>
      <c r="H57" s="498">
        <v>3.5777777777777762</v>
      </c>
      <c r="I57" s="498">
        <v>10.733333333333329</v>
      </c>
      <c r="J57" s="498">
        <v>0.22234351851851852</v>
      </c>
      <c r="K57" s="498">
        <v>0.66703055555555546</v>
      </c>
      <c r="L57" s="451" t="s">
        <v>428</v>
      </c>
    </row>
    <row r="58" spans="1:12">
      <c r="A58" s="465" t="s">
        <v>407</v>
      </c>
      <c r="B58" s="475">
        <v>5.1716666666666669</v>
      </c>
      <c r="C58" s="423">
        <v>15.515000000000001</v>
      </c>
      <c r="D58" s="423">
        <v>0.1384444444444444</v>
      </c>
      <c r="E58" s="476">
        <v>0.41533333333333322</v>
      </c>
      <c r="G58" s="497" t="s">
        <v>92</v>
      </c>
      <c r="H58" s="498">
        <v>3.25</v>
      </c>
      <c r="I58" s="498">
        <v>9.75</v>
      </c>
      <c r="J58" s="498">
        <v>1.6333333333333311E-2</v>
      </c>
      <c r="K58" s="498">
        <v>4.8999999999999932E-2</v>
      </c>
      <c r="L58" s="451" t="s">
        <v>428</v>
      </c>
    </row>
    <row r="59" spans="1:12">
      <c r="A59" s="465" t="s">
        <v>75</v>
      </c>
      <c r="B59" s="475">
        <v>1.4850000000000001</v>
      </c>
      <c r="C59" s="423">
        <v>4.4550000000000001</v>
      </c>
      <c r="D59" s="423">
        <v>2.9309722222222223E-2</v>
      </c>
      <c r="E59" s="476">
        <v>8.7929166666666669E-2</v>
      </c>
      <c r="G59" s="497" t="s">
        <v>98</v>
      </c>
      <c r="H59" s="498">
        <v>3.1999999999999993</v>
      </c>
      <c r="I59" s="498">
        <v>9.5999999999999979</v>
      </c>
      <c r="J59" s="498">
        <v>5.6933333333333357E-2</v>
      </c>
      <c r="K59" s="498">
        <v>0.17080000000000006</v>
      </c>
      <c r="L59" s="454" t="s">
        <v>428</v>
      </c>
    </row>
    <row r="60" spans="1:12">
      <c r="A60" s="465" t="s">
        <v>135</v>
      </c>
      <c r="B60" s="475">
        <v>1.2900000000000007</v>
      </c>
      <c r="C60" s="423">
        <v>3.8700000000000023</v>
      </c>
      <c r="D60" s="423">
        <v>0.11594351851851847</v>
      </c>
      <c r="E60" s="476">
        <v>0.34783055555555542</v>
      </c>
      <c r="G60" s="497" t="s">
        <v>101</v>
      </c>
      <c r="H60" s="498">
        <v>3.1011111111111114</v>
      </c>
      <c r="I60" s="498">
        <v>9.3033333333333346</v>
      </c>
      <c r="J60" s="498">
        <v>6.53962962962963E-2</v>
      </c>
      <c r="K60" s="498">
        <v>0.19618888888888888</v>
      </c>
      <c r="L60" s="451" t="s">
        <v>428</v>
      </c>
    </row>
    <row r="61" spans="1:12">
      <c r="A61" s="465" t="s">
        <v>223</v>
      </c>
      <c r="B61" s="475">
        <v>0.8999999999999998</v>
      </c>
      <c r="C61" s="423">
        <v>2.6999999999999993</v>
      </c>
      <c r="D61" s="423">
        <v>6.0833333333333295E-2</v>
      </c>
      <c r="E61" s="476">
        <v>0.18249999999999988</v>
      </c>
      <c r="G61" s="497" t="s">
        <v>38</v>
      </c>
      <c r="H61" s="498">
        <v>2.7319999999999998</v>
      </c>
      <c r="I61" s="498">
        <v>8.1959999999999997</v>
      </c>
      <c r="J61" s="498">
        <v>6.7138888888888887E-2</v>
      </c>
      <c r="K61" s="498">
        <v>0.20141666666666672</v>
      </c>
      <c r="L61" s="451" t="s">
        <v>428</v>
      </c>
    </row>
    <row r="62" spans="1:12">
      <c r="A62" s="465" t="s">
        <v>125</v>
      </c>
      <c r="B62" s="475">
        <v>1.3500000000000003</v>
      </c>
      <c r="C62" s="423">
        <v>4.0500000000000007</v>
      </c>
      <c r="D62" s="423">
        <v>4.930462962962967E-2</v>
      </c>
      <c r="E62" s="476">
        <v>0.14791388888888901</v>
      </c>
      <c r="G62" s="497" t="s">
        <v>57</v>
      </c>
      <c r="H62" s="498">
        <v>2.7300000000000009</v>
      </c>
      <c r="I62" s="498">
        <v>8.1900000000000031</v>
      </c>
      <c r="J62" s="498">
        <v>8.5833333333333359E-2</v>
      </c>
      <c r="K62" s="498">
        <v>0.25750000000000006</v>
      </c>
      <c r="L62" s="451" t="s">
        <v>428</v>
      </c>
    </row>
    <row r="63" spans="1:12">
      <c r="A63" s="465" t="s">
        <v>234</v>
      </c>
      <c r="B63" s="475">
        <v>3.3333333333333335</v>
      </c>
      <c r="C63" s="423">
        <v>10</v>
      </c>
      <c r="D63" s="423">
        <v>6.945833333333333E-2</v>
      </c>
      <c r="E63" s="476">
        <v>0.20837499999999998</v>
      </c>
      <c r="G63" s="497" t="s">
        <v>430</v>
      </c>
      <c r="H63" s="498">
        <v>2.6983333333333355</v>
      </c>
      <c r="I63" s="498">
        <v>8.095000000000006</v>
      </c>
      <c r="J63" s="498">
        <v>4.5083333333333295E-2</v>
      </c>
      <c r="K63" s="498">
        <v>0.13524999999999987</v>
      </c>
      <c r="L63" s="451" t="s">
        <v>428</v>
      </c>
    </row>
    <row r="64" spans="1:12">
      <c r="A64" s="465" t="s">
        <v>50</v>
      </c>
      <c r="B64" s="475">
        <v>1.5433333333333332</v>
      </c>
      <c r="C64" s="423">
        <v>4.629999999999999</v>
      </c>
      <c r="D64" s="423">
        <v>9.2405555555555546E-2</v>
      </c>
      <c r="E64" s="476">
        <v>0.27721666666666667</v>
      </c>
      <c r="G64" s="497" t="s">
        <v>125</v>
      </c>
      <c r="H64" s="498">
        <v>1.3500000000000003</v>
      </c>
      <c r="I64" s="498">
        <v>4.0500000000000007</v>
      </c>
      <c r="J64" s="498">
        <v>4.930462962962967E-2</v>
      </c>
      <c r="K64" s="498">
        <v>0.14791388888888901</v>
      </c>
      <c r="L64" s="451" t="s">
        <v>428</v>
      </c>
    </row>
    <row r="65" spans="1:12">
      <c r="A65" s="465" t="s">
        <v>194</v>
      </c>
      <c r="B65" s="475">
        <v>1.0066666666666666</v>
      </c>
      <c r="C65" s="423">
        <v>3.0199999999999996</v>
      </c>
      <c r="D65" s="423">
        <v>6.9999999999999993E-2</v>
      </c>
      <c r="E65" s="476">
        <v>0.20999999999999996</v>
      </c>
      <c r="G65" s="497" t="s">
        <v>194</v>
      </c>
      <c r="H65" s="498">
        <v>1.0066666666666666</v>
      </c>
      <c r="I65" s="498">
        <v>3.0199999999999996</v>
      </c>
      <c r="J65" s="498">
        <v>6.9999999999999993E-2</v>
      </c>
      <c r="K65" s="498">
        <v>0.20999999999999996</v>
      </c>
      <c r="L65" s="454" t="s">
        <v>428</v>
      </c>
    </row>
    <row r="66" spans="1:12">
      <c r="A66" s="465" t="s">
        <v>45</v>
      </c>
      <c r="B66" s="475">
        <v>9.6366666666666649</v>
      </c>
      <c r="C66" s="423">
        <v>28.909999999999997</v>
      </c>
      <c r="D66" s="423">
        <v>4.94833333333334E-2</v>
      </c>
      <c r="E66" s="476">
        <v>0.14845000000000019</v>
      </c>
      <c r="G66" s="497" t="s">
        <v>42</v>
      </c>
      <c r="H66" s="498">
        <v>0.66666666666666663</v>
      </c>
      <c r="I66" s="498">
        <v>2</v>
      </c>
      <c r="J66" s="498">
        <v>7.6333333333333295E-2</v>
      </c>
      <c r="K66" s="498">
        <v>0.22899999999999987</v>
      </c>
      <c r="L66" s="451" t="s">
        <v>428</v>
      </c>
    </row>
    <row r="67" spans="1:12">
      <c r="A67" s="465" t="s">
        <v>176</v>
      </c>
      <c r="B67" s="475">
        <v>3.65</v>
      </c>
      <c r="C67" s="423">
        <v>10.95</v>
      </c>
      <c r="D67" s="423">
        <v>8.7416666666666656E-2</v>
      </c>
      <c r="E67" s="476">
        <v>0.26224999999999998</v>
      </c>
      <c r="G67" s="497" t="s">
        <v>190</v>
      </c>
      <c r="H67" s="498">
        <v>11.324999999999999</v>
      </c>
      <c r="I67" s="498">
        <v>33.975000000000001</v>
      </c>
      <c r="J67" s="498">
        <v>0.11154166666666666</v>
      </c>
      <c r="K67" s="498">
        <v>0.33462500000000001</v>
      </c>
      <c r="L67" s="451" t="s">
        <v>427</v>
      </c>
    </row>
    <row r="68" spans="1:12">
      <c r="A68" s="465" t="s">
        <v>182</v>
      </c>
      <c r="B68" s="475">
        <v>0.63333333333333286</v>
      </c>
      <c r="C68" s="423">
        <v>1.8999999999999986</v>
      </c>
      <c r="D68" s="423">
        <v>4.5666666666666599E-2</v>
      </c>
      <c r="E68" s="476">
        <v>0.13699999999999979</v>
      </c>
      <c r="G68" s="497" t="s">
        <v>161</v>
      </c>
      <c r="H68" s="498">
        <v>11.001666666666667</v>
      </c>
      <c r="I68" s="498">
        <v>33.005000000000003</v>
      </c>
      <c r="J68" s="498">
        <v>0.12848333333333337</v>
      </c>
      <c r="K68" s="498">
        <v>0.38545000000000007</v>
      </c>
      <c r="L68" s="451" t="s">
        <v>427</v>
      </c>
    </row>
    <row r="69" spans="1:12">
      <c r="A69" s="465" t="s">
        <v>157</v>
      </c>
      <c r="B69" s="475">
        <v>0</v>
      </c>
      <c r="C69" s="423">
        <v>0</v>
      </c>
      <c r="D69" s="423">
        <v>0.25666666666666665</v>
      </c>
      <c r="E69" s="476">
        <v>0.76999999999999991</v>
      </c>
      <c r="G69" s="497" t="s">
        <v>225</v>
      </c>
      <c r="H69" s="498">
        <v>11</v>
      </c>
      <c r="I69" s="498">
        <v>33</v>
      </c>
      <c r="J69" s="498">
        <v>0.128</v>
      </c>
      <c r="K69" s="498">
        <v>0.38400000000000001</v>
      </c>
      <c r="L69" s="451" t="s">
        <v>427</v>
      </c>
    </row>
    <row r="70" spans="1:12">
      <c r="A70" s="465" t="s">
        <v>30</v>
      </c>
      <c r="B70" s="475">
        <v>2.0333333333333337</v>
      </c>
      <c r="C70" s="423">
        <v>6.1000000000000014</v>
      </c>
      <c r="D70" s="423">
        <v>1.779166666666665E-2</v>
      </c>
      <c r="E70" s="476">
        <v>5.337499999999995E-2</v>
      </c>
      <c r="G70" s="497" t="s">
        <v>415</v>
      </c>
      <c r="H70" s="498">
        <v>6.8666666666666645</v>
      </c>
      <c r="I70" s="498">
        <v>20.599999999999994</v>
      </c>
      <c r="J70" s="498">
        <v>0.19556666666666669</v>
      </c>
      <c r="K70" s="498">
        <v>0.58670000000000011</v>
      </c>
      <c r="L70" s="451" t="s">
        <v>427</v>
      </c>
    </row>
    <row r="71" spans="1:12">
      <c r="A71" s="465" t="s">
        <v>63</v>
      </c>
      <c r="B71" s="475">
        <v>1.4000000000000001</v>
      </c>
      <c r="C71" s="423">
        <v>4.2</v>
      </c>
      <c r="D71" s="423">
        <v>0.13083333333333327</v>
      </c>
      <c r="E71" s="476">
        <v>0.39249999999999985</v>
      </c>
      <c r="G71" s="497" t="s">
        <v>420</v>
      </c>
      <c r="H71" s="498">
        <v>5.833333333333333</v>
      </c>
      <c r="I71" s="498">
        <v>17.5</v>
      </c>
      <c r="J71" s="498">
        <v>5.4999999999999993E-2</v>
      </c>
      <c r="K71" s="498">
        <v>0.16499999999999998</v>
      </c>
      <c r="L71" s="451" t="s">
        <v>427</v>
      </c>
    </row>
    <row r="72" spans="1:12">
      <c r="A72" s="465" t="s">
        <v>361</v>
      </c>
      <c r="B72" s="475">
        <v>1.3333333333333333</v>
      </c>
      <c r="C72" s="423">
        <v>4</v>
      </c>
      <c r="D72" s="423">
        <v>0</v>
      </c>
      <c r="E72" s="476">
        <v>0</v>
      </c>
      <c r="G72" s="497" t="s">
        <v>414</v>
      </c>
      <c r="H72" s="498">
        <v>5.3766666666666749</v>
      </c>
      <c r="I72" s="498">
        <v>16.130000000000024</v>
      </c>
      <c r="J72" s="498">
        <v>0.17522222222222217</v>
      </c>
      <c r="K72" s="498">
        <v>0.5256666666666665</v>
      </c>
      <c r="L72" s="451" t="s">
        <v>427</v>
      </c>
    </row>
    <row r="73" spans="1:12">
      <c r="A73" s="465" t="s">
        <v>170</v>
      </c>
      <c r="B73" s="475">
        <v>8.637777777777778</v>
      </c>
      <c r="C73" s="423">
        <v>25.91333333333333</v>
      </c>
      <c r="D73" s="423">
        <v>0.11518981481481479</v>
      </c>
      <c r="E73" s="476">
        <v>0.34556944444444443</v>
      </c>
      <c r="G73" s="497" t="s">
        <v>418</v>
      </c>
      <c r="H73" s="498">
        <v>5.3716666666666679</v>
      </c>
      <c r="I73" s="498">
        <v>16.115000000000002</v>
      </c>
      <c r="J73" s="498">
        <v>0.15877083333333328</v>
      </c>
      <c r="K73" s="498">
        <v>0.47631249999999992</v>
      </c>
      <c r="L73" s="451" t="s">
        <v>427</v>
      </c>
    </row>
    <row r="74" spans="1:12">
      <c r="A74" s="465" t="s">
        <v>215</v>
      </c>
      <c r="B74" s="475">
        <v>4.75</v>
      </c>
      <c r="C74" s="423">
        <v>14.25</v>
      </c>
      <c r="D74" s="423">
        <v>4.2500000000000059E-2</v>
      </c>
      <c r="E74" s="476">
        <v>0.12750000000000017</v>
      </c>
      <c r="G74" s="497" t="s">
        <v>143</v>
      </c>
      <c r="H74" s="498">
        <v>5</v>
      </c>
      <c r="I74" s="498">
        <v>15</v>
      </c>
      <c r="J74" s="498">
        <v>0.31225000000000008</v>
      </c>
      <c r="K74" s="498">
        <v>0.93675000000000019</v>
      </c>
      <c r="L74" s="451" t="s">
        <v>427</v>
      </c>
    </row>
    <row r="75" spans="1:12">
      <c r="A75" s="465" t="s">
        <v>123</v>
      </c>
      <c r="B75" s="475">
        <v>7.4253333333333345</v>
      </c>
      <c r="C75" s="423">
        <v>22.276</v>
      </c>
      <c r="D75" s="423">
        <v>8.2593333333333324E-2</v>
      </c>
      <c r="E75" s="476">
        <v>0.24777999999999997</v>
      </c>
      <c r="G75" s="497" t="s">
        <v>33</v>
      </c>
      <c r="H75" s="498">
        <v>4.6385185185185174</v>
      </c>
      <c r="I75" s="498">
        <v>13.915555555555553</v>
      </c>
      <c r="J75" s="498">
        <v>3.9291975308641973E-2</v>
      </c>
      <c r="K75" s="498">
        <v>0.11787592592592594</v>
      </c>
      <c r="L75" s="451" t="s">
        <v>427</v>
      </c>
    </row>
    <row r="76" spans="1:12">
      <c r="A76" s="465" t="s">
        <v>219</v>
      </c>
      <c r="B76" s="475">
        <v>9.0208333333333357</v>
      </c>
      <c r="C76" s="423">
        <v>27.0625</v>
      </c>
      <c r="D76" s="423">
        <v>6.6191077987112643E-2</v>
      </c>
      <c r="E76" s="476">
        <v>0.19857323396133791</v>
      </c>
      <c r="G76" s="497" t="s">
        <v>104</v>
      </c>
      <c r="H76" s="498">
        <v>4.4000000000000012</v>
      </c>
      <c r="I76" s="498">
        <v>13.200000000000003</v>
      </c>
      <c r="J76" s="498">
        <v>0.10980000000000001</v>
      </c>
      <c r="K76" s="498">
        <v>0.32940000000000003</v>
      </c>
      <c r="L76" s="454" t="s">
        <v>427</v>
      </c>
    </row>
    <row r="77" spans="1:12">
      <c r="A77" s="465" t="s">
        <v>121</v>
      </c>
      <c r="B77" s="475">
        <v>3.5777777777777762</v>
      </c>
      <c r="C77" s="423">
        <v>10.733333333333329</v>
      </c>
      <c r="D77" s="423">
        <v>0.22234351851851852</v>
      </c>
      <c r="E77" s="476">
        <v>0.66703055555555546</v>
      </c>
      <c r="G77" s="497" t="s">
        <v>204</v>
      </c>
      <c r="H77" s="498">
        <v>2.9949999999999992</v>
      </c>
      <c r="I77" s="498">
        <v>8.9849999999999977</v>
      </c>
      <c r="J77" s="498">
        <v>0.12064768518518519</v>
      </c>
      <c r="K77" s="498">
        <v>0.36194305555555556</v>
      </c>
      <c r="L77" s="451" t="s">
        <v>427</v>
      </c>
    </row>
    <row r="78" spans="1:12">
      <c r="A78" s="465" t="s">
        <v>430</v>
      </c>
      <c r="B78" s="475">
        <v>2.6983333333333355</v>
      </c>
      <c r="C78" s="423">
        <v>8.095000000000006</v>
      </c>
      <c r="D78" s="423">
        <v>4.5083333333333295E-2</v>
      </c>
      <c r="E78" s="476">
        <v>0.13524999999999987</v>
      </c>
      <c r="G78" s="497" t="s">
        <v>113</v>
      </c>
      <c r="H78" s="498">
        <v>2.4050000000000002</v>
      </c>
      <c r="I78" s="498">
        <v>7.2149999999999999</v>
      </c>
      <c r="J78" s="498">
        <v>0.11178511904761905</v>
      </c>
      <c r="K78" s="498">
        <v>0.33535535714285714</v>
      </c>
      <c r="L78" s="451" t="s">
        <v>427</v>
      </c>
    </row>
    <row r="79" spans="1:12">
      <c r="A79" s="465" t="s">
        <v>168</v>
      </c>
      <c r="B79" s="475">
        <v>5.1333333333333337</v>
      </c>
      <c r="C79" s="423">
        <v>15.400000000000002</v>
      </c>
      <c r="D79" s="423">
        <v>0.12304058915603064</v>
      </c>
      <c r="E79" s="476">
        <v>0.36912176746809194</v>
      </c>
      <c r="G79" s="497" t="s">
        <v>578</v>
      </c>
      <c r="H79" s="498">
        <v>2.1049999999999995</v>
      </c>
      <c r="I79" s="498">
        <v>6.3149999999999995</v>
      </c>
      <c r="J79" s="498">
        <v>2.8555555555555567E-2</v>
      </c>
      <c r="K79" s="498">
        <v>8.5666666666666696E-2</v>
      </c>
      <c r="L79" s="451" t="s">
        <v>427</v>
      </c>
    </row>
    <row r="80" spans="1:12">
      <c r="A80" s="465" t="s">
        <v>90</v>
      </c>
      <c r="B80" s="475">
        <v>14.521666666666667</v>
      </c>
      <c r="C80" s="423">
        <v>43.564999999999998</v>
      </c>
      <c r="D80" s="423">
        <v>0.17134722222222215</v>
      </c>
      <c r="E80" s="476">
        <v>0.51404166666666651</v>
      </c>
      <c r="G80" s="497" t="s">
        <v>238</v>
      </c>
      <c r="H80" s="498">
        <v>1.9708333333333337</v>
      </c>
      <c r="I80" s="498">
        <v>5.9125000000000005</v>
      </c>
      <c r="J80" s="498">
        <v>0.1449375</v>
      </c>
      <c r="K80" s="498">
        <v>0.43481249999999994</v>
      </c>
      <c r="L80" s="451" t="s">
        <v>427</v>
      </c>
    </row>
    <row r="81" spans="1:12">
      <c r="A81" s="465" t="s">
        <v>363</v>
      </c>
      <c r="B81" s="475">
        <v>0.66666666666666663</v>
      </c>
      <c r="C81" s="423">
        <v>2</v>
      </c>
      <c r="D81" s="423">
        <v>7.6333333333333295E-2</v>
      </c>
      <c r="E81" s="476">
        <v>0.22899999999999987</v>
      </c>
      <c r="G81" s="497" t="s">
        <v>192</v>
      </c>
      <c r="H81" s="498">
        <v>1.5</v>
      </c>
      <c r="I81" s="498">
        <v>4.5</v>
      </c>
      <c r="J81" s="498">
        <v>4.2333333333333334E-2</v>
      </c>
      <c r="K81" s="498">
        <v>0.127</v>
      </c>
      <c r="L81" s="451" t="s">
        <v>427</v>
      </c>
    </row>
    <row r="82" spans="1:12">
      <c r="A82" s="465" t="s">
        <v>238</v>
      </c>
      <c r="B82" s="475">
        <v>1.9708333333333337</v>
      </c>
      <c r="C82" s="423">
        <v>5.9125000000000005</v>
      </c>
      <c r="D82" s="423">
        <v>0.1449375</v>
      </c>
      <c r="E82" s="476">
        <v>0.43481249999999994</v>
      </c>
      <c r="G82" s="497" t="s">
        <v>63</v>
      </c>
      <c r="H82" s="498">
        <v>1.4000000000000001</v>
      </c>
      <c r="I82" s="498">
        <v>4.2</v>
      </c>
      <c r="J82" s="498">
        <v>0.13083333333333327</v>
      </c>
      <c r="K82" s="498">
        <v>0.39249999999999985</v>
      </c>
      <c r="L82" s="451" t="s">
        <v>427</v>
      </c>
    </row>
    <row r="83" spans="1:12">
      <c r="A83" s="465" t="s">
        <v>200</v>
      </c>
      <c r="B83" s="475">
        <v>4.166666666666667</v>
      </c>
      <c r="C83" s="423">
        <v>12.5</v>
      </c>
      <c r="D83" s="423">
        <v>8.7333333333333263E-2</v>
      </c>
      <c r="E83" s="476">
        <v>0.26199999999999979</v>
      </c>
      <c r="G83" s="497" t="s">
        <v>573</v>
      </c>
      <c r="H83" s="498">
        <v>1.3333333333333333</v>
      </c>
      <c r="I83" s="498">
        <v>4</v>
      </c>
      <c r="J83" s="498">
        <v>0</v>
      </c>
      <c r="K83" s="498">
        <v>0</v>
      </c>
      <c r="L83" s="451" t="s">
        <v>427</v>
      </c>
    </row>
    <row r="84" spans="1:12">
      <c r="A84" s="465" t="s">
        <v>409</v>
      </c>
      <c r="B84" s="475">
        <v>3.3766666666666665</v>
      </c>
      <c r="C84" s="423">
        <v>10.129999999999999</v>
      </c>
      <c r="D84" s="423">
        <v>5.4916666666666669E-2</v>
      </c>
      <c r="E84" s="476">
        <v>0.16475000000000001</v>
      </c>
      <c r="G84" s="497" t="s">
        <v>135</v>
      </c>
      <c r="H84" s="498">
        <v>1.2900000000000007</v>
      </c>
      <c r="I84" s="498">
        <v>3.8700000000000023</v>
      </c>
      <c r="J84" s="498">
        <v>0.11594351851851847</v>
      </c>
      <c r="K84" s="498">
        <v>0.34783055555555542</v>
      </c>
      <c r="L84" s="451" t="s">
        <v>427</v>
      </c>
    </row>
    <row r="85" spans="1:12">
      <c r="A85" s="465" t="s">
        <v>98</v>
      </c>
      <c r="B85" s="475">
        <v>3.1999999999999993</v>
      </c>
      <c r="C85" s="423">
        <v>9.5999999999999979</v>
      </c>
      <c r="D85" s="423">
        <v>5.6933333333333357E-2</v>
      </c>
      <c r="E85" s="476">
        <v>0.17080000000000006</v>
      </c>
      <c r="G85" s="497" t="s">
        <v>223</v>
      </c>
      <c r="H85" s="498">
        <v>0.8999999999999998</v>
      </c>
      <c r="I85" s="498">
        <v>2.6999999999999993</v>
      </c>
      <c r="J85" s="498">
        <v>6.0833333333333295E-2</v>
      </c>
      <c r="K85" s="498">
        <v>0.18249999999999988</v>
      </c>
      <c r="L85" s="454" t="s">
        <v>427</v>
      </c>
    </row>
    <row r="86" spans="1:12">
      <c r="A86" s="465" t="s">
        <v>225</v>
      </c>
      <c r="B86" s="475">
        <v>11</v>
      </c>
      <c r="C86" s="423">
        <v>33</v>
      </c>
      <c r="D86" s="423">
        <v>0.128</v>
      </c>
      <c r="E86" s="476">
        <v>0.38400000000000001</v>
      </c>
      <c r="G86" s="497" t="s">
        <v>202</v>
      </c>
      <c r="H86" s="498">
        <v>0.53666666666666651</v>
      </c>
      <c r="I86" s="498">
        <v>1.6099999999999994</v>
      </c>
      <c r="J86" s="498">
        <v>0.10716666666666666</v>
      </c>
      <c r="K86" s="498">
        <v>0.32149999999999995</v>
      </c>
      <c r="L86" s="451" t="s">
        <v>427</v>
      </c>
    </row>
    <row r="87" spans="1:12">
      <c r="A87" s="465" t="s">
        <v>79</v>
      </c>
      <c r="B87" s="475">
        <v>9.3679999999999986</v>
      </c>
      <c r="C87" s="423">
        <v>28.103999999999996</v>
      </c>
      <c r="D87" s="423">
        <v>5.9047142857142874E-2</v>
      </c>
      <c r="E87" s="476">
        <v>0.17714142857142862</v>
      </c>
      <c r="G87" s="497" t="s">
        <v>157</v>
      </c>
      <c r="H87" s="498">
        <v>0</v>
      </c>
      <c r="I87" s="498">
        <v>0</v>
      </c>
      <c r="J87" s="498">
        <v>0.25666666666666665</v>
      </c>
      <c r="K87" s="498">
        <v>0.76999999999999991</v>
      </c>
      <c r="L87" s="451" t="s">
        <v>427</v>
      </c>
    </row>
    <row r="88" spans="1:12">
      <c r="A88" s="465" t="s">
        <v>174</v>
      </c>
      <c r="B88" s="475">
        <v>1.2833333333333339</v>
      </c>
      <c r="C88" s="423">
        <v>3.8500000000000014</v>
      </c>
      <c r="D88" s="423">
        <v>0.15302777777777787</v>
      </c>
      <c r="E88" s="476">
        <v>0.45908333333333362</v>
      </c>
      <c r="G88" s="497" t="s">
        <v>576</v>
      </c>
      <c r="H88" s="498">
        <v>6.8766666666666652</v>
      </c>
      <c r="I88" s="498">
        <v>20.629999999999995</v>
      </c>
      <c r="J88" s="498">
        <v>5.6416666666666705E-2</v>
      </c>
      <c r="K88" s="498">
        <v>0.16925000000000012</v>
      </c>
      <c r="L88" s="451" t="s">
        <v>429</v>
      </c>
    </row>
    <row r="89" spans="1:12">
      <c r="A89" s="465" t="s">
        <v>59</v>
      </c>
      <c r="B89" s="475">
        <v>8.543333333333333</v>
      </c>
      <c r="C89" s="423">
        <v>25.629999999999995</v>
      </c>
      <c r="D89" s="423">
        <v>0.10225037037037035</v>
      </c>
      <c r="E89" s="476">
        <v>0.30675111111111109</v>
      </c>
      <c r="G89" s="497" t="s">
        <v>30</v>
      </c>
      <c r="H89" s="498">
        <v>2.0333333333333337</v>
      </c>
      <c r="I89" s="498">
        <v>6.1000000000000014</v>
      </c>
      <c r="J89" s="498">
        <v>1.779166666666665E-2</v>
      </c>
      <c r="K89" s="498">
        <v>5.337499999999995E-2</v>
      </c>
      <c r="L89" s="451" t="s">
        <v>429</v>
      </c>
    </row>
    <row r="90" spans="1:12">
      <c r="A90" s="465" t="s">
        <v>178</v>
      </c>
      <c r="B90" s="475">
        <v>8.2550000000000026</v>
      </c>
      <c r="C90" s="423">
        <v>24.765000000000004</v>
      </c>
      <c r="D90" s="423">
        <v>0.14019999999999999</v>
      </c>
      <c r="E90" s="476">
        <v>0.42059999999999997</v>
      </c>
      <c r="G90" s="497" t="s">
        <v>419</v>
      </c>
      <c r="H90" s="498">
        <v>0.63333333333333341</v>
      </c>
      <c r="I90" s="498">
        <v>1.9000000000000004</v>
      </c>
      <c r="J90" s="498">
        <v>2.1333333333333343E-2</v>
      </c>
      <c r="K90" s="498">
        <v>6.4000000000000029E-2</v>
      </c>
      <c r="L90" s="451" t="s">
        <v>429</v>
      </c>
    </row>
    <row r="91" spans="1:12">
      <c r="A91" s="465" t="s">
        <v>410</v>
      </c>
      <c r="B91" s="475">
        <v>6.166666666666667</v>
      </c>
      <c r="C91" s="423">
        <v>18.5</v>
      </c>
      <c r="D91" s="423">
        <v>0.11566666666666665</v>
      </c>
      <c r="E91" s="476">
        <v>0.34699999999999998</v>
      </c>
      <c r="G91" s="497" t="s">
        <v>231</v>
      </c>
      <c r="H91" s="498">
        <v>10.816666666666668</v>
      </c>
      <c r="I91" s="498">
        <v>32.450000000000003</v>
      </c>
      <c r="J91" s="498">
        <v>0</v>
      </c>
      <c r="K91" s="498">
        <v>0</v>
      </c>
      <c r="L91" s="454" t="s">
        <v>255</v>
      </c>
    </row>
    <row r="92" spans="1:12">
      <c r="A92" s="465" t="s">
        <v>411</v>
      </c>
      <c r="B92" s="475">
        <v>2.1573333333333329</v>
      </c>
      <c r="C92" s="423">
        <v>6.4719999999999995</v>
      </c>
      <c r="D92" s="423">
        <v>6.1699999999999998E-2</v>
      </c>
      <c r="E92" s="476">
        <v>0.18509999999999999</v>
      </c>
      <c r="G92" s="497" t="s">
        <v>577</v>
      </c>
      <c r="H92" s="498">
        <v>3.776666666666666</v>
      </c>
      <c r="I92" s="498">
        <v>11.329999999999998</v>
      </c>
      <c r="J92" s="498">
        <v>0</v>
      </c>
      <c r="K92" s="498">
        <v>0</v>
      </c>
      <c r="L92" s="454" t="s">
        <v>255</v>
      </c>
    </row>
    <row r="93" spans="1:12" ht="71.25">
      <c r="A93" s="465" t="s">
        <v>94</v>
      </c>
      <c r="B93" s="475">
        <v>4.0666666666666673</v>
      </c>
      <c r="C93" s="423">
        <v>12.200000000000003</v>
      </c>
      <c r="D93" s="423">
        <v>8.0766666666666584E-2</v>
      </c>
      <c r="E93" s="476">
        <v>0.24229999999999974</v>
      </c>
      <c r="H93" s="496" t="s">
        <v>447</v>
      </c>
      <c r="I93" s="496" t="s">
        <v>448</v>
      </c>
      <c r="J93" s="496" t="s">
        <v>449</v>
      </c>
      <c r="K93" s="496" t="s">
        <v>450</v>
      </c>
    </row>
    <row r="94" spans="1:12">
      <c r="A94" s="466" t="s">
        <v>382</v>
      </c>
      <c r="B94" s="477">
        <v>4.9085015290519882</v>
      </c>
      <c r="C94" s="481">
        <v>14.725504587155955</v>
      </c>
      <c r="D94" s="481">
        <v>9.6205160064033762E-2</v>
      </c>
      <c r="E94" s="478">
        <v>0.28861548019210131</v>
      </c>
    </row>
  </sheetData>
  <mergeCells count="2">
    <mergeCell ref="H3:I3"/>
    <mergeCell ref="J3:K3"/>
  </mergeCells>
  <pageMargins left="0.7" right="0.7" top="0.75" bottom="0.75" header="0.3" footer="0.3"/>
  <pageSetup orientation="portrait" horizontalDpi="4294967292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zoomScale="60" zoomScaleNormal="60" workbookViewId="0">
      <pane ySplit="1" topLeftCell="A2" activePane="bottomLeft" state="frozen"/>
      <selection pane="bottomLeft" activeCell="B3" sqref="B3"/>
    </sheetView>
  </sheetViews>
  <sheetFormatPr baseColWidth="10" defaultColWidth="15.140625" defaultRowHeight="15" customHeight="1"/>
  <cols>
    <col min="1" max="1" width="5.140625" customWidth="1"/>
    <col min="2" max="2" width="5.7109375" customWidth="1"/>
    <col min="3" max="3" width="5.28515625" customWidth="1"/>
    <col min="4" max="4" width="22.140625" customWidth="1"/>
    <col min="5" max="5" width="23.5703125" customWidth="1"/>
    <col min="6" max="6" width="5.140625" customWidth="1"/>
    <col min="7" max="7" width="7.7109375" bestFit="1" customWidth="1"/>
    <col min="8" max="8" width="5.5703125" customWidth="1"/>
    <col min="9" max="9" width="11.5703125" customWidth="1"/>
    <col min="10" max="10" width="9" customWidth="1"/>
    <col min="11" max="11" width="8.42578125" customWidth="1"/>
    <col min="12" max="12" width="9.140625" customWidth="1"/>
    <col min="13" max="13" width="9" customWidth="1"/>
    <col min="14" max="14" width="8.140625" customWidth="1"/>
    <col min="15" max="15" width="8.7109375" customWidth="1"/>
    <col min="16" max="16" width="8.85546875" customWidth="1"/>
    <col min="17" max="17" width="9" customWidth="1"/>
    <col min="18" max="18" width="8.85546875" customWidth="1"/>
    <col min="19" max="19" width="10" customWidth="1"/>
    <col min="20" max="20" width="9.28515625" customWidth="1"/>
    <col min="21" max="21" width="24.42578125" customWidth="1"/>
    <col min="22" max="27" width="8" customWidth="1"/>
  </cols>
  <sheetData>
    <row r="1" spans="1:27" ht="10.5" customHeight="1">
      <c r="A1" s="1"/>
      <c r="B1" s="1"/>
      <c r="C1" s="2"/>
      <c r="D1" s="3"/>
      <c r="E1" s="4"/>
      <c r="F1" s="3"/>
      <c r="G1" s="3"/>
      <c r="H1" s="5"/>
      <c r="I1" s="6" t="s">
        <v>0</v>
      </c>
      <c r="J1" s="6">
        <v>1</v>
      </c>
      <c r="K1" s="6">
        <v>2</v>
      </c>
      <c r="L1" s="6">
        <v>3</v>
      </c>
      <c r="M1" s="6">
        <v>4</v>
      </c>
      <c r="N1" s="6">
        <v>5</v>
      </c>
      <c r="O1" s="6">
        <v>6</v>
      </c>
      <c r="P1" s="6">
        <v>7</v>
      </c>
      <c r="Q1" s="6">
        <v>8</v>
      </c>
      <c r="R1" s="6">
        <v>9</v>
      </c>
      <c r="S1" s="6">
        <v>10</v>
      </c>
      <c r="T1" s="7"/>
      <c r="U1" s="8" t="s">
        <v>1</v>
      </c>
      <c r="V1" s="9"/>
      <c r="W1" s="9"/>
      <c r="X1" s="9"/>
      <c r="Y1" s="9"/>
      <c r="Z1" s="9"/>
      <c r="AA1" s="9"/>
    </row>
    <row r="2" spans="1:27" ht="30" customHeight="1">
      <c r="A2" s="3"/>
      <c r="B2" s="3"/>
      <c r="C2" s="3"/>
      <c r="D2" s="3"/>
      <c r="E2" s="4"/>
      <c r="F2" s="3"/>
      <c r="G2" s="3"/>
      <c r="H2" s="10"/>
      <c r="I2" s="11"/>
      <c r="J2" s="669" t="s">
        <v>2</v>
      </c>
      <c r="K2" s="670"/>
      <c r="L2" s="670"/>
      <c r="M2" s="670"/>
      <c r="N2" s="670"/>
      <c r="O2" s="670"/>
      <c r="P2" s="670"/>
      <c r="Q2" s="670"/>
      <c r="R2" s="670"/>
      <c r="S2" s="670"/>
      <c r="T2" s="670"/>
      <c r="U2" s="670"/>
      <c r="V2" s="9"/>
      <c r="W2" s="9"/>
      <c r="X2" s="9"/>
      <c r="Y2" s="9"/>
      <c r="Z2" s="9"/>
      <c r="AA2" s="9"/>
    </row>
    <row r="3" spans="1:27" ht="24.75" customHeight="1">
      <c r="A3" s="17" t="s">
        <v>3</v>
      </c>
      <c r="B3" s="17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7" t="s">
        <v>9</v>
      </c>
      <c r="H3" s="17" t="s">
        <v>10</v>
      </c>
      <c r="I3" s="19" t="s">
        <v>24</v>
      </c>
      <c r="J3" s="24" t="s">
        <v>11</v>
      </c>
      <c r="K3" s="24" t="s">
        <v>12</v>
      </c>
      <c r="L3" s="24" t="s">
        <v>13</v>
      </c>
      <c r="M3" s="24" t="s">
        <v>14</v>
      </c>
      <c r="N3" s="24" t="s">
        <v>15</v>
      </c>
      <c r="O3" s="24" t="s">
        <v>16</v>
      </c>
      <c r="P3" s="24" t="s">
        <v>17</v>
      </c>
      <c r="Q3" s="24" t="s">
        <v>18</v>
      </c>
      <c r="R3" s="24" t="s">
        <v>19</v>
      </c>
      <c r="S3" s="24" t="s">
        <v>20</v>
      </c>
      <c r="T3" s="27" t="s">
        <v>21</v>
      </c>
      <c r="U3" s="28" t="s">
        <v>1</v>
      </c>
      <c r="V3" s="29"/>
      <c r="W3" s="29"/>
      <c r="X3" s="29"/>
      <c r="Y3" s="29"/>
      <c r="Z3" s="29"/>
      <c r="AA3" s="29"/>
    </row>
    <row r="4" spans="1:27" ht="15.75" customHeight="1">
      <c r="A4" s="35">
        <v>2</v>
      </c>
      <c r="B4" s="35">
        <v>1</v>
      </c>
      <c r="C4" s="35">
        <v>1</v>
      </c>
      <c r="D4" s="16" t="s">
        <v>22</v>
      </c>
      <c r="E4" s="16" t="s">
        <v>23</v>
      </c>
      <c r="F4" s="16" t="s">
        <v>25</v>
      </c>
      <c r="G4" s="37">
        <v>30876</v>
      </c>
      <c r="H4" s="39">
        <v>510</v>
      </c>
      <c r="I4" s="41"/>
      <c r="J4" s="42"/>
      <c r="K4" s="42"/>
      <c r="L4" s="42"/>
      <c r="M4" s="42"/>
      <c r="N4" s="42"/>
      <c r="O4" s="42"/>
      <c r="P4" s="42"/>
      <c r="Q4" s="42"/>
      <c r="R4" s="42"/>
      <c r="S4" s="42"/>
      <c r="T4" s="44"/>
      <c r="U4" s="45" t="s">
        <v>26</v>
      </c>
    </row>
    <row r="5" spans="1:27" ht="15.75" customHeight="1">
      <c r="A5" s="35">
        <v>2</v>
      </c>
      <c r="B5" s="35">
        <v>1</v>
      </c>
      <c r="C5" s="35">
        <v>2</v>
      </c>
      <c r="D5" s="16" t="s">
        <v>27</v>
      </c>
      <c r="E5" s="16" t="s">
        <v>28</v>
      </c>
      <c r="F5" s="16" t="s">
        <v>25</v>
      </c>
      <c r="G5" s="37">
        <v>30877</v>
      </c>
      <c r="H5" s="39">
        <v>250</v>
      </c>
      <c r="I5" s="41"/>
      <c r="J5" s="42"/>
      <c r="K5" s="42"/>
      <c r="L5" s="42"/>
      <c r="M5" s="42"/>
      <c r="N5" s="42"/>
      <c r="O5" s="42"/>
      <c r="P5" s="42"/>
      <c r="Q5" s="42"/>
      <c r="R5" s="42"/>
      <c r="S5" s="42"/>
      <c r="T5" s="44"/>
      <c r="U5" s="45" t="s">
        <v>26</v>
      </c>
    </row>
    <row r="6" spans="1:27" ht="15.75" customHeight="1">
      <c r="A6" s="35">
        <v>2</v>
      </c>
      <c r="B6" s="35">
        <v>1</v>
      </c>
      <c r="C6" s="35">
        <v>2</v>
      </c>
      <c r="D6" s="16" t="s">
        <v>22</v>
      </c>
      <c r="E6" s="16" t="s">
        <v>23</v>
      </c>
      <c r="F6" s="16" t="s">
        <v>25</v>
      </c>
      <c r="G6" s="37">
        <v>30876</v>
      </c>
      <c r="H6" s="39">
        <v>290</v>
      </c>
      <c r="I6" s="41"/>
      <c r="J6" s="42"/>
      <c r="K6" s="42"/>
      <c r="L6" s="42"/>
      <c r="M6" s="42"/>
      <c r="N6" s="42"/>
      <c r="O6" s="42"/>
      <c r="P6" s="42"/>
      <c r="Q6" s="42"/>
      <c r="R6" s="42"/>
      <c r="S6" s="42"/>
      <c r="T6" s="44"/>
      <c r="U6" s="45" t="s">
        <v>26</v>
      </c>
    </row>
    <row r="7" spans="1:27" ht="15.75" customHeight="1">
      <c r="A7" s="47">
        <v>2</v>
      </c>
      <c r="B7" s="47">
        <v>1</v>
      </c>
      <c r="C7" s="47">
        <v>3</v>
      </c>
      <c r="D7" s="25" t="s">
        <v>29</v>
      </c>
      <c r="E7" s="25" t="s">
        <v>30</v>
      </c>
      <c r="F7" s="25" t="s">
        <v>31</v>
      </c>
      <c r="G7" s="49">
        <v>50759</v>
      </c>
      <c r="H7" s="51">
        <v>232</v>
      </c>
      <c r="I7" s="52">
        <v>10</v>
      </c>
      <c r="J7" s="33">
        <v>40</v>
      </c>
      <c r="K7" s="33">
        <v>29.5</v>
      </c>
      <c r="L7" s="33">
        <v>28</v>
      </c>
      <c r="M7" s="33">
        <v>12</v>
      </c>
      <c r="N7" s="33">
        <v>36</v>
      </c>
      <c r="O7" s="33">
        <v>12</v>
      </c>
      <c r="P7" s="33">
        <v>11</v>
      </c>
      <c r="Q7" s="33">
        <v>15</v>
      </c>
      <c r="R7" s="33">
        <v>40</v>
      </c>
      <c r="S7" s="33">
        <v>16</v>
      </c>
      <c r="T7" s="62">
        <f>AVERAGE(J7:S7)</f>
        <v>23.95</v>
      </c>
      <c r="U7" s="58"/>
    </row>
    <row r="8" spans="1:27" ht="15.75" customHeight="1">
      <c r="A8" s="47">
        <v>2</v>
      </c>
      <c r="B8" s="47">
        <v>1</v>
      </c>
      <c r="C8" s="47">
        <v>5</v>
      </c>
      <c r="D8" s="25" t="s">
        <v>32</v>
      </c>
      <c r="E8" s="25" t="s">
        <v>33</v>
      </c>
      <c r="F8" s="25" t="s">
        <v>34</v>
      </c>
      <c r="G8" s="49">
        <v>50616</v>
      </c>
      <c r="H8" s="51">
        <v>468</v>
      </c>
      <c r="I8" s="52">
        <v>10</v>
      </c>
      <c r="J8" s="33">
        <v>31.5</v>
      </c>
      <c r="K8" s="33">
        <v>118</v>
      </c>
      <c r="L8" s="33">
        <v>149</v>
      </c>
      <c r="M8" s="33">
        <v>164</v>
      </c>
      <c r="N8" s="33">
        <v>203</v>
      </c>
      <c r="O8" s="33">
        <v>139</v>
      </c>
      <c r="P8" s="33">
        <v>229</v>
      </c>
      <c r="Q8" s="33">
        <v>166</v>
      </c>
      <c r="R8" s="33">
        <v>162</v>
      </c>
      <c r="S8" s="33">
        <v>115</v>
      </c>
      <c r="T8" s="62">
        <f>AVERAGE(J8:S8)</f>
        <v>147.65</v>
      </c>
      <c r="U8" s="60"/>
    </row>
    <row r="9" spans="1:27" ht="15.75" customHeight="1">
      <c r="A9" s="47">
        <v>2</v>
      </c>
      <c r="B9" s="47">
        <v>1</v>
      </c>
      <c r="C9" s="47">
        <v>8</v>
      </c>
      <c r="D9" s="25" t="s">
        <v>35</v>
      </c>
      <c r="E9" s="25" t="s">
        <v>36</v>
      </c>
      <c r="F9" s="25" t="s">
        <v>31</v>
      </c>
      <c r="G9" s="49">
        <v>50794</v>
      </c>
      <c r="H9" s="51">
        <v>392</v>
      </c>
      <c r="I9" s="52">
        <v>10</v>
      </c>
      <c r="J9" s="33">
        <v>138</v>
      </c>
      <c r="K9" s="33">
        <v>159</v>
      </c>
      <c r="L9" s="33">
        <v>192</v>
      </c>
      <c r="M9" s="33" t="s">
        <v>80</v>
      </c>
      <c r="N9" s="33">
        <v>206</v>
      </c>
      <c r="O9" s="33">
        <v>169</v>
      </c>
      <c r="P9" s="33">
        <v>226</v>
      </c>
      <c r="Q9" s="33" t="s">
        <v>80</v>
      </c>
      <c r="R9" s="33" t="s">
        <v>80</v>
      </c>
      <c r="S9" s="33" t="s">
        <v>80</v>
      </c>
      <c r="T9" s="62">
        <f>AVERAGE(J9:S9)</f>
        <v>181.66666666666666</v>
      </c>
      <c r="U9" s="60"/>
    </row>
    <row r="10" spans="1:27" ht="15.75" customHeight="1">
      <c r="A10" s="47">
        <v>2</v>
      </c>
      <c r="B10" s="47">
        <v>1</v>
      </c>
      <c r="C10" s="47">
        <v>9</v>
      </c>
      <c r="D10" s="25" t="s">
        <v>37</v>
      </c>
      <c r="E10" s="25" t="s">
        <v>38</v>
      </c>
      <c r="F10" s="25" t="s">
        <v>34</v>
      </c>
      <c r="G10" s="49">
        <v>50663</v>
      </c>
      <c r="H10" s="51">
        <v>127</v>
      </c>
      <c r="I10" s="52">
        <v>8</v>
      </c>
      <c r="J10" s="33">
        <v>105</v>
      </c>
      <c r="K10" s="33">
        <v>115</v>
      </c>
      <c r="L10" s="33">
        <v>146</v>
      </c>
      <c r="M10" s="33">
        <v>126</v>
      </c>
      <c r="N10" s="33">
        <v>127</v>
      </c>
      <c r="O10" s="33">
        <v>80</v>
      </c>
      <c r="P10" s="33">
        <v>123</v>
      </c>
      <c r="Q10" s="33">
        <v>96.5</v>
      </c>
      <c r="R10" s="36"/>
      <c r="S10" s="36"/>
      <c r="T10" s="62">
        <f>AVERAGE(J10:S10)</f>
        <v>114.8125</v>
      </c>
      <c r="U10" s="60"/>
    </row>
    <row r="11" spans="1:27" ht="15.75" customHeight="1">
      <c r="A11" s="47">
        <v>2</v>
      </c>
      <c r="B11" s="47">
        <v>1</v>
      </c>
      <c r="C11" s="47">
        <v>9</v>
      </c>
      <c r="D11" s="25" t="s">
        <v>39</v>
      </c>
      <c r="E11" s="25" t="s">
        <v>84</v>
      </c>
      <c r="F11" s="25" t="s">
        <v>25</v>
      </c>
      <c r="G11" s="49">
        <v>50530</v>
      </c>
      <c r="H11" s="51">
        <v>48</v>
      </c>
      <c r="I11" s="52">
        <v>3</v>
      </c>
      <c r="J11" s="33">
        <v>257</v>
      </c>
      <c r="K11" s="33">
        <v>240</v>
      </c>
      <c r="L11" s="33">
        <v>139</v>
      </c>
      <c r="M11" s="36"/>
      <c r="N11" s="36"/>
      <c r="O11" s="36"/>
      <c r="P11" s="36"/>
      <c r="Q11" s="36"/>
      <c r="R11" s="36"/>
      <c r="S11" s="36"/>
      <c r="T11" s="62">
        <f>AVERAGE(J11:S11)</f>
        <v>212</v>
      </c>
      <c r="U11" s="60"/>
    </row>
    <row r="12" spans="1:27" ht="15.75" customHeight="1">
      <c r="A12" s="63">
        <v>2</v>
      </c>
      <c r="B12" s="63">
        <v>1</v>
      </c>
      <c r="C12" s="63">
        <v>9</v>
      </c>
      <c r="D12" s="38" t="s">
        <v>41</v>
      </c>
      <c r="E12" s="38" t="s">
        <v>42</v>
      </c>
      <c r="F12" s="38" t="s">
        <v>25</v>
      </c>
      <c r="G12" s="64">
        <v>50721</v>
      </c>
      <c r="H12" s="65">
        <v>23</v>
      </c>
      <c r="I12" s="41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69"/>
      <c r="U12" s="67" t="s">
        <v>43</v>
      </c>
    </row>
    <row r="13" spans="1:27" ht="15.75" customHeight="1">
      <c r="A13" s="47">
        <v>2</v>
      </c>
      <c r="B13" s="47">
        <v>1</v>
      </c>
      <c r="C13" s="47">
        <v>11</v>
      </c>
      <c r="D13" s="25" t="s">
        <v>44</v>
      </c>
      <c r="E13" s="25" t="s">
        <v>45</v>
      </c>
      <c r="F13" s="25" t="s">
        <v>31</v>
      </c>
      <c r="G13" s="49">
        <v>50795</v>
      </c>
      <c r="H13" s="51">
        <v>754</v>
      </c>
      <c r="I13" s="52">
        <v>10</v>
      </c>
      <c r="J13" s="33">
        <v>303</v>
      </c>
      <c r="K13" s="33">
        <v>303</v>
      </c>
      <c r="L13" s="33">
        <v>308</v>
      </c>
      <c r="M13" s="33">
        <v>216</v>
      </c>
      <c r="N13" s="33">
        <v>237.5</v>
      </c>
      <c r="O13" s="33">
        <v>212</v>
      </c>
      <c r="P13" s="33">
        <v>230</v>
      </c>
      <c r="Q13" s="33">
        <v>158</v>
      </c>
      <c r="R13" s="33" t="s">
        <v>80</v>
      </c>
      <c r="S13" s="33">
        <v>222</v>
      </c>
      <c r="T13" s="62">
        <f t="shared" ref="T13:T21" si="0">AVERAGE(J13:S13)</f>
        <v>243.27777777777777</v>
      </c>
      <c r="U13" s="60"/>
    </row>
    <row r="14" spans="1:27" ht="15.75" customHeight="1">
      <c r="A14" s="47">
        <v>2</v>
      </c>
      <c r="B14" s="47">
        <v>1</v>
      </c>
      <c r="C14" s="47">
        <v>12</v>
      </c>
      <c r="D14" s="25" t="s">
        <v>46</v>
      </c>
      <c r="E14" s="25" t="s">
        <v>47</v>
      </c>
      <c r="F14" s="25" t="s">
        <v>25</v>
      </c>
      <c r="G14" s="49">
        <v>50262</v>
      </c>
      <c r="H14" s="51">
        <v>472</v>
      </c>
      <c r="I14" s="52">
        <v>10</v>
      </c>
      <c r="J14" s="33">
        <v>184</v>
      </c>
      <c r="K14" s="33">
        <v>203</v>
      </c>
      <c r="L14" s="33">
        <v>258</v>
      </c>
      <c r="M14" s="33">
        <v>212</v>
      </c>
      <c r="N14" s="33">
        <v>173</v>
      </c>
      <c r="O14" s="33" t="s">
        <v>83</v>
      </c>
      <c r="P14" s="33">
        <v>149</v>
      </c>
      <c r="Q14" s="33">
        <v>150</v>
      </c>
      <c r="R14" s="33">
        <v>110</v>
      </c>
      <c r="S14" s="33">
        <v>140</v>
      </c>
      <c r="T14" s="62">
        <f t="shared" si="0"/>
        <v>175.44444444444446</v>
      </c>
      <c r="U14" s="60"/>
    </row>
    <row r="15" spans="1:27" ht="15.75" customHeight="1">
      <c r="A15" s="47">
        <v>2</v>
      </c>
      <c r="B15" s="47">
        <v>1</v>
      </c>
      <c r="C15" s="47">
        <v>13</v>
      </c>
      <c r="D15" s="25" t="s">
        <v>32</v>
      </c>
      <c r="E15" s="25" t="s">
        <v>33</v>
      </c>
      <c r="F15" s="25" t="s">
        <v>48</v>
      </c>
      <c r="G15" s="49">
        <v>50267</v>
      </c>
      <c r="H15" s="51">
        <v>442</v>
      </c>
      <c r="I15" s="52">
        <v>10</v>
      </c>
      <c r="J15" s="33">
        <v>140</v>
      </c>
      <c r="K15" s="33">
        <v>66</v>
      </c>
      <c r="L15" s="33">
        <v>122</v>
      </c>
      <c r="M15" s="33">
        <v>125.5</v>
      </c>
      <c r="N15" s="33">
        <v>87</v>
      </c>
      <c r="O15" s="33">
        <v>80</v>
      </c>
      <c r="P15" s="33">
        <v>108</v>
      </c>
      <c r="Q15" s="33">
        <v>97</v>
      </c>
      <c r="R15" s="33">
        <v>130</v>
      </c>
      <c r="S15" s="33">
        <v>157</v>
      </c>
      <c r="T15" s="62">
        <f t="shared" si="0"/>
        <v>111.25</v>
      </c>
      <c r="U15" s="60"/>
    </row>
    <row r="16" spans="1:27" ht="15.75" customHeight="1">
      <c r="A16" s="47">
        <v>2</v>
      </c>
      <c r="B16" s="47">
        <v>1</v>
      </c>
      <c r="C16" s="47">
        <v>13</v>
      </c>
      <c r="D16" s="25" t="s">
        <v>32</v>
      </c>
      <c r="E16" s="25" t="s">
        <v>33</v>
      </c>
      <c r="F16" s="25" t="s">
        <v>34</v>
      </c>
      <c r="G16" s="49">
        <v>50462</v>
      </c>
      <c r="H16" s="51">
        <v>206</v>
      </c>
      <c r="I16" s="52">
        <v>6</v>
      </c>
      <c r="J16" s="33">
        <v>114</v>
      </c>
      <c r="K16" s="33">
        <v>108</v>
      </c>
      <c r="L16" s="33">
        <v>148</v>
      </c>
      <c r="M16" s="33">
        <v>117</v>
      </c>
      <c r="N16" s="33">
        <v>66</v>
      </c>
      <c r="O16" s="33">
        <v>76</v>
      </c>
      <c r="P16" s="36"/>
      <c r="Q16" s="36"/>
      <c r="R16" s="36"/>
      <c r="S16" s="36"/>
      <c r="T16" s="62">
        <f t="shared" si="0"/>
        <v>104.83333333333333</v>
      </c>
      <c r="U16" s="60"/>
    </row>
    <row r="17" spans="1:27" ht="15.75" customHeight="1">
      <c r="A17" s="47">
        <v>2</v>
      </c>
      <c r="B17" s="47">
        <v>1</v>
      </c>
      <c r="C17" s="47">
        <v>13</v>
      </c>
      <c r="D17" s="25" t="s">
        <v>32</v>
      </c>
      <c r="E17" s="25" t="s">
        <v>33</v>
      </c>
      <c r="F17" s="25" t="s">
        <v>34</v>
      </c>
      <c r="G17" s="49">
        <v>50616</v>
      </c>
      <c r="H17" s="51">
        <v>21</v>
      </c>
      <c r="I17" s="52">
        <v>2</v>
      </c>
      <c r="J17" s="33">
        <v>112</v>
      </c>
      <c r="K17" s="33">
        <v>107</v>
      </c>
      <c r="L17" s="36"/>
      <c r="M17" s="36"/>
      <c r="N17" s="36"/>
      <c r="O17" s="36"/>
      <c r="P17" s="36"/>
      <c r="Q17" s="36"/>
      <c r="R17" s="36"/>
      <c r="S17" s="36"/>
      <c r="T17" s="62">
        <f t="shared" si="0"/>
        <v>109.5</v>
      </c>
      <c r="U17" s="60"/>
    </row>
    <row r="18" spans="1:27" ht="15.75" customHeight="1">
      <c r="A18" s="47">
        <v>2</v>
      </c>
      <c r="B18" s="47">
        <v>1</v>
      </c>
      <c r="C18" s="47">
        <v>13</v>
      </c>
      <c r="D18" s="25" t="s">
        <v>32</v>
      </c>
      <c r="E18" s="25" t="s">
        <v>33</v>
      </c>
      <c r="F18" s="25" t="s">
        <v>31</v>
      </c>
      <c r="G18" s="49">
        <v>50184</v>
      </c>
      <c r="H18" s="51">
        <v>39</v>
      </c>
      <c r="I18" s="52">
        <v>2</v>
      </c>
      <c r="J18" s="33">
        <v>75</v>
      </c>
      <c r="K18" s="33">
        <v>120</v>
      </c>
      <c r="L18" s="36"/>
      <c r="M18" s="36"/>
      <c r="N18" s="36"/>
      <c r="O18" s="36"/>
      <c r="P18" s="36"/>
      <c r="Q18" s="36"/>
      <c r="R18" s="36"/>
      <c r="S18" s="36"/>
      <c r="T18" s="62">
        <f t="shared" si="0"/>
        <v>97.5</v>
      </c>
      <c r="U18" s="60"/>
    </row>
    <row r="19" spans="1:27" ht="15.75" customHeight="1">
      <c r="A19" s="47">
        <v>2</v>
      </c>
      <c r="B19" s="47">
        <v>1</v>
      </c>
      <c r="C19" s="47">
        <v>13</v>
      </c>
      <c r="D19" s="25" t="s">
        <v>32</v>
      </c>
      <c r="E19" s="25" t="s">
        <v>33</v>
      </c>
      <c r="F19" s="25" t="s">
        <v>34</v>
      </c>
      <c r="G19" s="49">
        <v>50104</v>
      </c>
      <c r="H19" s="51">
        <v>22</v>
      </c>
      <c r="I19" s="52">
        <v>1</v>
      </c>
      <c r="J19" s="33">
        <v>60</v>
      </c>
      <c r="K19" s="36"/>
      <c r="L19" s="36"/>
      <c r="M19" s="36"/>
      <c r="N19" s="36"/>
      <c r="O19" s="36"/>
      <c r="P19" s="36"/>
      <c r="Q19" s="36"/>
      <c r="R19" s="36"/>
      <c r="S19" s="36"/>
      <c r="T19" s="62">
        <f t="shared" si="0"/>
        <v>60</v>
      </c>
      <c r="U19" s="60"/>
    </row>
    <row r="20" spans="1:27" ht="15.75" customHeight="1">
      <c r="A20" s="47">
        <v>2</v>
      </c>
      <c r="B20" s="47">
        <v>1</v>
      </c>
      <c r="C20" s="47">
        <v>14</v>
      </c>
      <c r="D20" s="25" t="s">
        <v>49</v>
      </c>
      <c r="E20" s="25" t="s">
        <v>50</v>
      </c>
      <c r="F20" s="25" t="s">
        <v>25</v>
      </c>
      <c r="G20" s="49">
        <v>50874</v>
      </c>
      <c r="H20" s="51">
        <v>282</v>
      </c>
      <c r="I20" s="52">
        <v>9</v>
      </c>
      <c r="J20" s="58" t="s">
        <v>55</v>
      </c>
      <c r="K20" s="33">
        <v>12</v>
      </c>
      <c r="L20" s="33">
        <v>11</v>
      </c>
      <c r="M20" s="33">
        <v>8</v>
      </c>
      <c r="N20" s="33">
        <v>16.5</v>
      </c>
      <c r="O20" s="33">
        <v>16.5</v>
      </c>
      <c r="P20" s="33">
        <v>14.5</v>
      </c>
      <c r="Q20" s="33">
        <v>17.5</v>
      </c>
      <c r="R20" s="33">
        <v>24</v>
      </c>
      <c r="S20" s="33">
        <v>15</v>
      </c>
      <c r="T20" s="62">
        <f t="shared" si="0"/>
        <v>15</v>
      </c>
      <c r="U20" s="60"/>
    </row>
    <row r="21" spans="1:27" ht="15.75" customHeight="1">
      <c r="A21" s="47">
        <v>2</v>
      </c>
      <c r="B21" s="47">
        <v>1</v>
      </c>
      <c r="C21" s="47">
        <v>14</v>
      </c>
      <c r="D21" s="25" t="s">
        <v>51</v>
      </c>
      <c r="E21" s="25" t="s">
        <v>52</v>
      </c>
      <c r="F21" s="25" t="s">
        <v>25</v>
      </c>
      <c r="G21" s="49">
        <v>50875</v>
      </c>
      <c r="H21" s="51">
        <v>348</v>
      </c>
      <c r="I21" s="52">
        <v>10</v>
      </c>
      <c r="J21" s="33">
        <v>9.5</v>
      </c>
      <c r="K21" s="33">
        <v>9</v>
      </c>
      <c r="L21" s="33">
        <v>12.5</v>
      </c>
      <c r="M21" s="33">
        <v>10</v>
      </c>
      <c r="N21" s="33">
        <v>10.5</v>
      </c>
      <c r="O21" s="33">
        <v>7</v>
      </c>
      <c r="P21" s="33">
        <v>17</v>
      </c>
      <c r="Q21" s="33">
        <v>12.5</v>
      </c>
      <c r="R21" s="33">
        <v>24</v>
      </c>
      <c r="S21" s="33">
        <v>24</v>
      </c>
      <c r="T21" s="62">
        <f t="shared" si="0"/>
        <v>13.6</v>
      </c>
      <c r="U21" s="60"/>
    </row>
    <row r="22" spans="1:27" ht="15.75" customHeight="1">
      <c r="A22" s="71">
        <v>2</v>
      </c>
      <c r="B22" s="71">
        <v>1</v>
      </c>
      <c r="C22" s="71">
        <v>14</v>
      </c>
      <c r="D22" s="53" t="s">
        <v>53</v>
      </c>
      <c r="E22" s="53" t="s">
        <v>54</v>
      </c>
      <c r="F22" s="53" t="s">
        <v>25</v>
      </c>
      <c r="G22" s="73">
        <v>50877</v>
      </c>
      <c r="H22" s="74">
        <v>101</v>
      </c>
      <c r="I22" s="41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80"/>
      <c r="U22" s="79" t="s">
        <v>55</v>
      </c>
    </row>
    <row r="23" spans="1:27" ht="15.75" customHeight="1">
      <c r="A23" s="47">
        <v>2</v>
      </c>
      <c r="B23" s="47">
        <v>1</v>
      </c>
      <c r="C23" s="47">
        <v>15</v>
      </c>
      <c r="D23" s="25" t="s">
        <v>56</v>
      </c>
      <c r="E23" s="25" t="s">
        <v>57</v>
      </c>
      <c r="F23" s="25" t="s">
        <v>34</v>
      </c>
      <c r="G23" s="49">
        <v>50594</v>
      </c>
      <c r="H23" s="51">
        <v>154</v>
      </c>
      <c r="I23" s="52">
        <v>2</v>
      </c>
      <c r="J23" s="33">
        <v>43</v>
      </c>
      <c r="K23" s="33">
        <v>98</v>
      </c>
      <c r="L23" s="36"/>
      <c r="M23" s="36"/>
      <c r="N23" s="36"/>
      <c r="O23" s="36"/>
      <c r="P23" s="36"/>
      <c r="Q23" s="36"/>
      <c r="R23" s="36"/>
      <c r="S23" s="36"/>
      <c r="T23" s="62">
        <f t="shared" ref="T23:T28" si="1">AVERAGE(J23:S23)</f>
        <v>70.5</v>
      </c>
      <c r="U23" s="60"/>
    </row>
    <row r="24" spans="1:27" ht="15.75" customHeight="1">
      <c r="A24" s="47">
        <v>2</v>
      </c>
      <c r="B24" s="47">
        <v>1</v>
      </c>
      <c r="C24" s="47">
        <v>16</v>
      </c>
      <c r="D24" s="25" t="s">
        <v>58</v>
      </c>
      <c r="E24" s="25" t="s">
        <v>59</v>
      </c>
      <c r="F24" s="25" t="s">
        <v>31</v>
      </c>
      <c r="G24" s="49">
        <v>50797</v>
      </c>
      <c r="H24" s="51">
        <v>311</v>
      </c>
      <c r="I24" s="52">
        <v>10</v>
      </c>
      <c r="J24" s="33">
        <v>192</v>
      </c>
      <c r="K24" s="33">
        <v>233</v>
      </c>
      <c r="L24" s="33">
        <v>203</v>
      </c>
      <c r="M24" s="33">
        <v>220</v>
      </c>
      <c r="N24" s="33">
        <v>188</v>
      </c>
      <c r="O24" s="33">
        <v>194</v>
      </c>
      <c r="P24" s="33">
        <v>180</v>
      </c>
      <c r="Q24" s="33">
        <v>184</v>
      </c>
      <c r="R24" s="33">
        <v>180</v>
      </c>
      <c r="S24" s="33">
        <v>120</v>
      </c>
      <c r="T24" s="62">
        <f t="shared" si="1"/>
        <v>189.4</v>
      </c>
      <c r="U24" s="60"/>
    </row>
    <row r="25" spans="1:27" ht="15.75" customHeight="1">
      <c r="A25" s="47">
        <v>2</v>
      </c>
      <c r="B25" s="47">
        <v>1</v>
      </c>
      <c r="C25" s="47">
        <v>17</v>
      </c>
      <c r="D25" s="25" t="s">
        <v>60</v>
      </c>
      <c r="E25" s="25" t="s">
        <v>61</v>
      </c>
      <c r="F25" s="25" t="s">
        <v>34</v>
      </c>
      <c r="G25" s="49">
        <v>50467</v>
      </c>
      <c r="H25" s="51">
        <v>426</v>
      </c>
      <c r="I25" s="52">
        <v>10</v>
      </c>
      <c r="J25" s="33">
        <v>230</v>
      </c>
      <c r="K25" s="33">
        <v>197</v>
      </c>
      <c r="L25" s="33">
        <v>283</v>
      </c>
      <c r="M25" s="33">
        <v>223</v>
      </c>
      <c r="N25" s="33">
        <v>163</v>
      </c>
      <c r="O25" s="33">
        <v>166</v>
      </c>
      <c r="P25" s="33">
        <v>157</v>
      </c>
      <c r="Q25" s="33">
        <v>151</v>
      </c>
      <c r="R25" s="33">
        <v>182</v>
      </c>
      <c r="S25" s="33">
        <v>70</v>
      </c>
      <c r="T25" s="62">
        <f t="shared" si="1"/>
        <v>182.2</v>
      </c>
      <c r="U25" s="60"/>
    </row>
    <row r="26" spans="1:27" ht="15.75" customHeight="1">
      <c r="A26" s="47">
        <v>2</v>
      </c>
      <c r="B26" s="47">
        <v>1</v>
      </c>
      <c r="C26" s="47">
        <v>18</v>
      </c>
      <c r="D26" s="25" t="s">
        <v>46</v>
      </c>
      <c r="E26" s="25" t="s">
        <v>47</v>
      </c>
      <c r="F26" s="25" t="s">
        <v>25</v>
      </c>
      <c r="G26" s="49">
        <v>50262</v>
      </c>
      <c r="H26" s="51">
        <v>81</v>
      </c>
      <c r="I26" s="52">
        <v>10</v>
      </c>
      <c r="J26" s="33">
        <v>205</v>
      </c>
      <c r="K26" s="33">
        <v>213</v>
      </c>
      <c r="L26" s="33">
        <v>215</v>
      </c>
      <c r="M26" s="33">
        <v>224</v>
      </c>
      <c r="N26" s="33">
        <v>191</v>
      </c>
      <c r="O26" s="33">
        <v>166</v>
      </c>
      <c r="P26" s="33">
        <v>188</v>
      </c>
      <c r="Q26" s="33">
        <v>197</v>
      </c>
      <c r="R26" s="33">
        <v>219</v>
      </c>
      <c r="S26" s="33">
        <v>210</v>
      </c>
      <c r="T26" s="62">
        <f t="shared" si="1"/>
        <v>202.8</v>
      </c>
      <c r="U26" s="60"/>
    </row>
    <row r="27" spans="1:27" ht="15.75" customHeight="1">
      <c r="A27" s="47">
        <v>2</v>
      </c>
      <c r="B27" s="47">
        <v>1</v>
      </c>
      <c r="C27" s="47">
        <v>18</v>
      </c>
      <c r="D27" s="25" t="s">
        <v>46</v>
      </c>
      <c r="E27" s="25" t="s">
        <v>47</v>
      </c>
      <c r="F27" s="25" t="s">
        <v>34</v>
      </c>
      <c r="G27" s="49">
        <v>50542</v>
      </c>
      <c r="H27" s="51">
        <v>109</v>
      </c>
      <c r="I27" s="52">
        <v>7</v>
      </c>
      <c r="J27" s="33">
        <v>163</v>
      </c>
      <c r="K27" s="33">
        <v>122</v>
      </c>
      <c r="L27" s="33">
        <v>179</v>
      </c>
      <c r="M27" s="33">
        <v>160</v>
      </c>
      <c r="N27" s="33">
        <v>72</v>
      </c>
      <c r="O27" s="33">
        <v>127</v>
      </c>
      <c r="P27" s="33">
        <v>97</v>
      </c>
      <c r="Q27" s="36"/>
      <c r="R27" s="36"/>
      <c r="S27" s="36"/>
      <c r="T27" s="62">
        <f t="shared" si="1"/>
        <v>131.42857142857142</v>
      </c>
      <c r="U27" s="60"/>
    </row>
    <row r="28" spans="1:27" ht="15.75" customHeight="1">
      <c r="A28" s="47">
        <v>2</v>
      </c>
      <c r="B28" s="47">
        <v>2</v>
      </c>
      <c r="C28" s="47">
        <v>2</v>
      </c>
      <c r="D28" s="25" t="s">
        <v>62</v>
      </c>
      <c r="E28" s="25" t="s">
        <v>63</v>
      </c>
      <c r="F28" s="25" t="s">
        <v>34</v>
      </c>
      <c r="G28" s="49">
        <v>50752</v>
      </c>
      <c r="H28" s="51">
        <v>89</v>
      </c>
      <c r="I28" s="52">
        <v>4</v>
      </c>
      <c r="J28" s="33">
        <v>11</v>
      </c>
      <c r="K28" s="33">
        <v>10</v>
      </c>
      <c r="L28" s="33">
        <v>6</v>
      </c>
      <c r="M28" s="33">
        <v>11</v>
      </c>
      <c r="N28" s="36"/>
      <c r="O28" s="36"/>
      <c r="P28" s="36"/>
      <c r="Q28" s="36"/>
      <c r="R28" s="36"/>
      <c r="S28" s="36"/>
      <c r="T28" s="62">
        <f t="shared" si="1"/>
        <v>9.5</v>
      </c>
      <c r="U28" s="60"/>
    </row>
    <row r="29" spans="1:27" ht="15.75" customHeight="1">
      <c r="A29" s="82">
        <v>2</v>
      </c>
      <c r="B29" s="82">
        <v>2</v>
      </c>
      <c r="C29" s="82">
        <v>2</v>
      </c>
      <c r="D29" s="84" t="s">
        <v>64</v>
      </c>
      <c r="E29" s="84" t="s">
        <v>65</v>
      </c>
      <c r="F29" s="84" t="s">
        <v>31</v>
      </c>
      <c r="G29" s="86">
        <v>30869</v>
      </c>
      <c r="H29" s="87">
        <v>319</v>
      </c>
      <c r="I29" s="93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95"/>
      <c r="U29" s="89" t="s">
        <v>88</v>
      </c>
      <c r="V29" s="90"/>
      <c r="W29" s="90"/>
      <c r="X29" s="90"/>
      <c r="Y29" s="90"/>
      <c r="Z29" s="90"/>
      <c r="AA29" s="90"/>
    </row>
    <row r="30" spans="1:27" ht="15.75" customHeight="1">
      <c r="A30" s="63">
        <v>2</v>
      </c>
      <c r="B30" s="63">
        <v>2</v>
      </c>
      <c r="C30" s="63">
        <v>2</v>
      </c>
      <c r="D30" s="38" t="s">
        <v>62</v>
      </c>
      <c r="E30" s="38" t="s">
        <v>63</v>
      </c>
      <c r="F30" s="38" t="s">
        <v>34</v>
      </c>
      <c r="G30" s="64">
        <v>50719</v>
      </c>
      <c r="H30" s="65">
        <v>25</v>
      </c>
      <c r="I30" s="97"/>
      <c r="J30" s="92"/>
      <c r="K30" s="48"/>
      <c r="L30" s="48"/>
      <c r="M30" s="48"/>
      <c r="N30" s="48"/>
      <c r="O30" s="48"/>
      <c r="P30" s="48"/>
      <c r="Q30" s="48"/>
      <c r="R30" s="48"/>
      <c r="S30" s="48"/>
      <c r="T30" s="66"/>
      <c r="U30" s="67" t="s">
        <v>43</v>
      </c>
    </row>
    <row r="31" spans="1:27" ht="15.75" customHeight="1">
      <c r="A31" s="47">
        <v>2</v>
      </c>
      <c r="B31" s="47">
        <v>2</v>
      </c>
      <c r="C31" s="47">
        <v>2</v>
      </c>
      <c r="D31" s="25" t="s">
        <v>62</v>
      </c>
      <c r="E31" s="25" t="s">
        <v>63</v>
      </c>
      <c r="F31" s="25" t="s">
        <v>25</v>
      </c>
      <c r="G31" s="49">
        <v>50188</v>
      </c>
      <c r="H31" s="51">
        <v>24</v>
      </c>
      <c r="I31" s="52">
        <v>2</v>
      </c>
      <c r="J31" s="33">
        <v>70</v>
      </c>
      <c r="K31" s="33">
        <v>74</v>
      </c>
      <c r="L31" s="36"/>
      <c r="M31" s="36"/>
      <c r="N31" s="36"/>
      <c r="O31" s="36"/>
      <c r="P31" s="36"/>
      <c r="Q31" s="36"/>
      <c r="R31" s="36"/>
      <c r="S31" s="36"/>
      <c r="T31" s="62">
        <f t="shared" ref="T31:T38" si="2">AVERAGE(J31:S31)</f>
        <v>72</v>
      </c>
      <c r="U31" s="60"/>
    </row>
    <row r="32" spans="1:27" ht="15.75" customHeight="1">
      <c r="A32" s="47">
        <v>2</v>
      </c>
      <c r="B32" s="47">
        <v>2</v>
      </c>
      <c r="C32" s="47">
        <v>3</v>
      </c>
      <c r="D32" s="25" t="s">
        <v>66</v>
      </c>
      <c r="E32" s="25" t="s">
        <v>67</v>
      </c>
      <c r="F32" s="25" t="s">
        <v>68</v>
      </c>
      <c r="G32" s="49">
        <v>50632</v>
      </c>
      <c r="H32" s="51">
        <v>220</v>
      </c>
      <c r="I32" s="52">
        <v>10</v>
      </c>
      <c r="J32" s="33">
        <v>63</v>
      </c>
      <c r="K32" s="33">
        <v>59.5</v>
      </c>
      <c r="L32" s="33">
        <v>48</v>
      </c>
      <c r="M32" s="33">
        <v>73</v>
      </c>
      <c r="N32" s="33">
        <v>56</v>
      </c>
      <c r="O32" s="33">
        <v>72</v>
      </c>
      <c r="P32" s="33">
        <v>45</v>
      </c>
      <c r="Q32" s="33">
        <v>37</v>
      </c>
      <c r="R32" s="33">
        <v>44</v>
      </c>
      <c r="S32" s="33">
        <v>11</v>
      </c>
      <c r="T32" s="62">
        <f t="shared" si="2"/>
        <v>50.85</v>
      </c>
      <c r="U32" s="60"/>
    </row>
    <row r="33" spans="1:21" ht="15.75" customHeight="1">
      <c r="A33" s="47">
        <v>2</v>
      </c>
      <c r="B33" s="47">
        <v>2</v>
      </c>
      <c r="C33" s="47">
        <v>3</v>
      </c>
      <c r="D33" s="25" t="s">
        <v>66</v>
      </c>
      <c r="E33" s="25" t="s">
        <v>67</v>
      </c>
      <c r="F33" s="25" t="s">
        <v>34</v>
      </c>
      <c r="G33" s="49">
        <v>50558</v>
      </c>
      <c r="H33" s="51">
        <v>227</v>
      </c>
      <c r="I33" s="52">
        <v>9</v>
      </c>
      <c r="J33" s="33" t="s">
        <v>55</v>
      </c>
      <c r="K33" s="33">
        <v>14</v>
      </c>
      <c r="L33" s="33">
        <v>10.5</v>
      </c>
      <c r="M33" s="33">
        <v>12</v>
      </c>
      <c r="N33" s="33">
        <v>23</v>
      </c>
      <c r="O33" s="33">
        <v>30</v>
      </c>
      <c r="P33" s="33">
        <v>24</v>
      </c>
      <c r="Q33" s="33">
        <v>32</v>
      </c>
      <c r="R33" s="33">
        <v>45</v>
      </c>
      <c r="S33" s="33">
        <v>64</v>
      </c>
      <c r="T33" s="62">
        <f t="shared" si="2"/>
        <v>28.277777777777779</v>
      </c>
      <c r="U33" s="60"/>
    </row>
    <row r="34" spans="1:21" ht="15.75" customHeight="1">
      <c r="A34" s="47">
        <v>2</v>
      </c>
      <c r="B34" s="47">
        <v>2</v>
      </c>
      <c r="C34" s="47">
        <v>4</v>
      </c>
      <c r="D34" s="25" t="s">
        <v>69</v>
      </c>
      <c r="E34" s="25" t="s">
        <v>70</v>
      </c>
      <c r="F34" s="25" t="s">
        <v>25</v>
      </c>
      <c r="G34" s="49">
        <v>50754</v>
      </c>
      <c r="H34" s="51">
        <v>205</v>
      </c>
      <c r="I34" s="52">
        <v>10</v>
      </c>
      <c r="J34" s="33">
        <v>128</v>
      </c>
      <c r="K34" s="33">
        <v>107</v>
      </c>
      <c r="L34" s="33">
        <v>137</v>
      </c>
      <c r="M34" s="33">
        <v>186</v>
      </c>
      <c r="N34" s="33">
        <v>212</v>
      </c>
      <c r="O34" s="33">
        <v>157</v>
      </c>
      <c r="P34" s="33">
        <v>167</v>
      </c>
      <c r="Q34" s="33">
        <v>151</v>
      </c>
      <c r="R34" s="33">
        <v>105</v>
      </c>
      <c r="S34" s="33">
        <v>93</v>
      </c>
      <c r="T34" s="62">
        <f t="shared" si="2"/>
        <v>144.30000000000001</v>
      </c>
      <c r="U34" s="60"/>
    </row>
    <row r="35" spans="1:21" ht="15.75" customHeight="1">
      <c r="A35" s="47">
        <v>2</v>
      </c>
      <c r="B35" s="47">
        <v>2</v>
      </c>
      <c r="C35" s="47">
        <v>4</v>
      </c>
      <c r="D35" s="25" t="s">
        <v>69</v>
      </c>
      <c r="E35" s="25" t="s">
        <v>70</v>
      </c>
      <c r="F35" s="25" t="s">
        <v>68</v>
      </c>
      <c r="G35" s="49">
        <v>50820</v>
      </c>
      <c r="H35" s="51">
        <v>9</v>
      </c>
      <c r="I35" s="52">
        <v>1</v>
      </c>
      <c r="J35" s="33">
        <v>80</v>
      </c>
      <c r="K35" s="36"/>
      <c r="L35" s="36"/>
      <c r="M35" s="36"/>
      <c r="N35" s="36"/>
      <c r="O35" s="36"/>
      <c r="P35" s="36"/>
      <c r="Q35" s="36"/>
      <c r="R35" s="36"/>
      <c r="S35" s="36"/>
      <c r="T35" s="62">
        <f t="shared" si="2"/>
        <v>80</v>
      </c>
      <c r="U35" s="60"/>
    </row>
    <row r="36" spans="1:21" ht="15.75" customHeight="1">
      <c r="A36" s="47">
        <v>2</v>
      </c>
      <c r="B36" s="47">
        <v>2</v>
      </c>
      <c r="C36" s="47">
        <v>5</v>
      </c>
      <c r="D36" s="25" t="s">
        <v>60</v>
      </c>
      <c r="E36" s="25" t="s">
        <v>71</v>
      </c>
      <c r="F36" s="25" t="s">
        <v>31</v>
      </c>
      <c r="G36" s="49">
        <v>50764</v>
      </c>
      <c r="H36" s="51">
        <v>175</v>
      </c>
      <c r="I36" s="52">
        <v>10</v>
      </c>
      <c r="J36" s="33">
        <v>161</v>
      </c>
      <c r="K36" s="33">
        <v>98</v>
      </c>
      <c r="L36" s="33">
        <v>191</v>
      </c>
      <c r="M36" s="33">
        <v>97.5</v>
      </c>
      <c r="N36" s="33">
        <v>113</v>
      </c>
      <c r="O36" s="33">
        <v>127</v>
      </c>
      <c r="P36" s="33">
        <v>190</v>
      </c>
      <c r="Q36" s="33">
        <v>132</v>
      </c>
      <c r="R36" s="33">
        <v>190</v>
      </c>
      <c r="S36" s="33" t="s">
        <v>80</v>
      </c>
      <c r="T36" s="62">
        <f t="shared" si="2"/>
        <v>144.38888888888889</v>
      </c>
      <c r="U36" s="60"/>
    </row>
    <row r="37" spans="1:21" ht="15.75" customHeight="1">
      <c r="A37" s="47">
        <v>2</v>
      </c>
      <c r="B37" s="47">
        <v>2</v>
      </c>
      <c r="C37" s="47">
        <v>8</v>
      </c>
      <c r="D37" s="25" t="s">
        <v>72</v>
      </c>
      <c r="E37" s="25" t="s">
        <v>73</v>
      </c>
      <c r="F37" s="25" t="s">
        <v>34</v>
      </c>
      <c r="G37" s="49">
        <v>50426</v>
      </c>
      <c r="H37" s="51">
        <v>320</v>
      </c>
      <c r="I37" s="52">
        <v>10</v>
      </c>
      <c r="J37" s="33">
        <v>23</v>
      </c>
      <c r="K37" s="33" t="s">
        <v>80</v>
      </c>
      <c r="L37" s="33">
        <v>21</v>
      </c>
      <c r="M37" s="33">
        <v>19</v>
      </c>
      <c r="N37" s="33">
        <v>22</v>
      </c>
      <c r="O37" s="33">
        <v>11</v>
      </c>
      <c r="P37" s="33" t="s">
        <v>80</v>
      </c>
      <c r="Q37" s="33">
        <v>25</v>
      </c>
      <c r="R37" s="33">
        <v>36</v>
      </c>
      <c r="S37" s="33">
        <v>69</v>
      </c>
      <c r="T37" s="62">
        <f t="shared" si="2"/>
        <v>28.25</v>
      </c>
      <c r="U37" s="60"/>
    </row>
    <row r="38" spans="1:21" ht="15.75" customHeight="1">
      <c r="A38" s="47">
        <v>2</v>
      </c>
      <c r="B38" s="47">
        <v>2</v>
      </c>
      <c r="C38" s="47">
        <v>8</v>
      </c>
      <c r="D38" s="25" t="s">
        <v>72</v>
      </c>
      <c r="E38" s="25" t="s">
        <v>73</v>
      </c>
      <c r="F38" s="25" t="s">
        <v>34</v>
      </c>
      <c r="G38" s="49">
        <v>50760</v>
      </c>
      <c r="H38" s="51">
        <v>140</v>
      </c>
      <c r="I38" s="52">
        <v>8</v>
      </c>
      <c r="J38" s="33">
        <v>50</v>
      </c>
      <c r="K38" s="33">
        <v>54</v>
      </c>
      <c r="L38" s="33">
        <v>52</v>
      </c>
      <c r="M38" s="33">
        <v>37</v>
      </c>
      <c r="N38" s="33">
        <v>60</v>
      </c>
      <c r="O38" s="33">
        <v>34</v>
      </c>
      <c r="P38" s="33">
        <v>43</v>
      </c>
      <c r="Q38" s="33">
        <v>50</v>
      </c>
      <c r="R38" s="36"/>
      <c r="S38" s="36"/>
      <c r="T38" s="62">
        <f t="shared" si="2"/>
        <v>47.5</v>
      </c>
      <c r="U38" s="60"/>
    </row>
    <row r="39" spans="1:21" ht="15.75" customHeight="1">
      <c r="A39" s="63">
        <v>2</v>
      </c>
      <c r="B39" s="63">
        <v>2</v>
      </c>
      <c r="C39" s="63">
        <v>9</v>
      </c>
      <c r="D39" s="38" t="s">
        <v>60</v>
      </c>
      <c r="E39" s="38" t="s">
        <v>71</v>
      </c>
      <c r="F39" s="38" t="s">
        <v>31</v>
      </c>
      <c r="G39" s="64">
        <v>50764</v>
      </c>
      <c r="H39" s="65">
        <v>48</v>
      </c>
      <c r="I39" s="52">
        <v>3</v>
      </c>
      <c r="J39" s="38" t="s">
        <v>80</v>
      </c>
      <c r="K39" s="38" t="s">
        <v>80</v>
      </c>
      <c r="L39" s="38" t="s">
        <v>80</v>
      </c>
      <c r="M39" s="48"/>
      <c r="N39" s="48"/>
      <c r="O39" s="48"/>
      <c r="P39" s="48"/>
      <c r="Q39" s="48"/>
      <c r="R39" s="48"/>
      <c r="S39" s="48"/>
      <c r="T39" s="69"/>
      <c r="U39" s="67" t="s">
        <v>110</v>
      </c>
    </row>
    <row r="40" spans="1:21" ht="15.75" customHeight="1">
      <c r="A40" s="47">
        <v>2</v>
      </c>
      <c r="B40" s="47">
        <v>2</v>
      </c>
      <c r="C40" s="47">
        <v>11</v>
      </c>
      <c r="D40" s="25" t="s">
        <v>74</v>
      </c>
      <c r="E40" s="25" t="s">
        <v>75</v>
      </c>
      <c r="F40" s="25" t="s">
        <v>25</v>
      </c>
      <c r="G40" s="49">
        <v>50736</v>
      </c>
      <c r="H40" s="51">
        <v>354</v>
      </c>
      <c r="I40" s="52">
        <v>10</v>
      </c>
      <c r="J40" s="33">
        <v>86.5</v>
      </c>
      <c r="K40" s="33">
        <v>41</v>
      </c>
      <c r="L40" s="33">
        <v>95</v>
      </c>
      <c r="M40" s="33">
        <v>116</v>
      </c>
      <c r="N40" s="33">
        <v>106</v>
      </c>
      <c r="O40" s="33">
        <v>137.5</v>
      </c>
      <c r="P40" s="33">
        <v>157.5</v>
      </c>
      <c r="Q40" s="33">
        <v>152</v>
      </c>
      <c r="R40" s="33">
        <v>169.5</v>
      </c>
      <c r="S40" s="33">
        <v>114</v>
      </c>
      <c r="T40" s="62">
        <f t="shared" ref="T40:T54" si="3">AVERAGE(J40:S40)</f>
        <v>117.5</v>
      </c>
      <c r="U40" s="60"/>
    </row>
    <row r="41" spans="1:21" ht="15.75" customHeight="1">
      <c r="A41" s="47">
        <v>2</v>
      </c>
      <c r="B41" s="47">
        <v>2</v>
      </c>
      <c r="C41" s="47">
        <v>11</v>
      </c>
      <c r="D41" s="25" t="s">
        <v>74</v>
      </c>
      <c r="E41" s="25" t="s">
        <v>75</v>
      </c>
      <c r="F41" s="25" t="s">
        <v>34</v>
      </c>
      <c r="G41" s="49">
        <v>50505</v>
      </c>
      <c r="H41" s="51">
        <v>15</v>
      </c>
      <c r="I41" s="52">
        <v>1</v>
      </c>
      <c r="J41" s="33">
        <v>54</v>
      </c>
      <c r="K41" s="36"/>
      <c r="L41" s="36"/>
      <c r="M41" s="36"/>
      <c r="N41" s="36"/>
      <c r="O41" s="36"/>
      <c r="P41" s="36"/>
      <c r="Q41" s="36"/>
      <c r="R41" s="36"/>
      <c r="S41" s="36"/>
      <c r="T41" s="62">
        <f t="shared" si="3"/>
        <v>54</v>
      </c>
      <c r="U41" s="60"/>
    </row>
    <row r="42" spans="1:21" ht="15.75" customHeight="1">
      <c r="A42" s="47">
        <v>2</v>
      </c>
      <c r="B42" s="47">
        <v>2</v>
      </c>
      <c r="C42" s="47">
        <v>13</v>
      </c>
      <c r="D42" s="25" t="s">
        <v>60</v>
      </c>
      <c r="E42" s="25" t="s">
        <v>61</v>
      </c>
      <c r="F42" s="25" t="s">
        <v>25</v>
      </c>
      <c r="G42" s="49">
        <v>50749</v>
      </c>
      <c r="H42" s="51">
        <v>200</v>
      </c>
      <c r="I42" s="52">
        <v>8</v>
      </c>
      <c r="J42" s="33">
        <v>156</v>
      </c>
      <c r="K42" s="33">
        <v>154.5</v>
      </c>
      <c r="L42" s="33">
        <v>160</v>
      </c>
      <c r="M42" s="33">
        <v>159</v>
      </c>
      <c r="N42" s="33">
        <v>209</v>
      </c>
      <c r="O42" s="33">
        <v>185</v>
      </c>
      <c r="P42" s="33">
        <v>209</v>
      </c>
      <c r="Q42" s="33">
        <v>115</v>
      </c>
      <c r="R42" s="36"/>
      <c r="S42" s="36"/>
      <c r="T42" s="62">
        <f t="shared" si="3"/>
        <v>168.4375</v>
      </c>
      <c r="U42" s="60"/>
    </row>
    <row r="43" spans="1:21" ht="15.75" customHeight="1">
      <c r="A43" s="47">
        <v>2</v>
      </c>
      <c r="B43" s="47">
        <v>2</v>
      </c>
      <c r="C43" s="47">
        <v>13</v>
      </c>
      <c r="D43" s="25" t="s">
        <v>76</v>
      </c>
      <c r="E43" s="25" t="s">
        <v>77</v>
      </c>
      <c r="F43" s="25" t="s">
        <v>25</v>
      </c>
      <c r="G43" s="49">
        <v>50748</v>
      </c>
      <c r="H43" s="51">
        <v>296</v>
      </c>
      <c r="I43" s="52">
        <v>8</v>
      </c>
      <c r="J43" s="33">
        <v>81.900000000000006</v>
      </c>
      <c r="K43" s="33">
        <v>108</v>
      </c>
      <c r="L43" s="33">
        <v>125</v>
      </c>
      <c r="M43" s="33">
        <v>81.400000000000006</v>
      </c>
      <c r="N43" s="33">
        <v>130</v>
      </c>
      <c r="O43" s="33">
        <v>54</v>
      </c>
      <c r="P43" s="33">
        <v>163</v>
      </c>
      <c r="Q43" s="33">
        <v>72</v>
      </c>
      <c r="R43" s="36"/>
      <c r="S43" s="36"/>
      <c r="T43" s="62">
        <f t="shared" si="3"/>
        <v>101.91249999999999</v>
      </c>
      <c r="U43" s="60"/>
    </row>
    <row r="44" spans="1:21" ht="15.75" customHeight="1">
      <c r="A44" s="47">
        <v>2</v>
      </c>
      <c r="B44" s="47">
        <v>2</v>
      </c>
      <c r="C44" s="47">
        <v>18</v>
      </c>
      <c r="D44" s="25" t="s">
        <v>72</v>
      </c>
      <c r="E44" s="25" t="s">
        <v>73</v>
      </c>
      <c r="F44" s="25" t="s">
        <v>25</v>
      </c>
      <c r="G44" s="49">
        <v>50706</v>
      </c>
      <c r="H44" s="51">
        <v>71</v>
      </c>
      <c r="I44" s="52">
        <v>3</v>
      </c>
      <c r="J44" s="33">
        <v>29</v>
      </c>
      <c r="K44" s="33">
        <v>17</v>
      </c>
      <c r="L44" s="33">
        <v>33</v>
      </c>
      <c r="M44" s="36"/>
      <c r="N44" s="36"/>
      <c r="O44" s="36"/>
      <c r="P44" s="36"/>
      <c r="Q44" s="36"/>
      <c r="R44" s="36"/>
      <c r="S44" s="36"/>
      <c r="T44" s="62">
        <f t="shared" si="3"/>
        <v>26.333333333333332</v>
      </c>
      <c r="U44" s="60"/>
    </row>
    <row r="45" spans="1:21" ht="15.75" customHeight="1">
      <c r="A45" s="47">
        <v>2</v>
      </c>
      <c r="B45" s="47">
        <v>3</v>
      </c>
      <c r="C45" s="47">
        <v>1</v>
      </c>
      <c r="D45" s="25" t="s">
        <v>78</v>
      </c>
      <c r="E45" s="25" t="s">
        <v>79</v>
      </c>
      <c r="F45" s="25" t="s">
        <v>31</v>
      </c>
      <c r="G45" s="49">
        <v>50801</v>
      </c>
      <c r="H45" s="51">
        <v>371</v>
      </c>
      <c r="I45" s="52">
        <v>10</v>
      </c>
      <c r="J45" s="33">
        <v>74</v>
      </c>
      <c r="K45" s="33">
        <v>83</v>
      </c>
      <c r="L45" s="33">
        <v>92</v>
      </c>
      <c r="M45" s="33">
        <v>74.5</v>
      </c>
      <c r="N45" s="33">
        <v>95</v>
      </c>
      <c r="O45" s="33">
        <v>92</v>
      </c>
      <c r="P45" s="33">
        <v>103</v>
      </c>
      <c r="Q45" s="33">
        <v>110</v>
      </c>
      <c r="R45" s="33">
        <v>101</v>
      </c>
      <c r="S45" s="33">
        <v>54</v>
      </c>
      <c r="T45" s="62">
        <f t="shared" si="3"/>
        <v>87.85</v>
      </c>
      <c r="U45" s="60"/>
    </row>
    <row r="46" spans="1:21" ht="15.75" customHeight="1">
      <c r="A46" s="47">
        <v>2</v>
      </c>
      <c r="B46" s="47">
        <v>3</v>
      </c>
      <c r="C46" s="47">
        <v>1</v>
      </c>
      <c r="D46" s="25" t="s">
        <v>78</v>
      </c>
      <c r="E46" s="25" t="s">
        <v>79</v>
      </c>
      <c r="F46" s="25" t="s">
        <v>68</v>
      </c>
      <c r="G46" s="49">
        <v>50814</v>
      </c>
      <c r="H46" s="51">
        <v>218</v>
      </c>
      <c r="I46" s="52">
        <v>8</v>
      </c>
      <c r="J46" s="33">
        <v>101</v>
      </c>
      <c r="K46" s="33">
        <v>139</v>
      </c>
      <c r="L46" s="33">
        <v>112</v>
      </c>
      <c r="M46" s="33">
        <v>114</v>
      </c>
      <c r="N46" s="33">
        <v>129.5</v>
      </c>
      <c r="O46" s="33">
        <v>127</v>
      </c>
      <c r="P46" s="33">
        <v>101.5</v>
      </c>
      <c r="Q46" s="33">
        <v>69</v>
      </c>
      <c r="R46" s="36"/>
      <c r="S46" s="36"/>
      <c r="T46" s="62">
        <f t="shared" si="3"/>
        <v>111.625</v>
      </c>
      <c r="U46" s="60"/>
    </row>
    <row r="47" spans="1:21" ht="15.75" customHeight="1">
      <c r="A47" s="47">
        <v>2</v>
      </c>
      <c r="B47" s="47">
        <v>3</v>
      </c>
      <c r="C47" s="47">
        <v>1</v>
      </c>
      <c r="D47" s="25" t="s">
        <v>78</v>
      </c>
      <c r="E47" s="25" t="s">
        <v>79</v>
      </c>
      <c r="F47" s="25" t="s">
        <v>25</v>
      </c>
      <c r="G47" s="49">
        <v>50741</v>
      </c>
      <c r="H47" s="51">
        <v>55</v>
      </c>
      <c r="I47" s="52">
        <v>3</v>
      </c>
      <c r="J47" s="33">
        <v>120.5</v>
      </c>
      <c r="K47" s="33">
        <v>77</v>
      </c>
      <c r="L47" s="33">
        <v>102</v>
      </c>
      <c r="M47" s="36"/>
      <c r="N47" s="36"/>
      <c r="O47" s="36"/>
      <c r="P47" s="36"/>
      <c r="Q47" s="36"/>
      <c r="R47" s="36"/>
      <c r="S47" s="36"/>
      <c r="T47" s="62">
        <f t="shared" si="3"/>
        <v>99.833333333333329</v>
      </c>
      <c r="U47" s="60"/>
    </row>
    <row r="48" spans="1:21" ht="15.75" customHeight="1">
      <c r="A48" s="47">
        <v>2</v>
      </c>
      <c r="B48" s="47">
        <v>3</v>
      </c>
      <c r="C48" s="47">
        <v>1</v>
      </c>
      <c r="D48" s="25" t="s">
        <v>78</v>
      </c>
      <c r="E48" s="25" t="s">
        <v>79</v>
      </c>
      <c r="F48" s="25" t="s">
        <v>31</v>
      </c>
      <c r="G48" s="49">
        <v>50791</v>
      </c>
      <c r="H48" s="51">
        <v>49</v>
      </c>
      <c r="I48" s="52">
        <v>2</v>
      </c>
      <c r="J48" s="33">
        <v>63</v>
      </c>
      <c r="K48" s="33">
        <v>47</v>
      </c>
      <c r="L48" s="36"/>
      <c r="M48" s="36"/>
      <c r="N48" s="36"/>
      <c r="O48" s="36"/>
      <c r="P48" s="36"/>
      <c r="Q48" s="36"/>
      <c r="R48" s="36"/>
      <c r="S48" s="36"/>
      <c r="T48" s="62">
        <f t="shared" si="3"/>
        <v>55</v>
      </c>
      <c r="U48" s="60"/>
    </row>
    <row r="49" spans="1:22" ht="15.75" customHeight="1">
      <c r="A49" s="47">
        <v>2</v>
      </c>
      <c r="B49" s="47">
        <v>3</v>
      </c>
      <c r="C49" s="47">
        <v>1</v>
      </c>
      <c r="D49" s="25" t="s">
        <v>78</v>
      </c>
      <c r="E49" s="25" t="s">
        <v>79</v>
      </c>
      <c r="F49" s="25" t="s">
        <v>34</v>
      </c>
      <c r="G49" s="49">
        <v>50850</v>
      </c>
      <c r="H49" s="51">
        <v>46</v>
      </c>
      <c r="I49" s="52">
        <v>2</v>
      </c>
      <c r="J49" s="33">
        <v>124.5</v>
      </c>
      <c r="K49" s="33">
        <v>103</v>
      </c>
      <c r="L49" s="36"/>
      <c r="M49" s="36"/>
      <c r="N49" s="36"/>
      <c r="O49" s="36"/>
      <c r="P49" s="36"/>
      <c r="Q49" s="36"/>
      <c r="R49" s="36"/>
      <c r="S49" s="36"/>
      <c r="T49" s="62">
        <f t="shared" si="3"/>
        <v>113.75</v>
      </c>
      <c r="U49" s="60"/>
    </row>
    <row r="50" spans="1:22" ht="15.75" customHeight="1">
      <c r="A50" s="47">
        <v>2</v>
      </c>
      <c r="B50" s="47">
        <v>3</v>
      </c>
      <c r="C50" s="47">
        <v>2</v>
      </c>
      <c r="D50" s="25" t="s">
        <v>81</v>
      </c>
      <c r="E50" s="25" t="s">
        <v>82</v>
      </c>
      <c r="F50" s="25" t="s">
        <v>25</v>
      </c>
      <c r="G50" s="49">
        <v>50723</v>
      </c>
      <c r="H50" s="51">
        <v>44</v>
      </c>
      <c r="I50" s="52">
        <v>2</v>
      </c>
      <c r="J50" s="33">
        <v>51</v>
      </c>
      <c r="K50" s="33">
        <v>35</v>
      </c>
      <c r="L50" s="36"/>
      <c r="M50" s="36"/>
      <c r="N50" s="36"/>
      <c r="O50" s="36"/>
      <c r="P50" s="36"/>
      <c r="Q50" s="36"/>
      <c r="R50" s="36"/>
      <c r="S50" s="36"/>
      <c r="T50" s="62">
        <f t="shared" si="3"/>
        <v>43</v>
      </c>
      <c r="U50" s="60"/>
    </row>
    <row r="51" spans="1:22" ht="15.75" customHeight="1">
      <c r="A51" s="47">
        <v>2</v>
      </c>
      <c r="B51" s="47">
        <v>3</v>
      </c>
      <c r="C51" s="47">
        <v>2</v>
      </c>
      <c r="D51" s="25" t="s">
        <v>81</v>
      </c>
      <c r="E51" s="25" t="s">
        <v>82</v>
      </c>
      <c r="F51" s="25" t="s">
        <v>34</v>
      </c>
      <c r="G51" s="49">
        <v>50518</v>
      </c>
      <c r="H51" s="51">
        <v>61</v>
      </c>
      <c r="I51" s="52">
        <v>3</v>
      </c>
      <c r="J51" s="33">
        <v>33</v>
      </c>
      <c r="K51" s="33">
        <v>59</v>
      </c>
      <c r="L51" s="33">
        <v>58</v>
      </c>
      <c r="M51" s="36"/>
      <c r="N51" s="36"/>
      <c r="O51" s="36"/>
      <c r="P51" s="36"/>
      <c r="Q51" s="36"/>
      <c r="R51" s="36"/>
      <c r="S51" s="36"/>
      <c r="T51" s="62">
        <f t="shared" si="3"/>
        <v>50</v>
      </c>
      <c r="U51" s="60"/>
    </row>
    <row r="52" spans="1:22" ht="15.75" customHeight="1">
      <c r="A52" s="33">
        <v>2</v>
      </c>
      <c r="B52" s="47">
        <v>3</v>
      </c>
      <c r="C52" s="47">
        <v>2</v>
      </c>
      <c r="D52" s="25" t="s">
        <v>85</v>
      </c>
      <c r="E52" s="25" t="s">
        <v>86</v>
      </c>
      <c r="F52" s="25" t="s">
        <v>68</v>
      </c>
      <c r="G52" s="49">
        <v>50832</v>
      </c>
      <c r="H52" s="51">
        <v>251</v>
      </c>
      <c r="I52" s="52">
        <v>10</v>
      </c>
      <c r="J52" s="33">
        <v>61</v>
      </c>
      <c r="K52" s="33">
        <v>49.5</v>
      </c>
      <c r="L52" s="33">
        <v>56</v>
      </c>
      <c r="M52" s="33">
        <v>58</v>
      </c>
      <c r="N52" s="33">
        <v>64</v>
      </c>
      <c r="O52" s="33">
        <v>55</v>
      </c>
      <c r="P52" s="33">
        <v>55</v>
      </c>
      <c r="Q52" s="33">
        <v>66</v>
      </c>
      <c r="R52" s="33">
        <v>56</v>
      </c>
      <c r="S52" s="33">
        <v>59</v>
      </c>
      <c r="T52" s="62">
        <f t="shared" si="3"/>
        <v>57.95</v>
      </c>
      <c r="U52" s="60"/>
    </row>
    <row r="53" spans="1:22" ht="15.75" customHeight="1">
      <c r="A53" s="47">
        <v>2</v>
      </c>
      <c r="B53" s="47">
        <v>3</v>
      </c>
      <c r="C53" s="47">
        <v>2</v>
      </c>
      <c r="D53" s="25" t="s">
        <v>81</v>
      </c>
      <c r="E53" s="25" t="s">
        <v>82</v>
      </c>
      <c r="F53" s="25" t="s">
        <v>34</v>
      </c>
      <c r="G53" s="49">
        <v>50628</v>
      </c>
      <c r="H53" s="51">
        <v>28</v>
      </c>
      <c r="I53" s="52">
        <v>1</v>
      </c>
      <c r="J53" s="33">
        <v>45</v>
      </c>
      <c r="K53" s="36"/>
      <c r="L53" s="36"/>
      <c r="M53" s="36"/>
      <c r="N53" s="36"/>
      <c r="O53" s="36"/>
      <c r="P53" s="36"/>
      <c r="Q53" s="36"/>
      <c r="R53" s="36"/>
      <c r="S53" s="36"/>
      <c r="T53" s="62">
        <f t="shared" si="3"/>
        <v>45</v>
      </c>
      <c r="U53" s="60"/>
    </row>
    <row r="54" spans="1:22" ht="15.75" customHeight="1">
      <c r="A54" s="47">
        <v>2</v>
      </c>
      <c r="B54" s="47">
        <v>3</v>
      </c>
      <c r="C54" s="47">
        <v>2</v>
      </c>
      <c r="D54" s="25" t="s">
        <v>81</v>
      </c>
      <c r="E54" s="25" t="s">
        <v>82</v>
      </c>
      <c r="F54" s="25" t="s">
        <v>34</v>
      </c>
      <c r="G54" s="49">
        <v>50520</v>
      </c>
      <c r="H54" s="51">
        <v>142</v>
      </c>
      <c r="I54" s="52">
        <v>6</v>
      </c>
      <c r="J54" s="33">
        <v>22</v>
      </c>
      <c r="K54" s="33">
        <v>37</v>
      </c>
      <c r="L54" s="33">
        <v>42.2</v>
      </c>
      <c r="M54" s="33">
        <v>32</v>
      </c>
      <c r="N54" s="33">
        <v>45</v>
      </c>
      <c r="O54" s="33">
        <v>44.5</v>
      </c>
      <c r="P54" s="36"/>
      <c r="Q54" s="36"/>
      <c r="R54" s="36"/>
      <c r="S54" s="36"/>
      <c r="T54" s="62">
        <f t="shared" si="3"/>
        <v>37.116666666666667</v>
      </c>
      <c r="U54" s="60"/>
    </row>
    <row r="55" spans="1:22" ht="15.75" customHeight="1">
      <c r="A55" s="71">
        <v>2</v>
      </c>
      <c r="B55" s="71">
        <v>3</v>
      </c>
      <c r="C55" s="71">
        <v>2</v>
      </c>
      <c r="D55" s="53" t="s">
        <v>81</v>
      </c>
      <c r="E55" s="53" t="s">
        <v>82</v>
      </c>
      <c r="F55" s="53" t="s">
        <v>34</v>
      </c>
      <c r="G55" s="73">
        <v>50483</v>
      </c>
      <c r="H55" s="74">
        <v>3</v>
      </c>
      <c r="I55" s="97"/>
      <c r="J55" s="106" t="s">
        <v>55</v>
      </c>
      <c r="K55" s="78"/>
      <c r="L55" s="78"/>
      <c r="M55" s="78"/>
      <c r="N55" s="78"/>
      <c r="O55" s="78"/>
      <c r="P55" s="78"/>
      <c r="Q55" s="78"/>
      <c r="R55" s="78"/>
      <c r="S55" s="78"/>
      <c r="T55" s="80"/>
      <c r="U55" s="79" t="s">
        <v>55</v>
      </c>
    </row>
    <row r="56" spans="1:22" ht="15.75" customHeight="1">
      <c r="A56" s="77">
        <v>2</v>
      </c>
      <c r="B56" s="77">
        <v>3</v>
      </c>
      <c r="C56" s="77">
        <v>3</v>
      </c>
      <c r="D56" s="70" t="s">
        <v>72</v>
      </c>
      <c r="E56" s="70" t="s">
        <v>73</v>
      </c>
      <c r="F56" s="70" t="s">
        <v>68</v>
      </c>
      <c r="G56" s="99">
        <v>50618</v>
      </c>
      <c r="H56" s="100">
        <v>96</v>
      </c>
      <c r="I56" s="52">
        <v>6</v>
      </c>
      <c r="J56" s="70">
        <v>18.5</v>
      </c>
      <c r="K56" s="70">
        <v>24</v>
      </c>
      <c r="L56" s="70">
        <v>19</v>
      </c>
      <c r="M56" s="70">
        <v>10</v>
      </c>
      <c r="N56" s="70">
        <v>15</v>
      </c>
      <c r="O56" s="70">
        <v>12</v>
      </c>
      <c r="P56" s="81"/>
      <c r="Q56" s="81"/>
      <c r="R56" s="81"/>
      <c r="S56" s="81"/>
      <c r="T56" s="108">
        <f>AVERAGE(J56:S56)</f>
        <v>16.416666666666668</v>
      </c>
      <c r="U56" s="103" t="s">
        <v>87</v>
      </c>
    </row>
    <row r="57" spans="1:22" ht="15.75" customHeight="1">
      <c r="A57" s="47">
        <v>2</v>
      </c>
      <c r="B57" s="47">
        <v>3</v>
      </c>
      <c r="C57" s="47">
        <v>4</v>
      </c>
      <c r="D57" s="25" t="s">
        <v>72</v>
      </c>
      <c r="E57" s="25" t="s">
        <v>73</v>
      </c>
      <c r="F57" s="25" t="s">
        <v>31</v>
      </c>
      <c r="G57" s="49">
        <v>50803</v>
      </c>
      <c r="H57" s="51">
        <v>486</v>
      </c>
      <c r="I57" s="52">
        <v>8</v>
      </c>
      <c r="J57" s="33">
        <v>27</v>
      </c>
      <c r="K57" s="33">
        <v>51.5</v>
      </c>
      <c r="L57" s="33">
        <v>34</v>
      </c>
      <c r="M57" s="33">
        <v>13</v>
      </c>
      <c r="N57" s="33">
        <v>24</v>
      </c>
      <c r="O57" s="33">
        <v>32</v>
      </c>
      <c r="P57" s="33">
        <v>48.9</v>
      </c>
      <c r="Q57" s="33">
        <v>30</v>
      </c>
      <c r="R57" s="36"/>
      <c r="S57" s="36"/>
      <c r="T57" s="62">
        <f>AVERAGE(J57:S57)</f>
        <v>32.549999999999997</v>
      </c>
      <c r="U57" s="60"/>
    </row>
    <row r="58" spans="1:22" ht="15.75" customHeight="1">
      <c r="A58" s="77">
        <v>2</v>
      </c>
      <c r="B58" s="77">
        <v>3</v>
      </c>
      <c r="C58" s="77">
        <v>4</v>
      </c>
      <c r="D58" s="70" t="s">
        <v>72</v>
      </c>
      <c r="E58" s="70" t="s">
        <v>73</v>
      </c>
      <c r="F58" s="70" t="s">
        <v>68</v>
      </c>
      <c r="G58" s="99">
        <v>50618</v>
      </c>
      <c r="H58" s="100">
        <v>49</v>
      </c>
      <c r="I58" s="97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108"/>
      <c r="U58" s="103" t="s">
        <v>87</v>
      </c>
      <c r="V58" s="91"/>
    </row>
    <row r="59" spans="1:22" ht="15.75" customHeight="1">
      <c r="A59" s="47">
        <v>2</v>
      </c>
      <c r="B59" s="47">
        <v>3</v>
      </c>
      <c r="C59" s="47">
        <v>5</v>
      </c>
      <c r="D59" s="25" t="s">
        <v>89</v>
      </c>
      <c r="E59" s="25" t="s">
        <v>90</v>
      </c>
      <c r="F59" s="25" t="s">
        <v>34</v>
      </c>
      <c r="G59" s="49">
        <v>50854</v>
      </c>
      <c r="H59" s="51">
        <v>179</v>
      </c>
      <c r="I59" s="52">
        <v>8</v>
      </c>
      <c r="J59" s="33">
        <v>33</v>
      </c>
      <c r="K59" s="33">
        <v>22</v>
      </c>
      <c r="L59" s="33">
        <v>41</v>
      </c>
      <c r="M59" s="33">
        <v>45</v>
      </c>
      <c r="N59" s="33">
        <v>61</v>
      </c>
      <c r="O59" s="33">
        <v>33</v>
      </c>
      <c r="P59" s="33">
        <v>31</v>
      </c>
      <c r="Q59" s="33">
        <v>31</v>
      </c>
      <c r="R59" s="36"/>
      <c r="S59" s="36"/>
      <c r="T59" s="62">
        <f t="shared" ref="T59:T64" si="4">AVERAGE(J59:S59)</f>
        <v>37.125</v>
      </c>
      <c r="U59" s="60"/>
    </row>
    <row r="60" spans="1:22" ht="15.75" customHeight="1">
      <c r="A60" s="47">
        <v>2</v>
      </c>
      <c r="B60" s="47">
        <v>3</v>
      </c>
      <c r="C60" s="47">
        <v>5</v>
      </c>
      <c r="D60" s="25" t="s">
        <v>89</v>
      </c>
      <c r="E60" s="25" t="s">
        <v>90</v>
      </c>
      <c r="F60" s="25" t="s">
        <v>25</v>
      </c>
      <c r="G60" s="49">
        <v>50846</v>
      </c>
      <c r="H60" s="51">
        <v>114</v>
      </c>
      <c r="I60" s="52">
        <v>6</v>
      </c>
      <c r="J60" s="33">
        <v>75</v>
      </c>
      <c r="K60" s="33">
        <v>50</v>
      </c>
      <c r="L60" s="33">
        <v>63</v>
      </c>
      <c r="M60" s="33">
        <v>47</v>
      </c>
      <c r="N60" s="33">
        <v>32</v>
      </c>
      <c r="O60" s="33">
        <v>45</v>
      </c>
      <c r="P60" s="36"/>
      <c r="Q60" s="36"/>
      <c r="R60" s="36"/>
      <c r="S60" s="36"/>
      <c r="T60" s="62">
        <f t="shared" si="4"/>
        <v>52</v>
      </c>
      <c r="U60" s="60"/>
    </row>
    <row r="61" spans="1:22" ht="15.75" customHeight="1">
      <c r="A61" s="47">
        <v>2</v>
      </c>
      <c r="B61" s="47">
        <v>3</v>
      </c>
      <c r="C61" s="47">
        <v>6</v>
      </c>
      <c r="D61" s="25" t="s">
        <v>58</v>
      </c>
      <c r="E61" s="25" t="s">
        <v>59</v>
      </c>
      <c r="F61" s="25" t="s">
        <v>68</v>
      </c>
      <c r="G61" s="49">
        <v>50816</v>
      </c>
      <c r="H61" s="51">
        <v>983</v>
      </c>
      <c r="I61" s="52">
        <v>10</v>
      </c>
      <c r="J61" s="33">
        <v>27</v>
      </c>
      <c r="K61" s="33">
        <v>25</v>
      </c>
      <c r="L61" s="33">
        <v>66</v>
      </c>
      <c r="M61" s="33">
        <v>103</v>
      </c>
      <c r="N61" s="33">
        <v>97</v>
      </c>
      <c r="O61" s="33">
        <v>112</v>
      </c>
      <c r="P61" s="33">
        <v>122</v>
      </c>
      <c r="Q61" s="33">
        <v>125</v>
      </c>
      <c r="R61" s="33">
        <v>54</v>
      </c>
      <c r="S61" s="33">
        <v>140</v>
      </c>
      <c r="T61" s="62">
        <f t="shared" si="4"/>
        <v>87.1</v>
      </c>
      <c r="U61" s="60"/>
    </row>
    <row r="62" spans="1:22" ht="15.75" customHeight="1">
      <c r="A62" s="47">
        <v>2</v>
      </c>
      <c r="B62" s="47">
        <v>3</v>
      </c>
      <c r="C62" s="47">
        <v>6</v>
      </c>
      <c r="D62" s="25" t="s">
        <v>58</v>
      </c>
      <c r="E62" s="25" t="s">
        <v>59</v>
      </c>
      <c r="F62" s="25" t="s">
        <v>34</v>
      </c>
      <c r="G62" s="49">
        <v>50773</v>
      </c>
      <c r="H62" s="51">
        <v>13</v>
      </c>
      <c r="I62" s="52">
        <v>1</v>
      </c>
      <c r="J62" s="33">
        <v>50</v>
      </c>
      <c r="K62" s="36"/>
      <c r="L62" s="36"/>
      <c r="M62" s="36"/>
      <c r="N62" s="36"/>
      <c r="O62" s="36"/>
      <c r="P62" s="36"/>
      <c r="Q62" s="36"/>
      <c r="R62" s="36"/>
      <c r="S62" s="36"/>
      <c r="T62" s="62">
        <f t="shared" si="4"/>
        <v>50</v>
      </c>
      <c r="U62" s="60"/>
    </row>
    <row r="63" spans="1:22" ht="15.75" customHeight="1">
      <c r="A63" s="47">
        <v>2</v>
      </c>
      <c r="B63" s="47">
        <v>3</v>
      </c>
      <c r="C63" s="47">
        <v>6</v>
      </c>
      <c r="D63" s="25" t="s">
        <v>91</v>
      </c>
      <c r="E63" s="25" t="s">
        <v>92</v>
      </c>
      <c r="F63" s="25" t="s">
        <v>31</v>
      </c>
      <c r="G63" s="49">
        <v>50784</v>
      </c>
      <c r="H63" s="51">
        <v>32</v>
      </c>
      <c r="I63" s="52">
        <v>1</v>
      </c>
      <c r="J63" s="33">
        <v>31.5</v>
      </c>
      <c r="K63" s="36"/>
      <c r="L63" s="36"/>
      <c r="M63" s="36"/>
      <c r="N63" s="36"/>
      <c r="O63" s="36"/>
      <c r="P63" s="36"/>
      <c r="Q63" s="36"/>
      <c r="R63" s="36"/>
      <c r="S63" s="36"/>
      <c r="T63" s="62">
        <f t="shared" si="4"/>
        <v>31.5</v>
      </c>
      <c r="U63" s="60"/>
    </row>
    <row r="64" spans="1:22" ht="15.75" customHeight="1">
      <c r="A64" s="47">
        <v>2</v>
      </c>
      <c r="B64" s="47">
        <v>3</v>
      </c>
      <c r="C64" s="47">
        <v>7</v>
      </c>
      <c r="D64" s="25" t="s">
        <v>93</v>
      </c>
      <c r="E64" s="25" t="s">
        <v>94</v>
      </c>
      <c r="F64" s="25" t="s">
        <v>34</v>
      </c>
      <c r="G64" s="49">
        <v>50604</v>
      </c>
      <c r="H64" s="51">
        <v>350</v>
      </c>
      <c r="I64" s="52">
        <v>10</v>
      </c>
      <c r="J64" s="33">
        <v>83</v>
      </c>
      <c r="K64" s="33">
        <v>80</v>
      </c>
      <c r="L64" s="33">
        <v>88</v>
      </c>
      <c r="M64" s="33">
        <v>123</v>
      </c>
      <c r="N64" s="33">
        <v>129</v>
      </c>
      <c r="O64" s="33">
        <v>128</v>
      </c>
      <c r="P64" s="33">
        <v>100</v>
      </c>
      <c r="Q64" s="33">
        <v>98</v>
      </c>
      <c r="R64" s="33">
        <v>84</v>
      </c>
      <c r="S64" s="33">
        <v>110</v>
      </c>
      <c r="T64" s="62">
        <f t="shared" si="4"/>
        <v>102.3</v>
      </c>
      <c r="U64" s="60"/>
    </row>
    <row r="65" spans="1:21" ht="15.75" customHeight="1">
      <c r="A65" s="71">
        <v>2</v>
      </c>
      <c r="B65" s="71">
        <v>3</v>
      </c>
      <c r="C65" s="71">
        <v>7</v>
      </c>
      <c r="D65" s="53" t="s">
        <v>72</v>
      </c>
      <c r="E65" s="53" t="s">
        <v>73</v>
      </c>
      <c r="F65" s="53" t="s">
        <v>31</v>
      </c>
      <c r="G65" s="73">
        <v>50803</v>
      </c>
      <c r="H65" s="74">
        <v>132</v>
      </c>
      <c r="I65" s="97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80"/>
      <c r="U65" s="79" t="s">
        <v>55</v>
      </c>
    </row>
    <row r="66" spans="1:21" ht="15.75" customHeight="1">
      <c r="A66" s="47">
        <v>2</v>
      </c>
      <c r="B66" s="47">
        <v>3</v>
      </c>
      <c r="C66" s="47">
        <v>8</v>
      </c>
      <c r="D66" s="25" t="s">
        <v>95</v>
      </c>
      <c r="E66" s="25" t="s">
        <v>96</v>
      </c>
      <c r="F66" s="25" t="s">
        <v>34</v>
      </c>
      <c r="G66" s="49">
        <v>50886</v>
      </c>
      <c r="H66" s="51">
        <v>289</v>
      </c>
      <c r="I66" s="52">
        <v>10</v>
      </c>
      <c r="J66" s="33">
        <v>23.5</v>
      </c>
      <c r="K66" s="33">
        <v>26.5</v>
      </c>
      <c r="L66" s="33">
        <v>23.5</v>
      </c>
      <c r="M66" s="33">
        <v>17</v>
      </c>
      <c r="N66" s="33">
        <v>21.5</v>
      </c>
      <c r="O66" s="33">
        <v>26</v>
      </c>
      <c r="P66" s="33">
        <v>23.5</v>
      </c>
      <c r="Q66" s="33">
        <v>23</v>
      </c>
      <c r="R66" s="33">
        <v>32</v>
      </c>
      <c r="S66" s="33">
        <v>44</v>
      </c>
      <c r="T66" s="62">
        <f>AVERAGE(J66:S66)</f>
        <v>26.05</v>
      </c>
      <c r="U66" s="60"/>
    </row>
    <row r="67" spans="1:21" ht="15.75" customHeight="1">
      <c r="A67" s="47">
        <v>2</v>
      </c>
      <c r="B67" s="47">
        <v>3</v>
      </c>
      <c r="C67" s="47">
        <v>8</v>
      </c>
      <c r="D67" s="25" t="s">
        <v>74</v>
      </c>
      <c r="E67" s="25" t="s">
        <v>75</v>
      </c>
      <c r="F67" s="25" t="s">
        <v>34</v>
      </c>
      <c r="G67" s="49">
        <v>50887</v>
      </c>
      <c r="H67" s="51">
        <v>179</v>
      </c>
      <c r="I67" s="52">
        <v>9</v>
      </c>
      <c r="J67" s="33">
        <v>28.5</v>
      </c>
      <c r="K67" s="33">
        <v>19</v>
      </c>
      <c r="L67" s="33">
        <v>20</v>
      </c>
      <c r="M67" s="33">
        <v>20</v>
      </c>
      <c r="N67" s="33">
        <v>21.5</v>
      </c>
      <c r="O67" s="33">
        <v>13</v>
      </c>
      <c r="P67" s="33">
        <v>6</v>
      </c>
      <c r="Q67" s="33">
        <v>6.5</v>
      </c>
      <c r="R67" s="33">
        <v>8</v>
      </c>
      <c r="S67" s="36"/>
      <c r="T67" s="62">
        <f>AVERAGE(J67:S67)</f>
        <v>15.833333333333334</v>
      </c>
      <c r="U67" s="60"/>
    </row>
    <row r="68" spans="1:21" ht="15.75" customHeight="1">
      <c r="A68" s="47">
        <v>2</v>
      </c>
      <c r="B68" s="47">
        <v>3</v>
      </c>
      <c r="C68" s="47">
        <v>9</v>
      </c>
      <c r="D68" s="25" t="s">
        <v>97</v>
      </c>
      <c r="E68" s="25" t="s">
        <v>98</v>
      </c>
      <c r="F68" s="25" t="s">
        <v>68</v>
      </c>
      <c r="G68" s="49">
        <v>50845</v>
      </c>
      <c r="H68" s="51">
        <v>459</v>
      </c>
      <c r="I68" s="52">
        <v>10</v>
      </c>
      <c r="J68" s="33">
        <v>26</v>
      </c>
      <c r="K68" s="33">
        <v>20</v>
      </c>
      <c r="L68" s="33">
        <v>24.5</v>
      </c>
      <c r="M68" s="33">
        <v>23.5</v>
      </c>
      <c r="N68" s="33">
        <v>21</v>
      </c>
      <c r="O68" s="33">
        <v>20</v>
      </c>
      <c r="P68" s="33">
        <v>21.7</v>
      </c>
      <c r="Q68" s="33">
        <v>19</v>
      </c>
      <c r="R68" s="33">
        <v>18</v>
      </c>
      <c r="S68" s="33">
        <v>28.5</v>
      </c>
      <c r="T68" s="62">
        <f>AVERAGE(J68:S68)</f>
        <v>22.22</v>
      </c>
      <c r="U68" s="60"/>
    </row>
    <row r="69" spans="1:21" ht="15.75" customHeight="1">
      <c r="A69" s="63">
        <v>2</v>
      </c>
      <c r="B69" s="63">
        <v>3</v>
      </c>
      <c r="C69" s="63">
        <v>9</v>
      </c>
      <c r="D69" s="38" t="s">
        <v>97</v>
      </c>
      <c r="E69" s="38" t="s">
        <v>98</v>
      </c>
      <c r="F69" s="38" t="s">
        <v>34</v>
      </c>
      <c r="G69" s="64">
        <v>50590</v>
      </c>
      <c r="H69" s="65">
        <v>3</v>
      </c>
      <c r="I69" s="41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66"/>
      <c r="U69" s="67" t="s">
        <v>43</v>
      </c>
    </row>
    <row r="70" spans="1:21" ht="15.75" customHeight="1">
      <c r="A70" s="47">
        <v>2</v>
      </c>
      <c r="B70" s="47">
        <v>3</v>
      </c>
      <c r="C70" s="47">
        <v>9</v>
      </c>
      <c r="D70" s="25" t="s">
        <v>99</v>
      </c>
      <c r="E70" s="114"/>
      <c r="F70" s="25" t="s">
        <v>25</v>
      </c>
      <c r="G70" s="49">
        <v>50848</v>
      </c>
      <c r="H70" s="51">
        <v>217</v>
      </c>
      <c r="I70" s="52">
        <v>8</v>
      </c>
      <c r="J70" s="33">
        <v>37</v>
      </c>
      <c r="K70" s="33">
        <v>31</v>
      </c>
      <c r="L70" s="33">
        <v>38</v>
      </c>
      <c r="M70" s="33">
        <v>24.5</v>
      </c>
      <c r="N70" s="33">
        <v>31</v>
      </c>
      <c r="O70" s="33">
        <v>27</v>
      </c>
      <c r="P70" s="33">
        <v>26</v>
      </c>
      <c r="Q70" s="33">
        <v>26</v>
      </c>
      <c r="R70" s="36"/>
      <c r="S70" s="36"/>
      <c r="T70" s="62">
        <f>AVERAGE(J70:Q70)</f>
        <v>30.0625</v>
      </c>
      <c r="U70" s="60"/>
    </row>
    <row r="71" spans="1:21" ht="15.75" customHeight="1">
      <c r="A71" s="71">
        <v>2</v>
      </c>
      <c r="B71" s="71">
        <v>3</v>
      </c>
      <c r="C71" s="71">
        <v>9</v>
      </c>
      <c r="D71" s="53" t="s">
        <v>100</v>
      </c>
      <c r="E71" s="53" t="s">
        <v>101</v>
      </c>
      <c r="F71" s="53" t="s">
        <v>68</v>
      </c>
      <c r="G71" s="73">
        <v>50645</v>
      </c>
      <c r="H71" s="74">
        <v>102</v>
      </c>
      <c r="I71" s="41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98"/>
      <c r="U71" s="79" t="s">
        <v>55</v>
      </c>
    </row>
    <row r="72" spans="1:21" ht="15.75" customHeight="1">
      <c r="A72" s="47">
        <v>2</v>
      </c>
      <c r="B72" s="47">
        <v>3</v>
      </c>
      <c r="C72" s="47">
        <v>9</v>
      </c>
      <c r="D72" s="25" t="s">
        <v>100</v>
      </c>
      <c r="E72" s="25" t="s">
        <v>101</v>
      </c>
      <c r="F72" s="25" t="s">
        <v>25</v>
      </c>
      <c r="G72" s="49">
        <v>50746</v>
      </c>
      <c r="H72" s="51">
        <v>53</v>
      </c>
      <c r="I72" s="52">
        <v>3</v>
      </c>
      <c r="J72" s="33">
        <v>39</v>
      </c>
      <c r="K72" s="33">
        <v>32</v>
      </c>
      <c r="L72" s="33">
        <v>28</v>
      </c>
      <c r="M72" s="36"/>
      <c r="N72" s="36"/>
      <c r="O72" s="36"/>
      <c r="P72" s="36"/>
      <c r="Q72" s="36"/>
      <c r="R72" s="36"/>
      <c r="S72" s="36"/>
      <c r="T72" s="62">
        <f>AVERAGE(J72:S72)</f>
        <v>33</v>
      </c>
      <c r="U72" s="60"/>
    </row>
    <row r="73" spans="1:21" ht="15.75" customHeight="1">
      <c r="A73" s="47">
        <v>2</v>
      </c>
      <c r="B73" s="47">
        <v>3</v>
      </c>
      <c r="C73" s="47">
        <v>9</v>
      </c>
      <c r="D73" s="25" t="s">
        <v>100</v>
      </c>
      <c r="E73" s="25" t="s">
        <v>101</v>
      </c>
      <c r="F73" s="25" t="s">
        <v>31</v>
      </c>
      <c r="G73" s="49">
        <v>50804</v>
      </c>
      <c r="H73" s="51">
        <v>29</v>
      </c>
      <c r="I73" s="52">
        <v>1</v>
      </c>
      <c r="J73" s="33">
        <v>49</v>
      </c>
      <c r="K73" s="36"/>
      <c r="L73" s="36"/>
      <c r="M73" s="36"/>
      <c r="N73" s="36"/>
      <c r="O73" s="36"/>
      <c r="P73" s="36"/>
      <c r="Q73" s="36"/>
      <c r="R73" s="36"/>
      <c r="S73" s="36"/>
      <c r="T73" s="62">
        <f>AVERAGE(J73:S73)</f>
        <v>49</v>
      </c>
      <c r="U73" s="60"/>
    </row>
    <row r="74" spans="1:21" ht="15.75" customHeight="1">
      <c r="A74" s="47">
        <v>2</v>
      </c>
      <c r="B74" s="47">
        <v>3</v>
      </c>
      <c r="C74" s="47">
        <v>11</v>
      </c>
      <c r="D74" s="25" t="s">
        <v>102</v>
      </c>
      <c r="E74" s="25" t="s">
        <v>103</v>
      </c>
      <c r="F74" s="25" t="s">
        <v>31</v>
      </c>
      <c r="G74" s="49">
        <v>50821</v>
      </c>
      <c r="H74" s="51">
        <v>369</v>
      </c>
      <c r="I74" s="52">
        <v>10</v>
      </c>
      <c r="J74" s="33">
        <v>69</v>
      </c>
      <c r="K74" s="33">
        <v>75</v>
      </c>
      <c r="L74" s="33">
        <v>59</v>
      </c>
      <c r="M74" s="33">
        <v>45.5</v>
      </c>
      <c r="N74" s="33">
        <v>66</v>
      </c>
      <c r="O74" s="33">
        <v>74</v>
      </c>
      <c r="P74" s="33">
        <v>83.5</v>
      </c>
      <c r="Q74" s="33">
        <v>70</v>
      </c>
      <c r="R74" s="33">
        <v>57</v>
      </c>
      <c r="S74" s="33">
        <v>62</v>
      </c>
      <c r="T74" s="62">
        <f>AVERAGE(J74:S74)</f>
        <v>66.099999999999994</v>
      </c>
      <c r="U74" s="60"/>
    </row>
    <row r="75" spans="1:21" ht="15.75" customHeight="1">
      <c r="A75" s="71">
        <v>2</v>
      </c>
      <c r="B75" s="71">
        <v>3</v>
      </c>
      <c r="C75" s="71">
        <v>11</v>
      </c>
      <c r="D75" s="53" t="s">
        <v>102</v>
      </c>
      <c r="E75" s="53" t="s">
        <v>103</v>
      </c>
      <c r="F75" s="53" t="s">
        <v>34</v>
      </c>
      <c r="G75" s="73">
        <v>50415</v>
      </c>
      <c r="H75" s="74">
        <v>4</v>
      </c>
      <c r="I75" s="41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80"/>
      <c r="U75" s="79" t="s">
        <v>55</v>
      </c>
    </row>
    <row r="76" spans="1:21" ht="15.75" customHeight="1">
      <c r="A76" s="47">
        <v>2</v>
      </c>
      <c r="B76" s="47">
        <v>3</v>
      </c>
      <c r="C76" s="47">
        <v>11</v>
      </c>
      <c r="D76" s="25" t="s">
        <v>102</v>
      </c>
      <c r="E76" s="25" t="s">
        <v>104</v>
      </c>
      <c r="F76" s="25" t="s">
        <v>68</v>
      </c>
      <c r="G76" s="49">
        <v>50658</v>
      </c>
      <c r="H76" s="51">
        <v>136</v>
      </c>
      <c r="I76" s="52">
        <v>5</v>
      </c>
      <c r="J76" s="33">
        <v>74</v>
      </c>
      <c r="K76" s="33">
        <v>92</v>
      </c>
      <c r="L76" s="33">
        <v>60</v>
      </c>
      <c r="M76" s="33">
        <v>69</v>
      </c>
      <c r="N76" s="33">
        <v>95</v>
      </c>
      <c r="O76" s="36"/>
      <c r="P76" s="36"/>
      <c r="Q76" s="36"/>
      <c r="R76" s="36"/>
      <c r="S76" s="36"/>
      <c r="T76" s="62">
        <f t="shared" ref="T76:T84" si="5">AVERAGE(J76:S76)</f>
        <v>78</v>
      </c>
      <c r="U76" s="60"/>
    </row>
    <row r="77" spans="1:21" ht="15.75" customHeight="1">
      <c r="A77" s="47">
        <v>2</v>
      </c>
      <c r="B77" s="47">
        <v>3</v>
      </c>
      <c r="C77" s="47">
        <v>12</v>
      </c>
      <c r="D77" s="25" t="s">
        <v>102</v>
      </c>
      <c r="E77" s="25" t="s">
        <v>103</v>
      </c>
      <c r="F77" s="25" t="s">
        <v>68</v>
      </c>
      <c r="G77" s="49">
        <v>50817</v>
      </c>
      <c r="H77" s="51">
        <v>1429</v>
      </c>
      <c r="I77" s="52">
        <v>10</v>
      </c>
      <c r="J77" s="33">
        <v>56</v>
      </c>
      <c r="K77" s="33">
        <v>69</v>
      </c>
      <c r="L77" s="33">
        <v>74</v>
      </c>
      <c r="M77" s="33">
        <v>78</v>
      </c>
      <c r="N77" s="33">
        <v>60</v>
      </c>
      <c r="O77" s="33">
        <v>107</v>
      </c>
      <c r="P77" s="33">
        <v>64.5</v>
      </c>
      <c r="Q77" s="33">
        <v>57.5</v>
      </c>
      <c r="R77" s="33">
        <v>80.3</v>
      </c>
      <c r="S77" s="33">
        <v>41</v>
      </c>
      <c r="T77" s="62">
        <f t="shared" si="5"/>
        <v>68.72999999999999</v>
      </c>
      <c r="U77" s="60"/>
    </row>
    <row r="78" spans="1:21" ht="15.75" customHeight="1">
      <c r="A78" s="47">
        <v>2</v>
      </c>
      <c r="B78" s="47">
        <v>3</v>
      </c>
      <c r="C78" s="47">
        <v>13</v>
      </c>
      <c r="D78" s="25" t="s">
        <v>105</v>
      </c>
      <c r="E78" s="25" t="s">
        <v>106</v>
      </c>
      <c r="F78" s="25" t="s">
        <v>25</v>
      </c>
      <c r="G78" s="49">
        <v>50859</v>
      </c>
      <c r="H78" s="51">
        <v>349</v>
      </c>
      <c r="I78" s="52">
        <v>10</v>
      </c>
      <c r="J78" s="33">
        <v>149</v>
      </c>
      <c r="K78" s="33">
        <v>113</v>
      </c>
      <c r="L78" s="33">
        <v>137</v>
      </c>
      <c r="M78" s="33">
        <v>111</v>
      </c>
      <c r="N78" s="33">
        <v>76</v>
      </c>
      <c r="O78" s="33">
        <v>121</v>
      </c>
      <c r="P78" s="33">
        <v>152</v>
      </c>
      <c r="Q78" s="33">
        <v>102</v>
      </c>
      <c r="R78" s="33">
        <v>151</v>
      </c>
      <c r="S78" s="33">
        <v>173</v>
      </c>
      <c r="T78" s="62">
        <f t="shared" si="5"/>
        <v>128.5</v>
      </c>
      <c r="U78" s="60"/>
    </row>
    <row r="79" spans="1:21" ht="15.75" customHeight="1">
      <c r="A79" s="47">
        <v>2</v>
      </c>
      <c r="B79" s="47">
        <v>3</v>
      </c>
      <c r="C79" s="47">
        <v>13</v>
      </c>
      <c r="D79" s="25" t="s">
        <v>105</v>
      </c>
      <c r="E79" s="25" t="s">
        <v>106</v>
      </c>
      <c r="F79" s="25" t="s">
        <v>25</v>
      </c>
      <c r="G79" s="49">
        <v>50735</v>
      </c>
      <c r="H79" s="51">
        <v>22</v>
      </c>
      <c r="I79" s="52">
        <v>1</v>
      </c>
      <c r="J79" s="33">
        <v>77</v>
      </c>
      <c r="K79" s="36"/>
      <c r="L79" s="36"/>
      <c r="M79" s="36"/>
      <c r="N79" s="36"/>
      <c r="O79" s="36"/>
      <c r="P79" s="36"/>
      <c r="Q79" s="36"/>
      <c r="R79" s="36"/>
      <c r="S79" s="36"/>
      <c r="T79" s="62">
        <f t="shared" si="5"/>
        <v>77</v>
      </c>
      <c r="U79" s="60"/>
    </row>
    <row r="80" spans="1:21" ht="15.75" customHeight="1">
      <c r="A80" s="47">
        <v>2</v>
      </c>
      <c r="B80" s="47">
        <v>3</v>
      </c>
      <c r="C80" s="47">
        <v>13</v>
      </c>
      <c r="D80" s="25" t="s">
        <v>105</v>
      </c>
      <c r="E80" s="25" t="s">
        <v>106</v>
      </c>
      <c r="F80" s="25" t="s">
        <v>25</v>
      </c>
      <c r="G80" s="49">
        <v>50756</v>
      </c>
      <c r="H80" s="51">
        <v>37</v>
      </c>
      <c r="I80" s="52">
        <v>1</v>
      </c>
      <c r="J80" s="33">
        <v>124.5</v>
      </c>
      <c r="K80" s="36"/>
      <c r="L80" s="36"/>
      <c r="M80" s="36"/>
      <c r="N80" s="36"/>
      <c r="O80" s="36"/>
      <c r="P80" s="36"/>
      <c r="Q80" s="36"/>
      <c r="R80" s="36"/>
      <c r="S80" s="36"/>
      <c r="T80" s="62">
        <f t="shared" si="5"/>
        <v>124.5</v>
      </c>
      <c r="U80" s="60"/>
    </row>
    <row r="81" spans="1:27" ht="15.75" customHeight="1">
      <c r="A81" s="47">
        <v>2</v>
      </c>
      <c r="B81" s="47">
        <v>3</v>
      </c>
      <c r="C81" s="47">
        <v>13</v>
      </c>
      <c r="D81" s="25" t="s">
        <v>105</v>
      </c>
      <c r="E81" s="25" t="s">
        <v>106</v>
      </c>
      <c r="F81" s="25" t="s">
        <v>68</v>
      </c>
      <c r="G81" s="49">
        <v>50836</v>
      </c>
      <c r="H81" s="51">
        <v>172</v>
      </c>
      <c r="I81" s="52">
        <v>8</v>
      </c>
      <c r="J81" s="33">
        <v>150.5</v>
      </c>
      <c r="K81" s="33">
        <v>165</v>
      </c>
      <c r="L81" s="33">
        <v>173</v>
      </c>
      <c r="M81" s="33">
        <v>119</v>
      </c>
      <c r="N81" s="33">
        <v>106</v>
      </c>
      <c r="O81" s="33">
        <v>160</v>
      </c>
      <c r="P81" s="33">
        <v>148</v>
      </c>
      <c r="Q81" s="33">
        <v>184</v>
      </c>
      <c r="R81" s="36"/>
      <c r="S81" s="36"/>
      <c r="T81" s="62">
        <f t="shared" si="5"/>
        <v>150.6875</v>
      </c>
      <c r="U81" s="60"/>
    </row>
    <row r="82" spans="1:27" ht="15.75" customHeight="1">
      <c r="A82" s="47">
        <v>2</v>
      </c>
      <c r="B82" s="47">
        <v>3</v>
      </c>
      <c r="C82" s="47">
        <v>14</v>
      </c>
      <c r="D82" s="25" t="s">
        <v>107</v>
      </c>
      <c r="E82" s="25" t="s">
        <v>108</v>
      </c>
      <c r="F82" s="25" t="s">
        <v>25</v>
      </c>
      <c r="G82" s="49">
        <v>50847</v>
      </c>
      <c r="H82" s="51">
        <v>371</v>
      </c>
      <c r="I82" s="52">
        <v>10</v>
      </c>
      <c r="J82" s="33">
        <v>57</v>
      </c>
      <c r="K82" s="33">
        <v>28</v>
      </c>
      <c r="L82" s="33">
        <v>44</v>
      </c>
      <c r="M82" s="33">
        <v>29</v>
      </c>
      <c r="N82" s="33">
        <v>32</v>
      </c>
      <c r="O82" s="33">
        <v>25</v>
      </c>
      <c r="P82" s="33">
        <v>58</v>
      </c>
      <c r="Q82" s="33">
        <v>40</v>
      </c>
      <c r="R82" s="33">
        <v>54</v>
      </c>
      <c r="S82" s="33">
        <v>51</v>
      </c>
      <c r="T82" s="62">
        <f t="shared" si="5"/>
        <v>41.8</v>
      </c>
      <c r="U82" s="60"/>
    </row>
    <row r="83" spans="1:27" ht="15.75" customHeight="1">
      <c r="A83" s="47">
        <v>2</v>
      </c>
      <c r="B83" s="47">
        <v>3</v>
      </c>
      <c r="C83" s="47">
        <v>14</v>
      </c>
      <c r="D83" s="25" t="s">
        <v>107</v>
      </c>
      <c r="E83" s="25" t="s">
        <v>108</v>
      </c>
      <c r="F83" s="25" t="s">
        <v>109</v>
      </c>
      <c r="G83" s="49">
        <v>50743</v>
      </c>
      <c r="H83" s="51">
        <v>88</v>
      </c>
      <c r="I83" s="52">
        <v>3</v>
      </c>
      <c r="J83" s="33">
        <v>45</v>
      </c>
      <c r="K83" s="33"/>
      <c r="L83" s="33"/>
      <c r="M83" s="36"/>
      <c r="N83" s="36"/>
      <c r="O83" s="36"/>
      <c r="P83" s="36"/>
      <c r="Q83" s="36"/>
      <c r="R83" s="36"/>
      <c r="S83" s="36"/>
      <c r="T83" s="62">
        <f t="shared" si="5"/>
        <v>45</v>
      </c>
      <c r="U83" s="60"/>
    </row>
    <row r="84" spans="1:27" ht="15.75" customHeight="1">
      <c r="A84" s="47">
        <v>2</v>
      </c>
      <c r="B84" s="47">
        <v>3</v>
      </c>
      <c r="C84" s="47">
        <v>17</v>
      </c>
      <c r="D84" s="25" t="s">
        <v>60</v>
      </c>
      <c r="E84" s="25" t="s">
        <v>71</v>
      </c>
      <c r="F84" s="25" t="s">
        <v>25</v>
      </c>
      <c r="G84" s="49">
        <v>50747</v>
      </c>
      <c r="H84" s="51">
        <v>1</v>
      </c>
      <c r="I84" s="52">
        <v>1</v>
      </c>
      <c r="J84" s="33">
        <v>207</v>
      </c>
      <c r="K84" s="36"/>
      <c r="L84" s="36"/>
      <c r="M84" s="36"/>
      <c r="N84" s="36"/>
      <c r="O84" s="36"/>
      <c r="P84" s="36"/>
      <c r="Q84" s="36"/>
      <c r="R84" s="36"/>
      <c r="S84" s="36"/>
      <c r="T84" s="62">
        <f t="shared" si="5"/>
        <v>207</v>
      </c>
      <c r="U84" s="60"/>
    </row>
    <row r="85" spans="1:27" ht="15.75" customHeight="1">
      <c r="A85" s="111">
        <v>2</v>
      </c>
      <c r="B85" s="111">
        <v>3</v>
      </c>
      <c r="C85" s="111">
        <v>17</v>
      </c>
      <c r="D85" s="101" t="s">
        <v>60</v>
      </c>
      <c r="E85" s="101" t="s">
        <v>61</v>
      </c>
      <c r="F85" s="101" t="s">
        <v>25</v>
      </c>
      <c r="G85" s="121">
        <v>50733</v>
      </c>
      <c r="H85" s="122">
        <v>114</v>
      </c>
      <c r="I85" s="127">
        <v>1</v>
      </c>
      <c r="J85" s="101">
        <v>55</v>
      </c>
      <c r="K85" s="112"/>
      <c r="L85" s="112"/>
      <c r="M85" s="112"/>
      <c r="N85" s="112"/>
      <c r="O85" s="112"/>
      <c r="P85" s="112"/>
      <c r="Q85" s="112"/>
      <c r="R85" s="112"/>
      <c r="S85" s="112"/>
      <c r="T85" s="125">
        <v>55</v>
      </c>
      <c r="U85" s="126" t="s">
        <v>111</v>
      </c>
      <c r="V85" s="129"/>
      <c r="W85" s="129"/>
      <c r="X85" s="129"/>
      <c r="Y85" s="129"/>
      <c r="Z85" s="129"/>
      <c r="AA85" s="129"/>
    </row>
    <row r="86" spans="1:27" ht="15.75" customHeight="1">
      <c r="A86" s="47">
        <v>2</v>
      </c>
      <c r="B86" s="47">
        <v>3</v>
      </c>
      <c r="C86" s="47">
        <v>17</v>
      </c>
      <c r="D86" s="25" t="s">
        <v>60</v>
      </c>
      <c r="E86" s="25" t="s">
        <v>61</v>
      </c>
      <c r="F86" s="25" t="s">
        <v>68</v>
      </c>
      <c r="G86" s="49">
        <v>50636</v>
      </c>
      <c r="H86" s="51">
        <v>36</v>
      </c>
      <c r="I86" s="52">
        <v>2</v>
      </c>
      <c r="J86" s="33">
        <v>60</v>
      </c>
      <c r="K86" s="33">
        <v>150</v>
      </c>
      <c r="L86" s="36"/>
      <c r="M86" s="36"/>
      <c r="N86" s="36"/>
      <c r="O86" s="36"/>
      <c r="P86" s="36"/>
      <c r="Q86" s="36"/>
      <c r="R86" s="36"/>
      <c r="S86" s="36"/>
      <c r="T86" s="62">
        <f>AVERAGE(J86:K86)</f>
        <v>105</v>
      </c>
      <c r="U86" s="60"/>
    </row>
    <row r="87" spans="1:27" ht="15.75" customHeight="1">
      <c r="A87" s="63">
        <v>2</v>
      </c>
      <c r="B87" s="63">
        <v>3</v>
      </c>
      <c r="C87" s="63">
        <v>17</v>
      </c>
      <c r="D87" s="38" t="s">
        <v>60</v>
      </c>
      <c r="E87" s="38" t="s">
        <v>61</v>
      </c>
      <c r="F87" s="38" t="s">
        <v>68</v>
      </c>
      <c r="G87" s="64">
        <v>50668</v>
      </c>
      <c r="H87" s="65">
        <v>34</v>
      </c>
      <c r="I87" s="41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9"/>
      <c r="U87" s="67" t="s">
        <v>43</v>
      </c>
    </row>
    <row r="88" spans="1:27" ht="15.75" customHeight="1">
      <c r="A88" s="47">
        <v>2</v>
      </c>
      <c r="B88" s="47">
        <v>3</v>
      </c>
      <c r="C88" s="47">
        <v>17</v>
      </c>
      <c r="D88" s="25" t="s">
        <v>60</v>
      </c>
      <c r="E88" s="25" t="s">
        <v>61</v>
      </c>
      <c r="F88" s="25" t="s">
        <v>68</v>
      </c>
      <c r="G88" s="49">
        <v>50626</v>
      </c>
      <c r="H88" s="51">
        <v>8</v>
      </c>
      <c r="I88" s="52">
        <v>1</v>
      </c>
      <c r="J88" s="33">
        <v>78.5</v>
      </c>
      <c r="K88" s="36"/>
      <c r="L88" s="36"/>
      <c r="M88" s="36"/>
      <c r="N88" s="36"/>
      <c r="O88" s="36"/>
      <c r="P88" s="36"/>
      <c r="Q88" s="36"/>
      <c r="R88" s="36"/>
      <c r="S88" s="36"/>
      <c r="T88" s="62">
        <f t="shared" ref="T88:T95" si="6">AVERAGE(J88:S88)</f>
        <v>78.5</v>
      </c>
      <c r="U88" s="60"/>
    </row>
    <row r="89" spans="1:27" ht="15.75" customHeight="1">
      <c r="A89" s="47">
        <v>2</v>
      </c>
      <c r="B89" s="47">
        <v>3</v>
      </c>
      <c r="C89" s="47">
        <v>17</v>
      </c>
      <c r="D89" s="25" t="s">
        <v>60</v>
      </c>
      <c r="E89" s="25" t="s">
        <v>61</v>
      </c>
      <c r="F89" s="25" t="s">
        <v>34</v>
      </c>
      <c r="G89" s="49">
        <v>50595</v>
      </c>
      <c r="H89" s="51">
        <v>45</v>
      </c>
      <c r="I89" s="52">
        <v>3</v>
      </c>
      <c r="J89" s="33">
        <v>26</v>
      </c>
      <c r="K89" s="33">
        <v>134</v>
      </c>
      <c r="L89" s="33">
        <v>170</v>
      </c>
      <c r="M89" s="36"/>
      <c r="N89" s="36"/>
      <c r="O89" s="36"/>
      <c r="P89" s="36"/>
      <c r="Q89" s="36"/>
      <c r="R89" s="36"/>
      <c r="S89" s="36"/>
      <c r="T89" s="62">
        <f t="shared" si="6"/>
        <v>110</v>
      </c>
      <c r="U89" s="60"/>
    </row>
    <row r="90" spans="1:27" ht="15.75" customHeight="1">
      <c r="A90" s="47">
        <v>2</v>
      </c>
      <c r="B90" s="47">
        <v>3</v>
      </c>
      <c r="C90" s="47">
        <v>17</v>
      </c>
      <c r="D90" s="25" t="s">
        <v>60</v>
      </c>
      <c r="E90" s="25" t="s">
        <v>61</v>
      </c>
      <c r="F90" s="25" t="s">
        <v>68</v>
      </c>
      <c r="G90" s="49">
        <v>50818</v>
      </c>
      <c r="H90" s="51">
        <v>67</v>
      </c>
      <c r="I90" s="52">
        <v>3</v>
      </c>
      <c r="J90" s="33">
        <v>60</v>
      </c>
      <c r="K90" s="33">
        <v>110</v>
      </c>
      <c r="L90" s="33">
        <v>119.5</v>
      </c>
      <c r="M90" s="36"/>
      <c r="N90" s="36"/>
      <c r="O90" s="36"/>
      <c r="P90" s="36"/>
      <c r="Q90" s="36"/>
      <c r="R90" s="36"/>
      <c r="S90" s="36"/>
      <c r="T90" s="62">
        <f t="shared" si="6"/>
        <v>96.5</v>
      </c>
      <c r="U90" s="60"/>
    </row>
    <row r="91" spans="1:27" ht="15.75" customHeight="1">
      <c r="A91" s="47">
        <v>2</v>
      </c>
      <c r="B91" s="47">
        <v>3</v>
      </c>
      <c r="C91" s="47">
        <v>17</v>
      </c>
      <c r="D91" s="25" t="s">
        <v>60</v>
      </c>
      <c r="E91" s="25" t="s">
        <v>61</v>
      </c>
      <c r="F91" s="25" t="s">
        <v>31</v>
      </c>
      <c r="G91" s="49">
        <v>50810</v>
      </c>
      <c r="H91" s="51">
        <v>127</v>
      </c>
      <c r="I91" s="52">
        <v>8</v>
      </c>
      <c r="J91" s="33">
        <v>192</v>
      </c>
      <c r="K91" s="33">
        <v>188</v>
      </c>
      <c r="L91" s="33">
        <v>165</v>
      </c>
      <c r="M91" s="33">
        <v>184</v>
      </c>
      <c r="N91" s="33">
        <v>213.5</v>
      </c>
      <c r="O91" s="33">
        <v>210.5</v>
      </c>
      <c r="P91" s="33">
        <v>217</v>
      </c>
      <c r="Q91" s="33">
        <v>216</v>
      </c>
      <c r="R91" s="36"/>
      <c r="S91" s="36"/>
      <c r="T91" s="62">
        <f t="shared" si="6"/>
        <v>198.25</v>
      </c>
      <c r="U91" s="60"/>
    </row>
    <row r="92" spans="1:27" ht="15.75" customHeight="1">
      <c r="A92" s="47">
        <v>2</v>
      </c>
      <c r="B92" s="47">
        <v>3</v>
      </c>
      <c r="C92" s="47">
        <v>17</v>
      </c>
      <c r="D92" s="25" t="s">
        <v>60</v>
      </c>
      <c r="E92" s="25" t="s">
        <v>61</v>
      </c>
      <c r="F92" s="25" t="s">
        <v>25</v>
      </c>
      <c r="G92" s="49">
        <v>50749</v>
      </c>
      <c r="H92" s="51">
        <v>29</v>
      </c>
      <c r="I92" s="52">
        <v>1</v>
      </c>
      <c r="J92" s="33">
        <v>79</v>
      </c>
      <c r="K92" s="36"/>
      <c r="L92" s="36"/>
      <c r="M92" s="36"/>
      <c r="N92" s="36"/>
      <c r="O92" s="36"/>
      <c r="P92" s="36"/>
      <c r="Q92" s="36"/>
      <c r="R92" s="36"/>
      <c r="S92" s="36"/>
      <c r="T92" s="62">
        <f t="shared" si="6"/>
        <v>79</v>
      </c>
      <c r="U92" s="60"/>
    </row>
    <row r="93" spans="1:27" ht="15.75" customHeight="1">
      <c r="A93" s="47">
        <v>2</v>
      </c>
      <c r="B93" s="47">
        <v>3</v>
      </c>
      <c r="C93" s="47">
        <v>18</v>
      </c>
      <c r="D93" s="25" t="s">
        <v>112</v>
      </c>
      <c r="E93" s="25" t="s">
        <v>113</v>
      </c>
      <c r="F93" s="25" t="s">
        <v>25</v>
      </c>
      <c r="G93" s="49">
        <v>50758</v>
      </c>
      <c r="H93" s="51">
        <v>246</v>
      </c>
      <c r="I93" s="52">
        <v>10</v>
      </c>
      <c r="J93" s="33">
        <v>60</v>
      </c>
      <c r="K93" s="33">
        <v>105</v>
      </c>
      <c r="L93" s="33">
        <v>128</v>
      </c>
      <c r="M93" s="33">
        <v>80.5</v>
      </c>
      <c r="N93" s="33">
        <v>99</v>
      </c>
      <c r="O93" s="33">
        <v>131</v>
      </c>
      <c r="P93" s="33">
        <v>83</v>
      </c>
      <c r="Q93" s="33">
        <v>88</v>
      </c>
      <c r="R93" s="33">
        <v>97</v>
      </c>
      <c r="S93" s="33">
        <v>71</v>
      </c>
      <c r="T93" s="62">
        <f t="shared" si="6"/>
        <v>94.25</v>
      </c>
      <c r="U93" s="60"/>
    </row>
    <row r="94" spans="1:27" ht="15.75" customHeight="1">
      <c r="A94" s="47">
        <v>2</v>
      </c>
      <c r="B94" s="47">
        <v>3</v>
      </c>
      <c r="C94" s="47">
        <v>18</v>
      </c>
      <c r="D94" s="25" t="s">
        <v>114</v>
      </c>
      <c r="E94" s="25" t="s">
        <v>115</v>
      </c>
      <c r="F94" s="25" t="s">
        <v>25</v>
      </c>
      <c r="G94" s="49">
        <v>50858</v>
      </c>
      <c r="H94" s="51">
        <v>98</v>
      </c>
      <c r="I94" s="52">
        <v>3</v>
      </c>
      <c r="J94" s="33">
        <v>19</v>
      </c>
      <c r="K94" s="33">
        <v>14</v>
      </c>
      <c r="L94" s="33">
        <v>19</v>
      </c>
      <c r="M94" s="36"/>
      <c r="N94" s="36"/>
      <c r="O94" s="36"/>
      <c r="P94" s="36"/>
      <c r="Q94" s="36"/>
      <c r="R94" s="36"/>
      <c r="S94" s="36"/>
      <c r="T94" s="62">
        <f t="shared" si="6"/>
        <v>17.333333333333332</v>
      </c>
      <c r="U94" s="60"/>
    </row>
    <row r="95" spans="1:27" ht="15.75" customHeight="1">
      <c r="A95" s="47">
        <v>2</v>
      </c>
      <c r="B95" s="47">
        <v>3</v>
      </c>
      <c r="C95" s="47">
        <v>18</v>
      </c>
      <c r="D95" s="25" t="s">
        <v>112</v>
      </c>
      <c r="E95" s="25" t="s">
        <v>113</v>
      </c>
      <c r="F95" s="25" t="s">
        <v>25</v>
      </c>
      <c r="G95" s="49">
        <v>50812</v>
      </c>
      <c r="H95" s="51">
        <v>29</v>
      </c>
      <c r="I95" s="52">
        <v>1</v>
      </c>
      <c r="J95" s="33">
        <v>28</v>
      </c>
      <c r="K95" s="36"/>
      <c r="L95" s="36"/>
      <c r="M95" s="36"/>
      <c r="N95" s="36"/>
      <c r="O95" s="36"/>
      <c r="P95" s="36"/>
      <c r="Q95" s="36"/>
      <c r="R95" s="36"/>
      <c r="S95" s="36"/>
      <c r="T95" s="62">
        <f t="shared" si="6"/>
        <v>28</v>
      </c>
      <c r="U95" s="60"/>
    </row>
    <row r="96" spans="1:27" ht="15.75" customHeight="1">
      <c r="A96" s="63">
        <v>2</v>
      </c>
      <c r="B96" s="63">
        <v>3</v>
      </c>
      <c r="C96" s="63">
        <v>18</v>
      </c>
      <c r="D96" s="38" t="s">
        <v>112</v>
      </c>
      <c r="E96" s="38" t="s">
        <v>113</v>
      </c>
      <c r="F96" s="38" t="s">
        <v>116</v>
      </c>
      <c r="G96" s="64">
        <v>50065</v>
      </c>
      <c r="H96" s="65">
        <v>10</v>
      </c>
      <c r="I96" s="41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9"/>
      <c r="U96" s="67" t="s">
        <v>43</v>
      </c>
    </row>
    <row r="97" spans="1:27" ht="15.75" customHeight="1">
      <c r="A97" s="47">
        <v>2</v>
      </c>
      <c r="B97" s="47">
        <v>3</v>
      </c>
      <c r="C97" s="47">
        <v>18</v>
      </c>
      <c r="D97" s="25" t="s">
        <v>114</v>
      </c>
      <c r="E97" s="25" t="s">
        <v>115</v>
      </c>
      <c r="F97" s="25" t="s">
        <v>117</v>
      </c>
      <c r="G97" s="49">
        <v>50535</v>
      </c>
      <c r="H97" s="51">
        <v>24</v>
      </c>
      <c r="I97" s="52">
        <v>1</v>
      </c>
      <c r="J97" s="33">
        <v>9</v>
      </c>
      <c r="K97" s="36"/>
      <c r="L97" s="36"/>
      <c r="M97" s="36"/>
      <c r="N97" s="36"/>
      <c r="O97" s="36"/>
      <c r="P97" s="36"/>
      <c r="Q97" s="36"/>
      <c r="R97" s="36"/>
      <c r="S97" s="36"/>
      <c r="T97" s="62">
        <v>9</v>
      </c>
      <c r="U97" s="60"/>
    </row>
    <row r="98" spans="1:27" ht="15.75" customHeight="1">
      <c r="A98" s="47">
        <v>2</v>
      </c>
      <c r="B98" s="47">
        <v>3</v>
      </c>
      <c r="C98" s="47">
        <v>19</v>
      </c>
      <c r="D98" s="25" t="s">
        <v>32</v>
      </c>
      <c r="E98" s="25" t="s">
        <v>33</v>
      </c>
      <c r="F98" s="25" t="s">
        <v>34</v>
      </c>
      <c r="G98" s="49">
        <v>50563</v>
      </c>
      <c r="H98" s="51">
        <v>338</v>
      </c>
      <c r="I98" s="52">
        <v>10</v>
      </c>
      <c r="J98" s="33">
        <v>122</v>
      </c>
      <c r="K98" s="33">
        <v>133</v>
      </c>
      <c r="L98" s="33">
        <v>217</v>
      </c>
      <c r="M98" s="33">
        <v>9.5</v>
      </c>
      <c r="N98" s="33">
        <v>64</v>
      </c>
      <c r="O98" s="33">
        <v>63</v>
      </c>
      <c r="P98" s="33">
        <v>67</v>
      </c>
      <c r="Q98" s="33">
        <v>58</v>
      </c>
      <c r="R98" s="33">
        <v>69</v>
      </c>
      <c r="S98" s="33">
        <v>114</v>
      </c>
      <c r="T98" s="62">
        <f>AVERAGE(J98:S98)</f>
        <v>91.65</v>
      </c>
      <c r="U98" s="60"/>
    </row>
    <row r="99" spans="1:27" ht="15.75" customHeight="1">
      <c r="A99" s="120">
        <v>2</v>
      </c>
      <c r="B99" s="120">
        <v>3</v>
      </c>
      <c r="C99" s="120">
        <v>19</v>
      </c>
      <c r="D99" s="116" t="s">
        <v>112</v>
      </c>
      <c r="E99" s="116" t="s">
        <v>113</v>
      </c>
      <c r="F99" s="116" t="s">
        <v>34</v>
      </c>
      <c r="G99" s="138">
        <v>50688</v>
      </c>
      <c r="H99" s="140">
        <v>113</v>
      </c>
      <c r="I99" s="127">
        <v>8</v>
      </c>
      <c r="J99" s="116">
        <v>106</v>
      </c>
      <c r="K99" s="116">
        <v>95</v>
      </c>
      <c r="L99" s="116">
        <v>90</v>
      </c>
      <c r="M99" s="116">
        <v>120</v>
      </c>
      <c r="N99" s="116">
        <v>118</v>
      </c>
      <c r="O99" s="116">
        <v>127</v>
      </c>
      <c r="P99" s="116">
        <v>123</v>
      </c>
      <c r="Q99" s="116">
        <v>154</v>
      </c>
      <c r="R99" s="123"/>
      <c r="S99" s="123"/>
      <c r="T99" s="145">
        <f>AVERAGE(J99:S99)</f>
        <v>116.625</v>
      </c>
      <c r="U99" s="142" t="s">
        <v>118</v>
      </c>
      <c r="V99" s="90"/>
      <c r="W99" s="90"/>
      <c r="X99" s="90"/>
      <c r="Y99" s="90"/>
      <c r="Z99" s="90"/>
      <c r="AA99" s="90"/>
    </row>
    <row r="100" spans="1:27" ht="15.75" customHeight="1">
      <c r="A100" s="33">
        <v>2</v>
      </c>
      <c r="B100" s="47">
        <v>3</v>
      </c>
      <c r="C100" s="47">
        <v>19</v>
      </c>
      <c r="D100" s="25" t="s">
        <v>112</v>
      </c>
      <c r="E100" s="25" t="s">
        <v>113</v>
      </c>
      <c r="F100" s="25" t="s">
        <v>68</v>
      </c>
      <c r="G100" s="49">
        <v>50146</v>
      </c>
      <c r="H100" s="51">
        <v>9</v>
      </c>
      <c r="I100" s="52">
        <v>1</v>
      </c>
      <c r="J100" s="33">
        <v>84</v>
      </c>
      <c r="K100" s="36"/>
      <c r="L100" s="36"/>
      <c r="M100" s="36"/>
      <c r="N100" s="36"/>
      <c r="O100" s="36"/>
      <c r="P100" s="36"/>
      <c r="Q100" s="36"/>
      <c r="R100" s="36"/>
      <c r="S100" s="36"/>
      <c r="T100" s="62">
        <f>AVERAGE(J100:S100)</f>
        <v>84</v>
      </c>
      <c r="U100" s="60"/>
    </row>
    <row r="101" spans="1:27" ht="15.75" customHeight="1">
      <c r="A101" s="143">
        <v>2</v>
      </c>
      <c r="B101" s="143">
        <v>3</v>
      </c>
      <c r="C101" s="143">
        <v>19</v>
      </c>
      <c r="D101" s="144" t="s">
        <v>112</v>
      </c>
      <c r="E101" s="144" t="s">
        <v>113</v>
      </c>
      <c r="F101" s="144" t="s">
        <v>25</v>
      </c>
      <c r="G101" s="146">
        <v>50758</v>
      </c>
      <c r="H101" s="147">
        <v>133</v>
      </c>
      <c r="I101" s="4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2"/>
      <c r="U101" s="154" t="s">
        <v>119</v>
      </c>
      <c r="V101" s="90"/>
      <c r="W101" s="90"/>
      <c r="X101" s="90"/>
      <c r="Y101" s="90"/>
      <c r="Z101" s="90"/>
      <c r="AA101" s="90"/>
    </row>
    <row r="102" spans="1:27" ht="15.75" customHeight="1">
      <c r="A102" s="47">
        <v>2</v>
      </c>
      <c r="B102" s="47">
        <v>3</v>
      </c>
      <c r="C102" s="47">
        <v>21</v>
      </c>
      <c r="D102" s="25" t="s">
        <v>120</v>
      </c>
      <c r="E102" s="25" t="s">
        <v>121</v>
      </c>
      <c r="F102" s="25" t="s">
        <v>25</v>
      </c>
      <c r="G102" s="49">
        <v>50745</v>
      </c>
      <c r="H102" s="51">
        <v>131</v>
      </c>
      <c r="I102" s="52">
        <v>6</v>
      </c>
      <c r="J102" s="33">
        <v>62</v>
      </c>
      <c r="K102" s="33">
        <v>79</v>
      </c>
      <c r="L102" s="33">
        <v>128</v>
      </c>
      <c r="M102" s="33">
        <v>142</v>
      </c>
      <c r="N102" s="33">
        <v>122</v>
      </c>
      <c r="O102" s="33">
        <v>128</v>
      </c>
      <c r="P102" s="36"/>
      <c r="Q102" s="36"/>
      <c r="R102" s="36"/>
      <c r="S102" s="36"/>
      <c r="T102" s="62">
        <f t="shared" ref="T102:T110" si="7">AVERAGE(J102:S102)</f>
        <v>110.16666666666667</v>
      </c>
      <c r="U102" s="60"/>
    </row>
    <row r="103" spans="1:27" ht="15.75" customHeight="1">
      <c r="A103" s="47">
        <v>2</v>
      </c>
      <c r="B103" s="47">
        <v>3</v>
      </c>
      <c r="C103" s="47">
        <v>21</v>
      </c>
      <c r="D103" s="25" t="s">
        <v>120</v>
      </c>
      <c r="E103" s="25" t="s">
        <v>121</v>
      </c>
      <c r="F103" s="25" t="s">
        <v>31</v>
      </c>
      <c r="G103" s="49">
        <v>50718</v>
      </c>
      <c r="H103" s="51">
        <v>168</v>
      </c>
      <c r="I103" s="52">
        <v>8</v>
      </c>
      <c r="J103" s="33">
        <v>7</v>
      </c>
      <c r="K103" s="33">
        <v>92</v>
      </c>
      <c r="L103" s="33">
        <v>101</v>
      </c>
      <c r="M103" s="33">
        <v>84</v>
      </c>
      <c r="N103" s="33">
        <v>98</v>
      </c>
      <c r="O103" s="33">
        <v>103</v>
      </c>
      <c r="P103" s="33">
        <v>79</v>
      </c>
      <c r="Q103" s="33">
        <v>108</v>
      </c>
      <c r="R103" s="36"/>
      <c r="S103" s="36"/>
      <c r="T103" s="62">
        <f t="shared" si="7"/>
        <v>84</v>
      </c>
      <c r="U103" s="60"/>
    </row>
    <row r="104" spans="1:27" ht="15.75" customHeight="1">
      <c r="A104" s="47">
        <v>2</v>
      </c>
      <c r="B104" s="47">
        <v>3</v>
      </c>
      <c r="C104" s="47">
        <v>21</v>
      </c>
      <c r="D104" s="25" t="s">
        <v>120</v>
      </c>
      <c r="E104" s="25" t="s">
        <v>121</v>
      </c>
      <c r="F104" s="25" t="s">
        <v>25</v>
      </c>
      <c r="G104" s="49">
        <v>50681</v>
      </c>
      <c r="H104" s="51">
        <v>9</v>
      </c>
      <c r="I104" s="52">
        <v>1</v>
      </c>
      <c r="J104" s="33">
        <v>83</v>
      </c>
      <c r="K104" s="36"/>
      <c r="L104" s="36"/>
      <c r="M104" s="36"/>
      <c r="N104" s="36"/>
      <c r="O104" s="36"/>
      <c r="P104" s="36"/>
      <c r="Q104" s="36"/>
      <c r="R104" s="36"/>
      <c r="S104" s="36"/>
      <c r="T104" s="62">
        <f t="shared" si="7"/>
        <v>83</v>
      </c>
      <c r="U104" s="60"/>
    </row>
    <row r="105" spans="1:27" ht="15.75" customHeight="1">
      <c r="A105" s="47">
        <v>2</v>
      </c>
      <c r="B105" s="47">
        <v>3</v>
      </c>
      <c r="C105" s="47">
        <v>22</v>
      </c>
      <c r="D105" s="25" t="s">
        <v>122</v>
      </c>
      <c r="E105" s="25" t="s">
        <v>123</v>
      </c>
      <c r="F105" s="25" t="s">
        <v>34</v>
      </c>
      <c r="G105" s="49">
        <v>50732</v>
      </c>
      <c r="H105" s="51">
        <v>274</v>
      </c>
      <c r="I105" s="52">
        <v>10</v>
      </c>
      <c r="J105" s="33">
        <v>89</v>
      </c>
      <c r="K105" s="33">
        <v>99</v>
      </c>
      <c r="L105" s="33">
        <v>114.5</v>
      </c>
      <c r="M105" s="33">
        <v>100</v>
      </c>
      <c r="N105" s="33">
        <v>156.5</v>
      </c>
      <c r="O105" s="33">
        <v>133</v>
      </c>
      <c r="P105" s="33">
        <v>163</v>
      </c>
      <c r="Q105" s="33">
        <v>119</v>
      </c>
      <c r="R105" s="33">
        <v>120</v>
      </c>
      <c r="S105" s="33">
        <v>118</v>
      </c>
      <c r="T105" s="62">
        <f t="shared" si="7"/>
        <v>121.2</v>
      </c>
      <c r="U105" s="60"/>
    </row>
    <row r="106" spans="1:27" ht="15.75" customHeight="1">
      <c r="A106" s="47">
        <v>2</v>
      </c>
      <c r="B106" s="47">
        <v>3</v>
      </c>
      <c r="C106" s="47">
        <v>22</v>
      </c>
      <c r="D106" s="25" t="s">
        <v>122</v>
      </c>
      <c r="E106" s="25" t="s">
        <v>123</v>
      </c>
      <c r="F106" s="25" t="s">
        <v>34</v>
      </c>
      <c r="G106" s="49">
        <v>50545</v>
      </c>
      <c r="H106" s="51">
        <v>13</v>
      </c>
      <c r="I106" s="52">
        <v>5</v>
      </c>
      <c r="J106" s="33">
        <v>113</v>
      </c>
      <c r="K106" s="33">
        <v>61</v>
      </c>
      <c r="L106" s="33">
        <v>51</v>
      </c>
      <c r="M106" s="33">
        <v>68</v>
      </c>
      <c r="N106" s="33">
        <v>71</v>
      </c>
      <c r="O106" s="36"/>
      <c r="P106" s="36"/>
      <c r="Q106" s="36"/>
      <c r="R106" s="36"/>
      <c r="S106" s="36"/>
      <c r="T106" s="62">
        <f t="shared" si="7"/>
        <v>72.8</v>
      </c>
      <c r="U106" s="60"/>
    </row>
    <row r="107" spans="1:27" ht="15.75" customHeight="1">
      <c r="A107" s="47">
        <v>2</v>
      </c>
      <c r="B107" s="47">
        <v>3</v>
      </c>
      <c r="C107" s="47">
        <v>22</v>
      </c>
      <c r="D107" s="25" t="s">
        <v>122</v>
      </c>
      <c r="E107" s="25" t="s">
        <v>123</v>
      </c>
      <c r="F107" s="25" t="s">
        <v>25</v>
      </c>
      <c r="G107" s="49">
        <v>50833</v>
      </c>
      <c r="H107" s="51">
        <v>204</v>
      </c>
      <c r="I107" s="52">
        <v>8</v>
      </c>
      <c r="J107" s="33">
        <v>31</v>
      </c>
      <c r="K107" s="33">
        <v>35</v>
      </c>
      <c r="L107" s="33">
        <v>54</v>
      </c>
      <c r="M107" s="33">
        <v>56</v>
      </c>
      <c r="N107" s="33">
        <v>97</v>
      </c>
      <c r="O107" s="33">
        <v>89</v>
      </c>
      <c r="P107" s="33">
        <v>80</v>
      </c>
      <c r="Q107" s="33">
        <v>89.5</v>
      </c>
      <c r="R107" s="36"/>
      <c r="S107" s="36"/>
      <c r="T107" s="62">
        <f t="shared" si="7"/>
        <v>66.4375</v>
      </c>
      <c r="U107" s="60"/>
    </row>
    <row r="108" spans="1:27" ht="15.75" customHeight="1">
      <c r="A108" s="47">
        <v>2</v>
      </c>
      <c r="B108" s="47">
        <v>3</v>
      </c>
      <c r="C108" s="47">
        <v>22</v>
      </c>
      <c r="D108" s="25" t="s">
        <v>122</v>
      </c>
      <c r="E108" s="25" t="s">
        <v>123</v>
      </c>
      <c r="F108" s="25" t="s">
        <v>25</v>
      </c>
      <c r="G108" s="49">
        <v>50725</v>
      </c>
      <c r="H108" s="51">
        <v>62</v>
      </c>
      <c r="I108" s="52">
        <v>3</v>
      </c>
      <c r="J108" s="33">
        <v>152</v>
      </c>
      <c r="K108" s="33">
        <v>144</v>
      </c>
      <c r="L108" s="33">
        <v>195</v>
      </c>
      <c r="M108" s="36"/>
      <c r="N108" s="36"/>
      <c r="O108" s="36"/>
      <c r="P108" s="36"/>
      <c r="Q108" s="36"/>
      <c r="R108" s="36"/>
      <c r="S108" s="36"/>
      <c r="T108" s="62">
        <f t="shared" si="7"/>
        <v>163.66666666666666</v>
      </c>
      <c r="U108" s="60"/>
    </row>
    <row r="109" spans="1:27" ht="15.75" customHeight="1">
      <c r="A109" s="47">
        <v>2</v>
      </c>
      <c r="B109" s="47">
        <v>4</v>
      </c>
      <c r="C109" s="47">
        <v>2</v>
      </c>
      <c r="D109" s="25" t="s">
        <v>124</v>
      </c>
      <c r="E109" s="25" t="s">
        <v>125</v>
      </c>
      <c r="F109" s="25" t="s">
        <v>31</v>
      </c>
      <c r="G109" s="49">
        <v>50761</v>
      </c>
      <c r="H109" s="51">
        <v>250</v>
      </c>
      <c r="I109" s="52">
        <v>10</v>
      </c>
      <c r="J109" s="33">
        <v>80</v>
      </c>
      <c r="K109" s="33">
        <v>45</v>
      </c>
      <c r="L109" s="33">
        <v>64</v>
      </c>
      <c r="M109" s="33">
        <v>70</v>
      </c>
      <c r="N109" s="33">
        <v>44</v>
      </c>
      <c r="O109" s="33">
        <v>54</v>
      </c>
      <c r="P109" s="33">
        <v>39</v>
      </c>
      <c r="Q109" s="33">
        <v>46</v>
      </c>
      <c r="R109" s="33">
        <v>37</v>
      </c>
      <c r="S109" s="33">
        <v>21</v>
      </c>
      <c r="T109" s="62">
        <f t="shared" si="7"/>
        <v>50</v>
      </c>
      <c r="U109" s="60"/>
    </row>
    <row r="110" spans="1:27" ht="15.75" customHeight="1">
      <c r="A110" s="47">
        <v>2</v>
      </c>
      <c r="B110" s="47">
        <v>4</v>
      </c>
      <c r="C110" s="47">
        <v>2</v>
      </c>
      <c r="D110" s="25" t="s">
        <v>124</v>
      </c>
      <c r="E110" s="25" t="s">
        <v>125</v>
      </c>
      <c r="F110" s="25" t="s">
        <v>25</v>
      </c>
      <c r="G110" s="49">
        <v>50113</v>
      </c>
      <c r="H110" s="51">
        <v>172</v>
      </c>
      <c r="I110" s="52">
        <v>8</v>
      </c>
      <c r="J110" s="33">
        <v>61</v>
      </c>
      <c r="K110" s="33">
        <v>80</v>
      </c>
      <c r="L110" s="33">
        <v>61</v>
      </c>
      <c r="M110" s="33">
        <v>74</v>
      </c>
      <c r="N110" s="33">
        <v>52</v>
      </c>
      <c r="O110" s="33">
        <v>64</v>
      </c>
      <c r="P110" s="33">
        <v>52</v>
      </c>
      <c r="Q110" s="33">
        <v>33</v>
      </c>
      <c r="R110" s="158"/>
      <c r="S110" s="36"/>
      <c r="T110" s="62">
        <f t="shared" si="7"/>
        <v>59.625</v>
      </c>
      <c r="U110" s="60"/>
    </row>
    <row r="111" spans="1:27" ht="15.75" customHeight="1">
      <c r="A111" s="63">
        <v>2</v>
      </c>
      <c r="B111" s="63">
        <v>4</v>
      </c>
      <c r="C111" s="63">
        <v>2</v>
      </c>
      <c r="D111" s="38" t="s">
        <v>124</v>
      </c>
      <c r="E111" s="38" t="s">
        <v>125</v>
      </c>
      <c r="F111" s="38" t="s">
        <v>25</v>
      </c>
      <c r="G111" s="64">
        <v>50659</v>
      </c>
      <c r="H111" s="65">
        <v>63</v>
      </c>
      <c r="I111" s="41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9"/>
      <c r="U111" s="67" t="s">
        <v>43</v>
      </c>
    </row>
    <row r="112" spans="1:27" ht="15.75" customHeight="1">
      <c r="A112" s="159">
        <v>2</v>
      </c>
      <c r="B112" s="159">
        <v>4</v>
      </c>
      <c r="C112" s="159">
        <v>2</v>
      </c>
      <c r="D112" s="153" t="s">
        <v>126</v>
      </c>
      <c r="E112" s="153" t="s">
        <v>127</v>
      </c>
      <c r="F112" s="153" t="s">
        <v>25</v>
      </c>
      <c r="G112" s="161">
        <v>50767</v>
      </c>
      <c r="H112" s="162">
        <v>145</v>
      </c>
      <c r="I112" s="127">
        <v>1</v>
      </c>
      <c r="J112" s="153">
        <v>43</v>
      </c>
      <c r="K112" s="160"/>
      <c r="L112" s="160"/>
      <c r="M112" s="160"/>
      <c r="N112" s="160"/>
      <c r="O112" s="160"/>
      <c r="P112" s="160"/>
      <c r="Q112" s="160"/>
      <c r="R112" s="160"/>
      <c r="S112" s="160"/>
      <c r="T112" s="164">
        <v>43</v>
      </c>
      <c r="U112" s="163" t="s">
        <v>128</v>
      </c>
      <c r="V112" s="137"/>
      <c r="W112" s="137"/>
      <c r="X112" s="137"/>
      <c r="Y112" s="137"/>
      <c r="Z112" s="137"/>
      <c r="AA112" s="137"/>
    </row>
    <row r="113" spans="1:27" ht="15.75" customHeight="1">
      <c r="A113" s="47">
        <v>2</v>
      </c>
      <c r="B113" s="47">
        <v>4</v>
      </c>
      <c r="C113" s="47">
        <v>3</v>
      </c>
      <c r="D113" s="25" t="s">
        <v>60</v>
      </c>
      <c r="E113" s="25" t="s">
        <v>61</v>
      </c>
      <c r="F113" s="25" t="s">
        <v>31</v>
      </c>
      <c r="G113" s="49">
        <v>50810</v>
      </c>
      <c r="H113" s="51">
        <v>482</v>
      </c>
      <c r="I113" s="52">
        <v>10</v>
      </c>
      <c r="J113" s="33">
        <v>155.5</v>
      </c>
      <c r="K113" s="33">
        <v>131</v>
      </c>
      <c r="L113" s="33">
        <v>147</v>
      </c>
      <c r="M113" s="33">
        <v>192</v>
      </c>
      <c r="N113" s="33">
        <v>181</v>
      </c>
      <c r="O113" s="33">
        <v>158.30000000000001</v>
      </c>
      <c r="P113" s="33">
        <v>145</v>
      </c>
      <c r="Q113" s="33">
        <v>180</v>
      </c>
      <c r="R113" s="33">
        <v>154</v>
      </c>
      <c r="S113" s="33">
        <v>81</v>
      </c>
      <c r="T113" s="62">
        <f t="shared" ref="T113:T120" si="8">AVERAGE(J113:S113)</f>
        <v>152.47999999999999</v>
      </c>
      <c r="U113" s="60"/>
    </row>
    <row r="114" spans="1:27" ht="15.75" customHeight="1">
      <c r="A114" s="47">
        <v>2</v>
      </c>
      <c r="B114" s="47">
        <v>4</v>
      </c>
      <c r="C114" s="47">
        <v>4</v>
      </c>
      <c r="D114" s="25" t="s">
        <v>129</v>
      </c>
      <c r="E114" s="25" t="s">
        <v>130</v>
      </c>
      <c r="F114" s="25" t="s">
        <v>31</v>
      </c>
      <c r="G114" s="49">
        <v>50827</v>
      </c>
      <c r="H114" s="51">
        <v>654</v>
      </c>
      <c r="I114" s="52">
        <v>10</v>
      </c>
      <c r="J114" s="33">
        <v>38</v>
      </c>
      <c r="K114" s="33">
        <v>20</v>
      </c>
      <c r="L114" s="33">
        <v>23</v>
      </c>
      <c r="M114" s="33">
        <v>19</v>
      </c>
      <c r="N114" s="33">
        <v>34</v>
      </c>
      <c r="O114" s="33">
        <v>34</v>
      </c>
      <c r="P114" s="33"/>
      <c r="Q114" s="33">
        <v>37</v>
      </c>
      <c r="R114" s="33">
        <v>28</v>
      </c>
      <c r="S114" s="33">
        <v>40</v>
      </c>
      <c r="T114" s="62">
        <f t="shared" si="8"/>
        <v>30.333333333333332</v>
      </c>
      <c r="U114" s="60"/>
    </row>
    <row r="115" spans="1:27" ht="15.75" customHeight="1">
      <c r="A115" s="159">
        <v>2</v>
      </c>
      <c r="B115" s="159">
        <v>4</v>
      </c>
      <c r="C115" s="159">
        <v>4</v>
      </c>
      <c r="D115" s="153" t="s">
        <v>60</v>
      </c>
      <c r="E115" s="153" t="s">
        <v>61</v>
      </c>
      <c r="F115" s="153" t="s">
        <v>31</v>
      </c>
      <c r="G115" s="161">
        <v>50860</v>
      </c>
      <c r="H115" s="162">
        <v>214</v>
      </c>
      <c r="I115" s="127">
        <v>9</v>
      </c>
      <c r="J115" s="153">
        <v>59</v>
      </c>
      <c r="K115" s="153">
        <v>85.5</v>
      </c>
      <c r="L115" s="153">
        <v>52</v>
      </c>
      <c r="M115" s="153">
        <v>53</v>
      </c>
      <c r="N115" s="153">
        <v>59</v>
      </c>
      <c r="O115" s="153">
        <v>54.5</v>
      </c>
      <c r="P115" s="153">
        <v>27</v>
      </c>
      <c r="Q115" s="153">
        <v>40</v>
      </c>
      <c r="R115" s="153">
        <v>41</v>
      </c>
      <c r="S115" s="160"/>
      <c r="T115" s="164">
        <f t="shared" si="8"/>
        <v>52.333333333333336</v>
      </c>
      <c r="U115" s="163" t="s">
        <v>131</v>
      </c>
      <c r="V115" s="137"/>
      <c r="W115" s="137"/>
      <c r="X115" s="137"/>
      <c r="Y115" s="137"/>
      <c r="Z115" s="137"/>
      <c r="AA115" s="137"/>
    </row>
    <row r="116" spans="1:27" ht="15.75" customHeight="1">
      <c r="A116" s="47">
        <v>2</v>
      </c>
      <c r="B116" s="47">
        <v>4</v>
      </c>
      <c r="C116" s="47">
        <v>5</v>
      </c>
      <c r="D116" s="25" t="s">
        <v>56</v>
      </c>
      <c r="E116" s="25" t="s">
        <v>57</v>
      </c>
      <c r="F116" s="25" t="s">
        <v>31</v>
      </c>
      <c r="G116" s="49">
        <v>50712</v>
      </c>
      <c r="H116" s="51">
        <v>621</v>
      </c>
      <c r="I116" s="52">
        <v>10</v>
      </c>
      <c r="J116" s="33">
        <v>105</v>
      </c>
      <c r="K116" s="33">
        <v>89</v>
      </c>
      <c r="L116" s="33">
        <v>123</v>
      </c>
      <c r="M116" s="33">
        <v>103.5</v>
      </c>
      <c r="N116" s="33">
        <v>120</v>
      </c>
      <c r="O116" s="33">
        <v>122</v>
      </c>
      <c r="P116" s="33">
        <v>140</v>
      </c>
      <c r="Q116" s="33">
        <v>104</v>
      </c>
      <c r="R116" s="33">
        <v>176</v>
      </c>
      <c r="S116" s="33">
        <v>132</v>
      </c>
      <c r="T116" s="62">
        <f t="shared" si="8"/>
        <v>121.45</v>
      </c>
      <c r="U116" s="60"/>
    </row>
    <row r="117" spans="1:27" ht="15.75" customHeight="1">
      <c r="A117" s="47">
        <v>2</v>
      </c>
      <c r="B117" s="47">
        <v>4</v>
      </c>
      <c r="C117" s="47">
        <v>6</v>
      </c>
      <c r="D117" s="25" t="s">
        <v>132</v>
      </c>
      <c r="E117" s="25" t="s">
        <v>133</v>
      </c>
      <c r="F117" s="25" t="s">
        <v>109</v>
      </c>
      <c r="G117" s="49">
        <v>50716</v>
      </c>
      <c r="H117" s="51">
        <v>82</v>
      </c>
      <c r="I117" s="52">
        <v>4</v>
      </c>
      <c r="J117" s="33">
        <v>6</v>
      </c>
      <c r="K117" s="33">
        <v>5.5</v>
      </c>
      <c r="L117" s="33">
        <v>6</v>
      </c>
      <c r="M117" s="33"/>
      <c r="N117" s="36"/>
      <c r="O117" s="36"/>
      <c r="P117" s="36"/>
      <c r="Q117" s="36"/>
      <c r="R117" s="36"/>
      <c r="S117" s="36"/>
      <c r="T117" s="62">
        <f t="shared" si="8"/>
        <v>5.833333333333333</v>
      </c>
      <c r="U117" s="60"/>
    </row>
    <row r="118" spans="1:27" ht="15.75" customHeight="1">
      <c r="A118" s="47">
        <v>2</v>
      </c>
      <c r="B118" s="47">
        <v>4</v>
      </c>
      <c r="C118" s="47">
        <v>6</v>
      </c>
      <c r="D118" s="25" t="s">
        <v>132</v>
      </c>
      <c r="E118" s="25" t="s">
        <v>133</v>
      </c>
      <c r="F118" s="25" t="s">
        <v>109</v>
      </c>
      <c r="G118" s="49">
        <v>50789</v>
      </c>
      <c r="H118" s="51">
        <v>327</v>
      </c>
      <c r="I118" s="52">
        <v>10</v>
      </c>
      <c r="J118" s="33">
        <v>48</v>
      </c>
      <c r="K118" s="33">
        <v>54</v>
      </c>
      <c r="L118" s="33">
        <v>46</v>
      </c>
      <c r="M118" s="33">
        <v>37</v>
      </c>
      <c r="N118" s="33">
        <v>36</v>
      </c>
      <c r="O118" s="33">
        <v>35</v>
      </c>
      <c r="P118" s="33">
        <v>32</v>
      </c>
      <c r="Q118" s="33">
        <v>37</v>
      </c>
      <c r="R118" s="33">
        <v>28</v>
      </c>
      <c r="S118" s="33">
        <v>3</v>
      </c>
      <c r="T118" s="62">
        <f t="shared" si="8"/>
        <v>35.6</v>
      </c>
      <c r="U118" s="60"/>
    </row>
    <row r="119" spans="1:27" ht="15.75" customHeight="1">
      <c r="A119" s="47">
        <v>2</v>
      </c>
      <c r="B119" s="47">
        <v>4</v>
      </c>
      <c r="C119" s="47">
        <v>6</v>
      </c>
      <c r="D119" s="25" t="s">
        <v>132</v>
      </c>
      <c r="E119" s="25" t="s">
        <v>133</v>
      </c>
      <c r="F119" s="25" t="s">
        <v>34</v>
      </c>
      <c r="G119" s="49">
        <v>50710</v>
      </c>
      <c r="H119" s="51">
        <v>15</v>
      </c>
      <c r="I119" s="52">
        <v>3</v>
      </c>
      <c r="J119" s="33">
        <v>49.5</v>
      </c>
      <c r="K119" s="33">
        <v>39</v>
      </c>
      <c r="L119" s="33">
        <v>22</v>
      </c>
      <c r="M119" s="36"/>
      <c r="N119" s="36"/>
      <c r="O119" s="36"/>
      <c r="P119" s="36"/>
      <c r="Q119" s="36"/>
      <c r="R119" s="36"/>
      <c r="S119" s="36"/>
      <c r="T119" s="62">
        <f t="shared" si="8"/>
        <v>36.833333333333336</v>
      </c>
      <c r="U119" s="60"/>
    </row>
    <row r="120" spans="1:27" ht="15.75" customHeight="1">
      <c r="A120" s="47">
        <v>2</v>
      </c>
      <c r="B120" s="47">
        <v>4</v>
      </c>
      <c r="C120" s="47">
        <v>7</v>
      </c>
      <c r="D120" s="25" t="s">
        <v>134</v>
      </c>
      <c r="E120" s="25" t="s">
        <v>135</v>
      </c>
      <c r="F120" s="25" t="s">
        <v>25</v>
      </c>
      <c r="G120" s="49">
        <v>50268</v>
      </c>
      <c r="H120" s="51">
        <v>411</v>
      </c>
      <c r="I120" s="52">
        <v>10</v>
      </c>
      <c r="J120" s="33">
        <v>16</v>
      </c>
      <c r="K120" s="33">
        <v>17</v>
      </c>
      <c r="L120" s="33">
        <v>47.5</v>
      </c>
      <c r="M120" s="33">
        <v>51</v>
      </c>
      <c r="N120" s="33">
        <v>41</v>
      </c>
      <c r="O120" s="33">
        <v>21</v>
      </c>
      <c r="P120" s="33">
        <v>39</v>
      </c>
      <c r="Q120" s="33">
        <v>41</v>
      </c>
      <c r="R120" s="33">
        <v>36</v>
      </c>
      <c r="S120" s="33">
        <v>24</v>
      </c>
      <c r="T120" s="62">
        <f t="shared" si="8"/>
        <v>33.35</v>
      </c>
      <c r="U120" s="60"/>
    </row>
    <row r="121" spans="1:27" ht="15.75" customHeight="1">
      <c r="A121" s="71">
        <v>2</v>
      </c>
      <c r="B121" s="71">
        <v>4</v>
      </c>
      <c r="C121" s="71">
        <v>7</v>
      </c>
      <c r="D121" s="53" t="s">
        <v>134</v>
      </c>
      <c r="E121" s="53" t="s">
        <v>135</v>
      </c>
      <c r="F121" s="53" t="s">
        <v>68</v>
      </c>
      <c r="G121" s="73">
        <v>50169</v>
      </c>
      <c r="H121" s="74">
        <v>10</v>
      </c>
      <c r="I121" s="41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80"/>
      <c r="U121" s="79" t="s">
        <v>55</v>
      </c>
    </row>
    <row r="122" spans="1:27" ht="15.75" customHeight="1">
      <c r="A122" s="47">
        <v>2</v>
      </c>
      <c r="B122" s="47">
        <v>4</v>
      </c>
      <c r="C122" s="47">
        <v>9</v>
      </c>
      <c r="D122" s="25" t="s">
        <v>136</v>
      </c>
      <c r="E122" s="25" t="s">
        <v>137</v>
      </c>
      <c r="F122" s="25" t="s">
        <v>68</v>
      </c>
      <c r="G122" s="49">
        <v>50830</v>
      </c>
      <c r="H122" s="51">
        <v>329</v>
      </c>
      <c r="I122" s="52">
        <v>10</v>
      </c>
      <c r="J122" s="33">
        <v>132</v>
      </c>
      <c r="K122" s="33">
        <v>143</v>
      </c>
      <c r="L122" s="33">
        <v>142.5</v>
      </c>
      <c r="M122" s="33">
        <v>134.5</v>
      </c>
      <c r="N122" s="33">
        <v>146</v>
      </c>
      <c r="O122" s="33">
        <v>138.5</v>
      </c>
      <c r="P122" s="33">
        <v>156.4</v>
      </c>
      <c r="Q122" s="33">
        <v>155</v>
      </c>
      <c r="R122" s="33">
        <v>134</v>
      </c>
      <c r="S122" s="33">
        <v>143</v>
      </c>
      <c r="T122" s="62">
        <f>AVERAGE(J122:S122)</f>
        <v>142.49</v>
      </c>
      <c r="U122" s="60"/>
    </row>
    <row r="123" spans="1:27" ht="15.75" customHeight="1">
      <c r="A123" s="47">
        <v>2</v>
      </c>
      <c r="B123" s="47">
        <v>4</v>
      </c>
      <c r="C123" s="47">
        <v>9</v>
      </c>
      <c r="D123" s="25" t="s">
        <v>136</v>
      </c>
      <c r="E123" s="25" t="s">
        <v>137</v>
      </c>
      <c r="F123" s="25" t="s">
        <v>25</v>
      </c>
      <c r="G123" s="49">
        <v>50757</v>
      </c>
      <c r="H123" s="51">
        <v>10</v>
      </c>
      <c r="I123" s="52">
        <v>1</v>
      </c>
      <c r="J123" s="33">
        <v>38</v>
      </c>
      <c r="K123" s="36"/>
      <c r="L123" s="36"/>
      <c r="M123" s="36"/>
      <c r="N123" s="36"/>
      <c r="O123" s="36"/>
      <c r="P123" s="36"/>
      <c r="Q123" s="36"/>
      <c r="R123" s="36"/>
      <c r="S123" s="36"/>
      <c r="T123" s="62">
        <v>38</v>
      </c>
      <c r="U123" s="60"/>
    </row>
    <row r="124" spans="1:27" ht="15.75" customHeight="1">
      <c r="A124" s="47">
        <v>2</v>
      </c>
      <c r="B124" s="47">
        <v>4</v>
      </c>
      <c r="C124" s="47">
        <v>10</v>
      </c>
      <c r="D124" s="25" t="s">
        <v>138</v>
      </c>
      <c r="E124" s="25" t="s">
        <v>139</v>
      </c>
      <c r="F124" s="25" t="s">
        <v>68</v>
      </c>
      <c r="G124" s="49">
        <v>50828</v>
      </c>
      <c r="H124" s="51">
        <v>954</v>
      </c>
      <c r="I124" s="52">
        <v>10</v>
      </c>
      <c r="J124" s="33">
        <v>69.5</v>
      </c>
      <c r="K124" s="33">
        <v>51</v>
      </c>
      <c r="L124" s="33">
        <v>54</v>
      </c>
      <c r="M124" s="33">
        <v>44</v>
      </c>
      <c r="N124" s="33">
        <v>82</v>
      </c>
      <c r="O124" s="33">
        <v>100</v>
      </c>
      <c r="P124" s="33">
        <v>105.5</v>
      </c>
      <c r="Q124" s="33">
        <v>50.5</v>
      </c>
      <c r="R124" s="33">
        <v>90</v>
      </c>
      <c r="S124" s="33">
        <v>58.5</v>
      </c>
      <c r="T124" s="62">
        <f>AVERAGE(J124:S124)</f>
        <v>70.5</v>
      </c>
      <c r="U124" s="60"/>
    </row>
    <row r="125" spans="1:27" ht="15.75" customHeight="1">
      <c r="A125" s="47">
        <v>2</v>
      </c>
      <c r="B125" s="47">
        <v>4</v>
      </c>
      <c r="C125" s="47">
        <v>10</v>
      </c>
      <c r="D125" s="25" t="s">
        <v>140</v>
      </c>
      <c r="E125" s="25" t="s">
        <v>141</v>
      </c>
      <c r="F125" s="25" t="s">
        <v>25</v>
      </c>
      <c r="G125" s="49">
        <v>50763</v>
      </c>
      <c r="H125" s="51">
        <v>19</v>
      </c>
      <c r="I125" s="52">
        <v>1</v>
      </c>
      <c r="J125" s="33">
        <v>43.3</v>
      </c>
      <c r="K125" s="36"/>
      <c r="L125" s="36"/>
      <c r="M125" s="36"/>
      <c r="N125" s="36"/>
      <c r="O125" s="36"/>
      <c r="P125" s="36"/>
      <c r="Q125" s="36"/>
      <c r="R125" s="36"/>
      <c r="S125" s="36"/>
      <c r="T125" s="62">
        <v>43.3</v>
      </c>
      <c r="U125" s="60"/>
    </row>
    <row r="126" spans="1:27" ht="15.75" customHeight="1">
      <c r="A126" s="47">
        <v>2</v>
      </c>
      <c r="B126" s="47">
        <v>4</v>
      </c>
      <c r="C126" s="47">
        <v>10</v>
      </c>
      <c r="D126" s="25" t="s">
        <v>138</v>
      </c>
      <c r="E126" s="25" t="s">
        <v>139</v>
      </c>
      <c r="F126" s="25" t="s">
        <v>68</v>
      </c>
      <c r="G126" s="49">
        <v>50295</v>
      </c>
      <c r="H126" s="51">
        <v>11</v>
      </c>
      <c r="I126" s="52">
        <v>2</v>
      </c>
      <c r="J126" s="33">
        <v>76</v>
      </c>
      <c r="K126" s="33">
        <v>59.5</v>
      </c>
      <c r="L126" s="36"/>
      <c r="M126" s="36"/>
      <c r="N126" s="36"/>
      <c r="O126" s="36"/>
      <c r="P126" s="36"/>
      <c r="Q126" s="36"/>
      <c r="R126" s="36"/>
      <c r="S126" s="36"/>
      <c r="T126" s="62">
        <f>AVERAGE(J126:K126)</f>
        <v>67.75</v>
      </c>
      <c r="U126" s="60"/>
    </row>
    <row r="127" spans="1:27" ht="15.75" customHeight="1">
      <c r="A127" s="47">
        <v>2</v>
      </c>
      <c r="B127" s="47">
        <v>4</v>
      </c>
      <c r="C127" s="47">
        <v>10</v>
      </c>
      <c r="D127" s="25" t="s">
        <v>140</v>
      </c>
      <c r="E127" s="25" t="s">
        <v>141</v>
      </c>
      <c r="F127" s="25" t="s">
        <v>68</v>
      </c>
      <c r="G127" s="49">
        <v>50638</v>
      </c>
      <c r="H127" s="51">
        <v>52</v>
      </c>
      <c r="I127" s="52">
        <v>3</v>
      </c>
      <c r="J127" s="33">
        <v>59</v>
      </c>
      <c r="K127" s="33">
        <v>71</v>
      </c>
      <c r="L127" s="33">
        <v>76</v>
      </c>
      <c r="M127" s="36"/>
      <c r="N127" s="36"/>
      <c r="O127" s="36"/>
      <c r="P127" s="36"/>
      <c r="Q127" s="36"/>
      <c r="R127" s="36"/>
      <c r="S127" s="36"/>
      <c r="T127" s="62">
        <v>68.66</v>
      </c>
      <c r="U127" s="60"/>
    </row>
    <row r="128" spans="1:27" ht="15.75" customHeight="1">
      <c r="A128" s="47">
        <v>2</v>
      </c>
      <c r="B128" s="47">
        <v>4</v>
      </c>
      <c r="C128" s="47">
        <v>10</v>
      </c>
      <c r="D128" s="25" t="s">
        <v>138</v>
      </c>
      <c r="E128" s="25" t="s">
        <v>139</v>
      </c>
      <c r="F128" s="25" t="s">
        <v>25</v>
      </c>
      <c r="G128" s="49">
        <v>50750</v>
      </c>
      <c r="H128" s="51">
        <v>82</v>
      </c>
      <c r="I128" s="52">
        <v>1</v>
      </c>
      <c r="J128" s="33">
        <v>70</v>
      </c>
      <c r="K128" s="36"/>
      <c r="L128" s="36"/>
      <c r="M128" s="36"/>
      <c r="N128" s="36"/>
      <c r="O128" s="36"/>
      <c r="P128" s="36"/>
      <c r="Q128" s="36"/>
      <c r="R128" s="36"/>
      <c r="S128" s="36"/>
      <c r="T128" s="62">
        <v>70</v>
      </c>
      <c r="U128" s="60"/>
    </row>
    <row r="129" spans="1:21" ht="15.75" customHeight="1">
      <c r="A129" s="63">
        <v>2</v>
      </c>
      <c r="B129" s="63">
        <v>4</v>
      </c>
      <c r="C129" s="63">
        <v>11</v>
      </c>
      <c r="D129" s="38" t="s">
        <v>142</v>
      </c>
      <c r="E129" s="38" t="s">
        <v>143</v>
      </c>
      <c r="F129" s="38" t="s">
        <v>144</v>
      </c>
      <c r="G129" s="64">
        <v>50769</v>
      </c>
      <c r="H129" s="65">
        <v>2</v>
      </c>
      <c r="I129" s="41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9"/>
      <c r="U129" s="67" t="s">
        <v>43</v>
      </c>
    </row>
    <row r="130" spans="1:21" ht="15.75" customHeight="1">
      <c r="A130" s="47">
        <v>2</v>
      </c>
      <c r="B130" s="47">
        <v>4</v>
      </c>
      <c r="C130" s="47">
        <v>13</v>
      </c>
      <c r="D130" s="25" t="s">
        <v>32</v>
      </c>
      <c r="E130" s="25" t="s">
        <v>33</v>
      </c>
      <c r="F130" s="25" t="s">
        <v>68</v>
      </c>
      <c r="G130" s="49">
        <v>50819</v>
      </c>
      <c r="H130" s="51">
        <v>1285</v>
      </c>
      <c r="I130" s="52">
        <v>10</v>
      </c>
      <c r="J130" s="33">
        <v>128.5</v>
      </c>
      <c r="K130" s="33">
        <v>167</v>
      </c>
      <c r="L130" s="33">
        <v>161</v>
      </c>
      <c r="M130" s="33">
        <v>36.9</v>
      </c>
      <c r="N130" s="33">
        <v>92</v>
      </c>
      <c r="O130" s="33">
        <v>100</v>
      </c>
      <c r="P130" s="33">
        <v>146.30000000000001</v>
      </c>
      <c r="Q130" s="33">
        <v>105</v>
      </c>
      <c r="R130" s="33">
        <v>88</v>
      </c>
      <c r="S130" s="33">
        <v>52</v>
      </c>
      <c r="T130" s="62">
        <f>AVERAGE(J130:S130)</f>
        <v>107.67</v>
      </c>
      <c r="U130" s="60"/>
    </row>
    <row r="131" spans="1:21" ht="15.75" customHeight="1">
      <c r="A131" s="47">
        <v>2</v>
      </c>
      <c r="B131" s="47">
        <v>4</v>
      </c>
      <c r="C131" s="47">
        <v>14</v>
      </c>
      <c r="D131" s="25" t="s">
        <v>145</v>
      </c>
      <c r="E131" s="25" t="s">
        <v>146</v>
      </c>
      <c r="F131" s="25" t="s">
        <v>31</v>
      </c>
      <c r="G131" s="49">
        <v>50809</v>
      </c>
      <c r="H131" s="51">
        <v>664</v>
      </c>
      <c r="I131" s="52">
        <v>10</v>
      </c>
      <c r="J131" s="33">
        <v>92</v>
      </c>
      <c r="K131" s="33">
        <v>108</v>
      </c>
      <c r="L131" s="33">
        <v>99.5</v>
      </c>
      <c r="M131" s="33">
        <v>97</v>
      </c>
      <c r="N131" s="33">
        <v>91</v>
      </c>
      <c r="O131" s="33">
        <v>98</v>
      </c>
      <c r="P131" s="33">
        <v>96</v>
      </c>
      <c r="Q131" s="33">
        <v>67</v>
      </c>
      <c r="R131" s="33">
        <v>86</v>
      </c>
      <c r="S131" s="33">
        <v>50</v>
      </c>
      <c r="T131" s="62">
        <f>AVERAGE(J131:S131)</f>
        <v>88.45</v>
      </c>
      <c r="U131" s="60"/>
    </row>
    <row r="132" spans="1:21" ht="15.75" customHeight="1">
      <c r="A132" s="63">
        <v>2</v>
      </c>
      <c r="B132" s="63">
        <v>4</v>
      </c>
      <c r="C132" s="63">
        <v>15</v>
      </c>
      <c r="D132" s="38" t="s">
        <v>147</v>
      </c>
      <c r="E132" s="38" t="s">
        <v>148</v>
      </c>
      <c r="F132" s="38" t="s">
        <v>25</v>
      </c>
      <c r="G132" s="64">
        <v>50376</v>
      </c>
      <c r="H132" s="65">
        <v>6</v>
      </c>
      <c r="I132" s="41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69"/>
      <c r="U132" s="67" t="s">
        <v>43</v>
      </c>
    </row>
    <row r="133" spans="1:21" ht="15.75" customHeight="1">
      <c r="A133" s="47">
        <v>2</v>
      </c>
      <c r="B133" s="47">
        <v>4</v>
      </c>
      <c r="C133" s="47">
        <v>15</v>
      </c>
      <c r="D133" s="25" t="s">
        <v>149</v>
      </c>
      <c r="E133" s="25" t="s">
        <v>150</v>
      </c>
      <c r="F133" s="25" t="s">
        <v>31</v>
      </c>
      <c r="G133" s="49">
        <v>50815</v>
      </c>
      <c r="H133" s="51">
        <v>81</v>
      </c>
      <c r="I133" s="52">
        <v>3</v>
      </c>
      <c r="J133" s="33">
        <v>128.5</v>
      </c>
      <c r="K133" s="33">
        <v>155</v>
      </c>
      <c r="L133" s="33">
        <v>138</v>
      </c>
      <c r="M133" s="36"/>
      <c r="N133" s="36"/>
      <c r="O133" s="36"/>
      <c r="P133" s="36"/>
      <c r="Q133" s="36"/>
      <c r="R133" s="36"/>
      <c r="S133" s="36"/>
      <c r="T133" s="62">
        <f>AVERAGE(J133:S133)</f>
        <v>140.5</v>
      </c>
      <c r="U133" s="60"/>
    </row>
    <row r="134" spans="1:21" ht="15.75" customHeight="1">
      <c r="A134" s="47">
        <v>2</v>
      </c>
      <c r="B134" s="47">
        <v>4</v>
      </c>
      <c r="C134" s="47">
        <v>15</v>
      </c>
      <c r="D134" s="25" t="s">
        <v>145</v>
      </c>
      <c r="E134" s="25" t="s">
        <v>146</v>
      </c>
      <c r="F134" s="25" t="s">
        <v>31</v>
      </c>
      <c r="G134" s="49">
        <v>50711</v>
      </c>
      <c r="H134" s="51">
        <v>100</v>
      </c>
      <c r="I134" s="52">
        <v>3</v>
      </c>
      <c r="J134" s="33">
        <v>86</v>
      </c>
      <c r="K134" s="33">
        <v>71</v>
      </c>
      <c r="L134" s="33">
        <v>45.5</v>
      </c>
      <c r="M134" s="36"/>
      <c r="N134" s="36"/>
      <c r="O134" s="36"/>
      <c r="P134" s="36"/>
      <c r="Q134" s="36"/>
      <c r="R134" s="36"/>
      <c r="S134" s="36"/>
      <c r="T134" s="62">
        <f>AVERAGE(J134:S134)</f>
        <v>67.5</v>
      </c>
      <c r="U134" s="60"/>
    </row>
    <row r="135" spans="1:21" ht="15.75" customHeight="1">
      <c r="A135" s="47">
        <v>2</v>
      </c>
      <c r="B135" s="47">
        <v>4</v>
      </c>
      <c r="C135" s="47">
        <v>15</v>
      </c>
      <c r="D135" s="25" t="s">
        <v>145</v>
      </c>
      <c r="E135" s="25" t="s">
        <v>146</v>
      </c>
      <c r="F135" s="25" t="s">
        <v>68</v>
      </c>
      <c r="G135" s="49">
        <v>50701</v>
      </c>
      <c r="H135" s="51">
        <v>70</v>
      </c>
      <c r="I135" s="52">
        <v>3</v>
      </c>
      <c r="J135" s="33">
        <v>20.5</v>
      </c>
      <c r="K135" s="33">
        <v>29</v>
      </c>
      <c r="L135" s="33">
        <v>20</v>
      </c>
      <c r="M135" s="36"/>
      <c r="N135" s="36"/>
      <c r="O135" s="36"/>
      <c r="P135" s="36"/>
      <c r="Q135" s="36"/>
      <c r="R135" s="36"/>
      <c r="S135" s="36"/>
      <c r="T135" s="62">
        <f>AVERAGE(J135:S135)</f>
        <v>23.166666666666668</v>
      </c>
      <c r="U135" s="60"/>
    </row>
    <row r="136" spans="1:21" ht="15.75" customHeight="1">
      <c r="A136" s="47">
        <v>2</v>
      </c>
      <c r="B136" s="47">
        <v>4</v>
      </c>
      <c r="C136" s="47">
        <v>15</v>
      </c>
      <c r="D136" s="25" t="s">
        <v>151</v>
      </c>
      <c r="E136" s="25" t="s">
        <v>152</v>
      </c>
      <c r="F136" s="25" t="s">
        <v>144</v>
      </c>
      <c r="G136" s="49">
        <v>50776</v>
      </c>
      <c r="H136" s="51">
        <v>28</v>
      </c>
      <c r="I136" s="52">
        <v>1</v>
      </c>
      <c r="J136" s="33">
        <v>33</v>
      </c>
      <c r="K136" s="36"/>
      <c r="L136" s="36"/>
      <c r="M136" s="36"/>
      <c r="N136" s="36"/>
      <c r="O136" s="36"/>
      <c r="P136" s="36"/>
      <c r="Q136" s="36"/>
      <c r="R136" s="36"/>
      <c r="S136" s="36"/>
      <c r="T136" s="62">
        <f>AVERAGE(J136:S136)</f>
        <v>33</v>
      </c>
      <c r="U136" s="60"/>
    </row>
    <row r="137" spans="1:21" ht="15.75" customHeight="1">
      <c r="A137" s="63">
        <v>2</v>
      </c>
      <c r="B137" s="63">
        <v>4</v>
      </c>
      <c r="C137" s="63">
        <v>15</v>
      </c>
      <c r="D137" s="38" t="s">
        <v>151</v>
      </c>
      <c r="E137" s="38" t="s">
        <v>152</v>
      </c>
      <c r="F137" s="38" t="s">
        <v>31</v>
      </c>
      <c r="G137" s="64">
        <v>50811</v>
      </c>
      <c r="H137" s="65">
        <v>4</v>
      </c>
      <c r="I137" s="41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69"/>
      <c r="U137" s="67" t="s">
        <v>43</v>
      </c>
    </row>
    <row r="138" spans="1:21" ht="15.75" customHeight="1">
      <c r="A138" s="47">
        <v>2</v>
      </c>
      <c r="B138" s="47">
        <v>4</v>
      </c>
      <c r="C138" s="47">
        <v>15</v>
      </c>
      <c r="D138" s="25" t="s">
        <v>153</v>
      </c>
      <c r="E138" s="25" t="s">
        <v>154</v>
      </c>
      <c r="F138" s="25" t="s">
        <v>155</v>
      </c>
      <c r="G138" s="49">
        <v>50851</v>
      </c>
      <c r="H138" s="51">
        <v>15</v>
      </c>
      <c r="I138" s="52">
        <v>1</v>
      </c>
      <c r="J138" s="33">
        <v>35</v>
      </c>
      <c r="K138" s="36"/>
      <c r="L138" s="36"/>
      <c r="M138" s="36"/>
      <c r="N138" s="36"/>
      <c r="O138" s="36"/>
      <c r="P138" s="36"/>
      <c r="Q138" s="36"/>
      <c r="R138" s="36"/>
      <c r="S138" s="36"/>
      <c r="T138" s="62">
        <f>AVERAGE(J138:S138)</f>
        <v>35</v>
      </c>
      <c r="U138" s="60"/>
    </row>
    <row r="139" spans="1:21" ht="15.75" customHeight="1">
      <c r="A139" s="47">
        <v>2</v>
      </c>
      <c r="B139" s="47">
        <v>4</v>
      </c>
      <c r="C139" s="47">
        <v>15</v>
      </c>
      <c r="D139" s="25" t="s">
        <v>156</v>
      </c>
      <c r="E139" s="25" t="s">
        <v>157</v>
      </c>
      <c r="F139" s="25" t="s">
        <v>31</v>
      </c>
      <c r="G139" s="49">
        <v>50805</v>
      </c>
      <c r="H139" s="51">
        <v>15</v>
      </c>
      <c r="I139" s="52">
        <v>1</v>
      </c>
      <c r="J139" s="33">
        <v>40</v>
      </c>
      <c r="K139" s="36"/>
      <c r="L139" s="36"/>
      <c r="M139" s="36"/>
      <c r="N139" s="36"/>
      <c r="O139" s="36"/>
      <c r="P139" s="36"/>
      <c r="Q139" s="36"/>
      <c r="R139" s="36"/>
      <c r="S139" s="36"/>
      <c r="T139" s="62">
        <f>AVERAGE(J139:S139)</f>
        <v>40</v>
      </c>
      <c r="U139" s="60"/>
    </row>
    <row r="140" spans="1:21" ht="15.75" customHeight="1">
      <c r="A140" s="47">
        <v>2</v>
      </c>
      <c r="B140" s="47">
        <v>4</v>
      </c>
      <c r="C140" s="47">
        <v>15</v>
      </c>
      <c r="D140" s="25" t="s">
        <v>158</v>
      </c>
      <c r="E140" s="25" t="s">
        <v>159</v>
      </c>
      <c r="F140" s="25" t="s">
        <v>31</v>
      </c>
      <c r="G140" s="49">
        <v>50849</v>
      </c>
      <c r="H140" s="51">
        <v>27</v>
      </c>
      <c r="I140" s="52">
        <v>1</v>
      </c>
      <c r="J140" s="33">
        <v>41.5</v>
      </c>
      <c r="K140" s="36"/>
      <c r="L140" s="36"/>
      <c r="M140" s="36"/>
      <c r="N140" s="36"/>
      <c r="O140" s="36"/>
      <c r="P140" s="36"/>
      <c r="Q140" s="36"/>
      <c r="R140" s="36"/>
      <c r="S140" s="36"/>
      <c r="T140" s="62">
        <f>AVERAGE(J140:S140)</f>
        <v>41.5</v>
      </c>
      <c r="U140" s="60"/>
    </row>
    <row r="141" spans="1:21" ht="15.75" customHeight="1">
      <c r="A141" s="47">
        <v>2</v>
      </c>
      <c r="B141" s="47">
        <v>4</v>
      </c>
      <c r="C141" s="47">
        <v>15</v>
      </c>
      <c r="D141" s="25" t="s">
        <v>160</v>
      </c>
      <c r="E141" s="25" t="s">
        <v>161</v>
      </c>
      <c r="F141" s="25" t="s">
        <v>34</v>
      </c>
      <c r="G141" s="49">
        <v>50707</v>
      </c>
      <c r="H141" s="51">
        <v>30</v>
      </c>
      <c r="I141" s="52">
        <v>1</v>
      </c>
      <c r="J141" s="33">
        <v>40</v>
      </c>
      <c r="K141" s="36"/>
      <c r="L141" s="36"/>
      <c r="M141" s="36"/>
      <c r="N141" s="36"/>
      <c r="O141" s="36"/>
      <c r="P141" s="36"/>
      <c r="Q141" s="36"/>
      <c r="R141" s="36"/>
      <c r="S141" s="36"/>
      <c r="T141" s="62">
        <f>AVERAGE(J141:S141)</f>
        <v>40</v>
      </c>
      <c r="U141" s="60"/>
    </row>
    <row r="142" spans="1:21" ht="15.75" customHeight="1">
      <c r="A142" s="47">
        <v>2</v>
      </c>
      <c r="B142" s="47">
        <v>4</v>
      </c>
      <c r="C142" s="47">
        <v>15</v>
      </c>
      <c r="D142" s="25" t="s">
        <v>162</v>
      </c>
      <c r="E142" s="25" t="s">
        <v>163</v>
      </c>
      <c r="F142" s="25" t="s">
        <v>34</v>
      </c>
      <c r="G142" s="49">
        <v>50840</v>
      </c>
      <c r="H142" s="51">
        <v>1</v>
      </c>
      <c r="I142" s="52">
        <v>1</v>
      </c>
      <c r="J142" s="33">
        <v>24</v>
      </c>
      <c r="K142" s="36"/>
      <c r="L142" s="36"/>
      <c r="M142" s="36"/>
      <c r="N142" s="36"/>
      <c r="O142" s="36"/>
      <c r="P142" s="36"/>
      <c r="Q142" s="36"/>
      <c r="R142" s="36"/>
      <c r="S142" s="36"/>
      <c r="T142" s="62">
        <f>AVERAGE(J142:S142)</f>
        <v>24</v>
      </c>
      <c r="U142" s="60"/>
    </row>
    <row r="143" spans="1:21" ht="15.75" customHeight="1">
      <c r="A143" s="71">
        <v>2</v>
      </c>
      <c r="B143" s="71">
        <v>4</v>
      </c>
      <c r="C143" s="71">
        <v>15</v>
      </c>
      <c r="D143" s="53" t="s">
        <v>164</v>
      </c>
      <c r="E143" s="53" t="s">
        <v>165</v>
      </c>
      <c r="F143" s="53" t="s">
        <v>166</v>
      </c>
      <c r="G143" s="73">
        <v>50775</v>
      </c>
      <c r="H143" s="74">
        <v>1</v>
      </c>
      <c r="I143" s="41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172"/>
      <c r="U143" s="79" t="s">
        <v>55</v>
      </c>
    </row>
    <row r="144" spans="1:21" ht="15.75" customHeight="1">
      <c r="A144" s="63">
        <v>2</v>
      </c>
      <c r="B144" s="63">
        <v>4</v>
      </c>
      <c r="C144" s="63">
        <v>15</v>
      </c>
      <c r="D144" s="38" t="s">
        <v>149</v>
      </c>
      <c r="E144" s="38" t="s">
        <v>150</v>
      </c>
      <c r="F144" s="38" t="s">
        <v>68</v>
      </c>
      <c r="G144" s="64">
        <v>50669</v>
      </c>
      <c r="H144" s="65">
        <v>4</v>
      </c>
      <c r="I144" s="41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69"/>
      <c r="U144" s="67" t="s">
        <v>43</v>
      </c>
    </row>
    <row r="145" spans="1:21" ht="15.75" customHeight="1">
      <c r="A145" s="63">
        <v>2</v>
      </c>
      <c r="B145" s="63">
        <v>4</v>
      </c>
      <c r="C145" s="63">
        <v>15</v>
      </c>
      <c r="D145" s="38" t="s">
        <v>149</v>
      </c>
      <c r="E145" s="38" t="s">
        <v>150</v>
      </c>
      <c r="F145" s="38" t="s">
        <v>34</v>
      </c>
      <c r="G145" s="64">
        <v>50433</v>
      </c>
      <c r="H145" s="65">
        <v>3</v>
      </c>
      <c r="I145" s="41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69"/>
      <c r="U145" s="67" t="s">
        <v>43</v>
      </c>
    </row>
    <row r="146" spans="1:21" ht="15.75" customHeight="1">
      <c r="A146" s="47">
        <v>2</v>
      </c>
      <c r="B146" s="47">
        <v>4</v>
      </c>
      <c r="C146" s="47">
        <v>16</v>
      </c>
      <c r="D146" s="25" t="s">
        <v>167</v>
      </c>
      <c r="E146" s="25" t="s">
        <v>168</v>
      </c>
      <c r="F146" s="25" t="s">
        <v>31</v>
      </c>
      <c r="G146" s="49">
        <v>50865</v>
      </c>
      <c r="H146" s="51">
        <v>628</v>
      </c>
      <c r="I146" s="52">
        <v>10</v>
      </c>
      <c r="J146" s="33">
        <v>45.5</v>
      </c>
      <c r="K146" s="33">
        <v>67</v>
      </c>
      <c r="L146" s="33">
        <v>41</v>
      </c>
      <c r="M146" s="33">
        <v>41</v>
      </c>
      <c r="N146" s="33">
        <v>43</v>
      </c>
      <c r="O146" s="33">
        <v>49</v>
      </c>
      <c r="P146" s="33">
        <v>30</v>
      </c>
      <c r="Q146" s="33">
        <v>38</v>
      </c>
      <c r="R146" s="33">
        <v>42</v>
      </c>
      <c r="S146" s="33">
        <v>40</v>
      </c>
      <c r="T146" s="62">
        <f t="shared" ref="T146:T170" si="9">AVERAGE(J146:S146)</f>
        <v>43.65</v>
      </c>
      <c r="U146" s="60"/>
    </row>
    <row r="147" spans="1:21" ht="15.75" customHeight="1">
      <c r="A147" s="47">
        <v>2</v>
      </c>
      <c r="B147" s="47">
        <v>4</v>
      </c>
      <c r="C147" s="47">
        <v>16</v>
      </c>
      <c r="D147" s="25" t="s">
        <v>145</v>
      </c>
      <c r="E147" s="25" t="s">
        <v>146</v>
      </c>
      <c r="F147" s="25" t="s">
        <v>31</v>
      </c>
      <c r="G147" s="49">
        <v>50866</v>
      </c>
      <c r="H147" s="51">
        <v>86</v>
      </c>
      <c r="I147" s="52">
        <v>4</v>
      </c>
      <c r="J147" s="33">
        <v>61</v>
      </c>
      <c r="K147" s="33">
        <v>57.5</v>
      </c>
      <c r="L147" s="33">
        <v>46</v>
      </c>
      <c r="M147" s="33">
        <v>44</v>
      </c>
      <c r="N147" s="36"/>
      <c r="O147" s="36"/>
      <c r="P147" s="36"/>
      <c r="Q147" s="36"/>
      <c r="R147" s="36"/>
      <c r="S147" s="36"/>
      <c r="T147" s="62">
        <f t="shared" si="9"/>
        <v>52.125</v>
      </c>
      <c r="U147" s="60"/>
    </row>
    <row r="148" spans="1:21" ht="15.75" customHeight="1">
      <c r="A148" s="33">
        <v>2</v>
      </c>
      <c r="B148" s="47">
        <v>4</v>
      </c>
      <c r="C148" s="47">
        <v>17</v>
      </c>
      <c r="D148" s="25" t="s">
        <v>169</v>
      </c>
      <c r="E148" s="25" t="s">
        <v>170</v>
      </c>
      <c r="F148" s="25" t="s">
        <v>34</v>
      </c>
      <c r="G148" s="49">
        <v>50596</v>
      </c>
      <c r="H148" s="51">
        <v>110</v>
      </c>
      <c r="I148" s="52">
        <v>6</v>
      </c>
      <c r="J148" s="33">
        <v>121.5</v>
      </c>
      <c r="K148" s="33">
        <v>146</v>
      </c>
      <c r="L148" s="33">
        <v>121.5</v>
      </c>
      <c r="M148" s="33">
        <v>128</v>
      </c>
      <c r="N148" s="33">
        <v>92</v>
      </c>
      <c r="O148" s="33">
        <v>109.5</v>
      </c>
      <c r="P148" s="36"/>
      <c r="Q148" s="36"/>
      <c r="R148" s="36"/>
      <c r="S148" s="36"/>
      <c r="T148" s="62">
        <f t="shared" si="9"/>
        <v>119.75</v>
      </c>
      <c r="U148" s="60"/>
    </row>
    <row r="149" spans="1:21" ht="15.75" customHeight="1">
      <c r="A149" s="47">
        <v>2</v>
      </c>
      <c r="B149" s="47">
        <v>4</v>
      </c>
      <c r="C149" s="47">
        <v>17</v>
      </c>
      <c r="D149" s="25" t="s">
        <v>169</v>
      </c>
      <c r="E149" s="25" t="s">
        <v>170</v>
      </c>
      <c r="F149" s="25" t="s">
        <v>34</v>
      </c>
      <c r="G149" s="49">
        <v>50571</v>
      </c>
      <c r="H149" s="51">
        <v>223</v>
      </c>
      <c r="I149" s="52">
        <v>8</v>
      </c>
      <c r="J149" s="33">
        <v>119</v>
      </c>
      <c r="K149" s="33">
        <v>119</v>
      </c>
      <c r="L149" s="33">
        <v>116</v>
      </c>
      <c r="M149" s="33">
        <v>140</v>
      </c>
      <c r="N149" s="33">
        <v>130</v>
      </c>
      <c r="O149" s="33">
        <v>138</v>
      </c>
      <c r="P149" s="33">
        <v>156.5</v>
      </c>
      <c r="Q149" s="33">
        <v>157</v>
      </c>
      <c r="R149" s="36"/>
      <c r="S149" s="36"/>
      <c r="T149" s="62">
        <f t="shared" si="9"/>
        <v>134.4375</v>
      </c>
      <c r="U149" s="60"/>
    </row>
    <row r="150" spans="1:21" ht="15.75" customHeight="1">
      <c r="A150" s="47">
        <v>2</v>
      </c>
      <c r="B150" s="47">
        <v>4</v>
      </c>
      <c r="C150" s="47">
        <v>18</v>
      </c>
      <c r="D150" s="25" t="s">
        <v>171</v>
      </c>
      <c r="E150" s="25" t="s">
        <v>172</v>
      </c>
      <c r="F150" s="25" t="s">
        <v>25</v>
      </c>
      <c r="G150" s="49">
        <v>50831</v>
      </c>
      <c r="H150" s="51">
        <v>249</v>
      </c>
      <c r="I150" s="52">
        <v>10</v>
      </c>
      <c r="J150" s="33">
        <v>48</v>
      </c>
      <c r="K150" s="33">
        <v>40</v>
      </c>
      <c r="L150" s="33">
        <v>52</v>
      </c>
      <c r="M150" s="33">
        <v>53</v>
      </c>
      <c r="N150" s="33">
        <v>71</v>
      </c>
      <c r="O150" s="33">
        <v>65</v>
      </c>
      <c r="P150" s="33">
        <v>60</v>
      </c>
      <c r="Q150" s="33">
        <v>78.2</v>
      </c>
      <c r="R150" s="33">
        <v>73</v>
      </c>
      <c r="S150" s="33">
        <v>43</v>
      </c>
      <c r="T150" s="62">
        <f t="shared" si="9"/>
        <v>58.320000000000007</v>
      </c>
      <c r="U150" s="60"/>
    </row>
    <row r="151" spans="1:21" ht="15.75" customHeight="1">
      <c r="A151" s="47">
        <v>2</v>
      </c>
      <c r="B151" s="47">
        <v>4</v>
      </c>
      <c r="C151" s="47">
        <v>19</v>
      </c>
      <c r="D151" s="25" t="s">
        <v>107</v>
      </c>
      <c r="E151" s="25" t="s">
        <v>108</v>
      </c>
      <c r="F151" s="25" t="s">
        <v>31</v>
      </c>
      <c r="G151" s="49">
        <v>50862</v>
      </c>
      <c r="H151" s="51">
        <v>714</v>
      </c>
      <c r="I151" s="52">
        <v>10</v>
      </c>
      <c r="J151" s="33">
        <v>44</v>
      </c>
      <c r="K151" s="33">
        <v>82</v>
      </c>
      <c r="L151" s="33">
        <v>60</v>
      </c>
      <c r="M151" s="33">
        <v>55</v>
      </c>
      <c r="N151" s="33">
        <v>61</v>
      </c>
      <c r="O151" s="33">
        <v>62</v>
      </c>
      <c r="P151" s="33">
        <v>46.5</v>
      </c>
      <c r="Q151" s="33">
        <v>48</v>
      </c>
      <c r="R151" s="33">
        <v>19</v>
      </c>
      <c r="S151" s="33">
        <v>53</v>
      </c>
      <c r="T151" s="62">
        <f t="shared" si="9"/>
        <v>53.05</v>
      </c>
      <c r="U151" s="60"/>
    </row>
    <row r="152" spans="1:21" ht="15.75" customHeight="1">
      <c r="A152" s="47">
        <v>2</v>
      </c>
      <c r="B152" s="47">
        <v>4</v>
      </c>
      <c r="C152" s="47">
        <v>20</v>
      </c>
      <c r="D152" s="25" t="s">
        <v>173</v>
      </c>
      <c r="E152" s="25" t="s">
        <v>174</v>
      </c>
      <c r="F152" s="25" t="s">
        <v>25</v>
      </c>
      <c r="G152" s="49">
        <v>50678</v>
      </c>
      <c r="H152" s="51">
        <v>4</v>
      </c>
      <c r="I152" s="52">
        <v>1</v>
      </c>
      <c r="J152" s="33">
        <v>24</v>
      </c>
      <c r="K152" s="36"/>
      <c r="L152" s="36"/>
      <c r="M152" s="36"/>
      <c r="N152" s="36"/>
      <c r="O152" s="36"/>
      <c r="P152" s="36"/>
      <c r="Q152" s="36"/>
      <c r="R152" s="36"/>
      <c r="S152" s="36"/>
      <c r="T152" s="62">
        <f t="shared" si="9"/>
        <v>24</v>
      </c>
      <c r="U152" s="60"/>
    </row>
    <row r="153" spans="1:21" ht="15.75" customHeight="1">
      <c r="A153" s="47">
        <v>2</v>
      </c>
      <c r="B153" s="47">
        <v>4</v>
      </c>
      <c r="C153" s="47">
        <v>20</v>
      </c>
      <c r="D153" s="25" t="s">
        <v>175</v>
      </c>
      <c r="E153" s="25" t="s">
        <v>176</v>
      </c>
      <c r="F153" s="25" t="s">
        <v>31</v>
      </c>
      <c r="G153" s="49">
        <v>50867</v>
      </c>
      <c r="H153" s="51">
        <v>303</v>
      </c>
      <c r="I153" s="52">
        <v>8</v>
      </c>
      <c r="J153" s="33">
        <v>12</v>
      </c>
      <c r="K153" s="33">
        <v>22</v>
      </c>
      <c r="L153" s="33">
        <v>20</v>
      </c>
      <c r="M153" s="33">
        <v>20</v>
      </c>
      <c r="N153" s="33">
        <v>18.5</v>
      </c>
      <c r="O153" s="33">
        <v>20</v>
      </c>
      <c r="P153" s="33">
        <v>13.5</v>
      </c>
      <c r="Q153" s="33">
        <v>18.5</v>
      </c>
      <c r="R153" s="36"/>
      <c r="S153" s="36"/>
      <c r="T153" s="62">
        <f t="shared" si="9"/>
        <v>18.0625</v>
      </c>
      <c r="U153" s="60"/>
    </row>
    <row r="154" spans="1:21" ht="15.75" customHeight="1">
      <c r="A154" s="47">
        <v>2</v>
      </c>
      <c r="B154" s="47">
        <v>4</v>
      </c>
      <c r="C154" s="47">
        <v>21</v>
      </c>
      <c r="D154" s="25" t="s">
        <v>177</v>
      </c>
      <c r="E154" s="25" t="s">
        <v>178</v>
      </c>
      <c r="F154" s="25" t="s">
        <v>31</v>
      </c>
      <c r="G154" s="49">
        <v>50861</v>
      </c>
      <c r="H154" s="51">
        <v>714</v>
      </c>
      <c r="I154" s="52">
        <v>10</v>
      </c>
      <c r="J154" s="33">
        <v>43</v>
      </c>
      <c r="K154" s="33">
        <v>55</v>
      </c>
      <c r="L154" s="33">
        <v>40</v>
      </c>
      <c r="M154" s="33">
        <v>41</v>
      </c>
      <c r="N154" s="33">
        <v>54.2</v>
      </c>
      <c r="O154" s="33">
        <v>38.5</v>
      </c>
      <c r="P154" s="33">
        <v>25.5</v>
      </c>
      <c r="Q154" s="33">
        <v>50</v>
      </c>
      <c r="R154" s="33">
        <v>51</v>
      </c>
      <c r="S154" s="33">
        <v>34</v>
      </c>
      <c r="T154" s="62">
        <f t="shared" si="9"/>
        <v>43.22</v>
      </c>
      <c r="U154" s="60"/>
    </row>
    <row r="155" spans="1:21" ht="15.75" customHeight="1">
      <c r="A155" s="47">
        <v>2</v>
      </c>
      <c r="B155" s="47">
        <v>4</v>
      </c>
      <c r="C155" s="47">
        <v>22</v>
      </c>
      <c r="D155" s="25" t="s">
        <v>179</v>
      </c>
      <c r="E155" s="25" t="s">
        <v>180</v>
      </c>
      <c r="F155" s="25" t="s">
        <v>31</v>
      </c>
      <c r="G155" s="49">
        <v>50843</v>
      </c>
      <c r="H155" s="51">
        <v>330</v>
      </c>
      <c r="I155" s="52">
        <v>10</v>
      </c>
      <c r="J155" s="33">
        <v>39</v>
      </c>
      <c r="K155" s="33">
        <v>46</v>
      </c>
      <c r="L155" s="33">
        <v>32</v>
      </c>
      <c r="M155" s="33">
        <v>34</v>
      </c>
      <c r="N155" s="33">
        <v>34</v>
      </c>
      <c r="O155" s="33">
        <v>27</v>
      </c>
      <c r="P155" s="33">
        <v>25</v>
      </c>
      <c r="Q155" s="33">
        <v>47</v>
      </c>
      <c r="R155" s="33">
        <v>31</v>
      </c>
      <c r="S155" s="33">
        <v>31</v>
      </c>
      <c r="T155" s="62">
        <f t="shared" si="9"/>
        <v>34.6</v>
      </c>
      <c r="U155" s="60"/>
    </row>
    <row r="156" spans="1:21" ht="15.75" customHeight="1">
      <c r="A156" s="47">
        <v>2</v>
      </c>
      <c r="B156" s="47">
        <v>5</v>
      </c>
      <c r="C156" s="47">
        <v>1</v>
      </c>
      <c r="D156" s="25" t="s">
        <v>95</v>
      </c>
      <c r="E156" s="25" t="s">
        <v>96</v>
      </c>
      <c r="F156" s="25" t="s">
        <v>68</v>
      </c>
      <c r="G156" s="49">
        <v>50620</v>
      </c>
      <c r="H156" s="51">
        <v>260</v>
      </c>
      <c r="I156" s="52">
        <v>6</v>
      </c>
      <c r="J156" s="33">
        <v>36</v>
      </c>
      <c r="K156" s="33">
        <v>50</v>
      </c>
      <c r="L156" s="33">
        <v>59</v>
      </c>
      <c r="M156" s="33">
        <v>54</v>
      </c>
      <c r="N156" s="33">
        <v>84</v>
      </c>
      <c r="O156" s="33">
        <v>74</v>
      </c>
      <c r="P156" s="36"/>
      <c r="Q156" s="36"/>
      <c r="R156" s="36"/>
      <c r="S156" s="36"/>
      <c r="T156" s="62">
        <f t="shared" si="9"/>
        <v>59.5</v>
      </c>
      <c r="U156" s="60"/>
    </row>
    <row r="157" spans="1:21" ht="15.75" customHeight="1">
      <c r="A157" s="47">
        <v>2</v>
      </c>
      <c r="B157" s="47">
        <v>5</v>
      </c>
      <c r="C157" s="47">
        <v>1</v>
      </c>
      <c r="D157" s="25" t="s">
        <v>181</v>
      </c>
      <c r="E157" s="25" t="s">
        <v>182</v>
      </c>
      <c r="F157" s="25" t="s">
        <v>31</v>
      </c>
      <c r="G157" s="49">
        <v>50782</v>
      </c>
      <c r="H157" s="51">
        <v>162</v>
      </c>
      <c r="I157" s="52">
        <v>5</v>
      </c>
      <c r="J157" s="33">
        <v>31.5</v>
      </c>
      <c r="K157" s="33">
        <v>41</v>
      </c>
      <c r="L157" s="33">
        <v>41</v>
      </c>
      <c r="M157" s="33">
        <v>37</v>
      </c>
      <c r="N157" s="33">
        <v>58</v>
      </c>
      <c r="O157" s="36"/>
      <c r="P157" s="36"/>
      <c r="Q157" s="36"/>
      <c r="R157" s="36"/>
      <c r="S157" s="36"/>
      <c r="T157" s="62">
        <f t="shared" si="9"/>
        <v>41.7</v>
      </c>
      <c r="U157" s="60"/>
    </row>
    <row r="158" spans="1:21" ht="15.75" customHeight="1">
      <c r="A158" s="47">
        <v>2</v>
      </c>
      <c r="B158" s="47">
        <v>5</v>
      </c>
      <c r="C158" s="47">
        <v>2</v>
      </c>
      <c r="D158" s="25" t="s">
        <v>56</v>
      </c>
      <c r="E158" s="25" t="s">
        <v>57</v>
      </c>
      <c r="F158" s="25" t="s">
        <v>68</v>
      </c>
      <c r="G158" s="49">
        <v>50664</v>
      </c>
      <c r="H158" s="51">
        <v>125</v>
      </c>
      <c r="I158" s="52">
        <v>6</v>
      </c>
      <c r="J158" s="33">
        <v>78</v>
      </c>
      <c r="K158" s="33">
        <v>45</v>
      </c>
      <c r="L158" s="33">
        <v>62</v>
      </c>
      <c r="M158" s="33">
        <v>94</v>
      </c>
      <c r="N158" s="33">
        <v>71</v>
      </c>
      <c r="O158" s="33">
        <v>101</v>
      </c>
      <c r="P158" s="36"/>
      <c r="Q158" s="36"/>
      <c r="R158" s="36"/>
      <c r="S158" s="36"/>
      <c r="T158" s="62">
        <f t="shared" si="9"/>
        <v>75.166666666666671</v>
      </c>
      <c r="U158" s="60"/>
    </row>
    <row r="159" spans="1:21" ht="15.75" customHeight="1">
      <c r="A159" s="47">
        <v>2</v>
      </c>
      <c r="B159" s="47">
        <v>5</v>
      </c>
      <c r="C159" s="47">
        <v>3</v>
      </c>
      <c r="D159" s="25" t="s">
        <v>37</v>
      </c>
      <c r="E159" s="25" t="s">
        <v>38</v>
      </c>
      <c r="F159" s="25" t="s">
        <v>31</v>
      </c>
      <c r="G159" s="49">
        <v>50785</v>
      </c>
      <c r="H159" s="51">
        <v>128</v>
      </c>
      <c r="I159" s="52">
        <v>8</v>
      </c>
      <c r="J159" s="33">
        <v>114</v>
      </c>
      <c r="K159" s="33">
        <v>100</v>
      </c>
      <c r="L159" s="33">
        <v>92</v>
      </c>
      <c r="M159" s="33">
        <v>142</v>
      </c>
      <c r="N159" s="33">
        <v>125</v>
      </c>
      <c r="O159" s="33">
        <v>145.5</v>
      </c>
      <c r="P159" s="33">
        <v>133</v>
      </c>
      <c r="Q159" s="33">
        <v>117</v>
      </c>
      <c r="R159" s="36"/>
      <c r="S159" s="36"/>
      <c r="T159" s="62">
        <f t="shared" si="9"/>
        <v>121.0625</v>
      </c>
      <c r="U159" s="60"/>
    </row>
    <row r="160" spans="1:21" ht="15.75" customHeight="1">
      <c r="A160" s="47">
        <v>2</v>
      </c>
      <c r="B160" s="47">
        <v>5</v>
      </c>
      <c r="C160" s="47">
        <v>4</v>
      </c>
      <c r="D160" s="25" t="s">
        <v>35</v>
      </c>
      <c r="E160" s="25" t="s">
        <v>36</v>
      </c>
      <c r="F160" s="25" t="s">
        <v>31</v>
      </c>
      <c r="G160" s="49">
        <v>50806</v>
      </c>
      <c r="H160" s="51">
        <v>284</v>
      </c>
      <c r="I160" s="52">
        <v>10</v>
      </c>
      <c r="J160" s="33">
        <v>64</v>
      </c>
      <c r="K160" s="33">
        <v>122</v>
      </c>
      <c r="L160" s="33">
        <v>227.5</v>
      </c>
      <c r="M160" s="33">
        <v>121</v>
      </c>
      <c r="N160" s="33">
        <v>245</v>
      </c>
      <c r="O160" s="33">
        <v>176</v>
      </c>
      <c r="P160" s="33">
        <v>155</v>
      </c>
      <c r="Q160" s="33">
        <v>190</v>
      </c>
      <c r="R160" s="33">
        <v>231</v>
      </c>
      <c r="S160" s="33">
        <v>221</v>
      </c>
      <c r="T160" s="62">
        <f t="shared" si="9"/>
        <v>175.25</v>
      </c>
      <c r="U160" s="60"/>
    </row>
    <row r="161" spans="1:27" ht="15.75" customHeight="1">
      <c r="A161" s="47">
        <v>2</v>
      </c>
      <c r="B161" s="47">
        <v>5</v>
      </c>
      <c r="C161" s="47">
        <v>4</v>
      </c>
      <c r="D161" s="25" t="s">
        <v>35</v>
      </c>
      <c r="E161" s="25" t="s">
        <v>36</v>
      </c>
      <c r="F161" s="25" t="s">
        <v>68</v>
      </c>
      <c r="G161" s="49">
        <v>50829</v>
      </c>
      <c r="H161" s="51">
        <v>418</v>
      </c>
      <c r="I161" s="52">
        <v>10</v>
      </c>
      <c r="J161" s="33">
        <v>180</v>
      </c>
      <c r="K161" s="33">
        <v>113</v>
      </c>
      <c r="L161" s="33">
        <v>202</v>
      </c>
      <c r="M161" s="33">
        <v>199.5</v>
      </c>
      <c r="N161" s="33">
        <v>137</v>
      </c>
      <c r="O161" s="33">
        <v>116.5</v>
      </c>
      <c r="P161" s="33">
        <v>170</v>
      </c>
      <c r="Q161" s="33">
        <v>84</v>
      </c>
      <c r="R161" s="33" t="s">
        <v>80</v>
      </c>
      <c r="S161" s="33">
        <v>121</v>
      </c>
      <c r="T161" s="62">
        <f t="shared" si="9"/>
        <v>147</v>
      </c>
      <c r="U161" s="60"/>
    </row>
    <row r="162" spans="1:27" ht="15.75" customHeight="1">
      <c r="A162" s="47">
        <v>2</v>
      </c>
      <c r="B162" s="47">
        <v>5</v>
      </c>
      <c r="C162" s="47">
        <v>5</v>
      </c>
      <c r="D162" s="25" t="s">
        <v>183</v>
      </c>
      <c r="E162" s="25" t="s">
        <v>184</v>
      </c>
      <c r="F162" s="25" t="s">
        <v>31</v>
      </c>
      <c r="G162" s="49">
        <v>50808</v>
      </c>
      <c r="H162" s="51">
        <v>363</v>
      </c>
      <c r="I162" s="52">
        <v>10</v>
      </c>
      <c r="J162" s="33">
        <v>53</v>
      </c>
      <c r="K162" s="33">
        <v>63</v>
      </c>
      <c r="L162" s="33">
        <v>66</v>
      </c>
      <c r="M162" s="33">
        <v>74</v>
      </c>
      <c r="N162" s="33">
        <v>75.5</v>
      </c>
      <c r="O162" s="33">
        <v>83</v>
      </c>
      <c r="P162" s="33">
        <v>84</v>
      </c>
      <c r="Q162" s="33">
        <v>87</v>
      </c>
      <c r="R162" s="33">
        <v>94.3</v>
      </c>
      <c r="S162" s="33">
        <v>112</v>
      </c>
      <c r="T162" s="62">
        <f t="shared" si="9"/>
        <v>79.179999999999993</v>
      </c>
      <c r="U162" s="60"/>
    </row>
    <row r="163" spans="1:27" ht="15.75" customHeight="1">
      <c r="A163" s="47">
        <v>2</v>
      </c>
      <c r="B163" s="47">
        <v>5</v>
      </c>
      <c r="C163" s="47">
        <v>5</v>
      </c>
      <c r="D163" s="25" t="s">
        <v>183</v>
      </c>
      <c r="E163" s="25" t="s">
        <v>184</v>
      </c>
      <c r="F163" s="25" t="s">
        <v>25</v>
      </c>
      <c r="G163" s="49">
        <v>50774</v>
      </c>
      <c r="H163" s="51">
        <v>2</v>
      </c>
      <c r="I163" s="52">
        <v>2</v>
      </c>
      <c r="J163" s="33">
        <v>132</v>
      </c>
      <c r="K163" s="33">
        <v>101</v>
      </c>
      <c r="L163" s="36"/>
      <c r="M163" s="36"/>
      <c r="N163" s="36"/>
      <c r="O163" s="36"/>
      <c r="P163" s="36"/>
      <c r="Q163" s="36"/>
      <c r="R163" s="36"/>
      <c r="S163" s="36"/>
      <c r="T163" s="62">
        <f t="shared" si="9"/>
        <v>116.5</v>
      </c>
      <c r="U163" s="60"/>
    </row>
    <row r="164" spans="1:27" ht="15.75" customHeight="1">
      <c r="A164" s="47">
        <v>2</v>
      </c>
      <c r="B164" s="47">
        <v>5</v>
      </c>
      <c r="C164" s="47">
        <v>6</v>
      </c>
      <c r="D164" s="25" t="s">
        <v>49</v>
      </c>
      <c r="E164" s="25" t="s">
        <v>50</v>
      </c>
      <c r="F164" s="25" t="s">
        <v>68</v>
      </c>
      <c r="G164" s="49">
        <v>50838</v>
      </c>
      <c r="H164" s="51">
        <v>1374</v>
      </c>
      <c r="I164" s="52">
        <v>10</v>
      </c>
      <c r="J164" s="33">
        <v>14</v>
      </c>
      <c r="K164" s="33">
        <v>15</v>
      </c>
      <c r="L164" s="33">
        <v>16.5</v>
      </c>
      <c r="M164" s="33">
        <v>14</v>
      </c>
      <c r="N164" s="33">
        <v>13</v>
      </c>
      <c r="O164" s="33">
        <v>17</v>
      </c>
      <c r="P164" s="33">
        <v>11</v>
      </c>
      <c r="Q164" s="33">
        <v>15</v>
      </c>
      <c r="R164" s="33">
        <v>10</v>
      </c>
      <c r="S164" s="33">
        <v>16.5</v>
      </c>
      <c r="T164" s="62">
        <f t="shared" si="9"/>
        <v>14.2</v>
      </c>
      <c r="U164" s="60"/>
    </row>
    <row r="165" spans="1:27" ht="15.75" customHeight="1">
      <c r="A165" s="47">
        <v>2</v>
      </c>
      <c r="B165" s="47">
        <v>5</v>
      </c>
      <c r="C165" s="47">
        <v>7</v>
      </c>
      <c r="D165" s="25" t="s">
        <v>185</v>
      </c>
      <c r="E165" s="25" t="s">
        <v>186</v>
      </c>
      <c r="F165" s="25" t="s">
        <v>31</v>
      </c>
      <c r="G165" s="49">
        <v>50844</v>
      </c>
      <c r="H165" s="51">
        <v>515</v>
      </c>
      <c r="I165" s="52">
        <v>10</v>
      </c>
      <c r="J165" s="33">
        <v>33</v>
      </c>
      <c r="K165" s="33">
        <v>34</v>
      </c>
      <c r="L165" s="33">
        <v>37</v>
      </c>
      <c r="M165" s="33">
        <v>36</v>
      </c>
      <c r="N165" s="33">
        <v>40</v>
      </c>
      <c r="O165" s="33">
        <v>36</v>
      </c>
      <c r="P165" s="33">
        <v>25</v>
      </c>
      <c r="Q165" s="33">
        <v>27</v>
      </c>
      <c r="R165" s="33">
        <v>24.5</v>
      </c>
      <c r="S165" s="33"/>
      <c r="T165" s="62">
        <f t="shared" si="9"/>
        <v>32.5</v>
      </c>
      <c r="U165" s="60"/>
    </row>
    <row r="166" spans="1:27" ht="15.75" customHeight="1">
      <c r="A166" s="47">
        <v>2</v>
      </c>
      <c r="B166" s="47">
        <v>5</v>
      </c>
      <c r="C166" s="47">
        <v>8</v>
      </c>
      <c r="D166" s="25" t="s">
        <v>187</v>
      </c>
      <c r="E166" s="25" t="s">
        <v>188</v>
      </c>
      <c r="F166" s="25" t="s">
        <v>68</v>
      </c>
      <c r="G166" s="49">
        <v>50881</v>
      </c>
      <c r="H166" s="51">
        <v>738</v>
      </c>
      <c r="I166" s="52">
        <v>10</v>
      </c>
      <c r="J166" s="33">
        <v>39</v>
      </c>
      <c r="K166" s="33">
        <v>42.5</v>
      </c>
      <c r="L166" s="33">
        <v>31</v>
      </c>
      <c r="M166" s="33">
        <v>14.5</v>
      </c>
      <c r="N166" s="33">
        <v>42</v>
      </c>
      <c r="O166" s="33">
        <v>35.5</v>
      </c>
      <c r="P166" s="33"/>
      <c r="Q166" s="33">
        <v>11</v>
      </c>
      <c r="R166" s="33">
        <v>14.5</v>
      </c>
      <c r="S166" s="33">
        <v>6.5</v>
      </c>
      <c r="T166" s="62">
        <f t="shared" si="9"/>
        <v>26.277777777777779</v>
      </c>
      <c r="U166" s="60"/>
    </row>
    <row r="167" spans="1:27" ht="15.75" customHeight="1">
      <c r="A167" s="47">
        <v>2</v>
      </c>
      <c r="B167" s="47">
        <v>5</v>
      </c>
      <c r="C167" s="47">
        <v>8</v>
      </c>
      <c r="D167" s="25" t="s">
        <v>102</v>
      </c>
      <c r="E167" s="25" t="s">
        <v>103</v>
      </c>
      <c r="F167" s="25" t="s">
        <v>68</v>
      </c>
      <c r="G167" s="49">
        <v>50882</v>
      </c>
      <c r="H167" s="51">
        <v>549</v>
      </c>
      <c r="I167" s="52">
        <v>9</v>
      </c>
      <c r="J167" s="33">
        <v>19.5</v>
      </c>
      <c r="K167" s="33">
        <v>19.5</v>
      </c>
      <c r="L167" s="33">
        <v>10</v>
      </c>
      <c r="M167" s="33">
        <v>21</v>
      </c>
      <c r="N167" s="33">
        <v>40.5</v>
      </c>
      <c r="O167" s="33">
        <v>20.8</v>
      </c>
      <c r="P167" s="33">
        <v>22</v>
      </c>
      <c r="Q167" s="33">
        <v>28</v>
      </c>
      <c r="R167" s="33">
        <v>29.5</v>
      </c>
      <c r="S167" s="36"/>
      <c r="T167" s="62">
        <f t="shared" si="9"/>
        <v>23.422222222222224</v>
      </c>
      <c r="U167" s="60"/>
    </row>
    <row r="168" spans="1:27" ht="15.75" customHeight="1">
      <c r="A168" s="47">
        <v>2</v>
      </c>
      <c r="B168" s="47">
        <v>5</v>
      </c>
      <c r="C168" s="47">
        <v>9</v>
      </c>
      <c r="D168" s="25" t="s">
        <v>189</v>
      </c>
      <c r="E168" s="25" t="s">
        <v>190</v>
      </c>
      <c r="F168" s="25" t="s">
        <v>31</v>
      </c>
      <c r="G168" s="49">
        <v>50798</v>
      </c>
      <c r="H168" s="51">
        <v>182</v>
      </c>
      <c r="I168" s="52">
        <v>6</v>
      </c>
      <c r="J168" s="33">
        <v>79</v>
      </c>
      <c r="K168" s="33">
        <v>107</v>
      </c>
      <c r="L168" s="33">
        <v>99</v>
      </c>
      <c r="M168" s="33">
        <v>97</v>
      </c>
      <c r="N168" s="33">
        <v>79</v>
      </c>
      <c r="O168" s="33">
        <v>76</v>
      </c>
      <c r="P168" s="36"/>
      <c r="Q168" s="36"/>
      <c r="R168" s="36"/>
      <c r="S168" s="36"/>
      <c r="T168" s="62">
        <f t="shared" si="9"/>
        <v>89.5</v>
      </c>
      <c r="U168" s="60"/>
    </row>
    <row r="169" spans="1:27" ht="15.75" customHeight="1">
      <c r="A169" s="47">
        <v>2</v>
      </c>
      <c r="B169" s="47">
        <v>5</v>
      </c>
      <c r="C169" s="47">
        <v>9</v>
      </c>
      <c r="D169" s="25" t="s">
        <v>189</v>
      </c>
      <c r="E169" s="25" t="s">
        <v>190</v>
      </c>
      <c r="F169" s="25" t="s">
        <v>31</v>
      </c>
      <c r="G169" s="49">
        <v>50856</v>
      </c>
      <c r="H169" s="51">
        <v>162</v>
      </c>
      <c r="I169" s="52">
        <v>6</v>
      </c>
      <c r="J169" s="33">
        <v>73</v>
      </c>
      <c r="K169" s="33">
        <v>79</v>
      </c>
      <c r="L169" s="33">
        <v>69</v>
      </c>
      <c r="M169" s="33">
        <v>45</v>
      </c>
      <c r="N169" s="33">
        <v>45</v>
      </c>
      <c r="O169" s="33">
        <v>34.5</v>
      </c>
      <c r="P169" s="36"/>
      <c r="Q169" s="36"/>
      <c r="R169" s="36"/>
      <c r="S169" s="36"/>
      <c r="T169" s="62">
        <f t="shared" si="9"/>
        <v>57.583333333333336</v>
      </c>
      <c r="U169" s="60"/>
    </row>
    <row r="170" spans="1:27" ht="15.75" customHeight="1">
      <c r="A170" s="47">
        <v>2</v>
      </c>
      <c r="B170" s="47">
        <v>5</v>
      </c>
      <c r="C170" s="47">
        <v>9</v>
      </c>
      <c r="D170" s="25" t="s">
        <v>189</v>
      </c>
      <c r="E170" s="25" t="s">
        <v>190</v>
      </c>
      <c r="F170" s="25" t="s">
        <v>68</v>
      </c>
      <c r="G170" s="49">
        <v>50698</v>
      </c>
      <c r="H170" s="51">
        <v>87</v>
      </c>
      <c r="I170" s="52">
        <v>5</v>
      </c>
      <c r="J170" s="33">
        <v>61</v>
      </c>
      <c r="K170" s="33">
        <v>39</v>
      </c>
      <c r="L170" s="33">
        <v>93</v>
      </c>
      <c r="M170" s="33">
        <v>103</v>
      </c>
      <c r="N170" s="33">
        <v>73</v>
      </c>
      <c r="O170" s="36"/>
      <c r="P170" s="36"/>
      <c r="Q170" s="36"/>
      <c r="R170" s="36"/>
      <c r="S170" s="36"/>
      <c r="T170" s="62">
        <f t="shared" si="9"/>
        <v>73.8</v>
      </c>
      <c r="U170" s="60"/>
    </row>
    <row r="171" spans="1:27" ht="15.75" customHeight="1">
      <c r="A171" s="63">
        <v>2</v>
      </c>
      <c r="B171" s="63">
        <v>5</v>
      </c>
      <c r="C171" s="63">
        <v>10</v>
      </c>
      <c r="D171" s="38" t="s">
        <v>112</v>
      </c>
      <c r="E171" s="38" t="s">
        <v>113</v>
      </c>
      <c r="F171" s="38" t="s">
        <v>31</v>
      </c>
      <c r="G171" s="64">
        <v>50538</v>
      </c>
      <c r="H171" s="173"/>
      <c r="I171" s="41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69"/>
      <c r="U171" s="67" t="s">
        <v>43</v>
      </c>
    </row>
    <row r="172" spans="1:27" ht="15.75" customHeight="1">
      <c r="A172" s="47">
        <v>2</v>
      </c>
      <c r="B172" s="47">
        <v>5</v>
      </c>
      <c r="C172" s="47">
        <v>10</v>
      </c>
      <c r="D172" s="25" t="s">
        <v>191</v>
      </c>
      <c r="E172" s="25" t="s">
        <v>192</v>
      </c>
      <c r="F172" s="25" t="s">
        <v>68</v>
      </c>
      <c r="G172" s="49">
        <v>50837</v>
      </c>
      <c r="H172" s="51">
        <v>330</v>
      </c>
      <c r="I172" s="52">
        <v>10</v>
      </c>
      <c r="J172" s="33">
        <v>168</v>
      </c>
      <c r="K172" s="33">
        <v>103</v>
      </c>
      <c r="L172" s="33">
        <v>128</v>
      </c>
      <c r="M172" s="33">
        <v>126.5</v>
      </c>
      <c r="N172" s="33">
        <v>163</v>
      </c>
      <c r="O172" s="33">
        <v>107.5</v>
      </c>
      <c r="P172" s="33">
        <v>126</v>
      </c>
      <c r="Q172" s="33">
        <v>174</v>
      </c>
      <c r="R172" s="33">
        <v>192</v>
      </c>
      <c r="S172" s="33">
        <v>68</v>
      </c>
      <c r="T172" s="62">
        <f t="shared" ref="T172:T185" si="10">AVERAGE(J172:S172)</f>
        <v>135.6</v>
      </c>
      <c r="U172" s="60"/>
    </row>
    <row r="173" spans="1:27" ht="15.75" customHeight="1">
      <c r="A173" s="159">
        <v>2</v>
      </c>
      <c r="B173" s="159">
        <v>5</v>
      </c>
      <c r="C173" s="159">
        <v>12</v>
      </c>
      <c r="D173" s="153" t="s">
        <v>49</v>
      </c>
      <c r="E173" s="153" t="s">
        <v>50</v>
      </c>
      <c r="F173" s="153" t="s">
        <v>31</v>
      </c>
      <c r="G173" s="161">
        <v>50566</v>
      </c>
      <c r="H173" s="162">
        <v>90</v>
      </c>
      <c r="I173" s="127">
        <v>1</v>
      </c>
      <c r="J173" s="153">
        <v>28</v>
      </c>
      <c r="K173" s="160"/>
      <c r="L173" s="160"/>
      <c r="M173" s="160"/>
      <c r="N173" s="160"/>
      <c r="O173" s="160"/>
      <c r="P173" s="160"/>
      <c r="Q173" s="160"/>
      <c r="R173" s="160"/>
      <c r="S173" s="160"/>
      <c r="T173" s="164">
        <f t="shared" si="10"/>
        <v>28</v>
      </c>
      <c r="U173" s="163" t="s">
        <v>193</v>
      </c>
      <c r="V173" s="90"/>
      <c r="W173" s="90"/>
      <c r="X173" s="90"/>
      <c r="Y173" s="90"/>
      <c r="Z173" s="90"/>
      <c r="AA173" s="90"/>
    </row>
    <row r="174" spans="1:27" ht="15.75" customHeight="1">
      <c r="A174" s="47">
        <v>2</v>
      </c>
      <c r="B174" s="47">
        <v>5</v>
      </c>
      <c r="C174" s="47">
        <v>12</v>
      </c>
      <c r="D174" s="25" t="s">
        <v>49</v>
      </c>
      <c r="E174" s="25" t="s">
        <v>50</v>
      </c>
      <c r="F174" s="25" t="s">
        <v>34</v>
      </c>
      <c r="G174" s="49">
        <v>50476</v>
      </c>
      <c r="H174" s="51">
        <v>192</v>
      </c>
      <c r="I174" s="52">
        <v>8</v>
      </c>
      <c r="J174" s="33">
        <v>27</v>
      </c>
      <c r="K174" s="33">
        <v>16</v>
      </c>
      <c r="L174" s="33">
        <v>18</v>
      </c>
      <c r="M174" s="33">
        <v>18</v>
      </c>
      <c r="N174" s="33">
        <v>19</v>
      </c>
      <c r="O174" s="33">
        <v>25</v>
      </c>
      <c r="P174" s="33">
        <v>19.5</v>
      </c>
      <c r="Q174" s="33">
        <v>19.5</v>
      </c>
      <c r="R174" s="36"/>
      <c r="S174" s="36"/>
      <c r="T174" s="62">
        <f t="shared" si="10"/>
        <v>20.25</v>
      </c>
      <c r="U174" s="60"/>
    </row>
    <row r="175" spans="1:27" ht="15.75" customHeight="1">
      <c r="A175" s="47">
        <v>2</v>
      </c>
      <c r="B175" s="47">
        <v>5</v>
      </c>
      <c r="C175" s="47">
        <v>12</v>
      </c>
      <c r="D175" s="25" t="s">
        <v>49</v>
      </c>
      <c r="E175" s="25" t="s">
        <v>194</v>
      </c>
      <c r="F175" s="25" t="s">
        <v>34</v>
      </c>
      <c r="G175" s="49">
        <v>50634</v>
      </c>
      <c r="H175" s="51">
        <v>74</v>
      </c>
      <c r="I175" s="52">
        <v>1</v>
      </c>
      <c r="J175" s="33"/>
      <c r="K175" s="33">
        <v>13.5</v>
      </c>
      <c r="L175" s="36"/>
      <c r="M175" s="36"/>
      <c r="N175" s="36"/>
      <c r="O175" s="36"/>
      <c r="P175" s="36"/>
      <c r="Q175" s="36"/>
      <c r="R175" s="36"/>
      <c r="S175" s="36"/>
      <c r="T175" s="62">
        <f t="shared" si="10"/>
        <v>13.5</v>
      </c>
      <c r="U175" s="60"/>
    </row>
    <row r="176" spans="1:27" ht="15.75" customHeight="1">
      <c r="A176" s="47">
        <v>2</v>
      </c>
      <c r="B176" s="47">
        <v>5</v>
      </c>
      <c r="C176" s="47">
        <v>12</v>
      </c>
      <c r="D176" s="25" t="s">
        <v>49</v>
      </c>
      <c r="E176" s="25" t="s">
        <v>50</v>
      </c>
      <c r="F176" s="25" t="s">
        <v>68</v>
      </c>
      <c r="G176" s="49">
        <v>50633</v>
      </c>
      <c r="H176" s="51">
        <v>158</v>
      </c>
      <c r="I176" s="52">
        <v>6</v>
      </c>
      <c r="J176" s="33">
        <v>14.5</v>
      </c>
      <c r="K176" s="33">
        <v>20</v>
      </c>
      <c r="L176" s="33">
        <v>11</v>
      </c>
      <c r="M176" s="33">
        <v>10</v>
      </c>
      <c r="N176" s="33">
        <v>13</v>
      </c>
      <c r="O176" s="33">
        <v>26.5</v>
      </c>
      <c r="P176" s="36"/>
      <c r="Q176" s="36"/>
      <c r="R176" s="36"/>
      <c r="S176" s="36"/>
      <c r="T176" s="62">
        <f t="shared" si="10"/>
        <v>15.833333333333334</v>
      </c>
      <c r="U176" s="60"/>
    </row>
    <row r="177" spans="1:21" ht="15.75" customHeight="1">
      <c r="A177" s="47">
        <v>2</v>
      </c>
      <c r="B177" s="47">
        <v>5</v>
      </c>
      <c r="C177" s="47">
        <v>13</v>
      </c>
      <c r="D177" s="25" t="s">
        <v>37</v>
      </c>
      <c r="E177" s="25" t="s">
        <v>38</v>
      </c>
      <c r="F177" s="25" t="s">
        <v>25</v>
      </c>
      <c r="G177" s="49">
        <v>50342</v>
      </c>
      <c r="H177" s="51">
        <v>3</v>
      </c>
      <c r="I177" s="52">
        <v>1</v>
      </c>
      <c r="J177" s="33">
        <v>92</v>
      </c>
      <c r="K177" s="36"/>
      <c r="L177" s="36"/>
      <c r="M177" s="36"/>
      <c r="N177" s="36"/>
      <c r="O177" s="36"/>
      <c r="P177" s="36"/>
      <c r="Q177" s="36"/>
      <c r="R177" s="36"/>
      <c r="S177" s="36"/>
      <c r="T177" s="62">
        <f t="shared" si="10"/>
        <v>92</v>
      </c>
      <c r="U177" s="60"/>
    </row>
    <row r="178" spans="1:21" ht="15.75" customHeight="1">
      <c r="A178" s="47">
        <v>2</v>
      </c>
      <c r="B178" s="47">
        <v>5</v>
      </c>
      <c r="C178" s="47">
        <v>13</v>
      </c>
      <c r="D178" s="25" t="s">
        <v>37</v>
      </c>
      <c r="E178" s="25" t="s">
        <v>38</v>
      </c>
      <c r="F178" s="25" t="s">
        <v>31</v>
      </c>
      <c r="G178" s="49">
        <v>50785</v>
      </c>
      <c r="H178" s="51">
        <v>131</v>
      </c>
      <c r="I178" s="52">
        <v>5</v>
      </c>
      <c r="J178" s="33">
        <v>89</v>
      </c>
      <c r="K178" s="33">
        <v>135.5</v>
      </c>
      <c r="L178" s="33">
        <v>128</v>
      </c>
      <c r="M178" s="33">
        <v>109</v>
      </c>
      <c r="N178" s="33">
        <v>115</v>
      </c>
      <c r="O178" s="36"/>
      <c r="P178" s="36"/>
      <c r="Q178" s="36"/>
      <c r="R178" s="36"/>
      <c r="S178" s="36"/>
      <c r="T178" s="62">
        <f t="shared" si="10"/>
        <v>115.3</v>
      </c>
      <c r="U178" s="60"/>
    </row>
    <row r="179" spans="1:21" ht="15.75" customHeight="1">
      <c r="A179" s="47">
        <v>2</v>
      </c>
      <c r="B179" s="47">
        <v>5</v>
      </c>
      <c r="C179" s="47">
        <v>13</v>
      </c>
      <c r="D179" s="25" t="s">
        <v>37</v>
      </c>
      <c r="E179" s="25" t="s">
        <v>38</v>
      </c>
      <c r="F179" s="25" t="s">
        <v>25</v>
      </c>
      <c r="G179" s="49">
        <v>50694</v>
      </c>
      <c r="H179" s="51">
        <v>161</v>
      </c>
      <c r="I179" s="52">
        <v>3</v>
      </c>
      <c r="J179" s="33">
        <v>89</v>
      </c>
      <c r="K179" s="33">
        <v>115</v>
      </c>
      <c r="L179" s="33">
        <v>86</v>
      </c>
      <c r="M179" s="36"/>
      <c r="N179" s="36"/>
      <c r="O179" s="36"/>
      <c r="P179" s="36"/>
      <c r="Q179" s="36"/>
      <c r="R179" s="36"/>
      <c r="S179" s="36"/>
      <c r="T179" s="62">
        <f t="shared" si="10"/>
        <v>96.666666666666671</v>
      </c>
      <c r="U179" s="60"/>
    </row>
    <row r="180" spans="1:21" ht="15.75" customHeight="1">
      <c r="A180" s="47">
        <v>2</v>
      </c>
      <c r="B180" s="47">
        <v>5</v>
      </c>
      <c r="C180" s="47">
        <v>13</v>
      </c>
      <c r="D180" s="25" t="s">
        <v>37</v>
      </c>
      <c r="E180" s="25" t="s">
        <v>38</v>
      </c>
      <c r="F180" s="25" t="s">
        <v>68</v>
      </c>
      <c r="G180" s="49">
        <v>50600</v>
      </c>
      <c r="H180" s="51">
        <v>36</v>
      </c>
      <c r="I180" s="52">
        <v>1</v>
      </c>
      <c r="J180" s="33">
        <v>73</v>
      </c>
      <c r="K180" s="36"/>
      <c r="L180" s="36"/>
      <c r="M180" s="36"/>
      <c r="N180" s="36"/>
      <c r="O180" s="36"/>
      <c r="P180" s="36"/>
      <c r="Q180" s="36"/>
      <c r="R180" s="36"/>
      <c r="S180" s="36"/>
      <c r="T180" s="62">
        <f t="shared" si="10"/>
        <v>73</v>
      </c>
      <c r="U180" s="60"/>
    </row>
    <row r="181" spans="1:21" ht="15.75" customHeight="1">
      <c r="A181" s="47">
        <v>2</v>
      </c>
      <c r="B181" s="47">
        <v>5</v>
      </c>
      <c r="C181" s="47">
        <v>13</v>
      </c>
      <c r="D181" s="25" t="s">
        <v>37</v>
      </c>
      <c r="E181" s="25" t="s">
        <v>38</v>
      </c>
      <c r="F181" s="25" t="s">
        <v>34</v>
      </c>
      <c r="G181" s="49">
        <v>50663</v>
      </c>
      <c r="H181" s="51">
        <v>14</v>
      </c>
      <c r="I181" s="52">
        <v>1</v>
      </c>
      <c r="J181" s="33">
        <v>100</v>
      </c>
      <c r="K181" s="36"/>
      <c r="L181" s="36"/>
      <c r="M181" s="36"/>
      <c r="N181" s="36"/>
      <c r="O181" s="36"/>
      <c r="P181" s="36"/>
      <c r="Q181" s="36"/>
      <c r="R181" s="36"/>
      <c r="S181" s="36"/>
      <c r="T181" s="62">
        <f t="shared" si="10"/>
        <v>100</v>
      </c>
      <c r="U181" s="60"/>
    </row>
    <row r="182" spans="1:21" ht="15.75" customHeight="1">
      <c r="A182" s="47">
        <v>2</v>
      </c>
      <c r="B182" s="47">
        <v>5</v>
      </c>
      <c r="C182" s="47">
        <v>13</v>
      </c>
      <c r="D182" s="25" t="s">
        <v>37</v>
      </c>
      <c r="E182" s="25" t="s">
        <v>38</v>
      </c>
      <c r="F182" s="25" t="s">
        <v>68</v>
      </c>
      <c r="G182" s="49">
        <v>50696</v>
      </c>
      <c r="H182" s="51">
        <v>45</v>
      </c>
      <c r="I182" s="52">
        <v>1</v>
      </c>
      <c r="J182" s="33">
        <v>100</v>
      </c>
      <c r="K182" s="36"/>
      <c r="L182" s="36"/>
      <c r="M182" s="36"/>
      <c r="N182" s="36"/>
      <c r="O182" s="36"/>
      <c r="P182" s="36"/>
      <c r="Q182" s="36"/>
      <c r="R182" s="36"/>
      <c r="S182" s="36"/>
      <c r="T182" s="62">
        <f t="shared" si="10"/>
        <v>100</v>
      </c>
      <c r="U182" s="60"/>
    </row>
    <row r="183" spans="1:21" ht="15.75" customHeight="1">
      <c r="A183" s="47">
        <v>2</v>
      </c>
      <c r="B183" s="47">
        <v>6</v>
      </c>
      <c r="C183" s="47">
        <v>1</v>
      </c>
      <c r="D183" s="25" t="s">
        <v>195</v>
      </c>
      <c r="E183" s="25" t="s">
        <v>196</v>
      </c>
      <c r="F183" s="25" t="s">
        <v>34</v>
      </c>
      <c r="G183" s="49">
        <v>50703</v>
      </c>
      <c r="H183" s="51">
        <v>190</v>
      </c>
      <c r="I183" s="52">
        <v>7</v>
      </c>
      <c r="J183" s="33">
        <v>103</v>
      </c>
      <c r="K183" s="33">
        <v>153</v>
      </c>
      <c r="L183" s="33">
        <v>95</v>
      </c>
      <c r="M183" s="33">
        <v>147</v>
      </c>
      <c r="N183" s="33">
        <v>148</v>
      </c>
      <c r="O183" s="33">
        <v>127</v>
      </c>
      <c r="P183" s="33">
        <v>108</v>
      </c>
      <c r="Q183" s="36"/>
      <c r="R183" s="36"/>
      <c r="S183" s="36"/>
      <c r="T183" s="62">
        <f t="shared" si="10"/>
        <v>125.85714285714286</v>
      </c>
      <c r="U183" s="60"/>
    </row>
    <row r="184" spans="1:21" ht="15.75" customHeight="1">
      <c r="A184" s="47">
        <v>2</v>
      </c>
      <c r="B184" s="47">
        <v>6</v>
      </c>
      <c r="C184" s="47">
        <v>2</v>
      </c>
      <c r="D184" s="25" t="s">
        <v>197</v>
      </c>
      <c r="E184" s="25" t="s">
        <v>198</v>
      </c>
      <c r="F184" s="25" t="s">
        <v>25</v>
      </c>
      <c r="G184" s="49">
        <v>50771</v>
      </c>
      <c r="H184" s="51">
        <v>9</v>
      </c>
      <c r="I184" s="52">
        <v>1</v>
      </c>
      <c r="J184" s="33">
        <v>80</v>
      </c>
      <c r="K184" s="36"/>
      <c r="L184" s="36"/>
      <c r="M184" s="36"/>
      <c r="N184" s="36"/>
      <c r="O184" s="36"/>
      <c r="P184" s="36"/>
      <c r="Q184" s="36"/>
      <c r="R184" s="36"/>
      <c r="S184" s="36"/>
      <c r="T184" s="62">
        <f t="shared" si="10"/>
        <v>80</v>
      </c>
      <c r="U184" s="60"/>
    </row>
    <row r="185" spans="1:21" ht="15.75" customHeight="1">
      <c r="A185" s="47">
        <v>2</v>
      </c>
      <c r="B185" s="47">
        <v>6</v>
      </c>
      <c r="C185" s="47">
        <v>2</v>
      </c>
      <c r="D185" s="25" t="s">
        <v>37</v>
      </c>
      <c r="E185" s="25" t="s">
        <v>38</v>
      </c>
      <c r="F185" s="25" t="s">
        <v>34</v>
      </c>
      <c r="G185" s="49">
        <v>50622</v>
      </c>
      <c r="H185" s="51">
        <v>47</v>
      </c>
      <c r="I185" s="52">
        <v>1</v>
      </c>
      <c r="J185" s="33">
        <v>62.9</v>
      </c>
      <c r="K185" s="36"/>
      <c r="L185" s="36"/>
      <c r="M185" s="36"/>
      <c r="N185" s="36"/>
      <c r="O185" s="36"/>
      <c r="P185" s="36"/>
      <c r="Q185" s="36"/>
      <c r="R185" s="36"/>
      <c r="S185" s="36"/>
      <c r="T185" s="62">
        <f t="shared" si="10"/>
        <v>62.9</v>
      </c>
      <c r="U185" s="60"/>
    </row>
    <row r="186" spans="1:21" ht="15.75" customHeight="1">
      <c r="A186" s="71">
        <v>2</v>
      </c>
      <c r="B186" s="71">
        <v>6</v>
      </c>
      <c r="C186" s="71">
        <v>2</v>
      </c>
      <c r="D186" s="53" t="s">
        <v>37</v>
      </c>
      <c r="E186" s="53" t="s">
        <v>38</v>
      </c>
      <c r="F186" s="53" t="s">
        <v>25</v>
      </c>
      <c r="G186" s="73">
        <v>50694</v>
      </c>
      <c r="H186" s="74">
        <v>81</v>
      </c>
      <c r="I186" s="41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172"/>
      <c r="U186" s="79" t="s">
        <v>55</v>
      </c>
    </row>
    <row r="187" spans="1:21" ht="15.75" customHeight="1">
      <c r="A187" s="71">
        <v>2</v>
      </c>
      <c r="B187" s="71">
        <v>6</v>
      </c>
      <c r="C187" s="71">
        <v>2</v>
      </c>
      <c r="D187" s="53" t="s">
        <v>199</v>
      </c>
      <c r="E187" s="53" t="s">
        <v>200</v>
      </c>
      <c r="F187" s="53" t="s">
        <v>34</v>
      </c>
      <c r="G187" s="73">
        <v>50603</v>
      </c>
      <c r="H187" s="74">
        <v>65</v>
      </c>
      <c r="I187" s="41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172"/>
      <c r="U187" s="79" t="s">
        <v>55</v>
      </c>
    </row>
    <row r="188" spans="1:21" ht="15.75" customHeight="1">
      <c r="A188" s="71">
        <v>2</v>
      </c>
      <c r="B188" s="71">
        <v>6</v>
      </c>
      <c r="C188" s="71">
        <v>2</v>
      </c>
      <c r="D188" s="53" t="s">
        <v>199</v>
      </c>
      <c r="E188" s="53" t="s">
        <v>200</v>
      </c>
      <c r="F188" s="53" t="s">
        <v>34</v>
      </c>
      <c r="G188" s="73">
        <v>50656</v>
      </c>
      <c r="H188" s="74">
        <v>23</v>
      </c>
      <c r="I188" s="41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172"/>
      <c r="U188" s="79" t="s">
        <v>55</v>
      </c>
    </row>
    <row r="189" spans="1:21" ht="15.75" customHeight="1">
      <c r="A189" s="47">
        <v>2</v>
      </c>
      <c r="B189" s="47">
        <v>6</v>
      </c>
      <c r="C189" s="47">
        <v>3</v>
      </c>
      <c r="D189" s="25" t="s">
        <v>201</v>
      </c>
      <c r="E189" s="25" t="s">
        <v>202</v>
      </c>
      <c r="F189" s="25" t="s">
        <v>34</v>
      </c>
      <c r="G189" s="49">
        <v>50601</v>
      </c>
      <c r="H189" s="51">
        <v>146</v>
      </c>
      <c r="I189" s="52">
        <v>6</v>
      </c>
      <c r="J189" s="33">
        <v>70.5</v>
      </c>
      <c r="K189" s="33">
        <v>93</v>
      </c>
      <c r="L189" s="33">
        <v>81</v>
      </c>
      <c r="M189" s="33">
        <v>72</v>
      </c>
      <c r="N189" s="33">
        <v>66</v>
      </c>
      <c r="O189" s="33">
        <v>42</v>
      </c>
      <c r="P189" s="36"/>
      <c r="Q189" s="36"/>
      <c r="R189" s="36"/>
      <c r="S189" s="36"/>
      <c r="T189" s="62">
        <f t="shared" ref="T189:T199" si="11">AVERAGE(J189:S189)</f>
        <v>70.75</v>
      </c>
      <c r="U189" s="60"/>
    </row>
    <row r="190" spans="1:21" ht="15.75" customHeight="1">
      <c r="A190" s="47">
        <v>2</v>
      </c>
      <c r="B190" s="47">
        <v>6</v>
      </c>
      <c r="C190" s="47">
        <v>3</v>
      </c>
      <c r="D190" s="25" t="s">
        <v>201</v>
      </c>
      <c r="E190" s="25" t="s">
        <v>202</v>
      </c>
      <c r="F190" s="25" t="s">
        <v>25</v>
      </c>
      <c r="G190" s="49">
        <v>50525</v>
      </c>
      <c r="H190" s="51">
        <v>42</v>
      </c>
      <c r="I190" s="52">
        <v>2</v>
      </c>
      <c r="J190" s="33">
        <v>76</v>
      </c>
      <c r="K190" s="33">
        <v>75</v>
      </c>
      <c r="L190" s="36"/>
      <c r="M190" s="36"/>
      <c r="N190" s="36"/>
      <c r="O190" s="36"/>
      <c r="P190" s="36"/>
      <c r="Q190" s="36"/>
      <c r="R190" s="36"/>
      <c r="S190" s="36"/>
      <c r="T190" s="62">
        <f t="shared" si="11"/>
        <v>75.5</v>
      </c>
      <c r="U190" s="60"/>
    </row>
    <row r="191" spans="1:21" ht="15.75" customHeight="1">
      <c r="A191" s="47">
        <v>2</v>
      </c>
      <c r="B191" s="47">
        <v>6</v>
      </c>
      <c r="C191" s="47">
        <v>3</v>
      </c>
      <c r="D191" s="25" t="s">
        <v>199</v>
      </c>
      <c r="E191" s="25" t="s">
        <v>200</v>
      </c>
      <c r="F191" s="25" t="s">
        <v>34</v>
      </c>
      <c r="G191" s="49">
        <v>50603</v>
      </c>
      <c r="H191" s="51">
        <v>32</v>
      </c>
      <c r="I191" s="52">
        <v>2</v>
      </c>
      <c r="J191" s="33">
        <v>77</v>
      </c>
      <c r="K191" s="33">
        <v>52</v>
      </c>
      <c r="L191" s="36"/>
      <c r="M191" s="36"/>
      <c r="N191" s="36"/>
      <c r="O191" s="36"/>
      <c r="P191" s="36"/>
      <c r="Q191" s="36"/>
      <c r="R191" s="36"/>
      <c r="S191" s="36"/>
      <c r="T191" s="62">
        <f t="shared" si="11"/>
        <v>64.5</v>
      </c>
      <c r="U191" s="60"/>
    </row>
    <row r="192" spans="1:21" ht="15.75" customHeight="1">
      <c r="A192" s="47">
        <v>2</v>
      </c>
      <c r="B192" s="47">
        <v>6</v>
      </c>
      <c r="C192" s="47">
        <v>4</v>
      </c>
      <c r="D192" s="25" t="s">
        <v>203</v>
      </c>
      <c r="E192" s="25" t="s">
        <v>204</v>
      </c>
      <c r="F192" s="25" t="s">
        <v>68</v>
      </c>
      <c r="G192" s="49">
        <v>50835</v>
      </c>
      <c r="H192" s="51">
        <v>580</v>
      </c>
      <c r="I192" s="52">
        <v>10</v>
      </c>
      <c r="J192" s="33">
        <v>137.5</v>
      </c>
      <c r="K192" s="33">
        <v>162</v>
      </c>
      <c r="L192" s="33">
        <v>162</v>
      </c>
      <c r="M192" s="33">
        <v>88</v>
      </c>
      <c r="N192" s="33">
        <v>81</v>
      </c>
      <c r="O192" s="33">
        <v>130</v>
      </c>
      <c r="P192" s="33">
        <v>155</v>
      </c>
      <c r="Q192" s="33">
        <v>65.3</v>
      </c>
      <c r="R192" s="33">
        <v>171</v>
      </c>
      <c r="S192" s="33">
        <v>100.5</v>
      </c>
      <c r="T192" s="62">
        <f t="shared" si="11"/>
        <v>125.22999999999999</v>
      </c>
      <c r="U192" s="60"/>
    </row>
    <row r="193" spans="1:21" ht="15.75" customHeight="1">
      <c r="A193" s="47">
        <v>2</v>
      </c>
      <c r="B193" s="47">
        <v>6</v>
      </c>
      <c r="C193" s="47">
        <v>5</v>
      </c>
      <c r="D193" s="25" t="s">
        <v>203</v>
      </c>
      <c r="E193" s="25" t="s">
        <v>204</v>
      </c>
      <c r="F193" s="25" t="s">
        <v>68</v>
      </c>
      <c r="G193" s="49">
        <v>50835</v>
      </c>
      <c r="H193" s="51">
        <v>308</v>
      </c>
      <c r="I193" s="52">
        <v>8</v>
      </c>
      <c r="J193" s="33">
        <v>128</v>
      </c>
      <c r="K193" s="33">
        <v>136.30000000000001</v>
      </c>
      <c r="L193" s="33">
        <v>156.19999999999999</v>
      </c>
      <c r="M193" s="33">
        <v>116</v>
      </c>
      <c r="N193" s="33">
        <v>120</v>
      </c>
      <c r="O193" s="33">
        <v>141</v>
      </c>
      <c r="P193" s="33">
        <v>107</v>
      </c>
      <c r="Q193" s="33">
        <v>135.5</v>
      </c>
      <c r="R193" s="36"/>
      <c r="S193" s="36"/>
      <c r="T193" s="62">
        <f t="shared" si="11"/>
        <v>130</v>
      </c>
      <c r="U193" s="60"/>
    </row>
    <row r="194" spans="1:21" ht="15.75" customHeight="1">
      <c r="A194" s="47">
        <v>2</v>
      </c>
      <c r="B194" s="47">
        <v>6</v>
      </c>
      <c r="C194" s="47">
        <v>5</v>
      </c>
      <c r="D194" s="25" t="s">
        <v>167</v>
      </c>
      <c r="E194" s="25" t="s">
        <v>168</v>
      </c>
      <c r="F194" s="25" t="s">
        <v>25</v>
      </c>
      <c r="G194" s="49">
        <v>50744</v>
      </c>
      <c r="H194" s="51">
        <v>1</v>
      </c>
      <c r="I194" s="52">
        <v>1</v>
      </c>
      <c r="J194" s="33">
        <v>50</v>
      </c>
      <c r="K194" s="36"/>
      <c r="L194" s="36"/>
      <c r="M194" s="36"/>
      <c r="N194" s="36"/>
      <c r="O194" s="36"/>
      <c r="P194" s="36"/>
      <c r="Q194" s="36"/>
      <c r="R194" s="36"/>
      <c r="S194" s="36"/>
      <c r="T194" s="62">
        <f t="shared" si="11"/>
        <v>50</v>
      </c>
      <c r="U194" s="60"/>
    </row>
    <row r="195" spans="1:21" ht="15.75" customHeight="1">
      <c r="A195" s="47">
        <v>2</v>
      </c>
      <c r="B195" s="47">
        <v>7</v>
      </c>
      <c r="C195" s="47">
        <v>1</v>
      </c>
      <c r="D195" s="25" t="s">
        <v>177</v>
      </c>
      <c r="E195" s="25" t="s">
        <v>178</v>
      </c>
      <c r="F195" s="25" t="s">
        <v>68</v>
      </c>
      <c r="G195" s="49">
        <v>50852</v>
      </c>
      <c r="H195" s="51">
        <v>256</v>
      </c>
      <c r="I195" s="52">
        <v>8</v>
      </c>
      <c r="J195" s="33">
        <v>56.5</v>
      </c>
      <c r="K195" s="33">
        <v>62.5</v>
      </c>
      <c r="L195" s="33">
        <v>56</v>
      </c>
      <c r="M195" s="33">
        <v>62.2</v>
      </c>
      <c r="N195" s="33">
        <v>52</v>
      </c>
      <c r="O195" s="33">
        <v>50</v>
      </c>
      <c r="P195" s="33">
        <v>30.5</v>
      </c>
      <c r="Q195" s="33">
        <v>30</v>
      </c>
      <c r="R195" s="36"/>
      <c r="S195" s="36"/>
      <c r="T195" s="62">
        <f t="shared" si="11"/>
        <v>49.962499999999999</v>
      </c>
      <c r="U195" s="60"/>
    </row>
    <row r="196" spans="1:21" ht="15.75" customHeight="1">
      <c r="A196" s="33">
        <v>2</v>
      </c>
      <c r="B196" s="47">
        <v>7</v>
      </c>
      <c r="C196" s="47">
        <v>2</v>
      </c>
      <c r="D196" s="25" t="s">
        <v>205</v>
      </c>
      <c r="E196" s="25" t="s">
        <v>206</v>
      </c>
      <c r="F196" s="25" t="s">
        <v>34</v>
      </c>
      <c r="G196" s="49">
        <v>50853</v>
      </c>
      <c r="H196" s="51">
        <v>642</v>
      </c>
      <c r="I196" s="52">
        <v>10</v>
      </c>
      <c r="J196" s="33">
        <v>59</v>
      </c>
      <c r="K196" s="33">
        <v>63</v>
      </c>
      <c r="L196" s="33">
        <v>54</v>
      </c>
      <c r="M196" s="33">
        <v>53</v>
      </c>
      <c r="N196" s="33">
        <v>50.5</v>
      </c>
      <c r="O196" s="33">
        <v>49</v>
      </c>
      <c r="P196" s="33">
        <v>40</v>
      </c>
      <c r="Q196" s="33">
        <v>44</v>
      </c>
      <c r="R196" s="33">
        <v>26</v>
      </c>
      <c r="S196" s="33">
        <v>22.7</v>
      </c>
      <c r="T196" s="62">
        <f t="shared" si="11"/>
        <v>46.12</v>
      </c>
      <c r="U196" s="60"/>
    </row>
    <row r="197" spans="1:21" ht="15.75" customHeight="1">
      <c r="A197" s="47">
        <v>2</v>
      </c>
      <c r="B197" s="47">
        <v>7</v>
      </c>
      <c r="C197" s="47">
        <v>3</v>
      </c>
      <c r="D197" s="25" t="s">
        <v>208</v>
      </c>
      <c r="E197" s="25" t="s">
        <v>209</v>
      </c>
      <c r="F197" s="25" t="s">
        <v>68</v>
      </c>
      <c r="G197" s="49">
        <v>50635</v>
      </c>
      <c r="H197" s="51">
        <v>311</v>
      </c>
      <c r="I197" s="52">
        <v>10</v>
      </c>
      <c r="J197" s="33">
        <v>75</v>
      </c>
      <c r="K197" s="33">
        <v>61</v>
      </c>
      <c r="L197" s="33">
        <v>74</v>
      </c>
      <c r="M197" s="33">
        <v>26</v>
      </c>
      <c r="N197" s="33">
        <v>18.5</v>
      </c>
      <c r="O197" s="33">
        <v>80</v>
      </c>
      <c r="P197" s="33">
        <v>73</v>
      </c>
      <c r="Q197" s="33">
        <v>74</v>
      </c>
      <c r="R197" s="33">
        <v>56</v>
      </c>
      <c r="S197" s="33">
        <v>39</v>
      </c>
      <c r="T197" s="62">
        <f t="shared" si="11"/>
        <v>57.65</v>
      </c>
      <c r="U197" s="60"/>
    </row>
    <row r="198" spans="1:21" ht="15.75" customHeight="1">
      <c r="A198" s="47">
        <v>2</v>
      </c>
      <c r="B198" s="47">
        <v>7</v>
      </c>
      <c r="C198" s="47">
        <v>3</v>
      </c>
      <c r="D198" s="25" t="s">
        <v>81</v>
      </c>
      <c r="E198" s="25" t="s">
        <v>82</v>
      </c>
      <c r="F198" s="25" t="s">
        <v>34</v>
      </c>
      <c r="G198" s="49">
        <v>50555</v>
      </c>
      <c r="H198" s="51">
        <v>5</v>
      </c>
      <c r="I198" s="52">
        <v>1</v>
      </c>
      <c r="J198" s="33">
        <v>47.5</v>
      </c>
      <c r="K198" s="36"/>
      <c r="L198" s="36"/>
      <c r="M198" s="36"/>
      <c r="N198" s="36"/>
      <c r="O198" s="36"/>
      <c r="P198" s="36"/>
      <c r="Q198" s="36"/>
      <c r="R198" s="36"/>
      <c r="S198" s="36"/>
      <c r="T198" s="62">
        <f t="shared" si="11"/>
        <v>47.5</v>
      </c>
      <c r="U198" s="60"/>
    </row>
    <row r="199" spans="1:21" ht="15.75" customHeight="1">
      <c r="A199" s="47">
        <v>2</v>
      </c>
      <c r="B199" s="47">
        <v>7</v>
      </c>
      <c r="C199" s="47">
        <v>3</v>
      </c>
      <c r="D199" s="25" t="s">
        <v>208</v>
      </c>
      <c r="E199" s="25" t="s">
        <v>209</v>
      </c>
      <c r="F199" s="25" t="s">
        <v>34</v>
      </c>
      <c r="G199" s="49">
        <v>50617</v>
      </c>
      <c r="H199" s="51">
        <v>75</v>
      </c>
      <c r="I199" s="52">
        <v>1</v>
      </c>
      <c r="J199" s="33">
        <v>61</v>
      </c>
      <c r="K199" s="36"/>
      <c r="L199" s="36"/>
      <c r="M199" s="36"/>
      <c r="N199" s="36"/>
      <c r="O199" s="36"/>
      <c r="P199" s="36"/>
      <c r="Q199" s="36"/>
      <c r="R199" s="36"/>
      <c r="S199" s="36"/>
      <c r="T199" s="62">
        <f t="shared" si="11"/>
        <v>61</v>
      </c>
      <c r="U199" s="60"/>
    </row>
    <row r="200" spans="1:21" ht="15.75" customHeight="1">
      <c r="A200" s="71">
        <v>2</v>
      </c>
      <c r="B200" s="71">
        <v>7</v>
      </c>
      <c r="C200" s="71">
        <v>4</v>
      </c>
      <c r="D200" s="53" t="s">
        <v>210</v>
      </c>
      <c r="E200" s="53" t="s">
        <v>211</v>
      </c>
      <c r="F200" s="53" t="s">
        <v>34</v>
      </c>
      <c r="G200" s="73">
        <v>50578</v>
      </c>
      <c r="H200" s="74">
        <v>4</v>
      </c>
      <c r="I200" s="41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172"/>
      <c r="U200" s="79" t="s">
        <v>55</v>
      </c>
    </row>
    <row r="201" spans="1:21" ht="15.75" customHeight="1">
      <c r="A201" s="71">
        <v>2</v>
      </c>
      <c r="B201" s="71">
        <v>7</v>
      </c>
      <c r="C201" s="71">
        <v>4</v>
      </c>
      <c r="D201" s="178" t="s">
        <v>212</v>
      </c>
      <c r="E201" s="53" t="s">
        <v>213</v>
      </c>
      <c r="F201" s="53" t="s">
        <v>34</v>
      </c>
      <c r="G201" s="73">
        <v>50579</v>
      </c>
      <c r="H201" s="74">
        <v>1</v>
      </c>
      <c r="I201" s="41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172"/>
      <c r="U201" s="79" t="s">
        <v>55</v>
      </c>
    </row>
    <row r="202" spans="1:21" ht="15.75" customHeight="1">
      <c r="A202" s="47">
        <v>2</v>
      </c>
      <c r="B202" s="47">
        <v>7</v>
      </c>
      <c r="C202" s="47">
        <v>4</v>
      </c>
      <c r="D202" s="25" t="s">
        <v>214</v>
      </c>
      <c r="E202" s="25" t="s">
        <v>215</v>
      </c>
      <c r="F202" s="25" t="s">
        <v>34</v>
      </c>
      <c r="G202" s="49">
        <v>50580</v>
      </c>
      <c r="H202" s="51">
        <v>25</v>
      </c>
      <c r="I202" s="52">
        <v>1</v>
      </c>
      <c r="J202" s="33">
        <v>139.5</v>
      </c>
      <c r="K202" s="36"/>
      <c r="L202" s="36"/>
      <c r="M202" s="36"/>
      <c r="N202" s="36"/>
      <c r="O202" s="36"/>
      <c r="P202" s="36"/>
      <c r="Q202" s="36"/>
      <c r="R202" s="36"/>
      <c r="S202" s="36"/>
      <c r="T202" s="62">
        <f t="shared" ref="T202:T214" si="12">AVERAGE(J202:S202)</f>
        <v>139.5</v>
      </c>
      <c r="U202" s="60"/>
    </row>
    <row r="203" spans="1:21" ht="15.75" customHeight="1">
      <c r="A203" s="47">
        <v>2</v>
      </c>
      <c r="B203" s="47">
        <v>7</v>
      </c>
      <c r="C203" s="47">
        <v>4</v>
      </c>
      <c r="D203" s="25" t="s">
        <v>216</v>
      </c>
      <c r="E203" s="25" t="s">
        <v>217</v>
      </c>
      <c r="F203" s="25" t="s">
        <v>34</v>
      </c>
      <c r="G203" s="49">
        <v>50584</v>
      </c>
      <c r="H203" s="51">
        <v>92</v>
      </c>
      <c r="I203" s="52">
        <v>4</v>
      </c>
      <c r="J203" s="33">
        <v>71</v>
      </c>
      <c r="K203" s="33">
        <v>60</v>
      </c>
      <c r="L203" s="33">
        <v>57.5</v>
      </c>
      <c r="M203" s="33" t="s">
        <v>80</v>
      </c>
      <c r="N203" s="36"/>
      <c r="O203" s="36"/>
      <c r="P203" s="36"/>
      <c r="Q203" s="36"/>
      <c r="R203" s="36"/>
      <c r="S203" s="36"/>
      <c r="T203" s="62">
        <f t="shared" si="12"/>
        <v>62.833333333333336</v>
      </c>
      <c r="U203" s="60"/>
    </row>
    <row r="204" spans="1:21" ht="15.75" customHeight="1">
      <c r="A204" s="47">
        <v>2</v>
      </c>
      <c r="B204" s="47">
        <v>7</v>
      </c>
      <c r="C204" s="47">
        <v>4</v>
      </c>
      <c r="D204" s="25" t="s">
        <v>218</v>
      </c>
      <c r="E204" s="25" t="s">
        <v>219</v>
      </c>
      <c r="F204" s="25" t="s">
        <v>34</v>
      </c>
      <c r="G204" s="49">
        <v>50547</v>
      </c>
      <c r="H204" s="51">
        <v>73</v>
      </c>
      <c r="I204" s="52">
        <v>3</v>
      </c>
      <c r="J204" s="33">
        <v>84</v>
      </c>
      <c r="K204" s="33">
        <v>38.5</v>
      </c>
      <c r="L204" s="33">
        <v>70</v>
      </c>
      <c r="M204" s="36"/>
      <c r="N204" s="36"/>
      <c r="O204" s="36"/>
      <c r="P204" s="36"/>
      <c r="Q204" s="36"/>
      <c r="R204" s="36"/>
      <c r="S204" s="36"/>
      <c r="T204" s="62">
        <f t="shared" si="12"/>
        <v>64.166666666666671</v>
      </c>
      <c r="U204" s="60"/>
    </row>
    <row r="205" spans="1:21" ht="15.75" customHeight="1">
      <c r="A205" s="47">
        <v>2</v>
      </c>
      <c r="B205" s="47">
        <v>7</v>
      </c>
      <c r="C205" s="47">
        <v>4</v>
      </c>
      <c r="D205" s="25" t="s">
        <v>218</v>
      </c>
      <c r="E205" s="25" t="s">
        <v>219</v>
      </c>
      <c r="F205" s="25" t="s">
        <v>25</v>
      </c>
      <c r="G205" s="49">
        <v>50389</v>
      </c>
      <c r="H205" s="51">
        <v>14</v>
      </c>
      <c r="I205" s="52">
        <v>1</v>
      </c>
      <c r="J205" s="33">
        <v>182</v>
      </c>
      <c r="K205" s="36"/>
      <c r="L205" s="36"/>
      <c r="M205" s="36"/>
      <c r="N205" s="36"/>
      <c r="O205" s="36"/>
      <c r="P205" s="36"/>
      <c r="Q205" s="36"/>
      <c r="R205" s="36"/>
      <c r="S205" s="36"/>
      <c r="T205" s="62">
        <f t="shared" si="12"/>
        <v>182</v>
      </c>
      <c r="U205" s="60"/>
    </row>
    <row r="206" spans="1:21" ht="15.75" customHeight="1">
      <c r="A206" s="47">
        <v>2</v>
      </c>
      <c r="B206" s="47">
        <v>7</v>
      </c>
      <c r="C206" s="47">
        <v>4</v>
      </c>
      <c r="D206" s="25" t="s">
        <v>218</v>
      </c>
      <c r="E206" s="25" t="s">
        <v>219</v>
      </c>
      <c r="F206" s="25" t="s">
        <v>25</v>
      </c>
      <c r="G206" s="49">
        <v>50676</v>
      </c>
      <c r="H206" s="51">
        <v>3</v>
      </c>
      <c r="I206" s="52">
        <v>1</v>
      </c>
      <c r="J206" s="33">
        <v>233</v>
      </c>
      <c r="K206" s="36"/>
      <c r="L206" s="36"/>
      <c r="M206" s="36"/>
      <c r="N206" s="36"/>
      <c r="O206" s="36"/>
      <c r="P206" s="36"/>
      <c r="Q206" s="36"/>
      <c r="R206" s="36"/>
      <c r="S206" s="36"/>
      <c r="T206" s="62">
        <f t="shared" si="12"/>
        <v>233</v>
      </c>
      <c r="U206" s="60"/>
    </row>
    <row r="207" spans="1:21" ht="15.75" customHeight="1">
      <c r="A207" s="47">
        <v>2</v>
      </c>
      <c r="B207" s="47">
        <v>7</v>
      </c>
      <c r="C207" s="47">
        <v>5</v>
      </c>
      <c r="D207" s="25" t="s">
        <v>160</v>
      </c>
      <c r="E207" s="25" t="s">
        <v>161</v>
      </c>
      <c r="F207" s="25" t="s">
        <v>25</v>
      </c>
      <c r="G207" s="49">
        <v>50863</v>
      </c>
      <c r="H207" s="51">
        <v>168</v>
      </c>
      <c r="I207" s="52">
        <v>5</v>
      </c>
      <c r="J207" s="33">
        <v>60</v>
      </c>
      <c r="K207" s="33">
        <v>62.7</v>
      </c>
      <c r="L207" s="33">
        <v>98</v>
      </c>
      <c r="M207" s="33">
        <v>99</v>
      </c>
      <c r="N207" s="33">
        <v>77</v>
      </c>
      <c r="O207" s="36"/>
      <c r="P207" s="36"/>
      <c r="Q207" s="36"/>
      <c r="R207" s="36"/>
      <c r="S207" s="36"/>
      <c r="T207" s="62">
        <f t="shared" si="12"/>
        <v>79.34</v>
      </c>
      <c r="U207" s="60"/>
    </row>
    <row r="208" spans="1:21" ht="15.75" customHeight="1">
      <c r="A208" s="47">
        <v>2</v>
      </c>
      <c r="B208" s="47">
        <v>7</v>
      </c>
      <c r="C208" s="47">
        <v>5</v>
      </c>
      <c r="D208" s="25" t="s">
        <v>189</v>
      </c>
      <c r="E208" s="25" t="s">
        <v>190</v>
      </c>
      <c r="F208" s="25" t="s">
        <v>25</v>
      </c>
      <c r="G208" s="49">
        <v>50864</v>
      </c>
      <c r="H208" s="51">
        <v>279</v>
      </c>
      <c r="I208" s="52">
        <v>8</v>
      </c>
      <c r="J208" s="33">
        <v>89</v>
      </c>
      <c r="K208" s="33">
        <v>81</v>
      </c>
      <c r="L208" s="33">
        <v>95</v>
      </c>
      <c r="M208" s="33">
        <v>81.5</v>
      </c>
      <c r="N208" s="33">
        <v>111</v>
      </c>
      <c r="O208" s="33">
        <v>83</v>
      </c>
      <c r="P208" s="33">
        <v>73</v>
      </c>
      <c r="Q208" s="33">
        <v>95</v>
      </c>
      <c r="R208" s="36"/>
      <c r="S208" s="36"/>
      <c r="T208" s="62">
        <f t="shared" si="12"/>
        <v>88.5625</v>
      </c>
      <c r="U208" s="60"/>
    </row>
    <row r="209" spans="1:27" ht="15.75" customHeight="1">
      <c r="A209" s="47">
        <v>2</v>
      </c>
      <c r="B209" s="47">
        <v>7</v>
      </c>
      <c r="C209" s="47">
        <v>6</v>
      </c>
      <c r="D209" s="25" t="s">
        <v>100</v>
      </c>
      <c r="E209" s="25" t="s">
        <v>101</v>
      </c>
      <c r="F209" s="25" t="s">
        <v>31</v>
      </c>
      <c r="G209" s="49">
        <v>50692</v>
      </c>
      <c r="H209" s="51">
        <v>462</v>
      </c>
      <c r="I209" s="52">
        <v>10</v>
      </c>
      <c r="J209" s="33">
        <v>26</v>
      </c>
      <c r="K209" s="33">
        <v>32</v>
      </c>
      <c r="L209" s="33">
        <v>8</v>
      </c>
      <c r="M209" s="33">
        <v>12</v>
      </c>
      <c r="N209" s="33">
        <v>9.5</v>
      </c>
      <c r="O209" s="33">
        <v>7</v>
      </c>
      <c r="P209" s="33">
        <v>15</v>
      </c>
      <c r="Q209" s="33">
        <v>16</v>
      </c>
      <c r="R209" s="33">
        <v>6</v>
      </c>
      <c r="S209" s="33">
        <v>7</v>
      </c>
      <c r="T209" s="62">
        <f t="shared" si="12"/>
        <v>13.85</v>
      </c>
      <c r="U209" s="60"/>
    </row>
    <row r="210" spans="1:27" ht="15.75" customHeight="1">
      <c r="A210" s="47">
        <v>2</v>
      </c>
      <c r="B210" s="47">
        <v>7</v>
      </c>
      <c r="C210" s="47">
        <v>7</v>
      </c>
      <c r="D210" s="25" t="s">
        <v>58</v>
      </c>
      <c r="E210" s="25" t="s">
        <v>59</v>
      </c>
      <c r="F210" s="25" t="s">
        <v>25</v>
      </c>
      <c r="G210" s="49">
        <v>50868</v>
      </c>
      <c r="H210" s="51">
        <v>416</v>
      </c>
      <c r="I210" s="52">
        <v>10</v>
      </c>
      <c r="J210" s="33">
        <v>144</v>
      </c>
      <c r="K210" s="33">
        <v>105.5</v>
      </c>
      <c r="L210" s="33">
        <v>120</v>
      </c>
      <c r="M210" s="33">
        <v>69</v>
      </c>
      <c r="N210" s="33">
        <v>142.4</v>
      </c>
      <c r="O210" s="33">
        <v>73</v>
      </c>
      <c r="P210" s="33">
        <v>67.5</v>
      </c>
      <c r="Q210" s="33">
        <v>68</v>
      </c>
      <c r="R210" s="33">
        <v>57</v>
      </c>
      <c r="S210" s="33">
        <v>25.5</v>
      </c>
      <c r="T210" s="62">
        <f t="shared" si="12"/>
        <v>87.19</v>
      </c>
      <c r="U210" s="60"/>
    </row>
    <row r="211" spans="1:27" ht="15.75" customHeight="1">
      <c r="A211" s="153">
        <v>2</v>
      </c>
      <c r="B211" s="153">
        <v>7</v>
      </c>
      <c r="C211" s="153">
        <v>7</v>
      </c>
      <c r="D211" s="153" t="s">
        <v>97</v>
      </c>
      <c r="E211" s="153" t="s">
        <v>220</v>
      </c>
      <c r="F211" s="153" t="s">
        <v>25</v>
      </c>
      <c r="G211" s="161">
        <v>50869</v>
      </c>
      <c r="H211" s="179">
        <v>214</v>
      </c>
      <c r="I211" s="127">
        <v>4</v>
      </c>
      <c r="J211" s="153">
        <v>18.3</v>
      </c>
      <c r="K211" s="153">
        <v>13.5</v>
      </c>
      <c r="L211" s="153">
        <v>15.3</v>
      </c>
      <c r="M211" s="153">
        <v>8.5</v>
      </c>
      <c r="N211" s="180"/>
      <c r="O211" s="180"/>
      <c r="P211" s="180"/>
      <c r="Q211" s="180"/>
      <c r="R211" s="180"/>
      <c r="S211" s="180"/>
      <c r="T211" s="181">
        <f t="shared" si="12"/>
        <v>13.9</v>
      </c>
      <c r="U211" s="163" t="s">
        <v>221</v>
      </c>
      <c r="V211" s="170"/>
      <c r="W211" s="170"/>
      <c r="X211" s="170"/>
      <c r="Y211" s="170"/>
      <c r="Z211" s="170"/>
      <c r="AA211" s="170"/>
    </row>
    <row r="212" spans="1:27" ht="15.75" customHeight="1">
      <c r="A212" s="47">
        <v>2</v>
      </c>
      <c r="B212" s="47">
        <v>7</v>
      </c>
      <c r="C212" s="47">
        <v>9</v>
      </c>
      <c r="D212" s="25" t="s">
        <v>222</v>
      </c>
      <c r="E212" s="25" t="s">
        <v>223</v>
      </c>
      <c r="F212" s="25" t="s">
        <v>25</v>
      </c>
      <c r="G212" s="49">
        <v>50870</v>
      </c>
      <c r="H212" s="51">
        <v>93</v>
      </c>
      <c r="I212" s="52">
        <v>4</v>
      </c>
      <c r="J212" s="33">
        <v>38.5</v>
      </c>
      <c r="K212" s="33">
        <v>47</v>
      </c>
      <c r="L212" s="33">
        <v>14</v>
      </c>
      <c r="M212" s="33">
        <v>25.5</v>
      </c>
      <c r="N212" s="36"/>
      <c r="O212" s="36"/>
      <c r="P212" s="36"/>
      <c r="Q212" s="36"/>
      <c r="R212" s="36"/>
      <c r="S212" s="36"/>
      <c r="T212" s="62">
        <f t="shared" si="12"/>
        <v>31.25</v>
      </c>
      <c r="U212" s="60"/>
    </row>
    <row r="213" spans="1:27" ht="15.75" customHeight="1">
      <c r="A213" s="47">
        <v>2</v>
      </c>
      <c r="B213" s="47">
        <v>7</v>
      </c>
      <c r="C213" s="47">
        <v>9</v>
      </c>
      <c r="D213" s="25" t="s">
        <v>138</v>
      </c>
      <c r="E213" s="25" t="s">
        <v>139</v>
      </c>
      <c r="F213" s="25" t="s">
        <v>25</v>
      </c>
      <c r="G213" s="49">
        <v>50871</v>
      </c>
      <c r="H213" s="51">
        <v>433</v>
      </c>
      <c r="I213" s="52">
        <v>10</v>
      </c>
      <c r="J213" s="33">
        <v>110</v>
      </c>
      <c r="K213" s="33">
        <v>78</v>
      </c>
      <c r="L213" s="33">
        <v>39.200000000000003</v>
      </c>
      <c r="M213" s="33">
        <v>60.5</v>
      </c>
      <c r="N213" s="33">
        <v>80</v>
      </c>
      <c r="O213" s="33">
        <v>48</v>
      </c>
      <c r="P213" s="33">
        <v>53</v>
      </c>
      <c r="Q213" s="33">
        <v>19</v>
      </c>
      <c r="R213" s="33">
        <v>53</v>
      </c>
      <c r="S213" s="33">
        <v>42.5</v>
      </c>
      <c r="T213" s="62">
        <f t="shared" si="12"/>
        <v>58.320000000000007</v>
      </c>
      <c r="U213" s="60"/>
    </row>
    <row r="214" spans="1:27" ht="15.75" customHeight="1">
      <c r="A214" s="153">
        <v>2</v>
      </c>
      <c r="B214" s="153">
        <v>7</v>
      </c>
      <c r="C214" s="153">
        <v>11</v>
      </c>
      <c r="D214" s="153" t="s">
        <v>224</v>
      </c>
      <c r="E214" s="153" t="s">
        <v>225</v>
      </c>
      <c r="F214" s="153" t="s">
        <v>25</v>
      </c>
      <c r="G214" s="161">
        <v>50872</v>
      </c>
      <c r="H214" s="179">
        <v>200</v>
      </c>
      <c r="I214" s="127">
        <v>1</v>
      </c>
      <c r="J214" s="153">
        <v>49</v>
      </c>
      <c r="K214" s="180"/>
      <c r="L214" s="160"/>
      <c r="M214" s="160"/>
      <c r="N214" s="160"/>
      <c r="O214" s="160"/>
      <c r="P214" s="160"/>
      <c r="Q214" s="160"/>
      <c r="R214" s="160"/>
      <c r="S214" s="160"/>
      <c r="T214" s="181">
        <f t="shared" si="12"/>
        <v>49</v>
      </c>
      <c r="U214" s="163" t="s">
        <v>221</v>
      </c>
      <c r="V214" s="170"/>
      <c r="W214" s="170"/>
      <c r="X214" s="170"/>
      <c r="Y214" s="170"/>
      <c r="Z214" s="170"/>
      <c r="AA214" s="170"/>
    </row>
    <row r="215" spans="1:27" ht="15.75" customHeight="1">
      <c r="A215" s="71">
        <v>2</v>
      </c>
      <c r="B215" s="71">
        <v>7</v>
      </c>
      <c r="C215" s="71">
        <v>11</v>
      </c>
      <c r="D215" s="53" t="s">
        <v>212</v>
      </c>
      <c r="E215" s="53" t="s">
        <v>213</v>
      </c>
      <c r="F215" s="53" t="s">
        <v>25</v>
      </c>
      <c r="G215" s="73">
        <v>50873</v>
      </c>
      <c r="H215" s="74">
        <v>186</v>
      </c>
      <c r="I215" s="41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172"/>
      <c r="U215" s="79" t="s">
        <v>55</v>
      </c>
    </row>
    <row r="216" spans="1:27" ht="15.75" customHeight="1">
      <c r="A216" s="47">
        <v>2</v>
      </c>
      <c r="B216" s="47">
        <v>7</v>
      </c>
      <c r="C216" s="47">
        <v>11</v>
      </c>
      <c r="D216" s="25" t="s">
        <v>74</v>
      </c>
      <c r="E216" s="25" t="s">
        <v>75</v>
      </c>
      <c r="F216" s="25" t="s">
        <v>25</v>
      </c>
      <c r="G216" s="49">
        <v>50885</v>
      </c>
      <c r="H216" s="51">
        <v>222</v>
      </c>
      <c r="I216" s="52">
        <v>10</v>
      </c>
      <c r="J216" s="33">
        <v>33</v>
      </c>
      <c r="K216" s="33">
        <v>15</v>
      </c>
      <c r="L216" s="33">
        <v>24.5</v>
      </c>
      <c r="M216" s="33">
        <v>17.2</v>
      </c>
      <c r="N216" s="33">
        <v>37</v>
      </c>
      <c r="O216" s="33">
        <v>26</v>
      </c>
      <c r="P216" s="33">
        <v>14</v>
      </c>
      <c r="Q216" s="33">
        <v>9.5</v>
      </c>
      <c r="R216" s="33">
        <v>16.5</v>
      </c>
      <c r="S216" s="33">
        <v>8</v>
      </c>
      <c r="T216" s="62">
        <f t="shared" ref="T216:T222" si="13">AVERAGE(J216:S216)</f>
        <v>20.07</v>
      </c>
      <c r="U216" s="60"/>
    </row>
    <row r="217" spans="1:27" ht="15.75" customHeight="1">
      <c r="A217" s="47">
        <v>2</v>
      </c>
      <c r="B217" s="47">
        <v>7</v>
      </c>
      <c r="C217" s="47">
        <v>12</v>
      </c>
      <c r="D217" s="25" t="s">
        <v>226</v>
      </c>
      <c r="E217" s="25" t="s">
        <v>227</v>
      </c>
      <c r="F217" s="25" t="s">
        <v>34</v>
      </c>
      <c r="G217" s="49">
        <v>50662</v>
      </c>
      <c r="H217" s="51">
        <v>31</v>
      </c>
      <c r="I217" s="52">
        <v>1</v>
      </c>
      <c r="J217" s="33">
        <v>60</v>
      </c>
      <c r="K217" s="36"/>
      <c r="L217" s="36"/>
      <c r="M217" s="36"/>
      <c r="N217" s="36"/>
      <c r="O217" s="36"/>
      <c r="P217" s="36"/>
      <c r="Q217" s="36"/>
      <c r="R217" s="36"/>
      <c r="S217" s="36"/>
      <c r="T217" s="62">
        <f t="shared" si="13"/>
        <v>60</v>
      </c>
      <c r="U217" s="60"/>
    </row>
    <row r="218" spans="1:27" ht="15.75" customHeight="1">
      <c r="A218" s="47">
        <v>2</v>
      </c>
      <c r="B218" s="47">
        <v>7</v>
      </c>
      <c r="C218" s="47">
        <v>12</v>
      </c>
      <c r="D218" s="25" t="s">
        <v>212</v>
      </c>
      <c r="E218" s="25" t="s">
        <v>213</v>
      </c>
      <c r="F218" s="25" t="s">
        <v>48</v>
      </c>
      <c r="G218" s="49">
        <v>10995</v>
      </c>
      <c r="H218" s="51">
        <v>170</v>
      </c>
      <c r="I218" s="52">
        <v>6</v>
      </c>
      <c r="J218" s="33">
        <v>113</v>
      </c>
      <c r="K218" s="33">
        <v>70</v>
      </c>
      <c r="L218" s="33">
        <v>30</v>
      </c>
      <c r="M218" s="33">
        <v>31</v>
      </c>
      <c r="N218" s="33">
        <v>39</v>
      </c>
      <c r="O218" s="33">
        <v>69</v>
      </c>
      <c r="P218" s="36"/>
      <c r="Q218" s="36"/>
      <c r="R218" s="36"/>
      <c r="S218" s="36"/>
      <c r="T218" s="62">
        <f t="shared" si="13"/>
        <v>58.666666666666664</v>
      </c>
      <c r="U218" s="60"/>
    </row>
    <row r="219" spans="1:27" ht="15.75" customHeight="1">
      <c r="A219" s="47">
        <v>2</v>
      </c>
      <c r="B219" s="47">
        <v>7</v>
      </c>
      <c r="C219" s="47">
        <v>13</v>
      </c>
      <c r="D219" s="25" t="s">
        <v>66</v>
      </c>
      <c r="E219" s="25" t="s">
        <v>67</v>
      </c>
      <c r="F219" s="25" t="s">
        <v>31</v>
      </c>
      <c r="G219" s="49">
        <v>50323</v>
      </c>
      <c r="H219" s="51">
        <v>143</v>
      </c>
      <c r="I219" s="52">
        <v>6</v>
      </c>
      <c r="J219" s="33">
        <v>21</v>
      </c>
      <c r="K219" s="33">
        <v>17</v>
      </c>
      <c r="L219" s="33">
        <v>22</v>
      </c>
      <c r="M219" s="33">
        <v>37</v>
      </c>
      <c r="N219" s="33">
        <v>38</v>
      </c>
      <c r="O219" s="33">
        <v>29</v>
      </c>
      <c r="P219" s="36"/>
      <c r="Q219" s="36"/>
      <c r="R219" s="36"/>
      <c r="S219" s="36"/>
      <c r="T219" s="62">
        <f t="shared" si="13"/>
        <v>27.333333333333332</v>
      </c>
      <c r="U219" s="60"/>
    </row>
    <row r="220" spans="1:27" ht="15.75" customHeight="1">
      <c r="A220" s="47">
        <v>2</v>
      </c>
      <c r="B220" s="47">
        <v>7</v>
      </c>
      <c r="C220" s="47">
        <v>13</v>
      </c>
      <c r="D220" s="25" t="s">
        <v>66</v>
      </c>
      <c r="E220" s="25" t="s">
        <v>67</v>
      </c>
      <c r="F220" s="25" t="s">
        <v>31</v>
      </c>
      <c r="G220" s="49">
        <v>50726</v>
      </c>
      <c r="H220" s="51">
        <v>166</v>
      </c>
      <c r="I220" s="52">
        <v>8</v>
      </c>
      <c r="J220" s="33">
        <v>37</v>
      </c>
      <c r="K220" s="33">
        <v>26</v>
      </c>
      <c r="L220" s="33">
        <v>50</v>
      </c>
      <c r="M220" s="33">
        <v>27</v>
      </c>
      <c r="N220" s="33">
        <v>16.5</v>
      </c>
      <c r="O220" s="33">
        <v>10.5</v>
      </c>
      <c r="P220" s="33">
        <v>15.5</v>
      </c>
      <c r="Q220" s="33">
        <v>46</v>
      </c>
      <c r="R220" s="36"/>
      <c r="S220" s="36"/>
      <c r="T220" s="62">
        <f t="shared" si="13"/>
        <v>28.5625</v>
      </c>
      <c r="U220" s="60"/>
    </row>
    <row r="221" spans="1:27" ht="15.75" customHeight="1">
      <c r="A221" s="47">
        <v>2</v>
      </c>
      <c r="B221" s="47">
        <v>7</v>
      </c>
      <c r="C221" s="47">
        <v>13</v>
      </c>
      <c r="D221" s="25" t="s">
        <v>66</v>
      </c>
      <c r="E221" s="25" t="s">
        <v>67</v>
      </c>
      <c r="F221" s="25" t="s">
        <v>34</v>
      </c>
      <c r="G221" s="49">
        <v>50087</v>
      </c>
      <c r="H221" s="51">
        <v>132</v>
      </c>
      <c r="I221" s="52">
        <v>8</v>
      </c>
      <c r="J221" s="33">
        <v>40</v>
      </c>
      <c r="K221" s="33">
        <v>46.3</v>
      </c>
      <c r="L221" s="33">
        <v>20</v>
      </c>
      <c r="M221" s="33">
        <v>24</v>
      </c>
      <c r="N221" s="33">
        <v>38.200000000000003</v>
      </c>
      <c r="O221" s="33">
        <v>46</v>
      </c>
      <c r="P221" s="33">
        <v>52.1</v>
      </c>
      <c r="Q221" s="33">
        <v>47</v>
      </c>
      <c r="R221" s="36"/>
      <c r="S221" s="36"/>
      <c r="T221" s="62">
        <f t="shared" si="13"/>
        <v>39.200000000000003</v>
      </c>
      <c r="U221" s="60"/>
    </row>
    <row r="222" spans="1:27" ht="15.75" customHeight="1">
      <c r="A222" s="47">
        <v>2</v>
      </c>
      <c r="B222" s="47">
        <v>7</v>
      </c>
      <c r="C222" s="47">
        <v>13</v>
      </c>
      <c r="D222" s="25" t="s">
        <v>66</v>
      </c>
      <c r="E222" s="25" t="s">
        <v>67</v>
      </c>
      <c r="F222" s="25" t="s">
        <v>31</v>
      </c>
      <c r="G222" s="49">
        <v>50724</v>
      </c>
      <c r="H222" s="51">
        <v>224</v>
      </c>
      <c r="I222" s="52">
        <v>10</v>
      </c>
      <c r="J222" s="33">
        <v>21</v>
      </c>
      <c r="K222" s="33">
        <v>24</v>
      </c>
      <c r="L222" s="33">
        <v>24.5</v>
      </c>
      <c r="M222" s="33">
        <v>42</v>
      </c>
      <c r="N222" s="33">
        <v>46</v>
      </c>
      <c r="O222" s="33">
        <v>48</v>
      </c>
      <c r="P222" s="33">
        <v>53.5</v>
      </c>
      <c r="Q222" s="33">
        <v>71</v>
      </c>
      <c r="R222" s="33">
        <v>19.5</v>
      </c>
      <c r="S222" s="33">
        <v>20.3</v>
      </c>
      <c r="T222" s="62">
        <f t="shared" si="13"/>
        <v>36.980000000000004</v>
      </c>
      <c r="U222" s="60"/>
    </row>
    <row r="223" spans="1:27" ht="15.75" customHeight="1">
      <c r="A223" s="71">
        <v>2</v>
      </c>
      <c r="B223" s="71">
        <v>7</v>
      </c>
      <c r="C223" s="71">
        <v>14</v>
      </c>
      <c r="D223" s="53" t="s">
        <v>228</v>
      </c>
      <c r="E223" s="53" t="s">
        <v>229</v>
      </c>
      <c r="F223" s="53" t="s">
        <v>25</v>
      </c>
      <c r="G223" s="73">
        <v>50855</v>
      </c>
      <c r="H223" s="74">
        <v>26</v>
      </c>
      <c r="I223" s="41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172"/>
      <c r="U223" s="79" t="s">
        <v>55</v>
      </c>
    </row>
    <row r="224" spans="1:27" ht="15.75" customHeight="1">
      <c r="A224" s="47">
        <v>2</v>
      </c>
      <c r="B224" s="47">
        <v>7</v>
      </c>
      <c r="C224" s="47">
        <v>16</v>
      </c>
      <c r="D224" s="25" t="s">
        <v>138</v>
      </c>
      <c r="E224" s="25" t="s">
        <v>139</v>
      </c>
      <c r="F224" s="25" t="s">
        <v>25</v>
      </c>
      <c r="G224" s="49">
        <v>50879</v>
      </c>
      <c r="H224" s="51">
        <v>477</v>
      </c>
      <c r="I224" s="52">
        <v>10</v>
      </c>
      <c r="J224" s="33">
        <v>13</v>
      </c>
      <c r="K224" s="33">
        <v>20</v>
      </c>
      <c r="L224" s="33">
        <v>22.5</v>
      </c>
      <c r="M224" s="33">
        <v>23</v>
      </c>
      <c r="N224" s="33">
        <v>27.5</v>
      </c>
      <c r="O224" s="33">
        <v>46.5</v>
      </c>
      <c r="P224" s="33">
        <v>35</v>
      </c>
      <c r="Q224" s="33">
        <v>97</v>
      </c>
      <c r="R224" s="33">
        <v>66.5</v>
      </c>
      <c r="S224" s="33">
        <v>46</v>
      </c>
      <c r="T224" s="62">
        <f t="shared" ref="T224:T240" si="14">AVERAGE(J224:S224)</f>
        <v>39.700000000000003</v>
      </c>
      <c r="U224" s="60"/>
    </row>
    <row r="225" spans="1:21" ht="15.75" customHeight="1">
      <c r="A225" s="47">
        <v>2</v>
      </c>
      <c r="B225" s="47">
        <v>7</v>
      </c>
      <c r="C225" s="47">
        <v>16</v>
      </c>
      <c r="D225" s="25" t="s">
        <v>122</v>
      </c>
      <c r="E225" s="25" t="s">
        <v>123</v>
      </c>
      <c r="F225" s="25" t="s">
        <v>25</v>
      </c>
      <c r="G225" s="49">
        <v>50888</v>
      </c>
      <c r="H225" s="51">
        <v>135</v>
      </c>
      <c r="I225" s="52">
        <v>6</v>
      </c>
      <c r="J225" s="33">
        <v>16</v>
      </c>
      <c r="K225" s="33">
        <v>15.5</v>
      </c>
      <c r="L225" s="33">
        <v>11.5</v>
      </c>
      <c r="M225" s="33">
        <v>21</v>
      </c>
      <c r="N225" s="33">
        <v>19</v>
      </c>
      <c r="O225" s="33">
        <v>17.5</v>
      </c>
      <c r="P225" s="36"/>
      <c r="Q225" s="36"/>
      <c r="R225" s="36"/>
      <c r="S225" s="36"/>
      <c r="T225" s="62">
        <f t="shared" si="14"/>
        <v>16.75</v>
      </c>
      <c r="U225" s="60"/>
    </row>
    <row r="226" spans="1:21" ht="15.75" customHeight="1">
      <c r="A226" s="47">
        <v>2</v>
      </c>
      <c r="B226" s="47">
        <v>7</v>
      </c>
      <c r="C226" s="47">
        <v>17</v>
      </c>
      <c r="D226" s="25" t="s">
        <v>66</v>
      </c>
      <c r="E226" s="25" t="s">
        <v>67</v>
      </c>
      <c r="F226" s="25" t="s">
        <v>34</v>
      </c>
      <c r="G226" s="49">
        <v>50459</v>
      </c>
      <c r="H226" s="51">
        <v>126</v>
      </c>
      <c r="I226" s="52">
        <v>6</v>
      </c>
      <c r="J226" s="33">
        <v>46</v>
      </c>
      <c r="K226" s="33">
        <v>32</v>
      </c>
      <c r="L226" s="33">
        <v>44</v>
      </c>
      <c r="M226" s="33">
        <v>37</v>
      </c>
      <c r="N226" s="33">
        <v>50.5</v>
      </c>
      <c r="O226" s="33">
        <v>61.2</v>
      </c>
      <c r="P226" s="36"/>
      <c r="Q226" s="36"/>
      <c r="R226" s="36"/>
      <c r="S226" s="36"/>
      <c r="T226" s="62">
        <f t="shared" si="14"/>
        <v>45.116666666666667</v>
      </c>
      <c r="U226" s="60"/>
    </row>
    <row r="227" spans="1:21" ht="15.75" customHeight="1">
      <c r="A227" s="47">
        <v>2</v>
      </c>
      <c r="B227" s="47">
        <v>7</v>
      </c>
      <c r="C227" s="47">
        <v>17</v>
      </c>
      <c r="D227" s="25" t="s">
        <v>66</v>
      </c>
      <c r="E227" s="25" t="s">
        <v>67</v>
      </c>
      <c r="F227" s="25" t="s">
        <v>34</v>
      </c>
      <c r="G227" s="49">
        <v>50602</v>
      </c>
      <c r="H227" s="51">
        <v>42</v>
      </c>
      <c r="I227" s="52">
        <v>2</v>
      </c>
      <c r="J227" s="33">
        <v>47</v>
      </c>
      <c r="K227" s="33">
        <v>13</v>
      </c>
      <c r="L227" s="36"/>
      <c r="M227" s="36"/>
      <c r="N227" s="36"/>
      <c r="O227" s="36"/>
      <c r="P227" s="36"/>
      <c r="Q227" s="36"/>
      <c r="R227" s="36"/>
      <c r="S227" s="36"/>
      <c r="T227" s="62">
        <f t="shared" si="14"/>
        <v>30</v>
      </c>
      <c r="U227" s="60"/>
    </row>
    <row r="228" spans="1:21" ht="15.75" customHeight="1">
      <c r="A228" s="47">
        <v>2</v>
      </c>
      <c r="B228" s="47">
        <v>7</v>
      </c>
      <c r="C228" s="47">
        <v>18</v>
      </c>
      <c r="D228" s="25" t="s">
        <v>230</v>
      </c>
      <c r="E228" s="25" t="s">
        <v>231</v>
      </c>
      <c r="F228" s="25" t="s">
        <v>48</v>
      </c>
      <c r="G228" s="49">
        <v>50206</v>
      </c>
      <c r="H228" s="51">
        <v>73</v>
      </c>
      <c r="I228" s="52">
        <v>4</v>
      </c>
      <c r="J228" s="33">
        <v>66</v>
      </c>
      <c r="K228" s="33">
        <v>93</v>
      </c>
      <c r="L228" s="33">
        <v>57</v>
      </c>
      <c r="M228" s="33">
        <v>52</v>
      </c>
      <c r="N228" s="36"/>
      <c r="O228" s="36"/>
      <c r="P228" s="36"/>
      <c r="Q228" s="36"/>
      <c r="R228" s="36"/>
      <c r="S228" s="36"/>
      <c r="T228" s="62">
        <f t="shared" si="14"/>
        <v>67</v>
      </c>
      <c r="U228" s="60"/>
    </row>
    <row r="229" spans="1:21" ht="15.75" customHeight="1">
      <c r="A229" s="47">
        <v>2</v>
      </c>
      <c r="B229" s="47">
        <v>7</v>
      </c>
      <c r="C229" s="47">
        <v>18</v>
      </c>
      <c r="D229" s="25" t="s">
        <v>232</v>
      </c>
      <c r="E229" s="114"/>
      <c r="F229" s="25" t="s">
        <v>68</v>
      </c>
      <c r="G229" s="49">
        <v>50779</v>
      </c>
      <c r="H229" s="51">
        <v>91</v>
      </c>
      <c r="I229" s="52">
        <v>4</v>
      </c>
      <c r="J229" s="33">
        <v>38.700000000000003</v>
      </c>
      <c r="K229" s="33">
        <v>40.9</v>
      </c>
      <c r="L229" s="33">
        <v>40</v>
      </c>
      <c r="M229" s="33">
        <v>41</v>
      </c>
      <c r="N229" s="36"/>
      <c r="O229" s="36"/>
      <c r="P229" s="36"/>
      <c r="Q229" s="36"/>
      <c r="R229" s="36"/>
      <c r="S229" s="36"/>
      <c r="T229" s="62">
        <f t="shared" si="14"/>
        <v>40.15</v>
      </c>
      <c r="U229" s="60"/>
    </row>
    <row r="230" spans="1:21" ht="15.75" customHeight="1">
      <c r="A230" s="47">
        <v>2</v>
      </c>
      <c r="B230" s="47">
        <v>8</v>
      </c>
      <c r="C230" s="47">
        <v>2</v>
      </c>
      <c r="D230" s="25" t="s">
        <v>233</v>
      </c>
      <c r="E230" s="25" t="s">
        <v>234</v>
      </c>
      <c r="F230" s="25" t="s">
        <v>48</v>
      </c>
      <c r="G230" s="49">
        <v>50778</v>
      </c>
      <c r="H230" s="51">
        <v>118</v>
      </c>
      <c r="I230" s="52">
        <v>2</v>
      </c>
      <c r="J230" s="33">
        <v>38.5</v>
      </c>
      <c r="K230" s="33">
        <v>69</v>
      </c>
      <c r="L230" s="36"/>
      <c r="M230" s="36"/>
      <c r="N230" s="36"/>
      <c r="O230" s="36"/>
      <c r="P230" s="36"/>
      <c r="Q230" s="36"/>
      <c r="R230" s="36"/>
      <c r="S230" s="36"/>
      <c r="T230" s="62">
        <f t="shared" si="14"/>
        <v>53.75</v>
      </c>
      <c r="U230" s="60"/>
    </row>
    <row r="231" spans="1:21" ht="15.75" customHeight="1">
      <c r="A231" s="47">
        <v>2</v>
      </c>
      <c r="B231" s="47">
        <v>8</v>
      </c>
      <c r="C231" s="47">
        <v>2</v>
      </c>
      <c r="D231" s="25" t="s">
        <v>233</v>
      </c>
      <c r="E231" s="25" t="s">
        <v>234</v>
      </c>
      <c r="F231" s="25" t="s">
        <v>34</v>
      </c>
      <c r="G231" s="49">
        <v>50587</v>
      </c>
      <c r="H231" s="51">
        <v>47</v>
      </c>
      <c r="I231" s="52">
        <v>2</v>
      </c>
      <c r="J231" s="33">
        <v>77</v>
      </c>
      <c r="K231" s="33">
        <v>31</v>
      </c>
      <c r="L231" s="36"/>
      <c r="M231" s="36"/>
      <c r="N231" s="36"/>
      <c r="O231" s="36"/>
      <c r="P231" s="36"/>
      <c r="Q231" s="36"/>
      <c r="R231" s="36"/>
      <c r="S231" s="36"/>
      <c r="T231" s="62">
        <f t="shared" si="14"/>
        <v>54</v>
      </c>
      <c r="U231" s="60"/>
    </row>
    <row r="232" spans="1:21" ht="15.75" customHeight="1">
      <c r="A232" s="47">
        <v>2</v>
      </c>
      <c r="B232" s="47">
        <v>8</v>
      </c>
      <c r="C232" s="47">
        <v>3</v>
      </c>
      <c r="D232" s="25" t="s">
        <v>134</v>
      </c>
      <c r="E232" s="25" t="s">
        <v>135</v>
      </c>
      <c r="F232" s="25" t="s">
        <v>25</v>
      </c>
      <c r="G232" s="49">
        <v>50268</v>
      </c>
      <c r="H232" s="51">
        <v>210</v>
      </c>
      <c r="I232" s="52">
        <v>8</v>
      </c>
      <c r="J232" s="33">
        <v>15</v>
      </c>
      <c r="K232" s="33">
        <v>21</v>
      </c>
      <c r="L232" s="33">
        <v>34</v>
      </c>
      <c r="M232" s="33">
        <v>29</v>
      </c>
      <c r="N232" s="33">
        <v>47</v>
      </c>
      <c r="O232" s="33">
        <v>36.5</v>
      </c>
      <c r="P232" s="33">
        <v>49</v>
      </c>
      <c r="Q232" s="33">
        <v>29</v>
      </c>
      <c r="R232" s="36"/>
      <c r="S232" s="36"/>
      <c r="T232" s="62">
        <f t="shared" si="14"/>
        <v>32.5625</v>
      </c>
      <c r="U232" s="60"/>
    </row>
    <row r="233" spans="1:21" ht="15.75" customHeight="1">
      <c r="A233" s="47">
        <v>2</v>
      </c>
      <c r="B233" s="47">
        <v>8</v>
      </c>
      <c r="C233" s="47">
        <v>4</v>
      </c>
      <c r="D233" s="25" t="s">
        <v>132</v>
      </c>
      <c r="E233" s="25" t="s">
        <v>133</v>
      </c>
      <c r="F233" s="25" t="s">
        <v>68</v>
      </c>
      <c r="G233" s="49">
        <v>50454</v>
      </c>
      <c r="H233" s="51">
        <v>273</v>
      </c>
      <c r="I233" s="52">
        <v>6</v>
      </c>
      <c r="J233" s="33">
        <v>11</v>
      </c>
      <c r="K233" s="33">
        <v>10.5</v>
      </c>
      <c r="L233" s="33">
        <v>15</v>
      </c>
      <c r="M233" s="33">
        <v>17</v>
      </c>
      <c r="N233" s="33">
        <v>17.5</v>
      </c>
      <c r="O233" s="33">
        <v>13</v>
      </c>
      <c r="P233" s="36"/>
      <c r="Q233" s="36"/>
      <c r="R233" s="36"/>
      <c r="S233" s="36"/>
      <c r="T233" s="62">
        <f t="shared" si="14"/>
        <v>14</v>
      </c>
      <c r="U233" s="60"/>
    </row>
    <row r="234" spans="1:21" ht="15.75" customHeight="1">
      <c r="A234" s="47">
        <v>2</v>
      </c>
      <c r="B234" s="47">
        <v>8</v>
      </c>
      <c r="C234" s="47">
        <v>4</v>
      </c>
      <c r="D234" s="25" t="s">
        <v>132</v>
      </c>
      <c r="E234" s="25" t="s">
        <v>133</v>
      </c>
      <c r="F234" s="25" t="s">
        <v>34</v>
      </c>
      <c r="G234" s="49">
        <v>50570</v>
      </c>
      <c r="H234" s="51">
        <v>226</v>
      </c>
      <c r="I234" s="52">
        <v>8</v>
      </c>
      <c r="J234" s="33">
        <v>8</v>
      </c>
      <c r="K234" s="33">
        <v>8.8000000000000007</v>
      </c>
      <c r="L234" s="33">
        <v>2.5</v>
      </c>
      <c r="M234" s="33">
        <v>10</v>
      </c>
      <c r="N234" s="33">
        <v>6.5</v>
      </c>
      <c r="O234" s="33">
        <v>8</v>
      </c>
      <c r="P234" s="33">
        <v>4.5</v>
      </c>
      <c r="Q234" s="33">
        <v>12</v>
      </c>
      <c r="R234" s="36"/>
      <c r="S234" s="36"/>
      <c r="T234" s="62">
        <f t="shared" si="14"/>
        <v>7.5374999999999996</v>
      </c>
      <c r="U234" s="60"/>
    </row>
    <row r="235" spans="1:21" ht="15.75" customHeight="1">
      <c r="A235" s="47">
        <v>2</v>
      </c>
      <c r="B235" s="47">
        <v>8</v>
      </c>
      <c r="C235" s="47">
        <v>5</v>
      </c>
      <c r="D235" s="25" t="s">
        <v>142</v>
      </c>
      <c r="E235" s="25" t="s">
        <v>143</v>
      </c>
      <c r="F235" s="25" t="s">
        <v>31</v>
      </c>
      <c r="G235" s="49">
        <v>50824</v>
      </c>
      <c r="H235" s="51">
        <v>67</v>
      </c>
      <c r="I235" s="52">
        <v>1</v>
      </c>
      <c r="J235" s="33">
        <v>61</v>
      </c>
      <c r="K235" s="36"/>
      <c r="L235" s="36"/>
      <c r="M235" s="36"/>
      <c r="N235" s="36"/>
      <c r="O235" s="36"/>
      <c r="P235" s="36"/>
      <c r="Q235" s="36"/>
      <c r="R235" s="36"/>
      <c r="S235" s="36"/>
      <c r="T235" s="62">
        <f t="shared" si="14"/>
        <v>61</v>
      </c>
      <c r="U235" s="60"/>
    </row>
    <row r="236" spans="1:21" ht="15.75" customHeight="1">
      <c r="A236" s="47">
        <v>2</v>
      </c>
      <c r="B236" s="47">
        <v>8</v>
      </c>
      <c r="C236" s="47">
        <v>5</v>
      </c>
      <c r="D236" s="25" t="s">
        <v>142</v>
      </c>
      <c r="E236" s="25" t="s">
        <v>143</v>
      </c>
      <c r="F236" s="25" t="s">
        <v>25</v>
      </c>
      <c r="G236" s="49">
        <v>50766</v>
      </c>
      <c r="H236" s="51">
        <v>26</v>
      </c>
      <c r="I236" s="52">
        <v>1</v>
      </c>
      <c r="J236" s="33">
        <v>60</v>
      </c>
      <c r="K236" s="36"/>
      <c r="L236" s="36"/>
      <c r="M236" s="36"/>
      <c r="N236" s="36"/>
      <c r="O236" s="36"/>
      <c r="P236" s="36"/>
      <c r="Q236" s="36"/>
      <c r="R236" s="36"/>
      <c r="S236" s="36"/>
      <c r="T236" s="62">
        <f t="shared" si="14"/>
        <v>60</v>
      </c>
      <c r="U236" s="60"/>
    </row>
    <row r="237" spans="1:21" ht="15.75" customHeight="1">
      <c r="A237" s="47">
        <v>2</v>
      </c>
      <c r="B237" s="47">
        <v>8</v>
      </c>
      <c r="C237" s="47">
        <v>6</v>
      </c>
      <c r="D237" s="25" t="s">
        <v>37</v>
      </c>
      <c r="E237" s="25" t="s">
        <v>38</v>
      </c>
      <c r="F237" s="25" t="s">
        <v>31</v>
      </c>
      <c r="G237" s="49">
        <v>50826</v>
      </c>
      <c r="H237" s="51">
        <v>185</v>
      </c>
      <c r="I237" s="52">
        <v>6</v>
      </c>
      <c r="J237" s="33">
        <v>121.5</v>
      </c>
      <c r="K237" s="33">
        <v>97</v>
      </c>
      <c r="L237" s="33">
        <v>96</v>
      </c>
      <c r="M237" s="33">
        <v>85</v>
      </c>
      <c r="N237" s="33">
        <v>65.099999999999994</v>
      </c>
      <c r="O237" s="33">
        <v>73</v>
      </c>
      <c r="P237" s="36"/>
      <c r="Q237" s="36"/>
      <c r="R237" s="36"/>
      <c r="S237" s="36"/>
      <c r="T237" s="62">
        <f t="shared" si="14"/>
        <v>89.600000000000009</v>
      </c>
      <c r="U237" s="60"/>
    </row>
    <row r="238" spans="1:21" ht="15.75" customHeight="1">
      <c r="A238" s="47">
        <v>2</v>
      </c>
      <c r="B238" s="47">
        <v>8</v>
      </c>
      <c r="C238" s="47">
        <v>6</v>
      </c>
      <c r="D238" s="25" t="s">
        <v>58</v>
      </c>
      <c r="E238" s="25" t="s">
        <v>59</v>
      </c>
      <c r="F238" s="25" t="s">
        <v>31</v>
      </c>
      <c r="G238" s="49">
        <v>50839</v>
      </c>
      <c r="H238" s="51">
        <v>215</v>
      </c>
      <c r="I238" s="52">
        <v>6</v>
      </c>
      <c r="J238" s="33">
        <v>156</v>
      </c>
      <c r="K238" s="33">
        <v>108</v>
      </c>
      <c r="L238" s="33">
        <v>90</v>
      </c>
      <c r="M238" s="33">
        <v>78</v>
      </c>
      <c r="N238" s="33">
        <v>48</v>
      </c>
      <c r="O238" s="33">
        <v>45</v>
      </c>
      <c r="P238" s="36"/>
      <c r="Q238" s="36"/>
      <c r="R238" s="36"/>
      <c r="S238" s="36"/>
      <c r="T238" s="62">
        <f t="shared" si="14"/>
        <v>87.5</v>
      </c>
      <c r="U238" s="60"/>
    </row>
    <row r="239" spans="1:21" ht="15.75" customHeight="1">
      <c r="A239" s="47">
        <v>2</v>
      </c>
      <c r="B239" s="47">
        <v>8</v>
      </c>
      <c r="C239" s="47">
        <v>6</v>
      </c>
      <c r="D239" s="25" t="s">
        <v>173</v>
      </c>
      <c r="E239" s="25" t="s">
        <v>174</v>
      </c>
      <c r="F239" s="25" t="s">
        <v>31</v>
      </c>
      <c r="G239" s="49">
        <v>50825</v>
      </c>
      <c r="H239" s="51">
        <v>132</v>
      </c>
      <c r="I239" s="52">
        <v>6</v>
      </c>
      <c r="J239" s="33">
        <v>79</v>
      </c>
      <c r="K239" s="33">
        <v>69</v>
      </c>
      <c r="L239" s="33">
        <v>61</v>
      </c>
      <c r="M239" s="33">
        <v>47.5</v>
      </c>
      <c r="N239" s="33">
        <v>43</v>
      </c>
      <c r="O239" s="33">
        <v>35</v>
      </c>
      <c r="P239" s="36"/>
      <c r="Q239" s="36"/>
      <c r="R239" s="36"/>
      <c r="S239" s="36"/>
      <c r="T239" s="62">
        <f t="shared" si="14"/>
        <v>55.75</v>
      </c>
      <c r="U239" s="60"/>
    </row>
    <row r="240" spans="1:21" ht="15.75" customHeight="1">
      <c r="A240" s="47">
        <v>2</v>
      </c>
      <c r="B240" s="47">
        <v>8</v>
      </c>
      <c r="C240" s="47">
        <v>7</v>
      </c>
      <c r="D240" s="25" t="s">
        <v>171</v>
      </c>
      <c r="E240" s="25" t="s">
        <v>172</v>
      </c>
      <c r="F240" s="25" t="s">
        <v>25</v>
      </c>
      <c r="G240" s="49">
        <v>50878</v>
      </c>
      <c r="H240" s="51">
        <v>396</v>
      </c>
      <c r="I240" s="52">
        <v>6</v>
      </c>
      <c r="J240" s="33">
        <v>21</v>
      </c>
      <c r="K240" s="33">
        <v>19</v>
      </c>
      <c r="L240" s="33">
        <v>30</v>
      </c>
      <c r="M240" s="33">
        <v>31</v>
      </c>
      <c r="N240" s="33">
        <v>24</v>
      </c>
      <c r="O240" s="33">
        <v>36.299999999999997</v>
      </c>
      <c r="P240" s="36"/>
      <c r="Q240" s="36"/>
      <c r="R240" s="36"/>
      <c r="S240" s="36"/>
      <c r="T240" s="62">
        <f t="shared" si="14"/>
        <v>26.883333333333336</v>
      </c>
      <c r="U240" s="60"/>
    </row>
    <row r="241" spans="1:21" ht="15.75" customHeight="1">
      <c r="A241" s="63">
        <v>2</v>
      </c>
      <c r="B241" s="63">
        <v>8</v>
      </c>
      <c r="C241" s="63">
        <v>8</v>
      </c>
      <c r="D241" s="38" t="s">
        <v>235</v>
      </c>
      <c r="E241" s="38" t="s">
        <v>236</v>
      </c>
      <c r="F241" s="38" t="s">
        <v>34</v>
      </c>
      <c r="G241" s="64">
        <v>50569</v>
      </c>
      <c r="H241" s="65">
        <v>7</v>
      </c>
      <c r="I241" s="41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66"/>
      <c r="U241" s="67" t="s">
        <v>43</v>
      </c>
    </row>
    <row r="242" spans="1:21" ht="15.75" customHeight="1">
      <c r="A242" s="47">
        <v>2</v>
      </c>
      <c r="B242" s="47">
        <v>8</v>
      </c>
      <c r="C242" s="47">
        <v>8</v>
      </c>
      <c r="D242" s="25" t="s">
        <v>85</v>
      </c>
      <c r="E242" s="25" t="s">
        <v>86</v>
      </c>
      <c r="F242" s="25" t="s">
        <v>31</v>
      </c>
      <c r="G242" s="49">
        <v>50796</v>
      </c>
      <c r="H242" s="51">
        <v>256</v>
      </c>
      <c r="I242" s="52">
        <v>2</v>
      </c>
      <c r="J242" s="33">
        <v>98</v>
      </c>
      <c r="K242" s="33">
        <v>87</v>
      </c>
      <c r="L242" s="36"/>
      <c r="M242" s="36"/>
      <c r="N242" s="36"/>
      <c r="O242" s="36"/>
      <c r="P242" s="36"/>
      <c r="Q242" s="36"/>
      <c r="R242" s="36"/>
      <c r="S242" s="36"/>
      <c r="T242" s="62">
        <f>AVERAGE(J242:S242)</f>
        <v>92.5</v>
      </c>
      <c r="U242" s="60"/>
    </row>
    <row r="243" spans="1:21" ht="15.75" customHeight="1">
      <c r="A243" s="47">
        <v>2</v>
      </c>
      <c r="B243" s="47">
        <v>8</v>
      </c>
      <c r="C243" s="47">
        <v>10</v>
      </c>
      <c r="D243" s="25" t="s">
        <v>169</v>
      </c>
      <c r="E243" s="25" t="s">
        <v>170</v>
      </c>
      <c r="F243" s="25" t="s">
        <v>25</v>
      </c>
      <c r="G243" s="49">
        <v>50883</v>
      </c>
      <c r="H243" s="51">
        <v>158</v>
      </c>
      <c r="I243" s="52">
        <v>8</v>
      </c>
      <c r="J243" s="33">
        <v>16.5</v>
      </c>
      <c r="K243" s="33">
        <v>34</v>
      </c>
      <c r="L243" s="33">
        <v>45</v>
      </c>
      <c r="M243" s="33">
        <v>25.5</v>
      </c>
      <c r="N243" s="33">
        <v>19</v>
      </c>
      <c r="O243" s="33">
        <v>37.5</v>
      </c>
      <c r="P243" s="33">
        <v>43</v>
      </c>
      <c r="Q243" s="33">
        <v>39.5</v>
      </c>
      <c r="R243" s="36"/>
      <c r="S243" s="36"/>
      <c r="T243" s="62">
        <f>AVERAGE(J243:S243)</f>
        <v>32.5</v>
      </c>
      <c r="U243" s="60"/>
    </row>
    <row r="244" spans="1:21" ht="15.75" customHeight="1">
      <c r="A244" s="33">
        <v>2</v>
      </c>
      <c r="B244" s="47">
        <v>8</v>
      </c>
      <c r="C244" s="47">
        <v>10</v>
      </c>
      <c r="D244" s="25" t="s">
        <v>218</v>
      </c>
      <c r="E244" s="25" t="s">
        <v>219</v>
      </c>
      <c r="F244" s="25" t="s">
        <v>25</v>
      </c>
      <c r="G244" s="49">
        <v>50884</v>
      </c>
      <c r="H244" s="51">
        <v>262</v>
      </c>
      <c r="I244" s="52">
        <v>8</v>
      </c>
      <c r="J244" s="33">
        <v>17.5</v>
      </c>
      <c r="K244" s="33">
        <v>21</v>
      </c>
      <c r="L244" s="33">
        <v>12.5</v>
      </c>
      <c r="M244" s="33">
        <v>14.5</v>
      </c>
      <c r="N244" s="33">
        <v>13.5</v>
      </c>
      <c r="O244" s="33">
        <v>19</v>
      </c>
      <c r="P244" s="33">
        <v>14.5</v>
      </c>
      <c r="Q244" s="33">
        <v>19</v>
      </c>
      <c r="R244" s="36"/>
      <c r="S244" s="36"/>
      <c r="T244" s="62">
        <f>AVERAGE(J244:S244)</f>
        <v>16.4375</v>
      </c>
      <c r="U244" s="60"/>
    </row>
    <row r="245" spans="1:21" ht="15.75" customHeight="1">
      <c r="A245" s="47">
        <v>2</v>
      </c>
      <c r="B245" s="47">
        <v>8</v>
      </c>
      <c r="C245" s="47">
        <v>11</v>
      </c>
      <c r="D245" s="25" t="s">
        <v>237</v>
      </c>
      <c r="E245" s="25" t="s">
        <v>238</v>
      </c>
      <c r="F245" s="25" t="s">
        <v>25</v>
      </c>
      <c r="G245" s="49">
        <v>50751</v>
      </c>
      <c r="H245" s="51">
        <v>239</v>
      </c>
      <c r="I245" s="52">
        <v>8</v>
      </c>
      <c r="J245" s="33">
        <v>91</v>
      </c>
      <c r="K245" s="33">
        <v>86</v>
      </c>
      <c r="L245" s="33">
        <v>96</v>
      </c>
      <c r="M245" s="158"/>
      <c r="N245" s="33">
        <v>98</v>
      </c>
      <c r="O245" s="33"/>
      <c r="P245" s="33">
        <v>37</v>
      </c>
      <c r="Q245" s="33">
        <v>61</v>
      </c>
      <c r="R245" s="36"/>
      <c r="S245" s="36"/>
      <c r="T245" s="62">
        <f>AVERAGE(J245:S245)</f>
        <v>78.166666666666671</v>
      </c>
      <c r="U245" s="60"/>
    </row>
    <row r="246" spans="1:21" ht="15.75" customHeight="1">
      <c r="A246" s="47">
        <v>2</v>
      </c>
      <c r="B246" s="47">
        <v>8</v>
      </c>
      <c r="C246" s="47">
        <v>11</v>
      </c>
      <c r="D246" s="25" t="s">
        <v>237</v>
      </c>
      <c r="E246" s="25" t="s">
        <v>238</v>
      </c>
      <c r="F246" s="25" t="s">
        <v>68</v>
      </c>
      <c r="G246" s="49">
        <v>50737</v>
      </c>
      <c r="H246" s="51">
        <v>31</v>
      </c>
      <c r="I246" s="52">
        <v>1</v>
      </c>
      <c r="J246" s="33">
        <v>32</v>
      </c>
      <c r="K246" s="36"/>
      <c r="L246" s="36"/>
      <c r="M246" s="36"/>
      <c r="N246" s="36"/>
      <c r="O246" s="36"/>
      <c r="P246" s="36"/>
      <c r="Q246" s="36"/>
      <c r="R246" s="36"/>
      <c r="S246" s="36"/>
      <c r="T246" s="62">
        <f>AVERAGE(J246:S246)</f>
        <v>32</v>
      </c>
      <c r="U246" s="60"/>
    </row>
    <row r="247" spans="1:21" ht="15.75" customHeight="1">
      <c r="A247" s="71">
        <v>2</v>
      </c>
      <c r="B247" s="71">
        <v>8</v>
      </c>
      <c r="C247" s="71">
        <v>11</v>
      </c>
      <c r="D247" s="53" t="s">
        <v>237</v>
      </c>
      <c r="E247" s="53" t="s">
        <v>238</v>
      </c>
      <c r="F247" s="53" t="s">
        <v>34</v>
      </c>
      <c r="G247" s="73">
        <v>50543</v>
      </c>
      <c r="H247" s="74">
        <v>38</v>
      </c>
      <c r="I247" s="41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80"/>
      <c r="U247" s="79" t="s">
        <v>55</v>
      </c>
    </row>
    <row r="248" spans="1:21" ht="15.75" customHeight="1">
      <c r="A248" s="47">
        <v>2</v>
      </c>
      <c r="B248" s="47">
        <v>8</v>
      </c>
      <c r="C248" s="47">
        <v>11</v>
      </c>
      <c r="D248" s="25" t="s">
        <v>237</v>
      </c>
      <c r="E248" s="25" t="s">
        <v>238</v>
      </c>
      <c r="F248" s="25" t="s">
        <v>34</v>
      </c>
      <c r="G248" s="49">
        <v>50738</v>
      </c>
      <c r="H248" s="51">
        <v>54</v>
      </c>
      <c r="I248" s="52">
        <v>2</v>
      </c>
      <c r="J248" s="33">
        <v>30</v>
      </c>
      <c r="K248" s="33"/>
      <c r="L248" s="36"/>
      <c r="M248" s="36"/>
      <c r="N248" s="36"/>
      <c r="O248" s="36"/>
      <c r="P248" s="36"/>
      <c r="Q248" s="36"/>
      <c r="R248" s="36"/>
      <c r="S248" s="36"/>
      <c r="T248" s="62">
        <v>30</v>
      </c>
      <c r="U248" s="60"/>
    </row>
    <row r="249" spans="1:21" ht="15.75" customHeight="1">
      <c r="A249" s="47">
        <v>2</v>
      </c>
      <c r="B249" s="47">
        <v>8</v>
      </c>
      <c r="C249" s="47">
        <v>11</v>
      </c>
      <c r="D249" s="25" t="s">
        <v>237</v>
      </c>
      <c r="E249" s="25" t="s">
        <v>238</v>
      </c>
      <c r="F249" s="25" t="s">
        <v>68</v>
      </c>
      <c r="G249" s="49">
        <v>50644</v>
      </c>
      <c r="H249" s="51">
        <v>14</v>
      </c>
      <c r="I249" s="52">
        <v>1</v>
      </c>
      <c r="J249" s="33">
        <v>29</v>
      </c>
      <c r="K249" s="36"/>
      <c r="L249" s="36"/>
      <c r="M249" s="36"/>
      <c r="N249" s="36"/>
      <c r="O249" s="36"/>
      <c r="P249" s="36"/>
      <c r="Q249" s="36"/>
      <c r="R249" s="36"/>
      <c r="S249" s="36"/>
      <c r="T249" s="62">
        <v>29</v>
      </c>
      <c r="U249" s="60"/>
    </row>
    <row r="250" spans="1:21" ht="15.75" customHeight="1">
      <c r="A250" s="63">
        <v>2</v>
      </c>
      <c r="B250" s="63">
        <v>8</v>
      </c>
      <c r="C250" s="63">
        <v>11</v>
      </c>
      <c r="D250" s="38" t="s">
        <v>237</v>
      </c>
      <c r="E250" s="38" t="s">
        <v>238</v>
      </c>
      <c r="F250" s="38" t="s">
        <v>25</v>
      </c>
      <c r="G250" s="64">
        <v>50275</v>
      </c>
      <c r="H250" s="65">
        <v>24</v>
      </c>
      <c r="I250" s="41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66"/>
      <c r="U250" s="67" t="s">
        <v>43</v>
      </c>
    </row>
    <row r="251" spans="1:21" ht="15.75" customHeight="1">
      <c r="A251" s="63">
        <v>2</v>
      </c>
      <c r="B251" s="63">
        <v>8</v>
      </c>
      <c r="C251" s="63">
        <v>11</v>
      </c>
      <c r="D251" s="38" t="s">
        <v>237</v>
      </c>
      <c r="E251" s="38" t="s">
        <v>238</v>
      </c>
      <c r="F251" s="38" t="s">
        <v>34</v>
      </c>
      <c r="G251" s="64">
        <v>50709</v>
      </c>
      <c r="H251" s="65">
        <v>31</v>
      </c>
      <c r="I251" s="41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66"/>
      <c r="U251" s="67" t="s">
        <v>43</v>
      </c>
    </row>
    <row r="252" spans="1:21" ht="15.75" customHeight="1">
      <c r="A252" s="35">
        <v>2</v>
      </c>
      <c r="B252" s="35">
        <v>8</v>
      </c>
      <c r="C252" s="35">
        <v>12</v>
      </c>
      <c r="D252" s="16" t="s">
        <v>239</v>
      </c>
      <c r="E252" s="16" t="s">
        <v>240</v>
      </c>
      <c r="F252" s="16" t="s">
        <v>25</v>
      </c>
      <c r="G252" s="37">
        <v>30885</v>
      </c>
      <c r="H252" s="39">
        <v>408</v>
      </c>
      <c r="I252" s="41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183"/>
      <c r="U252" s="45" t="s">
        <v>26</v>
      </c>
    </row>
    <row r="253" spans="1:21" ht="15.75" customHeight="1">
      <c r="A253" s="47">
        <v>2</v>
      </c>
      <c r="B253" s="47">
        <v>8</v>
      </c>
      <c r="C253" s="47">
        <v>13</v>
      </c>
      <c r="D253" s="25" t="s">
        <v>134</v>
      </c>
      <c r="E253" s="25" t="s">
        <v>135</v>
      </c>
      <c r="F253" s="25" t="s">
        <v>25</v>
      </c>
      <c r="G253" s="49">
        <v>50142</v>
      </c>
      <c r="H253" s="51">
        <v>224</v>
      </c>
      <c r="I253" s="52">
        <v>8</v>
      </c>
      <c r="J253" s="33"/>
      <c r="K253" s="33">
        <v>66</v>
      </c>
      <c r="L253" s="33"/>
      <c r="M253" s="33">
        <v>63</v>
      </c>
      <c r="N253" s="33">
        <v>61</v>
      </c>
      <c r="O253" s="33">
        <v>65</v>
      </c>
      <c r="P253" s="33">
        <v>48</v>
      </c>
      <c r="Q253" s="33">
        <v>62</v>
      </c>
      <c r="R253" s="36"/>
      <c r="S253" s="36"/>
      <c r="T253" s="62">
        <f t="shared" ref="T253:T259" si="15">AVERAGE(J253:S253)</f>
        <v>60.833333333333336</v>
      </c>
      <c r="U253" s="60"/>
    </row>
    <row r="254" spans="1:21" ht="15.75" customHeight="1">
      <c r="A254" s="47">
        <v>2</v>
      </c>
      <c r="B254" s="47">
        <v>8</v>
      </c>
      <c r="C254" s="47">
        <v>13</v>
      </c>
      <c r="D254" s="25" t="s">
        <v>136</v>
      </c>
      <c r="E254" s="25" t="s">
        <v>137</v>
      </c>
      <c r="F254" s="25" t="s">
        <v>25</v>
      </c>
      <c r="G254" s="49">
        <v>50857</v>
      </c>
      <c r="H254" s="51">
        <v>106</v>
      </c>
      <c r="I254" s="52">
        <v>4</v>
      </c>
      <c r="J254" s="33">
        <v>83</v>
      </c>
      <c r="K254" s="33">
        <v>147</v>
      </c>
      <c r="L254" s="33">
        <v>143</v>
      </c>
      <c r="M254" s="33">
        <v>112</v>
      </c>
      <c r="N254" s="36"/>
      <c r="O254" s="36"/>
      <c r="P254" s="36"/>
      <c r="Q254" s="36"/>
      <c r="R254" s="36"/>
      <c r="S254" s="36"/>
      <c r="T254" s="62">
        <f t="shared" si="15"/>
        <v>121.25</v>
      </c>
      <c r="U254" s="60"/>
    </row>
    <row r="255" spans="1:21" ht="15.75" customHeight="1">
      <c r="A255" s="47">
        <v>2</v>
      </c>
      <c r="B255" s="47">
        <v>8</v>
      </c>
      <c r="C255" s="47">
        <v>14</v>
      </c>
      <c r="D255" s="25" t="s">
        <v>241</v>
      </c>
      <c r="E255" s="25" t="s">
        <v>242</v>
      </c>
      <c r="F255" s="25" t="s">
        <v>25</v>
      </c>
      <c r="G255" s="49">
        <v>50876</v>
      </c>
      <c r="H255" s="51">
        <v>420</v>
      </c>
      <c r="I255" s="52">
        <v>10</v>
      </c>
      <c r="J255" s="33">
        <v>22</v>
      </c>
      <c r="K255" s="33">
        <v>26.7</v>
      </c>
      <c r="L255" s="33">
        <v>48</v>
      </c>
      <c r="M255" s="33">
        <v>35</v>
      </c>
      <c r="N255" s="33">
        <v>33</v>
      </c>
      <c r="O255" s="33">
        <v>36.5</v>
      </c>
      <c r="P255" s="33">
        <v>35</v>
      </c>
      <c r="Q255" s="33">
        <v>49</v>
      </c>
      <c r="R255" s="33">
        <v>50</v>
      </c>
      <c r="S255" s="33">
        <v>42.5</v>
      </c>
      <c r="T255" s="62">
        <f t="shared" si="15"/>
        <v>37.769999999999996</v>
      </c>
      <c r="U255" s="60"/>
    </row>
    <row r="256" spans="1:21" ht="15.75" customHeight="1">
      <c r="A256" s="47">
        <v>2</v>
      </c>
      <c r="B256" s="47">
        <v>8</v>
      </c>
      <c r="C256" s="47">
        <v>15</v>
      </c>
      <c r="D256" s="25" t="s">
        <v>203</v>
      </c>
      <c r="E256" s="25" t="s">
        <v>204</v>
      </c>
      <c r="F256" s="25" t="s">
        <v>31</v>
      </c>
      <c r="G256" s="49">
        <v>50841</v>
      </c>
      <c r="H256" s="51">
        <v>390</v>
      </c>
      <c r="I256" s="52">
        <v>10</v>
      </c>
      <c r="J256" s="33">
        <v>86</v>
      </c>
      <c r="K256" s="33">
        <v>98</v>
      </c>
      <c r="L256" s="33">
        <v>175</v>
      </c>
      <c r="M256" s="33">
        <v>135</v>
      </c>
      <c r="N256" s="33">
        <v>118</v>
      </c>
      <c r="O256" s="33">
        <v>149</v>
      </c>
      <c r="P256" s="33">
        <v>81</v>
      </c>
      <c r="Q256" s="33">
        <v>77</v>
      </c>
      <c r="R256" s="33">
        <v>65</v>
      </c>
      <c r="S256" s="33">
        <v>45</v>
      </c>
      <c r="T256" s="62">
        <f t="shared" si="15"/>
        <v>102.9</v>
      </c>
      <c r="U256" s="60"/>
    </row>
    <row r="257" spans="1:21" ht="15.75" customHeight="1">
      <c r="A257" s="47">
        <v>2</v>
      </c>
      <c r="B257" s="47">
        <v>8</v>
      </c>
      <c r="C257" s="47">
        <v>15</v>
      </c>
      <c r="D257" s="25" t="s">
        <v>203</v>
      </c>
      <c r="E257" s="25" t="s">
        <v>204</v>
      </c>
      <c r="F257" s="25" t="s">
        <v>25</v>
      </c>
      <c r="G257" s="49">
        <v>50657</v>
      </c>
      <c r="H257" s="51">
        <v>8</v>
      </c>
      <c r="I257" s="52">
        <v>1</v>
      </c>
      <c r="J257" s="33">
        <v>112</v>
      </c>
      <c r="K257" s="36"/>
      <c r="L257" s="36"/>
      <c r="M257" s="36"/>
      <c r="N257" s="36"/>
      <c r="O257" s="36"/>
      <c r="P257" s="36"/>
      <c r="Q257" s="36"/>
      <c r="R257" s="36"/>
      <c r="S257" s="36"/>
      <c r="T257" s="62">
        <f t="shared" si="15"/>
        <v>112</v>
      </c>
      <c r="U257" s="60"/>
    </row>
    <row r="258" spans="1:21" ht="15.75" customHeight="1">
      <c r="A258" s="47">
        <v>2</v>
      </c>
      <c r="B258" s="47">
        <v>8</v>
      </c>
      <c r="C258" s="47">
        <v>15</v>
      </c>
      <c r="D258" s="25" t="s">
        <v>203</v>
      </c>
      <c r="E258" s="25" t="s">
        <v>204</v>
      </c>
      <c r="F258" s="25" t="s">
        <v>31</v>
      </c>
      <c r="G258" s="49">
        <v>50777</v>
      </c>
      <c r="H258" s="51">
        <v>9</v>
      </c>
      <c r="I258" s="52">
        <v>1</v>
      </c>
      <c r="J258" s="33">
        <v>70.5</v>
      </c>
      <c r="K258" s="36"/>
      <c r="L258" s="36"/>
      <c r="M258" s="36"/>
      <c r="N258" s="36"/>
      <c r="O258" s="36"/>
      <c r="P258" s="36"/>
      <c r="Q258" s="36"/>
      <c r="R258" s="36"/>
      <c r="S258" s="36"/>
      <c r="T258" s="62">
        <f t="shared" si="15"/>
        <v>70.5</v>
      </c>
      <c r="U258" s="60"/>
    </row>
    <row r="259" spans="1:21" ht="15.75" customHeight="1">
      <c r="A259" s="47">
        <v>2</v>
      </c>
      <c r="B259" s="47">
        <v>8</v>
      </c>
      <c r="C259" s="47">
        <v>15</v>
      </c>
      <c r="D259" s="25" t="s">
        <v>203</v>
      </c>
      <c r="E259" s="25" t="s">
        <v>204</v>
      </c>
      <c r="F259" s="25" t="s">
        <v>31</v>
      </c>
      <c r="G259" s="49">
        <v>50799</v>
      </c>
      <c r="H259" s="51">
        <v>7</v>
      </c>
      <c r="I259" s="52">
        <v>1</v>
      </c>
      <c r="J259" s="33">
        <v>90</v>
      </c>
      <c r="K259" s="36"/>
      <c r="L259" s="36"/>
      <c r="M259" s="36"/>
      <c r="N259" s="36"/>
      <c r="O259" s="36"/>
      <c r="P259" s="36"/>
      <c r="Q259" s="36"/>
      <c r="R259" s="36"/>
      <c r="S259" s="36"/>
      <c r="T259" s="62">
        <f t="shared" si="15"/>
        <v>90</v>
      </c>
      <c r="U259" s="60"/>
    </row>
    <row r="260" spans="1:21" ht="15.75" customHeight="1">
      <c r="A260" s="63">
        <v>2</v>
      </c>
      <c r="B260" s="63">
        <v>12</v>
      </c>
      <c r="C260" s="63">
        <v>22</v>
      </c>
      <c r="D260" s="38" t="s">
        <v>243</v>
      </c>
      <c r="E260" s="38" t="s">
        <v>244</v>
      </c>
      <c r="F260" s="38" t="s">
        <v>109</v>
      </c>
      <c r="G260" s="64">
        <v>30655</v>
      </c>
      <c r="H260" s="65">
        <v>6</v>
      </c>
      <c r="I260" s="41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84"/>
      <c r="U260" s="67" t="s">
        <v>43</v>
      </c>
    </row>
    <row r="261" spans="1:21" ht="15.75" customHeight="1">
      <c r="A261" s="36"/>
      <c r="B261" s="36"/>
      <c r="C261" s="36"/>
      <c r="D261" s="36"/>
      <c r="E261" s="36"/>
      <c r="F261" s="36"/>
      <c r="G261" s="36"/>
      <c r="H261" s="36"/>
      <c r="I261" s="41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6"/>
      <c r="U261" s="60"/>
    </row>
    <row r="262" spans="1:21" ht="15.75" customHeight="1">
      <c r="A262" s="3"/>
      <c r="B262" s="3"/>
      <c r="C262" s="3"/>
      <c r="D262" s="3"/>
      <c r="E262" s="4"/>
      <c r="F262" s="3"/>
      <c r="G262" s="3"/>
      <c r="H262" s="10"/>
      <c r="I262" s="187"/>
      <c r="J262" s="188"/>
      <c r="K262" s="188"/>
      <c r="L262" s="188"/>
      <c r="M262" s="188"/>
      <c r="N262" s="188"/>
      <c r="O262" s="188"/>
      <c r="P262" s="188"/>
      <c r="Q262" s="188"/>
      <c r="R262" s="188"/>
      <c r="S262" s="188"/>
      <c r="T262" s="7"/>
      <c r="U262" s="176"/>
    </row>
    <row r="263" spans="1:21">
      <c r="A263" s="177" t="s">
        <v>245</v>
      </c>
      <c r="B263" s="3"/>
      <c r="C263" s="3"/>
      <c r="D263" s="3"/>
      <c r="E263" s="4"/>
      <c r="F263" s="3"/>
      <c r="G263" s="3"/>
      <c r="H263" s="10"/>
      <c r="I263" s="187"/>
      <c r="J263" s="188"/>
      <c r="K263" s="188"/>
      <c r="L263" s="188"/>
      <c r="M263" s="188"/>
      <c r="N263" s="188"/>
      <c r="O263" s="188"/>
      <c r="P263" s="188"/>
      <c r="Q263" s="188"/>
      <c r="R263" s="188"/>
      <c r="S263" s="188"/>
      <c r="T263" s="7"/>
      <c r="U263" s="176"/>
    </row>
    <row r="264" spans="1:21">
      <c r="A264" s="3"/>
      <c r="B264" s="3"/>
      <c r="C264" s="3"/>
      <c r="D264" s="3"/>
      <c r="E264" s="4"/>
      <c r="F264" s="3"/>
      <c r="G264" s="3"/>
      <c r="H264" s="10"/>
      <c r="I264" s="187"/>
      <c r="J264" s="188"/>
      <c r="K264" s="188"/>
      <c r="L264" s="188"/>
      <c r="M264" s="188"/>
      <c r="N264" s="188"/>
      <c r="O264" s="188"/>
      <c r="P264" s="188"/>
      <c r="Q264" s="188"/>
      <c r="R264" s="188"/>
      <c r="S264" s="188"/>
      <c r="T264" s="7"/>
      <c r="U264" s="176"/>
    </row>
    <row r="265" spans="1:21">
      <c r="A265" s="3"/>
      <c r="B265" s="3"/>
      <c r="C265" s="3"/>
      <c r="D265" s="3"/>
      <c r="E265" s="4"/>
      <c r="F265" s="3"/>
      <c r="G265" s="3"/>
      <c r="H265" s="10"/>
      <c r="I265" s="187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7"/>
      <c r="U265" s="176"/>
    </row>
    <row r="266" spans="1:21">
      <c r="A266" s="3"/>
      <c r="B266" s="3"/>
      <c r="C266" s="3"/>
      <c r="D266" s="3"/>
      <c r="E266" s="4"/>
      <c r="F266" s="3"/>
      <c r="G266" s="3"/>
      <c r="H266" s="10"/>
      <c r="I266" s="187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7"/>
      <c r="U266" s="176"/>
    </row>
    <row r="267" spans="1:21">
      <c r="A267" s="3"/>
      <c r="B267" s="3"/>
      <c r="C267" s="3"/>
      <c r="D267" s="3"/>
      <c r="E267" s="4"/>
      <c r="F267" s="3"/>
      <c r="G267" s="3"/>
      <c r="H267" s="10"/>
      <c r="I267" s="187"/>
      <c r="J267" s="188"/>
      <c r="K267" s="188"/>
      <c r="L267" s="188"/>
      <c r="M267" s="188"/>
      <c r="N267" s="188"/>
      <c r="O267" s="188"/>
      <c r="P267" s="188"/>
      <c r="Q267" s="188"/>
      <c r="R267" s="188"/>
      <c r="S267" s="188"/>
      <c r="T267" s="7"/>
      <c r="U267" s="176"/>
    </row>
    <row r="268" spans="1:21">
      <c r="A268" s="3"/>
      <c r="B268" s="3"/>
      <c r="C268" s="3"/>
      <c r="D268" s="3"/>
      <c r="E268" s="4"/>
      <c r="F268" s="3"/>
      <c r="G268" s="3"/>
      <c r="H268" s="10"/>
      <c r="I268" s="187"/>
      <c r="J268" s="188"/>
      <c r="K268" s="188"/>
      <c r="L268" s="188"/>
      <c r="M268" s="188"/>
      <c r="N268" s="188"/>
      <c r="O268" s="188"/>
      <c r="P268" s="188"/>
      <c r="Q268" s="188"/>
      <c r="R268" s="188"/>
      <c r="S268" s="188"/>
      <c r="T268" s="7"/>
      <c r="U268" s="176"/>
    </row>
    <row r="269" spans="1:21">
      <c r="A269" s="3"/>
      <c r="B269" s="3"/>
      <c r="C269" s="3"/>
      <c r="D269" s="3"/>
      <c r="E269" s="4"/>
      <c r="F269" s="3"/>
      <c r="G269" s="3"/>
      <c r="H269" s="10"/>
      <c r="I269" s="187"/>
      <c r="J269" s="188"/>
      <c r="K269" s="188"/>
      <c r="L269" s="188"/>
      <c r="M269" s="188"/>
      <c r="N269" s="188"/>
      <c r="O269" s="188"/>
      <c r="P269" s="188"/>
      <c r="Q269" s="188"/>
      <c r="R269" s="188"/>
      <c r="S269" s="188"/>
      <c r="T269" s="7"/>
      <c r="U269" s="176"/>
    </row>
    <row r="270" spans="1:21">
      <c r="A270" s="3"/>
      <c r="B270" s="3"/>
      <c r="C270" s="3"/>
      <c r="D270" s="3"/>
      <c r="E270" s="4"/>
      <c r="F270" s="3"/>
      <c r="G270" s="3"/>
      <c r="H270" s="10"/>
      <c r="I270" s="187"/>
      <c r="J270" s="188"/>
      <c r="K270" s="188"/>
      <c r="L270" s="188"/>
      <c r="M270" s="188"/>
      <c r="N270" s="188"/>
      <c r="O270" s="188"/>
      <c r="P270" s="188"/>
      <c r="Q270" s="188"/>
      <c r="R270" s="188"/>
      <c r="S270" s="188"/>
      <c r="T270" s="7"/>
      <c r="U270" s="176"/>
    </row>
    <row r="271" spans="1:21">
      <c r="A271" s="3"/>
      <c r="B271" s="3"/>
      <c r="C271" s="3"/>
      <c r="D271" s="3"/>
      <c r="E271" s="4"/>
      <c r="F271" s="3"/>
      <c r="G271" s="3"/>
      <c r="H271" s="10"/>
      <c r="I271" s="187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7"/>
      <c r="U271" s="176"/>
    </row>
    <row r="272" spans="1:21">
      <c r="A272" s="3"/>
      <c r="B272" s="3"/>
      <c r="C272" s="3"/>
      <c r="D272" s="3"/>
      <c r="E272" s="4"/>
      <c r="F272" s="3"/>
      <c r="G272" s="3"/>
      <c r="H272" s="10"/>
      <c r="I272" s="187"/>
      <c r="J272" s="188"/>
      <c r="K272" s="188"/>
      <c r="L272" s="188"/>
      <c r="M272" s="188"/>
      <c r="N272" s="188"/>
      <c r="O272" s="188"/>
      <c r="P272" s="188"/>
      <c r="Q272" s="188"/>
      <c r="R272" s="188"/>
      <c r="S272" s="188"/>
      <c r="T272" s="7"/>
      <c r="U272" s="176"/>
    </row>
    <row r="273" spans="1:21">
      <c r="A273" s="3"/>
      <c r="B273" s="3"/>
      <c r="C273" s="3"/>
      <c r="D273" s="3"/>
      <c r="E273" s="4"/>
      <c r="F273" s="3"/>
      <c r="G273" s="3"/>
      <c r="H273" s="10"/>
      <c r="I273" s="187"/>
      <c r="J273" s="188"/>
      <c r="K273" s="188"/>
      <c r="L273" s="188"/>
      <c r="M273" s="188"/>
      <c r="N273" s="188"/>
      <c r="O273" s="188"/>
      <c r="P273" s="188"/>
      <c r="Q273" s="188"/>
      <c r="R273" s="188"/>
      <c r="S273" s="188"/>
      <c r="T273" s="7"/>
      <c r="U273" s="176"/>
    </row>
    <row r="274" spans="1:21">
      <c r="A274" s="3"/>
      <c r="B274" s="3"/>
      <c r="C274" s="3"/>
      <c r="D274" s="3"/>
      <c r="E274" s="4"/>
      <c r="F274" s="3"/>
      <c r="G274" s="3"/>
      <c r="H274" s="10"/>
      <c r="I274" s="187"/>
      <c r="J274" s="188"/>
      <c r="K274" s="188"/>
      <c r="L274" s="188"/>
      <c r="M274" s="188"/>
      <c r="N274" s="188"/>
      <c r="O274" s="188"/>
      <c r="P274" s="188"/>
      <c r="Q274" s="188"/>
      <c r="R274" s="188"/>
      <c r="S274" s="188"/>
      <c r="T274" s="7"/>
      <c r="U274" s="176"/>
    </row>
    <row r="275" spans="1:21">
      <c r="A275" s="3"/>
      <c r="B275" s="3"/>
      <c r="C275" s="3"/>
      <c r="D275" s="3"/>
      <c r="E275" s="4"/>
      <c r="F275" s="3"/>
      <c r="G275" s="3"/>
      <c r="H275" s="10"/>
      <c r="I275" s="187"/>
      <c r="J275" s="188"/>
      <c r="K275" s="188"/>
      <c r="L275" s="188"/>
      <c r="M275" s="188"/>
      <c r="N275" s="188"/>
      <c r="O275" s="188"/>
      <c r="P275" s="188"/>
      <c r="Q275" s="188"/>
      <c r="R275" s="188"/>
      <c r="S275" s="188"/>
      <c r="T275" s="7"/>
      <c r="U275" s="176"/>
    </row>
    <row r="276" spans="1:21">
      <c r="A276" s="3"/>
      <c r="B276" s="3"/>
      <c r="C276" s="3"/>
      <c r="D276" s="3"/>
      <c r="E276" s="4"/>
      <c r="F276" s="3"/>
      <c r="G276" s="3"/>
      <c r="H276" s="10"/>
      <c r="I276" s="187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7"/>
      <c r="U276" s="176"/>
    </row>
    <row r="277" spans="1:21">
      <c r="A277" s="3"/>
      <c r="B277" s="3"/>
      <c r="C277" s="3"/>
      <c r="D277" s="3"/>
      <c r="E277" s="4"/>
      <c r="F277" s="3"/>
      <c r="G277" s="3"/>
      <c r="H277" s="10"/>
      <c r="I277" s="187"/>
      <c r="J277" s="188"/>
      <c r="K277" s="188"/>
      <c r="L277" s="188"/>
      <c r="M277" s="188"/>
      <c r="N277" s="188"/>
      <c r="O277" s="188"/>
      <c r="P277" s="188"/>
      <c r="Q277" s="188"/>
      <c r="R277" s="188"/>
      <c r="S277" s="188"/>
      <c r="T277" s="7"/>
      <c r="U277" s="176"/>
    </row>
    <row r="278" spans="1:21">
      <c r="A278" s="3"/>
      <c r="B278" s="3"/>
      <c r="C278" s="3"/>
      <c r="D278" s="3"/>
      <c r="E278" s="4"/>
      <c r="F278" s="3"/>
      <c r="G278" s="3"/>
      <c r="H278" s="10"/>
      <c r="I278" s="187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7"/>
      <c r="U278" s="176"/>
    </row>
    <row r="279" spans="1:21">
      <c r="A279" s="3"/>
      <c r="B279" s="3"/>
      <c r="C279" s="3"/>
      <c r="D279" s="3"/>
      <c r="E279" s="4"/>
      <c r="F279" s="3"/>
      <c r="G279" s="3"/>
      <c r="H279" s="10"/>
      <c r="I279" s="187"/>
      <c r="J279" s="188"/>
      <c r="K279" s="188"/>
      <c r="L279" s="188"/>
      <c r="M279" s="188"/>
      <c r="N279" s="188"/>
      <c r="O279" s="188"/>
      <c r="P279" s="188"/>
      <c r="Q279" s="188"/>
      <c r="R279" s="188"/>
      <c r="S279" s="188"/>
      <c r="T279" s="7"/>
      <c r="U279" s="176"/>
    </row>
    <row r="280" spans="1:21">
      <c r="A280" s="3"/>
      <c r="B280" s="3"/>
      <c r="C280" s="3"/>
      <c r="D280" s="3"/>
      <c r="E280" s="4"/>
      <c r="F280" s="3"/>
      <c r="G280" s="3"/>
      <c r="H280" s="10"/>
      <c r="I280" s="187"/>
      <c r="J280" s="188"/>
      <c r="K280" s="188"/>
      <c r="L280" s="188"/>
      <c r="M280" s="188"/>
      <c r="N280" s="188"/>
      <c r="O280" s="188"/>
      <c r="P280" s="188"/>
      <c r="Q280" s="188"/>
      <c r="R280" s="188"/>
      <c r="S280" s="188"/>
      <c r="T280" s="7"/>
      <c r="U280" s="176"/>
    </row>
    <row r="281" spans="1:21">
      <c r="A281" s="3"/>
      <c r="B281" s="3"/>
      <c r="C281" s="3"/>
      <c r="D281" s="3"/>
      <c r="E281" s="4"/>
      <c r="F281" s="3"/>
      <c r="G281" s="3"/>
      <c r="H281" s="10"/>
      <c r="I281" s="187"/>
      <c r="J281" s="188"/>
      <c r="K281" s="188"/>
      <c r="L281" s="188"/>
      <c r="M281" s="188"/>
      <c r="N281" s="188"/>
      <c r="O281" s="188"/>
      <c r="P281" s="188"/>
      <c r="Q281" s="188"/>
      <c r="R281" s="188"/>
      <c r="S281" s="188"/>
      <c r="T281" s="7"/>
      <c r="U281" s="176"/>
    </row>
    <row r="282" spans="1:21">
      <c r="A282" s="3"/>
      <c r="B282" s="3"/>
      <c r="C282" s="3"/>
      <c r="D282" s="3"/>
      <c r="E282" s="4"/>
      <c r="F282" s="3"/>
      <c r="G282" s="3"/>
      <c r="H282" s="10"/>
      <c r="I282" s="187"/>
      <c r="J282" s="188"/>
      <c r="K282" s="188"/>
      <c r="L282" s="188"/>
      <c r="M282" s="188"/>
      <c r="N282" s="188"/>
      <c r="O282" s="188"/>
      <c r="P282" s="188"/>
      <c r="Q282" s="188"/>
      <c r="R282" s="188"/>
      <c r="S282" s="188"/>
      <c r="T282" s="7"/>
      <c r="U282" s="176"/>
    </row>
    <row r="283" spans="1:21">
      <c r="A283" s="3"/>
      <c r="B283" s="3"/>
      <c r="C283" s="3"/>
      <c r="D283" s="3"/>
      <c r="E283" s="4"/>
      <c r="F283" s="3"/>
      <c r="G283" s="3"/>
      <c r="H283" s="10"/>
      <c r="I283" s="187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7"/>
      <c r="U283" s="176"/>
    </row>
    <row r="284" spans="1:21">
      <c r="A284" s="3"/>
      <c r="B284" s="3"/>
      <c r="C284" s="3"/>
      <c r="D284" s="3"/>
      <c r="E284" s="4"/>
      <c r="F284" s="3"/>
      <c r="G284" s="3"/>
      <c r="H284" s="10"/>
      <c r="I284" s="187"/>
      <c r="J284" s="188"/>
      <c r="K284" s="188"/>
      <c r="L284" s="188"/>
      <c r="M284" s="188"/>
      <c r="N284" s="188"/>
      <c r="O284" s="188"/>
      <c r="P284" s="188"/>
      <c r="Q284" s="188"/>
      <c r="R284" s="188"/>
      <c r="S284" s="188"/>
      <c r="T284" s="7"/>
      <c r="U284" s="176"/>
    </row>
    <row r="285" spans="1:21">
      <c r="A285" s="3"/>
      <c r="B285" s="3"/>
      <c r="C285" s="3"/>
      <c r="D285" s="3"/>
      <c r="E285" s="4"/>
      <c r="F285" s="3"/>
      <c r="G285" s="3"/>
      <c r="H285" s="10"/>
      <c r="I285" s="187"/>
      <c r="J285" s="188"/>
      <c r="K285" s="188"/>
      <c r="L285" s="188"/>
      <c r="M285" s="188"/>
      <c r="N285" s="188"/>
      <c r="O285" s="188"/>
      <c r="P285" s="188"/>
      <c r="Q285" s="188"/>
      <c r="R285" s="188"/>
      <c r="S285" s="188"/>
      <c r="T285" s="7"/>
      <c r="U285" s="176"/>
    </row>
    <row r="286" spans="1:21">
      <c r="A286" s="3"/>
      <c r="B286" s="3"/>
      <c r="C286" s="3"/>
      <c r="D286" s="3"/>
      <c r="E286" s="4"/>
      <c r="F286" s="3"/>
      <c r="G286" s="3"/>
      <c r="H286" s="10"/>
      <c r="I286" s="187"/>
      <c r="J286" s="188"/>
      <c r="K286" s="188"/>
      <c r="L286" s="188"/>
      <c r="M286" s="188"/>
      <c r="N286" s="188"/>
      <c r="O286" s="188"/>
      <c r="P286" s="188"/>
      <c r="Q286" s="188"/>
      <c r="R286" s="188"/>
      <c r="S286" s="188"/>
      <c r="T286" s="7"/>
      <c r="U286" s="176"/>
    </row>
    <row r="287" spans="1:21">
      <c r="A287" s="3"/>
      <c r="B287" s="3"/>
      <c r="C287" s="3"/>
      <c r="D287" s="3"/>
      <c r="E287" s="4"/>
      <c r="F287" s="3"/>
      <c r="G287" s="3"/>
      <c r="H287" s="10"/>
      <c r="I287" s="187"/>
      <c r="J287" s="188"/>
      <c r="K287" s="188"/>
      <c r="L287" s="188"/>
      <c r="M287" s="188"/>
      <c r="N287" s="188"/>
      <c r="O287" s="188"/>
      <c r="P287" s="188"/>
      <c r="Q287" s="188"/>
      <c r="R287" s="188"/>
      <c r="S287" s="188"/>
      <c r="T287" s="7"/>
      <c r="U287" s="176"/>
    </row>
    <row r="288" spans="1:21">
      <c r="A288" s="3"/>
      <c r="B288" s="3"/>
      <c r="C288" s="3"/>
      <c r="D288" s="3"/>
      <c r="E288" s="4"/>
      <c r="F288" s="3"/>
      <c r="G288" s="3"/>
      <c r="H288" s="10"/>
      <c r="I288" s="187"/>
      <c r="J288" s="188"/>
      <c r="K288" s="188"/>
      <c r="L288" s="188"/>
      <c r="M288" s="188"/>
      <c r="N288" s="188"/>
      <c r="O288" s="188"/>
      <c r="P288" s="188"/>
      <c r="Q288" s="188"/>
      <c r="R288" s="188"/>
      <c r="S288" s="188"/>
      <c r="T288" s="7"/>
      <c r="U288" s="176"/>
    </row>
    <row r="289" spans="1:21">
      <c r="A289" s="3"/>
      <c r="B289" s="3"/>
      <c r="C289" s="3"/>
      <c r="D289" s="3"/>
      <c r="E289" s="4"/>
      <c r="F289" s="3"/>
      <c r="G289" s="3"/>
      <c r="H289" s="10"/>
      <c r="I289" s="187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7"/>
      <c r="U289" s="176"/>
    </row>
    <row r="290" spans="1:21">
      <c r="A290" s="3"/>
      <c r="B290" s="3"/>
      <c r="C290" s="3"/>
      <c r="D290" s="3"/>
      <c r="E290" s="4"/>
      <c r="F290" s="3"/>
      <c r="G290" s="3"/>
      <c r="H290" s="10"/>
      <c r="I290" s="187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7"/>
      <c r="U290" s="176"/>
    </row>
    <row r="291" spans="1:21">
      <c r="A291" s="3"/>
      <c r="B291" s="3"/>
      <c r="C291" s="3"/>
      <c r="D291" s="3"/>
      <c r="E291" s="4"/>
      <c r="F291" s="3"/>
      <c r="G291" s="3"/>
      <c r="H291" s="10"/>
      <c r="I291" s="187"/>
      <c r="J291" s="188"/>
      <c r="K291" s="188"/>
      <c r="L291" s="188"/>
      <c r="M291" s="188"/>
      <c r="N291" s="188"/>
      <c r="O291" s="188"/>
      <c r="P291" s="188"/>
      <c r="Q291" s="188"/>
      <c r="R291" s="188"/>
      <c r="S291" s="188"/>
      <c r="T291" s="7"/>
      <c r="U291" s="176"/>
    </row>
    <row r="292" spans="1:21">
      <c r="A292" s="3"/>
      <c r="B292" s="3"/>
      <c r="C292" s="3"/>
      <c r="D292" s="3"/>
      <c r="E292" s="4"/>
      <c r="F292" s="3"/>
      <c r="G292" s="3"/>
      <c r="H292" s="10"/>
      <c r="I292" s="187"/>
      <c r="J292" s="188"/>
      <c r="K292" s="188"/>
      <c r="L292" s="188"/>
      <c r="M292" s="188"/>
      <c r="N292" s="188"/>
      <c r="O292" s="188"/>
      <c r="P292" s="188"/>
      <c r="Q292" s="188"/>
      <c r="R292" s="188"/>
      <c r="S292" s="188"/>
      <c r="T292" s="7"/>
      <c r="U292" s="176"/>
    </row>
    <row r="293" spans="1:21">
      <c r="A293" s="3"/>
      <c r="B293" s="3"/>
      <c r="C293" s="3"/>
      <c r="D293" s="3"/>
      <c r="E293" s="4"/>
      <c r="F293" s="3"/>
      <c r="G293" s="3"/>
      <c r="H293" s="10"/>
      <c r="I293" s="187"/>
      <c r="J293" s="188"/>
      <c r="K293" s="188"/>
      <c r="L293" s="188"/>
      <c r="M293" s="188"/>
      <c r="N293" s="188"/>
      <c r="O293" s="188"/>
      <c r="P293" s="188"/>
      <c r="Q293" s="188"/>
      <c r="R293" s="188"/>
      <c r="S293" s="188"/>
      <c r="T293" s="7"/>
      <c r="U293" s="176"/>
    </row>
    <row r="294" spans="1:21">
      <c r="A294" s="3"/>
      <c r="B294" s="3"/>
      <c r="C294" s="3"/>
      <c r="D294" s="3"/>
      <c r="E294" s="4"/>
      <c r="F294" s="3"/>
      <c r="G294" s="3"/>
      <c r="H294" s="10"/>
      <c r="I294" s="187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7"/>
      <c r="U294" s="176"/>
    </row>
    <row r="295" spans="1:21">
      <c r="A295" s="3"/>
      <c r="B295" s="3"/>
      <c r="C295" s="3"/>
      <c r="D295" s="3"/>
      <c r="E295" s="4"/>
      <c r="F295" s="3"/>
      <c r="G295" s="3"/>
      <c r="H295" s="10"/>
      <c r="I295" s="187"/>
      <c r="J295" s="188"/>
      <c r="K295" s="188"/>
      <c r="L295" s="188"/>
      <c r="M295" s="188"/>
      <c r="N295" s="188"/>
      <c r="O295" s="188"/>
      <c r="P295" s="188"/>
      <c r="Q295" s="188"/>
      <c r="R295" s="188"/>
      <c r="S295" s="188"/>
      <c r="T295" s="7"/>
      <c r="U295" s="176"/>
    </row>
    <row r="296" spans="1:21">
      <c r="A296" s="3"/>
      <c r="B296" s="3"/>
      <c r="C296" s="3"/>
      <c r="D296" s="3"/>
      <c r="E296" s="4"/>
      <c r="F296" s="3"/>
      <c r="G296" s="3"/>
      <c r="H296" s="10"/>
      <c r="I296" s="187"/>
      <c r="J296" s="188"/>
      <c r="K296" s="188"/>
      <c r="L296" s="188"/>
      <c r="M296" s="188"/>
      <c r="N296" s="188"/>
      <c r="O296" s="188"/>
      <c r="P296" s="188"/>
      <c r="Q296" s="188"/>
      <c r="R296" s="188"/>
      <c r="S296" s="188"/>
      <c r="T296" s="7"/>
      <c r="U296" s="176"/>
    </row>
    <row r="297" spans="1:21">
      <c r="A297" s="3"/>
      <c r="B297" s="3"/>
      <c r="C297" s="3"/>
      <c r="D297" s="3"/>
      <c r="E297" s="4"/>
      <c r="F297" s="3"/>
      <c r="G297" s="3"/>
      <c r="H297" s="10"/>
      <c r="I297" s="187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7"/>
      <c r="U297" s="176"/>
    </row>
    <row r="298" spans="1:21">
      <c r="A298" s="3"/>
      <c r="B298" s="3"/>
      <c r="C298" s="3"/>
      <c r="D298" s="3"/>
      <c r="E298" s="4"/>
      <c r="F298" s="3"/>
      <c r="G298" s="3"/>
      <c r="H298" s="10"/>
      <c r="I298" s="187"/>
      <c r="J298" s="188"/>
      <c r="K298" s="188"/>
      <c r="L298" s="188"/>
      <c r="M298" s="188"/>
      <c r="N298" s="188"/>
      <c r="O298" s="188"/>
      <c r="P298" s="188"/>
      <c r="Q298" s="188"/>
      <c r="R298" s="188"/>
      <c r="S298" s="188"/>
      <c r="T298" s="7"/>
      <c r="U298" s="176"/>
    </row>
    <row r="299" spans="1:21">
      <c r="A299" s="3"/>
      <c r="B299" s="3"/>
      <c r="C299" s="3"/>
      <c r="D299" s="3"/>
      <c r="E299" s="4"/>
      <c r="F299" s="3"/>
      <c r="G299" s="3"/>
      <c r="H299" s="10"/>
      <c r="I299" s="187"/>
      <c r="J299" s="188"/>
      <c r="K299" s="188"/>
      <c r="L299" s="188"/>
      <c r="M299" s="188"/>
      <c r="N299" s="188"/>
      <c r="O299" s="188"/>
      <c r="P299" s="188"/>
      <c r="Q299" s="188"/>
      <c r="R299" s="188"/>
      <c r="S299" s="188"/>
      <c r="T299" s="7"/>
      <c r="U299" s="176"/>
    </row>
    <row r="300" spans="1:21">
      <c r="A300" s="3"/>
      <c r="B300" s="3"/>
      <c r="C300" s="3"/>
      <c r="D300" s="3"/>
      <c r="E300" s="4"/>
      <c r="F300" s="3"/>
      <c r="G300" s="3"/>
      <c r="H300" s="10"/>
      <c r="I300" s="187"/>
      <c r="J300" s="188"/>
      <c r="K300" s="188"/>
      <c r="L300" s="188"/>
      <c r="M300" s="188"/>
      <c r="N300" s="188"/>
      <c r="O300" s="188"/>
      <c r="P300" s="188"/>
      <c r="Q300" s="188"/>
      <c r="R300" s="188"/>
      <c r="S300" s="188"/>
      <c r="T300" s="7"/>
      <c r="U300" s="176"/>
    </row>
    <row r="301" spans="1:21">
      <c r="A301" s="3"/>
      <c r="B301" s="3"/>
      <c r="C301" s="3"/>
      <c r="D301" s="3"/>
      <c r="E301" s="4"/>
      <c r="F301" s="3"/>
      <c r="G301" s="3"/>
      <c r="H301" s="10"/>
      <c r="I301" s="187"/>
      <c r="J301" s="188"/>
      <c r="K301" s="188"/>
      <c r="L301" s="188"/>
      <c r="M301" s="188"/>
      <c r="N301" s="188"/>
      <c r="O301" s="188"/>
      <c r="P301" s="188"/>
      <c r="Q301" s="188"/>
      <c r="R301" s="188"/>
      <c r="S301" s="188"/>
      <c r="T301" s="7"/>
      <c r="U301" s="176"/>
    </row>
    <row r="302" spans="1:21">
      <c r="A302" s="3"/>
      <c r="B302" s="3"/>
      <c r="C302" s="3"/>
      <c r="D302" s="3"/>
      <c r="E302" s="4"/>
      <c r="F302" s="3"/>
      <c r="G302" s="3"/>
      <c r="H302" s="10"/>
      <c r="I302" s="187"/>
      <c r="J302" s="188"/>
      <c r="K302" s="188"/>
      <c r="L302" s="188"/>
      <c r="M302" s="188"/>
      <c r="N302" s="188"/>
      <c r="O302" s="188"/>
      <c r="P302" s="188"/>
      <c r="Q302" s="188"/>
      <c r="R302" s="188"/>
      <c r="S302" s="188"/>
      <c r="T302" s="7"/>
      <c r="U302" s="176"/>
    </row>
    <row r="303" spans="1:21">
      <c r="A303" s="3"/>
      <c r="B303" s="3"/>
      <c r="C303" s="3"/>
      <c r="D303" s="3"/>
      <c r="E303" s="4"/>
      <c r="F303" s="3"/>
      <c r="G303" s="3"/>
      <c r="H303" s="10"/>
      <c r="I303" s="187"/>
      <c r="J303" s="188"/>
      <c r="K303" s="188"/>
      <c r="L303" s="188"/>
      <c r="M303" s="188"/>
      <c r="N303" s="188"/>
      <c r="O303" s="188"/>
      <c r="P303" s="188"/>
      <c r="Q303" s="188"/>
      <c r="R303" s="188"/>
      <c r="S303" s="188"/>
      <c r="T303" s="7"/>
      <c r="U303" s="176"/>
    </row>
    <row r="304" spans="1:21">
      <c r="A304" s="3"/>
      <c r="B304" s="3"/>
      <c r="C304" s="3"/>
      <c r="D304" s="3"/>
      <c r="E304" s="4"/>
      <c r="F304" s="3"/>
      <c r="G304" s="3"/>
      <c r="H304" s="10"/>
      <c r="I304" s="187"/>
      <c r="J304" s="188"/>
      <c r="K304" s="188"/>
      <c r="L304" s="188"/>
      <c r="M304" s="188"/>
      <c r="N304" s="188"/>
      <c r="O304" s="188"/>
      <c r="P304" s="188"/>
      <c r="Q304" s="188"/>
      <c r="R304" s="188"/>
      <c r="S304" s="188"/>
      <c r="T304" s="7"/>
      <c r="U304" s="176"/>
    </row>
    <row r="305" spans="1:21">
      <c r="A305" s="3"/>
      <c r="B305" s="3"/>
      <c r="C305" s="3"/>
      <c r="D305" s="3"/>
      <c r="E305" s="4"/>
      <c r="F305" s="3"/>
      <c r="G305" s="3"/>
      <c r="H305" s="10"/>
      <c r="I305" s="187"/>
      <c r="J305" s="188"/>
      <c r="K305" s="188"/>
      <c r="L305" s="188"/>
      <c r="M305" s="188"/>
      <c r="N305" s="188"/>
      <c r="O305" s="188"/>
      <c r="P305" s="188"/>
      <c r="Q305" s="188"/>
      <c r="R305" s="188"/>
      <c r="S305" s="188"/>
      <c r="T305" s="7"/>
      <c r="U305" s="176"/>
    </row>
    <row r="306" spans="1:21">
      <c r="A306" s="3"/>
      <c r="B306" s="3"/>
      <c r="C306" s="3"/>
      <c r="D306" s="3"/>
      <c r="E306" s="4"/>
      <c r="F306" s="3"/>
      <c r="G306" s="3"/>
      <c r="H306" s="10"/>
      <c r="I306" s="187"/>
      <c r="J306" s="188"/>
      <c r="K306" s="188"/>
      <c r="L306" s="188"/>
      <c r="M306" s="188"/>
      <c r="N306" s="188"/>
      <c r="O306" s="188"/>
      <c r="P306" s="188"/>
      <c r="Q306" s="188"/>
      <c r="R306" s="188"/>
      <c r="S306" s="188"/>
      <c r="T306" s="7"/>
      <c r="U306" s="176"/>
    </row>
    <row r="307" spans="1:21">
      <c r="A307" s="3"/>
      <c r="B307" s="3"/>
      <c r="C307" s="3"/>
      <c r="D307" s="3"/>
      <c r="E307" s="4"/>
      <c r="F307" s="3"/>
      <c r="G307" s="3"/>
      <c r="H307" s="10"/>
      <c r="I307" s="187"/>
      <c r="J307" s="188"/>
      <c r="K307" s="188"/>
      <c r="L307" s="188"/>
      <c r="M307" s="188"/>
      <c r="N307" s="188"/>
      <c r="O307" s="188"/>
      <c r="P307" s="188"/>
      <c r="Q307" s="188"/>
      <c r="R307" s="188"/>
      <c r="S307" s="188"/>
      <c r="T307" s="7"/>
      <c r="U307" s="176"/>
    </row>
    <row r="308" spans="1:21">
      <c r="A308" s="3"/>
      <c r="B308" s="3"/>
      <c r="C308" s="3"/>
      <c r="D308" s="3"/>
      <c r="E308" s="4"/>
      <c r="F308" s="3"/>
      <c r="G308" s="3"/>
      <c r="H308" s="10"/>
      <c r="I308" s="187"/>
      <c r="J308" s="188"/>
      <c r="K308" s="188"/>
      <c r="L308" s="188"/>
      <c r="M308" s="188"/>
      <c r="N308" s="188"/>
      <c r="O308" s="188"/>
      <c r="P308" s="188"/>
      <c r="Q308" s="188"/>
      <c r="R308" s="188"/>
      <c r="S308" s="188"/>
      <c r="T308" s="7"/>
      <c r="U308" s="176"/>
    </row>
    <row r="309" spans="1:21">
      <c r="A309" s="3"/>
      <c r="B309" s="3"/>
      <c r="C309" s="3"/>
      <c r="D309" s="3"/>
      <c r="E309" s="4"/>
      <c r="F309" s="3"/>
      <c r="G309" s="3"/>
      <c r="H309" s="10"/>
      <c r="I309" s="187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7"/>
      <c r="U309" s="176"/>
    </row>
    <row r="310" spans="1:21">
      <c r="A310" s="3"/>
      <c r="B310" s="3"/>
      <c r="C310" s="3"/>
      <c r="D310" s="3"/>
      <c r="E310" s="4"/>
      <c r="F310" s="3"/>
      <c r="G310" s="3"/>
      <c r="H310" s="10"/>
      <c r="I310" s="187"/>
      <c r="J310" s="188"/>
      <c r="K310" s="188"/>
      <c r="L310" s="188"/>
      <c r="M310" s="188"/>
      <c r="N310" s="188"/>
      <c r="O310" s="188"/>
      <c r="P310" s="188"/>
      <c r="Q310" s="188"/>
      <c r="R310" s="188"/>
      <c r="S310" s="188"/>
      <c r="T310" s="7"/>
      <c r="U310" s="176"/>
    </row>
    <row r="311" spans="1:21">
      <c r="A311" s="3"/>
      <c r="B311" s="3"/>
      <c r="C311" s="3"/>
      <c r="D311" s="3"/>
      <c r="E311" s="4"/>
      <c r="F311" s="3"/>
      <c r="G311" s="3"/>
      <c r="H311" s="10"/>
      <c r="I311" s="187"/>
      <c r="J311" s="188"/>
      <c r="K311" s="188"/>
      <c r="L311" s="188"/>
      <c r="M311" s="188"/>
      <c r="N311" s="188"/>
      <c r="O311" s="188"/>
      <c r="P311" s="188"/>
      <c r="Q311" s="188"/>
      <c r="R311" s="188"/>
      <c r="S311" s="188"/>
      <c r="T311" s="7"/>
      <c r="U311" s="176"/>
    </row>
    <row r="312" spans="1:21">
      <c r="A312" s="3"/>
      <c r="B312" s="3"/>
      <c r="C312" s="3"/>
      <c r="D312" s="3"/>
      <c r="E312" s="4"/>
      <c r="F312" s="3"/>
      <c r="G312" s="3"/>
      <c r="H312" s="10"/>
      <c r="I312" s="187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7"/>
      <c r="U312" s="176"/>
    </row>
    <row r="313" spans="1:21">
      <c r="A313" s="3"/>
      <c r="B313" s="3"/>
      <c r="C313" s="3"/>
      <c r="D313" s="3"/>
      <c r="E313" s="4"/>
      <c r="F313" s="3"/>
      <c r="G313" s="3"/>
      <c r="H313" s="10"/>
      <c r="I313" s="187"/>
      <c r="J313" s="188"/>
      <c r="K313" s="188"/>
      <c r="L313" s="188"/>
      <c r="M313" s="188"/>
      <c r="N313" s="188"/>
      <c r="O313" s="188"/>
      <c r="P313" s="188"/>
      <c r="Q313" s="188"/>
      <c r="R313" s="188"/>
      <c r="S313" s="188"/>
      <c r="T313" s="7"/>
      <c r="U313" s="176"/>
    </row>
    <row r="314" spans="1:21">
      <c r="A314" s="3"/>
      <c r="B314" s="3"/>
      <c r="C314" s="3"/>
      <c r="D314" s="3"/>
      <c r="E314" s="4"/>
      <c r="F314" s="3"/>
      <c r="G314" s="3"/>
      <c r="H314" s="10"/>
      <c r="I314" s="187"/>
      <c r="J314" s="188"/>
      <c r="K314" s="188"/>
      <c r="L314" s="188"/>
      <c r="M314" s="188"/>
      <c r="N314" s="188"/>
      <c r="O314" s="188"/>
      <c r="P314" s="188"/>
      <c r="Q314" s="188"/>
      <c r="R314" s="188"/>
      <c r="S314" s="188"/>
      <c r="T314" s="7"/>
      <c r="U314" s="176"/>
    </row>
    <row r="315" spans="1:21">
      <c r="A315" s="3"/>
      <c r="B315" s="3"/>
      <c r="C315" s="3"/>
      <c r="D315" s="3"/>
      <c r="E315" s="4"/>
      <c r="F315" s="3"/>
      <c r="G315" s="3"/>
      <c r="H315" s="10"/>
      <c r="I315" s="187"/>
      <c r="J315" s="188"/>
      <c r="K315" s="188"/>
      <c r="L315" s="188"/>
      <c r="M315" s="188"/>
      <c r="N315" s="188"/>
      <c r="O315" s="188"/>
      <c r="P315" s="188"/>
      <c r="Q315" s="188"/>
      <c r="R315" s="188"/>
      <c r="S315" s="188"/>
      <c r="T315" s="7"/>
      <c r="U315" s="176"/>
    </row>
    <row r="316" spans="1:21">
      <c r="A316" s="3"/>
      <c r="B316" s="3"/>
      <c r="C316" s="3"/>
      <c r="D316" s="3"/>
      <c r="E316" s="4"/>
      <c r="F316" s="3"/>
      <c r="G316" s="3"/>
      <c r="H316" s="10"/>
      <c r="I316" s="187"/>
      <c r="J316" s="188"/>
      <c r="K316" s="188"/>
      <c r="L316" s="188"/>
      <c r="M316" s="188"/>
      <c r="N316" s="188"/>
      <c r="O316" s="188"/>
      <c r="P316" s="188"/>
      <c r="Q316" s="188"/>
      <c r="R316" s="188"/>
      <c r="S316" s="188"/>
      <c r="T316" s="7"/>
      <c r="U316" s="176"/>
    </row>
    <row r="317" spans="1:21">
      <c r="A317" s="3"/>
      <c r="B317" s="3"/>
      <c r="C317" s="3"/>
      <c r="D317" s="3"/>
      <c r="E317" s="4"/>
      <c r="F317" s="3"/>
      <c r="G317" s="3"/>
      <c r="H317" s="10"/>
      <c r="I317" s="187"/>
      <c r="J317" s="188"/>
      <c r="K317" s="188"/>
      <c r="L317" s="188"/>
      <c r="M317" s="188"/>
      <c r="N317" s="188"/>
      <c r="O317" s="188"/>
      <c r="P317" s="188"/>
      <c r="Q317" s="188"/>
      <c r="R317" s="188"/>
      <c r="S317" s="188"/>
      <c r="T317" s="7"/>
      <c r="U317" s="176"/>
    </row>
    <row r="318" spans="1:21">
      <c r="A318" s="3"/>
      <c r="B318" s="3"/>
      <c r="C318" s="3"/>
      <c r="D318" s="3"/>
      <c r="E318" s="4"/>
      <c r="F318" s="3"/>
      <c r="G318" s="3"/>
      <c r="H318" s="10"/>
      <c r="I318" s="187"/>
      <c r="J318" s="188"/>
      <c r="K318" s="188"/>
      <c r="L318" s="188"/>
      <c r="M318" s="188"/>
      <c r="N318" s="188"/>
      <c r="O318" s="188"/>
      <c r="P318" s="188"/>
      <c r="Q318" s="188"/>
      <c r="R318" s="188"/>
      <c r="S318" s="188"/>
      <c r="T318" s="7"/>
      <c r="U318" s="176"/>
    </row>
    <row r="319" spans="1:21">
      <c r="A319" s="3"/>
      <c r="B319" s="3"/>
      <c r="C319" s="3"/>
      <c r="D319" s="3"/>
      <c r="E319" s="4"/>
      <c r="F319" s="3"/>
      <c r="G319" s="3"/>
      <c r="H319" s="10"/>
      <c r="I319" s="187"/>
      <c r="J319" s="188"/>
      <c r="K319" s="188"/>
      <c r="L319" s="188"/>
      <c r="M319" s="188"/>
      <c r="N319" s="188"/>
      <c r="O319" s="188"/>
      <c r="P319" s="188"/>
      <c r="Q319" s="188"/>
      <c r="R319" s="188"/>
      <c r="S319" s="188"/>
      <c r="T319" s="7"/>
      <c r="U319" s="176"/>
    </row>
    <row r="320" spans="1:21">
      <c r="A320" s="3"/>
      <c r="B320" s="3"/>
      <c r="C320" s="3"/>
      <c r="D320" s="3"/>
      <c r="E320" s="4"/>
      <c r="F320" s="3"/>
      <c r="G320" s="3"/>
      <c r="H320" s="10"/>
      <c r="I320" s="187"/>
      <c r="J320" s="188"/>
      <c r="K320" s="188"/>
      <c r="L320" s="188"/>
      <c r="M320" s="188"/>
      <c r="N320" s="188"/>
      <c r="O320" s="188"/>
      <c r="P320" s="188"/>
      <c r="Q320" s="188"/>
      <c r="R320" s="188"/>
      <c r="S320" s="188"/>
      <c r="T320" s="7"/>
      <c r="U320" s="176"/>
    </row>
    <row r="321" spans="1:21">
      <c r="A321" s="3"/>
      <c r="B321" s="3"/>
      <c r="C321" s="3"/>
      <c r="D321" s="3"/>
      <c r="E321" s="4"/>
      <c r="F321" s="3"/>
      <c r="G321" s="3"/>
      <c r="H321" s="10"/>
      <c r="I321" s="187"/>
      <c r="J321" s="188"/>
      <c r="K321" s="188"/>
      <c r="L321" s="188"/>
      <c r="M321" s="188"/>
      <c r="N321" s="188"/>
      <c r="O321" s="188"/>
      <c r="P321" s="188"/>
      <c r="Q321" s="188"/>
      <c r="R321" s="188"/>
      <c r="S321" s="188"/>
      <c r="T321" s="7"/>
      <c r="U321" s="176"/>
    </row>
    <row r="322" spans="1:21">
      <c r="A322" s="3"/>
      <c r="B322" s="3"/>
      <c r="C322" s="3"/>
      <c r="D322" s="3"/>
      <c r="E322" s="4"/>
      <c r="F322" s="3"/>
      <c r="G322" s="3"/>
      <c r="H322" s="10"/>
      <c r="I322" s="187"/>
      <c r="J322" s="188"/>
      <c r="K322" s="188"/>
      <c r="L322" s="188"/>
      <c r="M322" s="188"/>
      <c r="N322" s="188"/>
      <c r="O322" s="188"/>
      <c r="P322" s="188"/>
      <c r="Q322" s="188"/>
      <c r="R322" s="188"/>
      <c r="S322" s="188"/>
      <c r="T322" s="7"/>
      <c r="U322" s="176"/>
    </row>
    <row r="323" spans="1:21">
      <c r="A323" s="3"/>
      <c r="B323" s="3"/>
      <c r="C323" s="3"/>
      <c r="D323" s="3"/>
      <c r="E323" s="4"/>
      <c r="F323" s="3"/>
      <c r="G323" s="3"/>
      <c r="H323" s="10"/>
      <c r="I323" s="187"/>
      <c r="J323" s="188"/>
      <c r="K323" s="188"/>
      <c r="L323" s="188"/>
      <c r="M323" s="188"/>
      <c r="N323" s="188"/>
      <c r="O323" s="188"/>
      <c r="P323" s="188"/>
      <c r="Q323" s="188"/>
      <c r="R323" s="188"/>
      <c r="S323" s="188"/>
      <c r="T323" s="7"/>
      <c r="U323" s="176"/>
    </row>
    <row r="324" spans="1:21">
      <c r="A324" s="3"/>
      <c r="B324" s="3"/>
      <c r="C324" s="3"/>
      <c r="D324" s="3"/>
      <c r="E324" s="4"/>
      <c r="F324" s="3"/>
      <c r="G324" s="3"/>
      <c r="H324" s="10"/>
      <c r="I324" s="187"/>
      <c r="J324" s="188"/>
      <c r="K324" s="188"/>
      <c r="L324" s="188"/>
      <c r="M324" s="188"/>
      <c r="N324" s="188"/>
      <c r="O324" s="188"/>
      <c r="P324" s="188"/>
      <c r="Q324" s="188"/>
      <c r="R324" s="188"/>
      <c r="S324" s="188"/>
      <c r="T324" s="7"/>
      <c r="U324" s="176"/>
    </row>
    <row r="325" spans="1:21">
      <c r="A325" s="3"/>
      <c r="B325" s="3"/>
      <c r="C325" s="3"/>
      <c r="D325" s="3"/>
      <c r="E325" s="4"/>
      <c r="F325" s="3"/>
      <c r="G325" s="3"/>
      <c r="H325" s="10"/>
      <c r="I325" s="187"/>
      <c r="J325" s="188"/>
      <c r="K325" s="188"/>
      <c r="L325" s="188"/>
      <c r="M325" s="188"/>
      <c r="N325" s="188"/>
      <c r="O325" s="188"/>
      <c r="P325" s="188"/>
      <c r="Q325" s="188"/>
      <c r="R325" s="188"/>
      <c r="S325" s="188"/>
      <c r="T325" s="7"/>
      <c r="U325" s="176"/>
    </row>
    <row r="326" spans="1:21">
      <c r="A326" s="3"/>
      <c r="B326" s="3"/>
      <c r="C326" s="3"/>
      <c r="D326" s="3"/>
      <c r="E326" s="4"/>
      <c r="F326" s="3"/>
      <c r="G326" s="3"/>
      <c r="H326" s="10"/>
      <c r="I326" s="187"/>
      <c r="J326" s="188"/>
      <c r="K326" s="188"/>
      <c r="L326" s="188"/>
      <c r="M326" s="188"/>
      <c r="N326" s="188"/>
      <c r="O326" s="188"/>
      <c r="P326" s="188"/>
      <c r="Q326" s="188"/>
      <c r="R326" s="188"/>
      <c r="S326" s="188"/>
      <c r="T326" s="7"/>
      <c r="U326" s="176"/>
    </row>
    <row r="327" spans="1:21">
      <c r="A327" s="3"/>
      <c r="B327" s="3"/>
      <c r="C327" s="3"/>
      <c r="D327" s="3"/>
      <c r="E327" s="4"/>
      <c r="F327" s="3"/>
      <c r="G327" s="3"/>
      <c r="H327" s="10"/>
      <c r="I327" s="187"/>
      <c r="J327" s="188"/>
      <c r="K327" s="188"/>
      <c r="L327" s="188"/>
      <c r="M327" s="188"/>
      <c r="N327" s="188"/>
      <c r="O327" s="188"/>
      <c r="P327" s="188"/>
      <c r="Q327" s="188"/>
      <c r="R327" s="188"/>
      <c r="S327" s="188"/>
      <c r="T327" s="7"/>
      <c r="U327" s="176"/>
    </row>
    <row r="328" spans="1:21">
      <c r="A328" s="3"/>
      <c r="B328" s="3"/>
      <c r="C328" s="3"/>
      <c r="D328" s="3"/>
      <c r="E328" s="4"/>
      <c r="F328" s="3"/>
      <c r="G328" s="3"/>
      <c r="H328" s="10"/>
      <c r="I328" s="187"/>
      <c r="J328" s="188"/>
      <c r="K328" s="188"/>
      <c r="L328" s="188"/>
      <c r="M328" s="188"/>
      <c r="N328" s="188"/>
      <c r="O328" s="188"/>
      <c r="P328" s="188"/>
      <c r="Q328" s="188"/>
      <c r="R328" s="188"/>
      <c r="S328" s="188"/>
      <c r="T328" s="7"/>
      <c r="U328" s="176"/>
    </row>
    <row r="329" spans="1:21">
      <c r="A329" s="3"/>
      <c r="B329" s="3"/>
      <c r="C329" s="3"/>
      <c r="D329" s="3"/>
      <c r="E329" s="4"/>
      <c r="F329" s="3"/>
      <c r="G329" s="3"/>
      <c r="H329" s="10"/>
      <c r="I329" s="187"/>
      <c r="J329" s="188"/>
      <c r="K329" s="188"/>
      <c r="L329" s="188"/>
      <c r="M329" s="188"/>
      <c r="N329" s="188"/>
      <c r="O329" s="188"/>
      <c r="P329" s="188"/>
      <c r="Q329" s="188"/>
      <c r="R329" s="188"/>
      <c r="S329" s="188"/>
      <c r="T329" s="7"/>
      <c r="U329" s="176"/>
    </row>
    <row r="330" spans="1:21">
      <c r="A330" s="3"/>
      <c r="B330" s="3"/>
      <c r="C330" s="3"/>
      <c r="D330" s="3"/>
      <c r="E330" s="4"/>
      <c r="F330" s="3"/>
      <c r="G330" s="3"/>
      <c r="H330" s="10"/>
      <c r="I330" s="187"/>
      <c r="J330" s="188"/>
      <c r="K330" s="188"/>
      <c r="L330" s="188"/>
      <c r="M330" s="188"/>
      <c r="N330" s="188"/>
      <c r="O330" s="188"/>
      <c r="P330" s="188"/>
      <c r="Q330" s="188"/>
      <c r="R330" s="188"/>
      <c r="S330" s="188"/>
      <c r="T330" s="7"/>
      <c r="U330" s="176"/>
    </row>
    <row r="331" spans="1:21">
      <c r="A331" s="3"/>
      <c r="B331" s="3"/>
      <c r="C331" s="3"/>
      <c r="D331" s="3"/>
      <c r="E331" s="4"/>
      <c r="F331" s="3"/>
      <c r="G331" s="3"/>
      <c r="H331" s="10"/>
      <c r="I331" s="187"/>
      <c r="J331" s="188"/>
      <c r="K331" s="188"/>
      <c r="L331" s="188"/>
      <c r="M331" s="188"/>
      <c r="N331" s="188"/>
      <c r="O331" s="188"/>
      <c r="P331" s="188"/>
      <c r="Q331" s="188"/>
      <c r="R331" s="188"/>
      <c r="S331" s="188"/>
      <c r="T331" s="7"/>
      <c r="U331" s="176"/>
    </row>
    <row r="332" spans="1:21">
      <c r="A332" s="3"/>
      <c r="B332" s="3"/>
      <c r="C332" s="3"/>
      <c r="D332" s="3"/>
      <c r="E332" s="4"/>
      <c r="F332" s="3"/>
      <c r="G332" s="3"/>
      <c r="H332" s="10"/>
      <c r="I332" s="187"/>
      <c r="J332" s="188"/>
      <c r="K332" s="188"/>
      <c r="L332" s="188"/>
      <c r="M332" s="188"/>
      <c r="N332" s="188"/>
      <c r="O332" s="188"/>
      <c r="P332" s="188"/>
      <c r="Q332" s="188"/>
      <c r="R332" s="188"/>
      <c r="S332" s="188"/>
      <c r="T332" s="7"/>
      <c r="U332" s="176"/>
    </row>
    <row r="333" spans="1:21">
      <c r="A333" s="3"/>
      <c r="B333" s="3"/>
      <c r="C333" s="3"/>
      <c r="D333" s="3"/>
      <c r="E333" s="4"/>
      <c r="F333" s="3"/>
      <c r="G333" s="3"/>
      <c r="H333" s="10"/>
      <c r="I333" s="187"/>
      <c r="J333" s="188"/>
      <c r="K333" s="188"/>
      <c r="L333" s="188"/>
      <c r="M333" s="188"/>
      <c r="N333" s="188"/>
      <c r="O333" s="188"/>
      <c r="P333" s="188"/>
      <c r="Q333" s="188"/>
      <c r="R333" s="188"/>
      <c r="S333" s="188"/>
      <c r="T333" s="7"/>
      <c r="U333" s="176"/>
    </row>
    <row r="334" spans="1:21">
      <c r="A334" s="3"/>
      <c r="B334" s="3"/>
      <c r="C334" s="3"/>
      <c r="D334" s="3"/>
      <c r="E334" s="4"/>
      <c r="F334" s="3"/>
      <c r="G334" s="3"/>
      <c r="H334" s="10"/>
      <c r="I334" s="187"/>
      <c r="J334" s="188"/>
      <c r="K334" s="188"/>
      <c r="L334" s="188"/>
      <c r="M334" s="188"/>
      <c r="N334" s="188"/>
      <c r="O334" s="188"/>
      <c r="P334" s="188"/>
      <c r="Q334" s="188"/>
      <c r="R334" s="188"/>
      <c r="S334" s="188"/>
      <c r="T334" s="7"/>
      <c r="U334" s="176"/>
    </row>
    <row r="335" spans="1:21">
      <c r="A335" s="3"/>
      <c r="B335" s="3"/>
      <c r="C335" s="3"/>
      <c r="D335" s="3"/>
      <c r="E335" s="4"/>
      <c r="F335" s="3"/>
      <c r="G335" s="3"/>
      <c r="H335" s="10"/>
      <c r="I335" s="187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7"/>
      <c r="U335" s="176"/>
    </row>
    <row r="336" spans="1:21">
      <c r="A336" s="3"/>
      <c r="B336" s="3"/>
      <c r="C336" s="3"/>
      <c r="D336" s="3"/>
      <c r="E336" s="4"/>
      <c r="F336" s="3"/>
      <c r="G336" s="3"/>
      <c r="H336" s="10"/>
      <c r="I336" s="187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7"/>
      <c r="U336" s="176"/>
    </row>
    <row r="337" spans="1:21">
      <c r="A337" s="3"/>
      <c r="B337" s="3"/>
      <c r="C337" s="3"/>
      <c r="D337" s="3"/>
      <c r="E337" s="4"/>
      <c r="F337" s="3"/>
      <c r="G337" s="3"/>
      <c r="H337" s="10"/>
      <c r="I337" s="187"/>
      <c r="J337" s="188"/>
      <c r="K337" s="188"/>
      <c r="L337" s="188"/>
      <c r="M337" s="188"/>
      <c r="N337" s="188"/>
      <c r="O337" s="188"/>
      <c r="P337" s="188"/>
      <c r="Q337" s="188"/>
      <c r="R337" s="188"/>
      <c r="S337" s="188"/>
      <c r="T337" s="7"/>
      <c r="U337" s="176"/>
    </row>
    <row r="338" spans="1:21">
      <c r="A338" s="3"/>
      <c r="B338" s="3"/>
      <c r="C338" s="3"/>
      <c r="D338" s="3"/>
      <c r="E338" s="4"/>
      <c r="F338" s="3"/>
      <c r="G338" s="3"/>
      <c r="H338" s="10"/>
      <c r="I338" s="187"/>
      <c r="J338" s="188"/>
      <c r="K338" s="188"/>
      <c r="L338" s="188"/>
      <c r="M338" s="188"/>
      <c r="N338" s="188"/>
      <c r="O338" s="188"/>
      <c r="P338" s="188"/>
      <c r="Q338" s="188"/>
      <c r="R338" s="188"/>
      <c r="S338" s="188"/>
      <c r="T338" s="7"/>
      <c r="U338" s="176"/>
    </row>
    <row r="339" spans="1:21">
      <c r="A339" s="3"/>
      <c r="B339" s="3"/>
      <c r="C339" s="3"/>
      <c r="D339" s="3"/>
      <c r="E339" s="4"/>
      <c r="F339" s="3"/>
      <c r="G339" s="3"/>
      <c r="H339" s="10"/>
      <c r="I339" s="187"/>
      <c r="J339" s="188"/>
      <c r="K339" s="188"/>
      <c r="L339" s="188"/>
      <c r="M339" s="188"/>
      <c r="N339" s="188"/>
      <c r="O339" s="188"/>
      <c r="P339" s="188"/>
      <c r="Q339" s="188"/>
      <c r="R339" s="188"/>
      <c r="S339" s="188"/>
      <c r="T339" s="7"/>
      <c r="U339" s="176"/>
    </row>
    <row r="340" spans="1:21">
      <c r="A340" s="3"/>
      <c r="B340" s="3"/>
      <c r="C340" s="3"/>
      <c r="D340" s="3"/>
      <c r="E340" s="4"/>
      <c r="F340" s="3"/>
      <c r="G340" s="3"/>
      <c r="H340" s="10"/>
      <c r="I340" s="187"/>
      <c r="J340" s="188"/>
      <c r="K340" s="188"/>
      <c r="L340" s="188"/>
      <c r="M340" s="188"/>
      <c r="N340" s="188"/>
      <c r="O340" s="188"/>
      <c r="P340" s="188"/>
      <c r="Q340" s="188"/>
      <c r="R340" s="188"/>
      <c r="S340" s="188"/>
      <c r="T340" s="7"/>
      <c r="U340" s="176"/>
    </row>
    <row r="341" spans="1:21">
      <c r="A341" s="3"/>
      <c r="B341" s="3"/>
      <c r="C341" s="3"/>
      <c r="D341" s="3"/>
      <c r="E341" s="4"/>
      <c r="F341" s="3"/>
      <c r="G341" s="3"/>
      <c r="H341" s="10"/>
      <c r="I341" s="187"/>
      <c r="J341" s="188"/>
      <c r="K341" s="188"/>
      <c r="L341" s="188"/>
      <c r="M341" s="188"/>
      <c r="N341" s="188"/>
      <c r="O341" s="188"/>
      <c r="P341" s="188"/>
      <c r="Q341" s="188"/>
      <c r="R341" s="188"/>
      <c r="S341" s="188"/>
      <c r="T341" s="7"/>
      <c r="U341" s="176"/>
    </row>
    <row r="342" spans="1:21">
      <c r="A342" s="3"/>
      <c r="B342" s="3"/>
      <c r="C342" s="3"/>
      <c r="D342" s="3"/>
      <c r="E342" s="4"/>
      <c r="F342" s="3"/>
      <c r="G342" s="3"/>
      <c r="H342" s="10"/>
      <c r="I342" s="187"/>
      <c r="J342" s="188"/>
      <c r="K342" s="188"/>
      <c r="L342" s="188"/>
      <c r="M342" s="188"/>
      <c r="N342" s="188"/>
      <c r="O342" s="188"/>
      <c r="P342" s="188"/>
      <c r="Q342" s="188"/>
      <c r="R342" s="188"/>
      <c r="S342" s="188"/>
      <c r="T342" s="7"/>
      <c r="U342" s="176"/>
    </row>
    <row r="343" spans="1:21">
      <c r="A343" s="3"/>
      <c r="B343" s="3"/>
      <c r="C343" s="3"/>
      <c r="D343" s="3"/>
      <c r="E343" s="4"/>
      <c r="F343" s="3"/>
      <c r="G343" s="3"/>
      <c r="H343" s="10"/>
      <c r="I343" s="187"/>
      <c r="J343" s="188"/>
      <c r="K343" s="188"/>
      <c r="L343" s="188"/>
      <c r="M343" s="188"/>
      <c r="N343" s="188"/>
      <c r="O343" s="188"/>
      <c r="P343" s="188"/>
      <c r="Q343" s="188"/>
      <c r="R343" s="188"/>
      <c r="S343" s="188"/>
      <c r="T343" s="7"/>
      <c r="U343" s="176"/>
    </row>
    <row r="344" spans="1:21">
      <c r="A344" s="3"/>
      <c r="B344" s="3"/>
      <c r="C344" s="3"/>
      <c r="D344" s="3"/>
      <c r="E344" s="4"/>
      <c r="F344" s="3"/>
      <c r="G344" s="3"/>
      <c r="H344" s="10"/>
      <c r="I344" s="187"/>
      <c r="J344" s="188"/>
      <c r="K344" s="188"/>
      <c r="L344" s="188"/>
      <c r="M344" s="188"/>
      <c r="N344" s="188"/>
      <c r="O344" s="188"/>
      <c r="P344" s="188"/>
      <c r="Q344" s="188"/>
      <c r="R344" s="188"/>
      <c r="S344" s="188"/>
      <c r="T344" s="7"/>
      <c r="U344" s="176"/>
    </row>
    <row r="345" spans="1:21">
      <c r="A345" s="3"/>
      <c r="B345" s="3"/>
      <c r="C345" s="3"/>
      <c r="D345" s="3"/>
      <c r="E345" s="4"/>
      <c r="F345" s="3"/>
      <c r="G345" s="3"/>
      <c r="H345" s="10"/>
      <c r="I345" s="187"/>
      <c r="J345" s="188"/>
      <c r="K345" s="188"/>
      <c r="L345" s="188"/>
      <c r="M345" s="188"/>
      <c r="N345" s="188"/>
      <c r="O345" s="188"/>
      <c r="P345" s="188"/>
      <c r="Q345" s="188"/>
      <c r="R345" s="188"/>
      <c r="S345" s="188"/>
      <c r="T345" s="7"/>
      <c r="U345" s="176"/>
    </row>
    <row r="346" spans="1:21">
      <c r="A346" s="3"/>
      <c r="B346" s="3"/>
      <c r="C346" s="3"/>
      <c r="D346" s="3"/>
      <c r="E346" s="4"/>
      <c r="F346" s="3"/>
      <c r="G346" s="3"/>
      <c r="H346" s="10"/>
      <c r="I346" s="187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7"/>
      <c r="U346" s="176"/>
    </row>
    <row r="347" spans="1:21">
      <c r="A347" s="3"/>
      <c r="B347" s="3"/>
      <c r="C347" s="3"/>
      <c r="D347" s="3"/>
      <c r="E347" s="4"/>
      <c r="F347" s="3"/>
      <c r="G347" s="3"/>
      <c r="H347" s="10"/>
      <c r="I347" s="187"/>
      <c r="J347" s="188"/>
      <c r="K347" s="188"/>
      <c r="L347" s="188"/>
      <c r="M347" s="188"/>
      <c r="N347" s="188"/>
      <c r="O347" s="188"/>
      <c r="P347" s="188"/>
      <c r="Q347" s="188"/>
      <c r="R347" s="188"/>
      <c r="S347" s="188"/>
      <c r="T347" s="7"/>
      <c r="U347" s="176"/>
    </row>
    <row r="348" spans="1:21">
      <c r="A348" s="3"/>
      <c r="B348" s="3"/>
      <c r="C348" s="3"/>
      <c r="D348" s="3"/>
      <c r="E348" s="4"/>
      <c r="F348" s="3"/>
      <c r="G348" s="3"/>
      <c r="H348" s="10"/>
      <c r="I348" s="187"/>
      <c r="J348" s="188"/>
      <c r="K348" s="188"/>
      <c r="L348" s="188"/>
      <c r="M348" s="188"/>
      <c r="N348" s="188"/>
      <c r="O348" s="188"/>
      <c r="P348" s="188"/>
      <c r="Q348" s="188"/>
      <c r="R348" s="188"/>
      <c r="S348" s="188"/>
      <c r="T348" s="7"/>
      <c r="U348" s="176"/>
    </row>
    <row r="349" spans="1:21">
      <c r="A349" s="3"/>
      <c r="B349" s="3"/>
      <c r="C349" s="3"/>
      <c r="D349" s="3"/>
      <c r="E349" s="4"/>
      <c r="F349" s="3"/>
      <c r="G349" s="3"/>
      <c r="H349" s="10"/>
      <c r="I349" s="187"/>
      <c r="J349" s="188"/>
      <c r="K349" s="188"/>
      <c r="L349" s="188"/>
      <c r="M349" s="188"/>
      <c r="N349" s="188"/>
      <c r="O349" s="188"/>
      <c r="P349" s="188"/>
      <c r="Q349" s="188"/>
      <c r="R349" s="188"/>
      <c r="S349" s="188"/>
      <c r="T349" s="7"/>
      <c r="U349" s="176"/>
    </row>
    <row r="350" spans="1:21">
      <c r="A350" s="3"/>
      <c r="B350" s="3"/>
      <c r="C350" s="3"/>
      <c r="D350" s="3"/>
      <c r="E350" s="4"/>
      <c r="F350" s="3"/>
      <c r="G350" s="3"/>
      <c r="H350" s="10"/>
      <c r="I350" s="187"/>
      <c r="J350" s="188"/>
      <c r="K350" s="188"/>
      <c r="L350" s="188"/>
      <c r="M350" s="188"/>
      <c r="N350" s="188"/>
      <c r="O350" s="188"/>
      <c r="P350" s="188"/>
      <c r="Q350" s="188"/>
      <c r="R350" s="188"/>
      <c r="S350" s="188"/>
      <c r="T350" s="7"/>
      <c r="U350" s="176"/>
    </row>
    <row r="351" spans="1:21">
      <c r="A351" s="3"/>
      <c r="B351" s="3"/>
      <c r="C351" s="3"/>
      <c r="D351" s="3"/>
      <c r="E351" s="4"/>
      <c r="F351" s="3"/>
      <c r="G351" s="3"/>
      <c r="H351" s="10"/>
      <c r="I351" s="187"/>
      <c r="J351" s="188"/>
      <c r="K351" s="188"/>
      <c r="L351" s="188"/>
      <c r="M351" s="188"/>
      <c r="N351" s="188"/>
      <c r="O351" s="188"/>
      <c r="P351" s="188"/>
      <c r="Q351" s="188"/>
      <c r="R351" s="188"/>
      <c r="S351" s="188"/>
      <c r="T351" s="7"/>
      <c r="U351" s="176"/>
    </row>
    <row r="352" spans="1:21">
      <c r="A352" s="3"/>
      <c r="B352" s="3"/>
      <c r="C352" s="3"/>
      <c r="D352" s="3"/>
      <c r="E352" s="4"/>
      <c r="F352" s="3"/>
      <c r="G352" s="3"/>
      <c r="H352" s="10"/>
      <c r="I352" s="187"/>
      <c r="J352" s="188"/>
      <c r="K352" s="188"/>
      <c r="L352" s="188"/>
      <c r="M352" s="188"/>
      <c r="N352" s="188"/>
      <c r="O352" s="188"/>
      <c r="P352" s="188"/>
      <c r="Q352" s="188"/>
      <c r="R352" s="188"/>
      <c r="S352" s="188"/>
      <c r="T352" s="7"/>
      <c r="U352" s="176"/>
    </row>
    <row r="353" spans="1:21">
      <c r="A353" s="3"/>
      <c r="B353" s="3"/>
      <c r="C353" s="3"/>
      <c r="D353" s="3"/>
      <c r="E353" s="4"/>
      <c r="F353" s="3"/>
      <c r="G353" s="3"/>
      <c r="H353" s="10"/>
      <c r="I353" s="187"/>
      <c r="J353" s="188"/>
      <c r="K353" s="188"/>
      <c r="L353" s="188"/>
      <c r="M353" s="188"/>
      <c r="N353" s="188"/>
      <c r="O353" s="188"/>
      <c r="P353" s="188"/>
      <c r="Q353" s="188"/>
      <c r="R353" s="188"/>
      <c r="S353" s="188"/>
      <c r="T353" s="7"/>
      <c r="U353" s="176"/>
    </row>
    <row r="354" spans="1:21">
      <c r="A354" s="3"/>
      <c r="B354" s="3"/>
      <c r="C354" s="3"/>
      <c r="D354" s="3"/>
      <c r="E354" s="4"/>
      <c r="F354" s="3"/>
      <c r="G354" s="3"/>
      <c r="H354" s="10"/>
      <c r="I354" s="187"/>
      <c r="J354" s="188"/>
      <c r="K354" s="188"/>
      <c r="L354" s="188"/>
      <c r="M354" s="188"/>
      <c r="N354" s="188"/>
      <c r="O354" s="188"/>
      <c r="P354" s="188"/>
      <c r="Q354" s="188"/>
      <c r="R354" s="188"/>
      <c r="S354" s="188"/>
      <c r="T354" s="7"/>
      <c r="U354" s="176"/>
    </row>
    <row r="355" spans="1:21">
      <c r="A355" s="3"/>
      <c r="B355" s="3"/>
      <c r="C355" s="3"/>
      <c r="D355" s="3"/>
      <c r="E355" s="4"/>
      <c r="F355" s="3"/>
      <c r="G355" s="3"/>
      <c r="H355" s="10"/>
      <c r="I355" s="187"/>
      <c r="J355" s="188"/>
      <c r="K355" s="188"/>
      <c r="L355" s="188"/>
      <c r="M355" s="188"/>
      <c r="N355" s="188"/>
      <c r="O355" s="188"/>
      <c r="P355" s="188"/>
      <c r="Q355" s="188"/>
      <c r="R355" s="188"/>
      <c r="S355" s="188"/>
      <c r="T355" s="7"/>
      <c r="U355" s="176"/>
    </row>
    <row r="356" spans="1:21">
      <c r="A356" s="3"/>
      <c r="B356" s="3"/>
      <c r="C356" s="3"/>
      <c r="D356" s="3"/>
      <c r="E356" s="4"/>
      <c r="F356" s="3"/>
      <c r="G356" s="3"/>
      <c r="H356" s="10"/>
      <c r="I356" s="187"/>
      <c r="J356" s="188"/>
      <c r="K356" s="188"/>
      <c r="L356" s="188"/>
      <c r="M356" s="188"/>
      <c r="N356" s="188"/>
      <c r="O356" s="188"/>
      <c r="P356" s="188"/>
      <c r="Q356" s="188"/>
      <c r="R356" s="188"/>
      <c r="S356" s="188"/>
      <c r="T356" s="7"/>
      <c r="U356" s="176"/>
    </row>
    <row r="357" spans="1:21">
      <c r="A357" s="3"/>
      <c r="B357" s="3"/>
      <c r="C357" s="3"/>
      <c r="D357" s="3"/>
      <c r="E357" s="4"/>
      <c r="F357" s="3"/>
      <c r="G357" s="3"/>
      <c r="H357" s="10"/>
      <c r="I357" s="187"/>
      <c r="J357" s="188"/>
      <c r="K357" s="188"/>
      <c r="L357" s="188"/>
      <c r="M357" s="188"/>
      <c r="N357" s="188"/>
      <c r="O357" s="188"/>
      <c r="P357" s="188"/>
      <c r="Q357" s="188"/>
      <c r="R357" s="188"/>
      <c r="S357" s="188"/>
      <c r="T357" s="7"/>
      <c r="U357" s="176"/>
    </row>
    <row r="358" spans="1:21">
      <c r="A358" s="3"/>
      <c r="B358" s="3"/>
      <c r="C358" s="3"/>
      <c r="D358" s="3"/>
      <c r="E358" s="4"/>
      <c r="F358" s="3"/>
      <c r="G358" s="3"/>
      <c r="H358" s="10"/>
      <c r="I358" s="187"/>
      <c r="J358" s="188"/>
      <c r="K358" s="188"/>
      <c r="L358" s="188"/>
      <c r="M358" s="188"/>
      <c r="N358" s="188"/>
      <c r="O358" s="188"/>
      <c r="P358" s="188"/>
      <c r="Q358" s="188"/>
      <c r="R358" s="188"/>
      <c r="S358" s="188"/>
      <c r="T358" s="7"/>
      <c r="U358" s="176"/>
    </row>
    <row r="359" spans="1:21">
      <c r="A359" s="3"/>
      <c r="B359" s="3"/>
      <c r="C359" s="3"/>
      <c r="D359" s="3"/>
      <c r="E359" s="4"/>
      <c r="F359" s="3"/>
      <c r="G359" s="3"/>
      <c r="H359" s="10"/>
      <c r="I359" s="187"/>
      <c r="J359" s="188"/>
      <c r="K359" s="188"/>
      <c r="L359" s="188"/>
      <c r="M359" s="188"/>
      <c r="N359" s="188"/>
      <c r="O359" s="188"/>
      <c r="P359" s="188"/>
      <c r="Q359" s="188"/>
      <c r="R359" s="188"/>
      <c r="S359" s="188"/>
      <c r="T359" s="7"/>
      <c r="U359" s="176"/>
    </row>
    <row r="360" spans="1:21">
      <c r="A360" s="3"/>
      <c r="B360" s="3"/>
      <c r="C360" s="3"/>
      <c r="D360" s="3"/>
      <c r="E360" s="4"/>
      <c r="F360" s="3"/>
      <c r="G360" s="3"/>
      <c r="H360" s="10"/>
      <c r="I360" s="187"/>
      <c r="J360" s="188"/>
      <c r="K360" s="188"/>
      <c r="L360" s="188"/>
      <c r="M360" s="188"/>
      <c r="N360" s="188"/>
      <c r="O360" s="188"/>
      <c r="P360" s="188"/>
      <c r="Q360" s="188"/>
      <c r="R360" s="188"/>
      <c r="S360" s="188"/>
      <c r="T360" s="7"/>
      <c r="U360" s="176"/>
    </row>
    <row r="361" spans="1:21">
      <c r="A361" s="3"/>
      <c r="B361" s="3"/>
      <c r="C361" s="3"/>
      <c r="D361" s="3"/>
      <c r="E361" s="4"/>
      <c r="F361" s="3"/>
      <c r="G361" s="3"/>
      <c r="H361" s="10"/>
      <c r="I361" s="187"/>
      <c r="J361" s="188"/>
      <c r="K361" s="188"/>
      <c r="L361" s="188"/>
      <c r="M361" s="188"/>
      <c r="N361" s="188"/>
      <c r="O361" s="188"/>
      <c r="P361" s="188"/>
      <c r="Q361" s="188"/>
      <c r="R361" s="188"/>
      <c r="S361" s="188"/>
      <c r="T361" s="7"/>
      <c r="U361" s="176"/>
    </row>
    <row r="362" spans="1:21">
      <c r="A362" s="3"/>
      <c r="B362" s="3"/>
      <c r="C362" s="3"/>
      <c r="D362" s="3"/>
      <c r="E362" s="4"/>
      <c r="F362" s="3"/>
      <c r="G362" s="3"/>
      <c r="H362" s="10"/>
      <c r="I362" s="187"/>
      <c r="J362" s="188"/>
      <c r="K362" s="188"/>
      <c r="L362" s="188"/>
      <c r="M362" s="188"/>
      <c r="N362" s="188"/>
      <c r="O362" s="188"/>
      <c r="P362" s="188"/>
      <c r="Q362" s="188"/>
      <c r="R362" s="188"/>
      <c r="S362" s="188"/>
      <c r="T362" s="7"/>
      <c r="U362" s="176"/>
    </row>
    <row r="363" spans="1:21">
      <c r="A363" s="3"/>
      <c r="B363" s="3"/>
      <c r="C363" s="3"/>
      <c r="D363" s="3"/>
      <c r="E363" s="4"/>
      <c r="F363" s="3"/>
      <c r="G363" s="3"/>
      <c r="H363" s="10"/>
      <c r="I363" s="187"/>
      <c r="J363" s="188"/>
      <c r="K363" s="188"/>
      <c r="L363" s="188"/>
      <c r="M363" s="188"/>
      <c r="N363" s="188"/>
      <c r="O363" s="188"/>
      <c r="P363" s="188"/>
      <c r="Q363" s="188"/>
      <c r="R363" s="188"/>
      <c r="S363" s="188"/>
      <c r="T363" s="7"/>
      <c r="U363" s="176"/>
    </row>
    <row r="364" spans="1:21">
      <c r="A364" s="3"/>
      <c r="B364" s="3"/>
      <c r="C364" s="3"/>
      <c r="D364" s="3"/>
      <c r="E364" s="4"/>
      <c r="F364" s="3"/>
      <c r="G364" s="3"/>
      <c r="H364" s="10"/>
      <c r="I364" s="187"/>
      <c r="J364" s="188"/>
      <c r="K364" s="188"/>
      <c r="L364" s="188"/>
      <c r="M364" s="188"/>
      <c r="N364" s="188"/>
      <c r="O364" s="188"/>
      <c r="P364" s="188"/>
      <c r="Q364" s="188"/>
      <c r="R364" s="188"/>
      <c r="S364" s="188"/>
      <c r="T364" s="7"/>
      <c r="U364" s="176"/>
    </row>
    <row r="365" spans="1:21">
      <c r="A365" s="3"/>
      <c r="B365" s="3"/>
      <c r="C365" s="3"/>
      <c r="D365" s="3"/>
      <c r="E365" s="4"/>
      <c r="F365" s="3"/>
      <c r="G365" s="3"/>
      <c r="H365" s="10"/>
      <c r="I365" s="187"/>
      <c r="J365" s="188"/>
      <c r="K365" s="188"/>
      <c r="L365" s="188"/>
      <c r="M365" s="188"/>
      <c r="N365" s="188"/>
      <c r="O365" s="188"/>
      <c r="P365" s="188"/>
      <c r="Q365" s="188"/>
      <c r="R365" s="188"/>
      <c r="S365" s="188"/>
      <c r="T365" s="7"/>
      <c r="U365" s="176"/>
    </row>
    <row r="366" spans="1:21">
      <c r="A366" s="3"/>
      <c r="B366" s="3"/>
      <c r="C366" s="3"/>
      <c r="D366" s="3"/>
      <c r="E366" s="4"/>
      <c r="F366" s="3"/>
      <c r="G366" s="3"/>
      <c r="H366" s="10"/>
      <c r="I366" s="187"/>
      <c r="J366" s="188"/>
      <c r="K366" s="188"/>
      <c r="L366" s="188"/>
      <c r="M366" s="188"/>
      <c r="N366" s="188"/>
      <c r="O366" s="188"/>
      <c r="P366" s="188"/>
      <c r="Q366" s="188"/>
      <c r="R366" s="188"/>
      <c r="S366" s="188"/>
      <c r="T366" s="7"/>
      <c r="U366" s="176"/>
    </row>
    <row r="367" spans="1:21">
      <c r="A367" s="3"/>
      <c r="B367" s="3"/>
      <c r="C367" s="3"/>
      <c r="D367" s="3"/>
      <c r="E367" s="4"/>
      <c r="F367" s="3"/>
      <c r="G367" s="3"/>
      <c r="H367" s="10"/>
      <c r="I367" s="187"/>
      <c r="J367" s="188"/>
      <c r="K367" s="188"/>
      <c r="L367" s="188"/>
      <c r="M367" s="188"/>
      <c r="N367" s="188"/>
      <c r="O367" s="188"/>
      <c r="P367" s="188"/>
      <c r="Q367" s="188"/>
      <c r="R367" s="188"/>
      <c r="S367" s="188"/>
      <c r="T367" s="7"/>
      <c r="U367" s="176"/>
    </row>
    <row r="368" spans="1:21">
      <c r="A368" s="3"/>
      <c r="B368" s="3"/>
      <c r="C368" s="3"/>
      <c r="D368" s="3"/>
      <c r="E368" s="4"/>
      <c r="F368" s="3"/>
      <c r="G368" s="3"/>
      <c r="H368" s="10"/>
      <c r="I368" s="187"/>
      <c r="J368" s="188"/>
      <c r="K368" s="188"/>
      <c r="L368" s="188"/>
      <c r="M368" s="188"/>
      <c r="N368" s="188"/>
      <c r="O368" s="188"/>
      <c r="P368" s="188"/>
      <c r="Q368" s="188"/>
      <c r="R368" s="188"/>
      <c r="S368" s="188"/>
      <c r="T368" s="7"/>
      <c r="U368" s="176"/>
    </row>
    <row r="369" spans="1:21">
      <c r="A369" s="3"/>
      <c r="B369" s="3"/>
      <c r="C369" s="3"/>
      <c r="D369" s="3"/>
      <c r="E369" s="4"/>
      <c r="F369" s="3"/>
      <c r="G369" s="3"/>
      <c r="H369" s="10"/>
      <c r="I369" s="187"/>
      <c r="J369" s="188"/>
      <c r="K369" s="188"/>
      <c r="L369" s="188"/>
      <c r="M369" s="188"/>
      <c r="N369" s="188"/>
      <c r="O369" s="188"/>
      <c r="P369" s="188"/>
      <c r="Q369" s="188"/>
      <c r="R369" s="188"/>
      <c r="S369" s="188"/>
      <c r="T369" s="7"/>
      <c r="U369" s="176"/>
    </row>
    <row r="370" spans="1:21">
      <c r="A370" s="3"/>
      <c r="B370" s="3"/>
      <c r="C370" s="3"/>
      <c r="D370" s="3"/>
      <c r="E370" s="4"/>
      <c r="F370" s="3"/>
      <c r="G370" s="3"/>
      <c r="H370" s="10"/>
      <c r="I370" s="187"/>
      <c r="J370" s="188"/>
      <c r="K370" s="188"/>
      <c r="L370" s="188"/>
      <c r="M370" s="188"/>
      <c r="N370" s="188"/>
      <c r="O370" s="188"/>
      <c r="P370" s="188"/>
      <c r="Q370" s="188"/>
      <c r="R370" s="188"/>
      <c r="S370" s="188"/>
      <c r="T370" s="7"/>
      <c r="U370" s="176"/>
    </row>
    <row r="371" spans="1:21">
      <c r="A371" s="3"/>
      <c r="B371" s="3"/>
      <c r="C371" s="3"/>
      <c r="D371" s="3"/>
      <c r="E371" s="4"/>
      <c r="F371" s="3"/>
      <c r="G371" s="3"/>
      <c r="H371" s="10"/>
      <c r="I371" s="187"/>
      <c r="J371" s="188"/>
      <c r="K371" s="188"/>
      <c r="L371" s="188"/>
      <c r="M371" s="188"/>
      <c r="N371" s="188"/>
      <c r="O371" s="188"/>
      <c r="P371" s="188"/>
      <c r="Q371" s="188"/>
      <c r="R371" s="188"/>
      <c r="S371" s="188"/>
      <c r="T371" s="7"/>
      <c r="U371" s="176"/>
    </row>
    <row r="372" spans="1:21">
      <c r="A372" s="3"/>
      <c r="B372" s="3"/>
      <c r="C372" s="3"/>
      <c r="D372" s="3"/>
      <c r="E372" s="4"/>
      <c r="F372" s="3"/>
      <c r="G372" s="3"/>
      <c r="H372" s="10"/>
      <c r="I372" s="187"/>
      <c r="J372" s="188"/>
      <c r="K372" s="188"/>
      <c r="L372" s="188"/>
      <c r="M372" s="188"/>
      <c r="N372" s="188"/>
      <c r="O372" s="188"/>
      <c r="P372" s="188"/>
      <c r="Q372" s="188"/>
      <c r="R372" s="188"/>
      <c r="S372" s="188"/>
      <c r="T372" s="7"/>
      <c r="U372" s="176"/>
    </row>
    <row r="373" spans="1:21">
      <c r="A373" s="3"/>
      <c r="B373" s="3"/>
      <c r="C373" s="3"/>
      <c r="D373" s="3"/>
      <c r="E373" s="4"/>
      <c r="F373" s="3"/>
      <c r="G373" s="3"/>
      <c r="H373" s="10"/>
      <c r="I373" s="187"/>
      <c r="J373" s="188"/>
      <c r="K373" s="188"/>
      <c r="L373" s="188"/>
      <c r="M373" s="188"/>
      <c r="N373" s="188"/>
      <c r="O373" s="188"/>
      <c r="P373" s="188"/>
      <c r="Q373" s="188"/>
      <c r="R373" s="188"/>
      <c r="S373" s="188"/>
      <c r="T373" s="7"/>
      <c r="U373" s="176"/>
    </row>
    <row r="374" spans="1:21">
      <c r="A374" s="3"/>
      <c r="B374" s="3"/>
      <c r="C374" s="3"/>
      <c r="D374" s="3"/>
      <c r="E374" s="4"/>
      <c r="F374" s="3"/>
      <c r="G374" s="3"/>
      <c r="H374" s="10"/>
      <c r="I374" s="187"/>
      <c r="J374" s="188"/>
      <c r="K374" s="188"/>
      <c r="L374" s="188"/>
      <c r="M374" s="188"/>
      <c r="N374" s="188"/>
      <c r="O374" s="188"/>
      <c r="P374" s="188"/>
      <c r="Q374" s="188"/>
      <c r="R374" s="188"/>
      <c r="S374" s="188"/>
      <c r="T374" s="7"/>
      <c r="U374" s="176"/>
    </row>
    <row r="375" spans="1:21">
      <c r="A375" s="3"/>
      <c r="B375" s="3"/>
      <c r="C375" s="3"/>
      <c r="D375" s="3"/>
      <c r="E375" s="4"/>
      <c r="F375" s="3"/>
      <c r="G375" s="3"/>
      <c r="H375" s="10"/>
      <c r="I375" s="187"/>
      <c r="J375" s="188"/>
      <c r="K375" s="188"/>
      <c r="L375" s="188"/>
      <c r="M375" s="188"/>
      <c r="N375" s="188"/>
      <c r="O375" s="188"/>
      <c r="P375" s="188"/>
      <c r="Q375" s="188"/>
      <c r="R375" s="188"/>
      <c r="S375" s="188"/>
      <c r="T375" s="7"/>
      <c r="U375" s="176"/>
    </row>
    <row r="376" spans="1:21">
      <c r="A376" s="3"/>
      <c r="B376" s="3"/>
      <c r="C376" s="3"/>
      <c r="D376" s="3"/>
      <c r="E376" s="4"/>
      <c r="F376" s="3"/>
      <c r="G376" s="3"/>
      <c r="H376" s="10"/>
      <c r="I376" s="187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7"/>
      <c r="U376" s="176"/>
    </row>
    <row r="377" spans="1:21">
      <c r="A377" s="3"/>
      <c r="B377" s="3"/>
      <c r="C377" s="3"/>
      <c r="D377" s="3"/>
      <c r="E377" s="4"/>
      <c r="F377" s="3"/>
      <c r="G377" s="3"/>
      <c r="H377" s="10"/>
      <c r="I377" s="187"/>
      <c r="J377" s="188"/>
      <c r="K377" s="188"/>
      <c r="L377" s="188"/>
      <c r="M377" s="188"/>
      <c r="N377" s="188"/>
      <c r="O377" s="188"/>
      <c r="P377" s="188"/>
      <c r="Q377" s="188"/>
      <c r="R377" s="188"/>
      <c r="S377" s="188"/>
      <c r="T377" s="7"/>
      <c r="U377" s="176"/>
    </row>
    <row r="378" spans="1:21">
      <c r="A378" s="3"/>
      <c r="B378" s="3"/>
      <c r="C378" s="3"/>
      <c r="D378" s="3"/>
      <c r="E378" s="4"/>
      <c r="F378" s="3"/>
      <c r="G378" s="3"/>
      <c r="H378" s="10"/>
      <c r="I378" s="187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7"/>
      <c r="U378" s="176"/>
    </row>
    <row r="379" spans="1:21">
      <c r="A379" s="3"/>
      <c r="B379" s="3"/>
      <c r="C379" s="3"/>
      <c r="D379" s="3"/>
      <c r="E379" s="4"/>
      <c r="F379" s="3"/>
      <c r="G379" s="3"/>
      <c r="H379" s="10"/>
      <c r="I379" s="187"/>
      <c r="J379" s="188"/>
      <c r="K379" s="188"/>
      <c r="L379" s="188"/>
      <c r="M379" s="188"/>
      <c r="N379" s="188"/>
      <c r="O379" s="188"/>
      <c r="P379" s="188"/>
      <c r="Q379" s="188"/>
      <c r="R379" s="188"/>
      <c r="S379" s="188"/>
      <c r="T379" s="7"/>
      <c r="U379" s="176"/>
    </row>
    <row r="380" spans="1:21">
      <c r="A380" s="3"/>
      <c r="B380" s="3"/>
      <c r="C380" s="3"/>
      <c r="D380" s="3"/>
      <c r="E380" s="4"/>
      <c r="F380" s="3"/>
      <c r="G380" s="3"/>
      <c r="H380" s="10"/>
      <c r="I380" s="187"/>
      <c r="J380" s="188"/>
      <c r="K380" s="188"/>
      <c r="L380" s="188"/>
      <c r="M380" s="188"/>
      <c r="N380" s="188"/>
      <c r="O380" s="188"/>
      <c r="P380" s="188"/>
      <c r="Q380" s="188"/>
      <c r="R380" s="188"/>
      <c r="S380" s="188"/>
      <c r="T380" s="7"/>
      <c r="U380" s="176"/>
    </row>
    <row r="381" spans="1:21">
      <c r="A381" s="3"/>
      <c r="B381" s="3"/>
      <c r="C381" s="3"/>
      <c r="D381" s="3"/>
      <c r="E381" s="4"/>
      <c r="F381" s="3"/>
      <c r="G381" s="3"/>
      <c r="H381" s="10"/>
      <c r="I381" s="187"/>
      <c r="J381" s="188"/>
      <c r="K381" s="188"/>
      <c r="L381" s="188"/>
      <c r="M381" s="188"/>
      <c r="N381" s="188"/>
      <c r="O381" s="188"/>
      <c r="P381" s="188"/>
      <c r="Q381" s="188"/>
      <c r="R381" s="188"/>
      <c r="S381" s="188"/>
      <c r="T381" s="7"/>
      <c r="U381" s="176"/>
    </row>
    <row r="382" spans="1:21">
      <c r="A382" s="3"/>
      <c r="B382" s="3"/>
      <c r="C382" s="3"/>
      <c r="D382" s="3"/>
      <c r="E382" s="4"/>
      <c r="F382" s="3"/>
      <c r="G382" s="3"/>
      <c r="H382" s="10"/>
      <c r="I382" s="187"/>
      <c r="J382" s="188"/>
      <c r="K382" s="188"/>
      <c r="L382" s="188"/>
      <c r="M382" s="188"/>
      <c r="N382" s="188"/>
      <c r="O382" s="188"/>
      <c r="P382" s="188"/>
      <c r="Q382" s="188"/>
      <c r="R382" s="188"/>
      <c r="S382" s="188"/>
      <c r="T382" s="7"/>
      <c r="U382" s="176"/>
    </row>
    <row r="383" spans="1:21">
      <c r="A383" s="3"/>
      <c r="B383" s="3"/>
      <c r="C383" s="3"/>
      <c r="D383" s="3"/>
      <c r="E383" s="4"/>
      <c r="F383" s="3"/>
      <c r="G383" s="3"/>
      <c r="H383" s="10"/>
      <c r="I383" s="187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7"/>
      <c r="U383" s="176"/>
    </row>
    <row r="384" spans="1:21">
      <c r="A384" s="3"/>
      <c r="B384" s="3"/>
      <c r="C384" s="3"/>
      <c r="D384" s="3"/>
      <c r="E384" s="4"/>
      <c r="F384" s="3"/>
      <c r="G384" s="3"/>
      <c r="H384" s="10"/>
      <c r="I384" s="187"/>
      <c r="J384" s="188"/>
      <c r="K384" s="188"/>
      <c r="L384" s="188"/>
      <c r="M384" s="188"/>
      <c r="N384" s="188"/>
      <c r="O384" s="188"/>
      <c r="P384" s="188"/>
      <c r="Q384" s="188"/>
      <c r="R384" s="188"/>
      <c r="S384" s="188"/>
      <c r="T384" s="7"/>
      <c r="U384" s="176"/>
    </row>
    <row r="385" spans="1:21">
      <c r="A385" s="3"/>
      <c r="B385" s="3"/>
      <c r="C385" s="3"/>
      <c r="D385" s="3"/>
      <c r="E385" s="4"/>
      <c r="F385" s="3"/>
      <c r="G385" s="3"/>
      <c r="H385" s="10"/>
      <c r="I385" s="187"/>
      <c r="J385" s="188"/>
      <c r="K385" s="188"/>
      <c r="L385" s="188"/>
      <c r="M385" s="188"/>
      <c r="N385" s="188"/>
      <c r="O385" s="188"/>
      <c r="P385" s="188"/>
      <c r="Q385" s="188"/>
      <c r="R385" s="188"/>
      <c r="S385" s="188"/>
      <c r="T385" s="7"/>
      <c r="U385" s="176"/>
    </row>
    <row r="386" spans="1:21">
      <c r="A386" s="3"/>
      <c r="B386" s="3"/>
      <c r="C386" s="3"/>
      <c r="D386" s="3"/>
      <c r="E386" s="4"/>
      <c r="F386" s="3"/>
      <c r="G386" s="3"/>
      <c r="H386" s="10"/>
      <c r="I386" s="187"/>
      <c r="J386" s="188"/>
      <c r="K386" s="188"/>
      <c r="L386" s="188"/>
      <c r="M386" s="188"/>
      <c r="N386" s="188"/>
      <c r="O386" s="188"/>
      <c r="P386" s="188"/>
      <c r="Q386" s="188"/>
      <c r="R386" s="188"/>
      <c r="S386" s="188"/>
      <c r="T386" s="7"/>
      <c r="U386" s="176"/>
    </row>
    <row r="387" spans="1:21">
      <c r="A387" s="3"/>
      <c r="B387" s="3"/>
      <c r="C387" s="3"/>
      <c r="D387" s="3"/>
      <c r="E387" s="4"/>
      <c r="F387" s="3"/>
      <c r="G387" s="3"/>
      <c r="H387" s="10"/>
      <c r="I387" s="187"/>
      <c r="J387" s="188"/>
      <c r="K387" s="188"/>
      <c r="L387" s="188"/>
      <c r="M387" s="188"/>
      <c r="N387" s="188"/>
      <c r="O387" s="188"/>
      <c r="P387" s="188"/>
      <c r="Q387" s="188"/>
      <c r="R387" s="188"/>
      <c r="S387" s="188"/>
      <c r="T387" s="7"/>
      <c r="U387" s="176"/>
    </row>
    <row r="388" spans="1:21">
      <c r="A388" s="3"/>
      <c r="B388" s="3"/>
      <c r="C388" s="3"/>
      <c r="D388" s="3"/>
      <c r="E388" s="4"/>
      <c r="F388" s="3"/>
      <c r="G388" s="3"/>
      <c r="H388" s="10"/>
      <c r="I388" s="187"/>
      <c r="J388" s="188"/>
      <c r="K388" s="188"/>
      <c r="L388" s="188"/>
      <c r="M388" s="188"/>
      <c r="N388" s="188"/>
      <c r="O388" s="188"/>
      <c r="P388" s="188"/>
      <c r="Q388" s="188"/>
      <c r="R388" s="188"/>
      <c r="S388" s="188"/>
      <c r="T388" s="7"/>
      <c r="U388" s="176"/>
    </row>
    <row r="389" spans="1:21">
      <c r="A389" s="3"/>
      <c r="B389" s="3"/>
      <c r="C389" s="3"/>
      <c r="D389" s="3"/>
      <c r="E389" s="4"/>
      <c r="F389" s="3"/>
      <c r="G389" s="3"/>
      <c r="H389" s="10"/>
      <c r="I389" s="187"/>
      <c r="J389" s="188"/>
      <c r="K389" s="188"/>
      <c r="L389" s="188"/>
      <c r="M389" s="188"/>
      <c r="N389" s="188"/>
      <c r="O389" s="188"/>
      <c r="P389" s="188"/>
      <c r="Q389" s="188"/>
      <c r="R389" s="188"/>
      <c r="S389" s="188"/>
      <c r="T389" s="7"/>
      <c r="U389" s="176"/>
    </row>
    <row r="390" spans="1:21">
      <c r="A390" s="3"/>
      <c r="B390" s="3"/>
      <c r="C390" s="3"/>
      <c r="D390" s="3"/>
      <c r="E390" s="4"/>
      <c r="F390" s="3"/>
      <c r="G390" s="3"/>
      <c r="H390" s="10"/>
      <c r="I390" s="187"/>
      <c r="J390" s="188"/>
      <c r="K390" s="188"/>
      <c r="L390" s="188"/>
      <c r="M390" s="188"/>
      <c r="N390" s="188"/>
      <c r="O390" s="188"/>
      <c r="P390" s="188"/>
      <c r="Q390" s="188"/>
      <c r="R390" s="188"/>
      <c r="S390" s="188"/>
      <c r="T390" s="7"/>
      <c r="U390" s="176"/>
    </row>
    <row r="391" spans="1:21">
      <c r="A391" s="3"/>
      <c r="B391" s="3"/>
      <c r="C391" s="3"/>
      <c r="D391" s="3"/>
      <c r="E391" s="4"/>
      <c r="F391" s="3"/>
      <c r="G391" s="3"/>
      <c r="H391" s="10"/>
      <c r="I391" s="187"/>
      <c r="J391" s="188"/>
      <c r="K391" s="188"/>
      <c r="L391" s="188"/>
      <c r="M391" s="188"/>
      <c r="N391" s="188"/>
      <c r="O391" s="188"/>
      <c r="P391" s="188"/>
      <c r="Q391" s="188"/>
      <c r="R391" s="188"/>
      <c r="S391" s="188"/>
      <c r="T391" s="7"/>
      <c r="U391" s="176"/>
    </row>
    <row r="392" spans="1:21">
      <c r="A392" s="3"/>
      <c r="B392" s="3"/>
      <c r="C392" s="3"/>
      <c r="D392" s="3"/>
      <c r="E392" s="4"/>
      <c r="F392" s="3"/>
      <c r="G392" s="3"/>
      <c r="H392" s="10"/>
      <c r="I392" s="187"/>
      <c r="J392" s="188"/>
      <c r="K392" s="188"/>
      <c r="L392" s="188"/>
      <c r="M392" s="188"/>
      <c r="N392" s="188"/>
      <c r="O392" s="188"/>
      <c r="P392" s="188"/>
      <c r="Q392" s="188"/>
      <c r="R392" s="188"/>
      <c r="S392" s="188"/>
      <c r="T392" s="7"/>
      <c r="U392" s="176"/>
    </row>
    <row r="393" spans="1:21">
      <c r="A393" s="3"/>
      <c r="B393" s="3"/>
      <c r="C393" s="3"/>
      <c r="D393" s="3"/>
      <c r="E393" s="4"/>
      <c r="F393" s="3"/>
      <c r="G393" s="3"/>
      <c r="H393" s="10"/>
      <c r="I393" s="187"/>
      <c r="J393" s="188"/>
      <c r="K393" s="188"/>
      <c r="L393" s="188"/>
      <c r="M393" s="188"/>
      <c r="N393" s="188"/>
      <c r="O393" s="188"/>
      <c r="P393" s="188"/>
      <c r="Q393" s="188"/>
      <c r="R393" s="188"/>
      <c r="S393" s="188"/>
      <c r="T393" s="7"/>
      <c r="U393" s="176"/>
    </row>
    <row r="394" spans="1:21">
      <c r="A394" s="3"/>
      <c r="B394" s="3"/>
      <c r="C394" s="3"/>
      <c r="D394" s="3"/>
      <c r="E394" s="4"/>
      <c r="F394" s="3"/>
      <c r="G394" s="3"/>
      <c r="H394" s="10"/>
      <c r="I394" s="187"/>
      <c r="J394" s="188"/>
      <c r="K394" s="188"/>
      <c r="L394" s="188"/>
      <c r="M394" s="188"/>
      <c r="N394" s="188"/>
      <c r="O394" s="188"/>
      <c r="P394" s="188"/>
      <c r="Q394" s="188"/>
      <c r="R394" s="188"/>
      <c r="S394" s="188"/>
      <c r="T394" s="7"/>
      <c r="U394" s="176"/>
    </row>
    <row r="395" spans="1:21">
      <c r="A395" s="3"/>
      <c r="B395" s="3"/>
      <c r="C395" s="3"/>
      <c r="D395" s="3"/>
      <c r="E395" s="4"/>
      <c r="F395" s="3"/>
      <c r="G395" s="3"/>
      <c r="H395" s="10"/>
      <c r="I395" s="187"/>
      <c r="J395" s="188"/>
      <c r="K395" s="188"/>
      <c r="L395" s="188"/>
      <c r="M395" s="188"/>
      <c r="N395" s="188"/>
      <c r="O395" s="188"/>
      <c r="P395" s="188"/>
      <c r="Q395" s="188"/>
      <c r="R395" s="188"/>
      <c r="S395" s="188"/>
      <c r="T395" s="7"/>
      <c r="U395" s="176"/>
    </row>
    <row r="396" spans="1:21">
      <c r="A396" s="3"/>
      <c r="B396" s="3"/>
      <c r="C396" s="3"/>
      <c r="D396" s="3"/>
      <c r="E396" s="4"/>
      <c r="F396" s="3"/>
      <c r="G396" s="3"/>
      <c r="H396" s="10"/>
      <c r="I396" s="187"/>
      <c r="J396" s="188"/>
      <c r="K396" s="188"/>
      <c r="L396" s="188"/>
      <c r="M396" s="188"/>
      <c r="N396" s="188"/>
      <c r="O396" s="188"/>
      <c r="P396" s="188"/>
      <c r="Q396" s="188"/>
      <c r="R396" s="188"/>
      <c r="S396" s="188"/>
      <c r="T396" s="7"/>
      <c r="U396" s="176"/>
    </row>
    <row r="397" spans="1:21">
      <c r="A397" s="3"/>
      <c r="B397" s="3"/>
      <c r="C397" s="3"/>
      <c r="D397" s="3"/>
      <c r="E397" s="4"/>
      <c r="F397" s="3"/>
      <c r="G397" s="3"/>
      <c r="H397" s="10"/>
      <c r="I397" s="187"/>
      <c r="J397" s="188"/>
      <c r="K397" s="188"/>
      <c r="L397" s="188"/>
      <c r="M397" s="188"/>
      <c r="N397" s="188"/>
      <c r="O397" s="188"/>
      <c r="P397" s="188"/>
      <c r="Q397" s="188"/>
      <c r="R397" s="188"/>
      <c r="S397" s="188"/>
      <c r="T397" s="7"/>
      <c r="U397" s="176"/>
    </row>
    <row r="398" spans="1:21">
      <c r="A398" s="3"/>
      <c r="B398" s="3"/>
      <c r="C398" s="3"/>
      <c r="D398" s="3"/>
      <c r="E398" s="4"/>
      <c r="F398" s="3"/>
      <c r="G398" s="3"/>
      <c r="H398" s="10"/>
      <c r="I398" s="187"/>
      <c r="J398" s="188"/>
      <c r="K398" s="188"/>
      <c r="L398" s="188"/>
      <c r="M398" s="188"/>
      <c r="N398" s="188"/>
      <c r="O398" s="188"/>
      <c r="P398" s="188"/>
      <c r="Q398" s="188"/>
      <c r="R398" s="188"/>
      <c r="S398" s="188"/>
      <c r="T398" s="7"/>
      <c r="U398" s="176"/>
    </row>
    <row r="399" spans="1:21">
      <c r="A399" s="3"/>
      <c r="B399" s="3"/>
      <c r="C399" s="3"/>
      <c r="D399" s="3"/>
      <c r="E399" s="4"/>
      <c r="F399" s="3"/>
      <c r="G399" s="3"/>
      <c r="H399" s="10"/>
      <c r="I399" s="187"/>
      <c r="J399" s="188"/>
      <c r="K399" s="188"/>
      <c r="L399" s="188"/>
      <c r="M399" s="188"/>
      <c r="N399" s="188"/>
      <c r="O399" s="188"/>
      <c r="P399" s="188"/>
      <c r="Q399" s="188"/>
      <c r="R399" s="188"/>
      <c r="S399" s="188"/>
      <c r="T399" s="7"/>
      <c r="U399" s="176"/>
    </row>
    <row r="400" spans="1:21">
      <c r="A400" s="3"/>
      <c r="B400" s="3"/>
      <c r="C400" s="3"/>
      <c r="D400" s="3"/>
      <c r="E400" s="4"/>
      <c r="F400" s="3"/>
      <c r="G400" s="3"/>
      <c r="H400" s="10"/>
      <c r="I400" s="187"/>
      <c r="J400" s="188"/>
      <c r="K400" s="188"/>
      <c r="L400" s="188"/>
      <c r="M400" s="188"/>
      <c r="N400" s="188"/>
      <c r="O400" s="188"/>
      <c r="P400" s="188"/>
      <c r="Q400" s="188"/>
      <c r="R400" s="188"/>
      <c r="S400" s="188"/>
      <c r="T400" s="7"/>
      <c r="U400" s="176"/>
    </row>
    <row r="401" spans="1:21">
      <c r="A401" s="3"/>
      <c r="B401" s="3"/>
      <c r="C401" s="3"/>
      <c r="D401" s="3"/>
      <c r="E401" s="4"/>
      <c r="F401" s="3"/>
      <c r="G401" s="3"/>
      <c r="H401" s="10"/>
      <c r="I401" s="187"/>
      <c r="J401" s="188"/>
      <c r="K401" s="188"/>
      <c r="L401" s="188"/>
      <c r="M401" s="188"/>
      <c r="N401" s="188"/>
      <c r="O401" s="188"/>
      <c r="P401" s="188"/>
      <c r="Q401" s="188"/>
      <c r="R401" s="188"/>
      <c r="S401" s="188"/>
      <c r="T401" s="7"/>
      <c r="U401" s="176"/>
    </row>
    <row r="402" spans="1:21">
      <c r="A402" s="3"/>
      <c r="B402" s="3"/>
      <c r="C402" s="3"/>
      <c r="D402" s="3"/>
      <c r="E402" s="4"/>
      <c r="F402" s="3"/>
      <c r="G402" s="3"/>
      <c r="H402" s="10"/>
      <c r="I402" s="187"/>
      <c r="J402" s="188"/>
      <c r="K402" s="188"/>
      <c r="L402" s="188"/>
      <c r="M402" s="188"/>
      <c r="N402" s="188"/>
      <c r="O402" s="188"/>
      <c r="P402" s="188"/>
      <c r="Q402" s="188"/>
      <c r="R402" s="188"/>
      <c r="S402" s="188"/>
      <c r="T402" s="7"/>
      <c r="U402" s="176"/>
    </row>
    <row r="403" spans="1:21">
      <c r="A403" s="3"/>
      <c r="B403" s="3"/>
      <c r="C403" s="3"/>
      <c r="D403" s="3"/>
      <c r="E403" s="4"/>
      <c r="F403" s="3"/>
      <c r="G403" s="3"/>
      <c r="H403" s="10"/>
      <c r="I403" s="187"/>
      <c r="J403" s="188"/>
      <c r="K403" s="188"/>
      <c r="L403" s="188"/>
      <c r="M403" s="188"/>
      <c r="N403" s="188"/>
      <c r="O403" s="188"/>
      <c r="P403" s="188"/>
      <c r="Q403" s="188"/>
      <c r="R403" s="188"/>
      <c r="S403" s="188"/>
      <c r="T403" s="7"/>
      <c r="U403" s="176"/>
    </row>
    <row r="404" spans="1:21">
      <c r="A404" s="3"/>
      <c r="B404" s="3"/>
      <c r="C404" s="3"/>
      <c r="D404" s="3"/>
      <c r="E404" s="4"/>
      <c r="F404" s="3"/>
      <c r="G404" s="3"/>
      <c r="H404" s="10"/>
      <c r="I404" s="187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7"/>
      <c r="U404" s="176"/>
    </row>
    <row r="405" spans="1:21">
      <c r="A405" s="3"/>
      <c r="B405" s="3"/>
      <c r="C405" s="3"/>
      <c r="D405" s="3"/>
      <c r="E405" s="4"/>
      <c r="F405" s="3"/>
      <c r="G405" s="3"/>
      <c r="H405" s="10"/>
      <c r="I405" s="187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7"/>
      <c r="U405" s="176"/>
    </row>
    <row r="406" spans="1:21">
      <c r="A406" s="3"/>
      <c r="B406" s="3"/>
      <c r="C406" s="3"/>
      <c r="D406" s="3"/>
      <c r="E406" s="4"/>
      <c r="F406" s="3"/>
      <c r="G406" s="3"/>
      <c r="H406" s="10"/>
      <c r="I406" s="187"/>
      <c r="J406" s="188"/>
      <c r="K406" s="188"/>
      <c r="L406" s="188"/>
      <c r="M406" s="188"/>
      <c r="N406" s="188"/>
      <c r="O406" s="188"/>
      <c r="P406" s="188"/>
      <c r="Q406" s="188"/>
      <c r="R406" s="188"/>
      <c r="S406" s="188"/>
      <c r="T406" s="7"/>
      <c r="U406" s="176"/>
    </row>
    <row r="407" spans="1:21">
      <c r="A407" s="3"/>
      <c r="B407" s="3"/>
      <c r="C407" s="3"/>
      <c r="D407" s="3"/>
      <c r="E407" s="4"/>
      <c r="F407" s="3"/>
      <c r="G407" s="3"/>
      <c r="H407" s="10"/>
      <c r="I407" s="187"/>
      <c r="J407" s="188"/>
      <c r="K407" s="188"/>
      <c r="L407" s="188"/>
      <c r="M407" s="188"/>
      <c r="N407" s="188"/>
      <c r="O407" s="188"/>
      <c r="P407" s="188"/>
      <c r="Q407" s="188"/>
      <c r="R407" s="188"/>
      <c r="S407" s="188"/>
      <c r="T407" s="7"/>
      <c r="U407" s="176"/>
    </row>
    <row r="408" spans="1:21">
      <c r="A408" s="3"/>
      <c r="B408" s="3"/>
      <c r="C408" s="3"/>
      <c r="D408" s="3"/>
      <c r="E408" s="4"/>
      <c r="F408" s="3"/>
      <c r="G408" s="3"/>
      <c r="H408" s="10"/>
      <c r="I408" s="187"/>
      <c r="J408" s="188"/>
      <c r="K408" s="188"/>
      <c r="L408" s="188"/>
      <c r="M408" s="188"/>
      <c r="N408" s="188"/>
      <c r="O408" s="188"/>
      <c r="P408" s="188"/>
      <c r="Q408" s="188"/>
      <c r="R408" s="188"/>
      <c r="S408" s="188"/>
      <c r="T408" s="7"/>
      <c r="U408" s="176"/>
    </row>
    <row r="409" spans="1:21">
      <c r="A409" s="3"/>
      <c r="B409" s="3"/>
      <c r="C409" s="3"/>
      <c r="D409" s="3"/>
      <c r="E409" s="4"/>
      <c r="F409" s="3"/>
      <c r="G409" s="3"/>
      <c r="H409" s="10"/>
      <c r="I409" s="187"/>
      <c r="J409" s="188"/>
      <c r="K409" s="188"/>
      <c r="L409" s="188"/>
      <c r="M409" s="188"/>
      <c r="N409" s="188"/>
      <c r="O409" s="188"/>
      <c r="P409" s="188"/>
      <c r="Q409" s="188"/>
      <c r="R409" s="188"/>
      <c r="S409" s="188"/>
      <c r="T409" s="7"/>
      <c r="U409" s="176"/>
    </row>
    <row r="410" spans="1:21">
      <c r="A410" s="3"/>
      <c r="B410" s="3"/>
      <c r="C410" s="3"/>
      <c r="D410" s="3"/>
      <c r="E410" s="4"/>
      <c r="F410" s="3"/>
      <c r="G410" s="3"/>
      <c r="H410" s="10"/>
      <c r="I410" s="187"/>
      <c r="J410" s="188"/>
      <c r="K410" s="188"/>
      <c r="L410" s="188"/>
      <c r="M410" s="188"/>
      <c r="N410" s="188"/>
      <c r="O410" s="188"/>
      <c r="P410" s="188"/>
      <c r="Q410" s="188"/>
      <c r="R410" s="188"/>
      <c r="S410" s="188"/>
      <c r="T410" s="7"/>
      <c r="U410" s="176"/>
    </row>
    <row r="411" spans="1:21">
      <c r="A411" s="3"/>
      <c r="B411" s="3"/>
      <c r="C411" s="3"/>
      <c r="D411" s="3"/>
      <c r="E411" s="4"/>
      <c r="F411" s="3"/>
      <c r="G411" s="3"/>
      <c r="H411" s="10"/>
      <c r="I411" s="187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7"/>
      <c r="U411" s="176"/>
    </row>
    <row r="412" spans="1:21">
      <c r="A412" s="3"/>
      <c r="B412" s="3"/>
      <c r="C412" s="3"/>
      <c r="D412" s="3"/>
      <c r="E412" s="4"/>
      <c r="F412" s="3"/>
      <c r="G412" s="3"/>
      <c r="H412" s="10"/>
      <c r="I412" s="187"/>
      <c r="J412" s="188"/>
      <c r="K412" s="188"/>
      <c r="L412" s="188"/>
      <c r="M412" s="188"/>
      <c r="N412" s="188"/>
      <c r="O412" s="188"/>
      <c r="P412" s="188"/>
      <c r="Q412" s="188"/>
      <c r="R412" s="188"/>
      <c r="S412" s="188"/>
      <c r="T412" s="7"/>
      <c r="U412" s="176"/>
    </row>
    <row r="413" spans="1:21">
      <c r="A413" s="3"/>
      <c r="B413" s="3"/>
      <c r="C413" s="3"/>
      <c r="D413" s="3"/>
      <c r="E413" s="4"/>
      <c r="F413" s="3"/>
      <c r="G413" s="3"/>
      <c r="H413" s="10"/>
      <c r="I413" s="187"/>
      <c r="J413" s="188"/>
      <c r="K413" s="188"/>
      <c r="L413" s="188"/>
      <c r="M413" s="188"/>
      <c r="N413" s="188"/>
      <c r="O413" s="188"/>
      <c r="P413" s="188"/>
      <c r="Q413" s="188"/>
      <c r="R413" s="188"/>
      <c r="S413" s="188"/>
      <c r="T413" s="7"/>
      <c r="U413" s="176"/>
    </row>
    <row r="414" spans="1:21">
      <c r="A414" s="3"/>
      <c r="B414" s="3"/>
      <c r="C414" s="3"/>
      <c r="D414" s="3"/>
      <c r="E414" s="4"/>
      <c r="F414" s="3"/>
      <c r="G414" s="3"/>
      <c r="H414" s="10"/>
      <c r="I414" s="187"/>
      <c r="J414" s="188"/>
      <c r="K414" s="188"/>
      <c r="L414" s="188"/>
      <c r="M414" s="188"/>
      <c r="N414" s="188"/>
      <c r="O414" s="188"/>
      <c r="P414" s="188"/>
      <c r="Q414" s="188"/>
      <c r="R414" s="188"/>
      <c r="S414" s="188"/>
      <c r="T414" s="7"/>
      <c r="U414" s="176"/>
    </row>
    <row r="415" spans="1:21">
      <c r="A415" s="3"/>
      <c r="B415" s="3"/>
      <c r="C415" s="3"/>
      <c r="D415" s="3"/>
      <c r="E415" s="4"/>
      <c r="F415" s="3"/>
      <c r="G415" s="3"/>
      <c r="H415" s="10"/>
      <c r="I415" s="187"/>
      <c r="J415" s="188"/>
      <c r="K415" s="188"/>
      <c r="L415" s="188"/>
      <c r="M415" s="188"/>
      <c r="N415" s="188"/>
      <c r="O415" s="188"/>
      <c r="P415" s="188"/>
      <c r="Q415" s="188"/>
      <c r="R415" s="188"/>
      <c r="S415" s="188"/>
      <c r="T415" s="7"/>
      <c r="U415" s="176"/>
    </row>
    <row r="416" spans="1:21">
      <c r="A416" s="3"/>
      <c r="B416" s="3"/>
      <c r="C416" s="3"/>
      <c r="D416" s="3"/>
      <c r="E416" s="4"/>
      <c r="F416" s="3"/>
      <c r="G416" s="3"/>
      <c r="H416" s="10"/>
      <c r="I416" s="187"/>
      <c r="J416" s="188"/>
      <c r="K416" s="188"/>
      <c r="L416" s="188"/>
      <c r="M416" s="188"/>
      <c r="N416" s="188"/>
      <c r="O416" s="188"/>
      <c r="P416" s="188"/>
      <c r="Q416" s="188"/>
      <c r="R416" s="188"/>
      <c r="S416" s="188"/>
      <c r="T416" s="7"/>
      <c r="U416" s="176"/>
    </row>
    <row r="417" spans="1:21">
      <c r="A417" s="3"/>
      <c r="B417" s="3"/>
      <c r="C417" s="3"/>
      <c r="D417" s="3"/>
      <c r="E417" s="4"/>
      <c r="F417" s="3"/>
      <c r="G417" s="3"/>
      <c r="H417" s="10"/>
      <c r="I417" s="187"/>
      <c r="J417" s="188"/>
      <c r="K417" s="188"/>
      <c r="L417" s="188"/>
      <c r="M417" s="188"/>
      <c r="N417" s="188"/>
      <c r="O417" s="188"/>
      <c r="P417" s="188"/>
      <c r="Q417" s="188"/>
      <c r="R417" s="188"/>
      <c r="S417" s="188"/>
      <c r="T417" s="7"/>
      <c r="U417" s="176"/>
    </row>
    <row r="418" spans="1:21">
      <c r="A418" s="3"/>
      <c r="B418" s="3"/>
      <c r="C418" s="3"/>
      <c r="D418" s="3"/>
      <c r="E418" s="4"/>
      <c r="F418" s="3"/>
      <c r="G418" s="3"/>
      <c r="H418" s="10"/>
      <c r="I418" s="187"/>
      <c r="J418" s="188"/>
      <c r="K418" s="188"/>
      <c r="L418" s="188"/>
      <c r="M418" s="188"/>
      <c r="N418" s="188"/>
      <c r="O418" s="188"/>
      <c r="P418" s="188"/>
      <c r="Q418" s="188"/>
      <c r="R418" s="188"/>
      <c r="S418" s="188"/>
      <c r="T418" s="7"/>
      <c r="U418" s="176"/>
    </row>
    <row r="419" spans="1:21">
      <c r="A419" s="3"/>
      <c r="B419" s="3"/>
      <c r="C419" s="3"/>
      <c r="D419" s="3"/>
      <c r="E419" s="4"/>
      <c r="F419" s="3"/>
      <c r="G419" s="3"/>
      <c r="H419" s="10"/>
      <c r="I419" s="187"/>
      <c r="J419" s="188"/>
      <c r="K419" s="188"/>
      <c r="L419" s="188"/>
      <c r="M419" s="188"/>
      <c r="N419" s="188"/>
      <c r="O419" s="188"/>
      <c r="P419" s="188"/>
      <c r="Q419" s="188"/>
      <c r="R419" s="188"/>
      <c r="S419" s="188"/>
      <c r="T419" s="7"/>
      <c r="U419" s="176"/>
    </row>
    <row r="420" spans="1:21">
      <c r="A420" s="3"/>
      <c r="B420" s="3"/>
      <c r="C420" s="3"/>
      <c r="D420" s="3"/>
      <c r="E420" s="4"/>
      <c r="F420" s="3"/>
      <c r="G420" s="3"/>
      <c r="H420" s="10"/>
      <c r="I420" s="187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7"/>
      <c r="U420" s="176"/>
    </row>
    <row r="421" spans="1:21">
      <c r="A421" s="3"/>
      <c r="B421" s="3"/>
      <c r="C421" s="3"/>
      <c r="D421" s="3"/>
      <c r="E421" s="4"/>
      <c r="F421" s="3"/>
      <c r="G421" s="3"/>
      <c r="H421" s="10"/>
      <c r="I421" s="187"/>
      <c r="J421" s="188"/>
      <c r="K421" s="188"/>
      <c r="L421" s="188"/>
      <c r="M421" s="188"/>
      <c r="N421" s="188"/>
      <c r="O421" s="188"/>
      <c r="P421" s="188"/>
      <c r="Q421" s="188"/>
      <c r="R421" s="188"/>
      <c r="S421" s="188"/>
      <c r="T421" s="7"/>
      <c r="U421" s="176"/>
    </row>
    <row r="422" spans="1:21">
      <c r="A422" s="3"/>
      <c r="B422" s="3"/>
      <c r="C422" s="3"/>
      <c r="D422" s="3"/>
      <c r="E422" s="4"/>
      <c r="F422" s="3"/>
      <c r="G422" s="3"/>
      <c r="H422" s="10"/>
      <c r="I422" s="187"/>
      <c r="J422" s="188"/>
      <c r="K422" s="188"/>
      <c r="L422" s="188"/>
      <c r="M422" s="188"/>
      <c r="N422" s="188"/>
      <c r="O422" s="188"/>
      <c r="P422" s="188"/>
      <c r="Q422" s="188"/>
      <c r="R422" s="188"/>
      <c r="S422" s="188"/>
      <c r="T422" s="7"/>
      <c r="U422" s="176"/>
    </row>
    <row r="423" spans="1:21">
      <c r="A423" s="3"/>
      <c r="B423" s="3"/>
      <c r="C423" s="3"/>
      <c r="D423" s="3"/>
      <c r="E423" s="4"/>
      <c r="F423" s="3"/>
      <c r="G423" s="3"/>
      <c r="H423" s="10"/>
      <c r="I423" s="187"/>
      <c r="J423" s="188"/>
      <c r="K423" s="188"/>
      <c r="L423" s="188"/>
      <c r="M423" s="188"/>
      <c r="N423" s="188"/>
      <c r="O423" s="188"/>
      <c r="P423" s="188"/>
      <c r="Q423" s="188"/>
      <c r="R423" s="188"/>
      <c r="S423" s="188"/>
      <c r="T423" s="7"/>
      <c r="U423" s="176"/>
    </row>
    <row r="424" spans="1:21">
      <c r="A424" s="3"/>
      <c r="B424" s="3"/>
      <c r="C424" s="3"/>
      <c r="D424" s="3"/>
      <c r="E424" s="4"/>
      <c r="F424" s="3"/>
      <c r="G424" s="3"/>
      <c r="H424" s="10"/>
      <c r="I424" s="187"/>
      <c r="J424" s="188"/>
      <c r="K424" s="188"/>
      <c r="L424" s="188"/>
      <c r="M424" s="188"/>
      <c r="N424" s="188"/>
      <c r="O424" s="188"/>
      <c r="P424" s="188"/>
      <c r="Q424" s="188"/>
      <c r="R424" s="188"/>
      <c r="S424" s="188"/>
      <c r="T424" s="7"/>
      <c r="U424" s="176"/>
    </row>
    <row r="425" spans="1:21">
      <c r="A425" s="3"/>
      <c r="B425" s="3"/>
      <c r="C425" s="3"/>
      <c r="D425" s="3"/>
      <c r="E425" s="4"/>
      <c r="F425" s="3"/>
      <c r="G425" s="3"/>
      <c r="H425" s="10"/>
      <c r="I425" s="187"/>
      <c r="J425" s="188"/>
      <c r="K425" s="188"/>
      <c r="L425" s="188"/>
      <c r="M425" s="188"/>
      <c r="N425" s="188"/>
      <c r="O425" s="188"/>
      <c r="P425" s="188"/>
      <c r="Q425" s="188"/>
      <c r="R425" s="188"/>
      <c r="S425" s="188"/>
      <c r="T425" s="7"/>
      <c r="U425" s="176"/>
    </row>
    <row r="426" spans="1:21">
      <c r="A426" s="3"/>
      <c r="B426" s="3"/>
      <c r="C426" s="3"/>
      <c r="D426" s="3"/>
      <c r="E426" s="4"/>
      <c r="F426" s="3"/>
      <c r="G426" s="3"/>
      <c r="H426" s="10"/>
      <c r="I426" s="187"/>
      <c r="J426" s="188"/>
      <c r="K426" s="188"/>
      <c r="L426" s="188"/>
      <c r="M426" s="188"/>
      <c r="N426" s="188"/>
      <c r="O426" s="188"/>
      <c r="P426" s="188"/>
      <c r="Q426" s="188"/>
      <c r="R426" s="188"/>
      <c r="S426" s="188"/>
      <c r="T426" s="7"/>
      <c r="U426" s="176"/>
    </row>
    <row r="427" spans="1:21">
      <c r="A427" s="3"/>
      <c r="B427" s="3"/>
      <c r="C427" s="3"/>
      <c r="D427" s="3"/>
      <c r="E427" s="4"/>
      <c r="F427" s="3"/>
      <c r="G427" s="3"/>
      <c r="H427" s="10"/>
      <c r="I427" s="187"/>
      <c r="J427" s="188"/>
      <c r="K427" s="188"/>
      <c r="L427" s="188"/>
      <c r="M427" s="188"/>
      <c r="N427" s="188"/>
      <c r="O427" s="188"/>
      <c r="P427" s="188"/>
      <c r="Q427" s="188"/>
      <c r="R427" s="188"/>
      <c r="S427" s="188"/>
      <c r="T427" s="7"/>
      <c r="U427" s="176"/>
    </row>
    <row r="428" spans="1:21">
      <c r="A428" s="3"/>
      <c r="B428" s="3"/>
      <c r="C428" s="3"/>
      <c r="D428" s="3"/>
      <c r="E428" s="4"/>
      <c r="F428" s="3"/>
      <c r="G428" s="3"/>
      <c r="H428" s="10"/>
      <c r="I428" s="187"/>
      <c r="J428" s="188"/>
      <c r="K428" s="188"/>
      <c r="L428" s="188"/>
      <c r="M428" s="188"/>
      <c r="N428" s="188"/>
      <c r="O428" s="188"/>
      <c r="P428" s="188"/>
      <c r="Q428" s="188"/>
      <c r="R428" s="188"/>
      <c r="S428" s="188"/>
      <c r="T428" s="7"/>
      <c r="U428" s="176"/>
    </row>
    <row r="429" spans="1:21">
      <c r="A429" s="3"/>
      <c r="B429" s="3"/>
      <c r="C429" s="3"/>
      <c r="D429" s="3"/>
      <c r="E429" s="4"/>
      <c r="F429" s="3"/>
      <c r="G429" s="3"/>
      <c r="H429" s="10"/>
      <c r="I429" s="187"/>
      <c r="J429" s="188"/>
      <c r="K429" s="188"/>
      <c r="L429" s="188"/>
      <c r="M429" s="188"/>
      <c r="N429" s="188"/>
      <c r="O429" s="188"/>
      <c r="P429" s="188"/>
      <c r="Q429" s="188"/>
      <c r="R429" s="188"/>
      <c r="S429" s="188"/>
      <c r="T429" s="7"/>
      <c r="U429" s="176"/>
    </row>
    <row r="430" spans="1:21">
      <c r="A430" s="3"/>
      <c r="B430" s="3"/>
      <c r="C430" s="3"/>
      <c r="D430" s="3"/>
      <c r="E430" s="4"/>
      <c r="F430" s="3"/>
      <c r="G430" s="3"/>
      <c r="H430" s="10"/>
      <c r="I430" s="187"/>
      <c r="J430" s="188"/>
      <c r="K430" s="188"/>
      <c r="L430" s="188"/>
      <c r="M430" s="188"/>
      <c r="N430" s="188"/>
      <c r="O430" s="188"/>
      <c r="P430" s="188"/>
      <c r="Q430" s="188"/>
      <c r="R430" s="188"/>
      <c r="S430" s="188"/>
      <c r="T430" s="7"/>
      <c r="U430" s="176"/>
    </row>
    <row r="431" spans="1:21">
      <c r="A431" s="3"/>
      <c r="B431" s="3"/>
      <c r="C431" s="3"/>
      <c r="D431" s="3"/>
      <c r="E431" s="4"/>
      <c r="F431" s="3"/>
      <c r="G431" s="3"/>
      <c r="H431" s="10"/>
      <c r="I431" s="187"/>
      <c r="J431" s="188"/>
      <c r="K431" s="188"/>
      <c r="L431" s="188"/>
      <c r="M431" s="188"/>
      <c r="N431" s="188"/>
      <c r="O431" s="188"/>
      <c r="P431" s="188"/>
      <c r="Q431" s="188"/>
      <c r="R431" s="188"/>
      <c r="S431" s="188"/>
      <c r="T431" s="7"/>
      <c r="U431" s="176"/>
    </row>
    <row r="432" spans="1:21">
      <c r="A432" s="3"/>
      <c r="B432" s="3"/>
      <c r="C432" s="3"/>
      <c r="D432" s="3"/>
      <c r="E432" s="4"/>
      <c r="F432" s="3"/>
      <c r="G432" s="3"/>
      <c r="H432" s="10"/>
      <c r="I432" s="187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7"/>
      <c r="U432" s="176"/>
    </row>
    <row r="433" spans="1:21">
      <c r="A433" s="3"/>
      <c r="B433" s="3"/>
      <c r="C433" s="3"/>
      <c r="D433" s="3"/>
      <c r="E433" s="4"/>
      <c r="F433" s="3"/>
      <c r="G433" s="3"/>
      <c r="H433" s="10"/>
      <c r="I433" s="187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7"/>
      <c r="U433" s="176"/>
    </row>
    <row r="434" spans="1:21">
      <c r="A434" s="3"/>
      <c r="B434" s="3"/>
      <c r="C434" s="3"/>
      <c r="D434" s="3"/>
      <c r="E434" s="4"/>
      <c r="F434" s="3"/>
      <c r="G434" s="3"/>
      <c r="H434" s="10"/>
      <c r="I434" s="187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7"/>
      <c r="U434" s="176"/>
    </row>
    <row r="435" spans="1:21">
      <c r="A435" s="3"/>
      <c r="B435" s="3"/>
      <c r="C435" s="3"/>
      <c r="D435" s="3"/>
      <c r="E435" s="4"/>
      <c r="F435" s="3"/>
      <c r="G435" s="3"/>
      <c r="H435" s="10"/>
      <c r="I435" s="187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7"/>
      <c r="U435" s="176"/>
    </row>
    <row r="436" spans="1:21">
      <c r="A436" s="3"/>
      <c r="B436" s="3"/>
      <c r="C436" s="3"/>
      <c r="D436" s="3"/>
      <c r="E436" s="4"/>
      <c r="F436" s="3"/>
      <c r="G436" s="3"/>
      <c r="H436" s="10"/>
      <c r="I436" s="187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7"/>
      <c r="U436" s="176"/>
    </row>
    <row r="437" spans="1:21">
      <c r="A437" s="3"/>
      <c r="B437" s="3"/>
      <c r="C437" s="3"/>
      <c r="D437" s="3"/>
      <c r="E437" s="4"/>
      <c r="F437" s="3"/>
      <c r="G437" s="3"/>
      <c r="H437" s="10"/>
      <c r="I437" s="187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7"/>
      <c r="U437" s="176"/>
    </row>
    <row r="438" spans="1:21">
      <c r="A438" s="3"/>
      <c r="B438" s="3"/>
      <c r="C438" s="3"/>
      <c r="D438" s="3"/>
      <c r="E438" s="4"/>
      <c r="F438" s="3"/>
      <c r="G438" s="3"/>
      <c r="H438" s="10"/>
      <c r="I438" s="187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7"/>
      <c r="U438" s="176"/>
    </row>
    <row r="439" spans="1:21">
      <c r="A439" s="3"/>
      <c r="B439" s="3"/>
      <c r="C439" s="3"/>
      <c r="D439" s="3"/>
      <c r="E439" s="4"/>
      <c r="F439" s="3"/>
      <c r="G439" s="3"/>
      <c r="H439" s="10"/>
      <c r="I439" s="187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7"/>
      <c r="U439" s="176"/>
    </row>
    <row r="440" spans="1:21">
      <c r="A440" s="3"/>
      <c r="B440" s="3"/>
      <c r="C440" s="3"/>
      <c r="D440" s="3"/>
      <c r="E440" s="4"/>
      <c r="F440" s="3"/>
      <c r="G440" s="3"/>
      <c r="H440" s="10"/>
      <c r="I440" s="187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7"/>
      <c r="U440" s="176"/>
    </row>
    <row r="441" spans="1:21">
      <c r="A441" s="3"/>
      <c r="B441" s="3"/>
      <c r="C441" s="3"/>
      <c r="D441" s="3"/>
      <c r="E441" s="4"/>
      <c r="F441" s="3"/>
      <c r="G441" s="3"/>
      <c r="H441" s="10"/>
      <c r="I441" s="187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7"/>
      <c r="U441" s="176"/>
    </row>
    <row r="442" spans="1:21">
      <c r="A442" s="3"/>
      <c r="B442" s="3"/>
      <c r="C442" s="3"/>
      <c r="D442" s="3"/>
      <c r="E442" s="4"/>
      <c r="F442" s="3"/>
      <c r="G442" s="3"/>
      <c r="H442" s="10"/>
      <c r="I442" s="187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7"/>
      <c r="U442" s="176"/>
    </row>
    <row r="443" spans="1:21">
      <c r="A443" s="3"/>
      <c r="B443" s="3"/>
      <c r="C443" s="3"/>
      <c r="D443" s="3"/>
      <c r="E443" s="4"/>
      <c r="F443" s="3"/>
      <c r="G443" s="3"/>
      <c r="H443" s="10"/>
      <c r="I443" s="187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7"/>
      <c r="U443" s="176"/>
    </row>
    <row r="444" spans="1:21">
      <c r="A444" s="3"/>
      <c r="B444" s="3"/>
      <c r="C444" s="3"/>
      <c r="D444" s="3"/>
      <c r="E444" s="4"/>
      <c r="F444" s="3"/>
      <c r="G444" s="3"/>
      <c r="H444" s="10"/>
      <c r="I444" s="187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7"/>
      <c r="U444" s="176"/>
    </row>
    <row r="445" spans="1:21">
      <c r="A445" s="3"/>
      <c r="B445" s="3"/>
      <c r="C445" s="3"/>
      <c r="D445" s="3"/>
      <c r="E445" s="4"/>
      <c r="F445" s="3"/>
      <c r="G445" s="3"/>
      <c r="H445" s="10"/>
      <c r="I445" s="187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7"/>
      <c r="U445" s="176"/>
    </row>
    <row r="446" spans="1:21">
      <c r="A446" s="3"/>
      <c r="B446" s="3"/>
      <c r="C446" s="3"/>
      <c r="D446" s="3"/>
      <c r="E446" s="4"/>
      <c r="F446" s="3"/>
      <c r="G446" s="3"/>
      <c r="H446" s="10"/>
      <c r="I446" s="187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7"/>
      <c r="U446" s="176"/>
    </row>
    <row r="447" spans="1:21">
      <c r="A447" s="3"/>
      <c r="B447" s="3"/>
      <c r="C447" s="3"/>
      <c r="D447" s="3"/>
      <c r="E447" s="4"/>
      <c r="F447" s="3"/>
      <c r="G447" s="3"/>
      <c r="H447" s="10"/>
      <c r="I447" s="187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7"/>
      <c r="U447" s="176"/>
    </row>
    <row r="448" spans="1:21">
      <c r="A448" s="3"/>
      <c r="B448" s="3"/>
      <c r="C448" s="3"/>
      <c r="D448" s="3"/>
      <c r="E448" s="4"/>
      <c r="F448" s="3"/>
      <c r="G448" s="3"/>
      <c r="H448" s="10"/>
      <c r="I448" s="187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7"/>
      <c r="U448" s="176"/>
    </row>
    <row r="449" spans="1:21">
      <c r="A449" s="3"/>
      <c r="B449" s="3"/>
      <c r="C449" s="3"/>
      <c r="D449" s="3"/>
      <c r="E449" s="4"/>
      <c r="F449" s="3"/>
      <c r="G449" s="3"/>
      <c r="H449" s="10"/>
      <c r="I449" s="187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7"/>
      <c r="U449" s="176"/>
    </row>
    <row r="450" spans="1:21">
      <c r="A450" s="3"/>
      <c r="B450" s="3"/>
      <c r="C450" s="3"/>
      <c r="D450" s="3"/>
      <c r="E450" s="4"/>
      <c r="F450" s="3"/>
      <c r="G450" s="3"/>
      <c r="H450" s="10"/>
      <c r="I450" s="187"/>
      <c r="J450" s="188"/>
      <c r="K450" s="188"/>
      <c r="L450" s="188"/>
      <c r="M450" s="188"/>
      <c r="N450" s="188"/>
      <c r="O450" s="188"/>
      <c r="P450" s="188"/>
      <c r="Q450" s="188"/>
      <c r="R450" s="188"/>
      <c r="S450" s="188"/>
      <c r="T450" s="7"/>
      <c r="U450" s="176"/>
    </row>
    <row r="451" spans="1:21">
      <c r="A451" s="3"/>
      <c r="B451" s="3"/>
      <c r="C451" s="3"/>
      <c r="D451" s="3"/>
      <c r="E451" s="4"/>
      <c r="F451" s="3"/>
      <c r="G451" s="3"/>
      <c r="H451" s="10"/>
      <c r="I451" s="187"/>
      <c r="J451" s="188"/>
      <c r="K451" s="188"/>
      <c r="L451" s="188"/>
      <c r="M451" s="188"/>
      <c r="N451" s="188"/>
      <c r="O451" s="188"/>
      <c r="P451" s="188"/>
      <c r="Q451" s="188"/>
      <c r="R451" s="188"/>
      <c r="S451" s="188"/>
      <c r="T451" s="7"/>
      <c r="U451" s="176"/>
    </row>
    <row r="452" spans="1:21">
      <c r="A452" s="3"/>
      <c r="B452" s="3"/>
      <c r="C452" s="3"/>
      <c r="D452" s="3"/>
      <c r="E452" s="4"/>
      <c r="F452" s="3"/>
      <c r="G452" s="3"/>
      <c r="H452" s="10"/>
      <c r="I452" s="187"/>
      <c r="J452" s="188"/>
      <c r="K452" s="188"/>
      <c r="L452" s="188"/>
      <c r="M452" s="188"/>
      <c r="N452" s="188"/>
      <c r="O452" s="188"/>
      <c r="P452" s="188"/>
      <c r="Q452" s="188"/>
      <c r="R452" s="188"/>
      <c r="S452" s="188"/>
      <c r="T452" s="7"/>
      <c r="U452" s="176"/>
    </row>
    <row r="453" spans="1:21">
      <c r="A453" s="3"/>
      <c r="B453" s="3"/>
      <c r="C453" s="3"/>
      <c r="D453" s="3"/>
      <c r="E453" s="4"/>
      <c r="F453" s="3"/>
      <c r="G453" s="3"/>
      <c r="H453" s="10"/>
      <c r="I453" s="187"/>
      <c r="J453" s="188"/>
      <c r="K453" s="188"/>
      <c r="L453" s="188"/>
      <c r="M453" s="188"/>
      <c r="N453" s="188"/>
      <c r="O453" s="188"/>
      <c r="P453" s="188"/>
      <c r="Q453" s="188"/>
      <c r="R453" s="188"/>
      <c r="S453" s="188"/>
      <c r="T453" s="7"/>
      <c r="U453" s="176"/>
    </row>
    <row r="454" spans="1:21">
      <c r="A454" s="3"/>
      <c r="B454" s="3"/>
      <c r="C454" s="3"/>
      <c r="D454" s="3"/>
      <c r="E454" s="4"/>
      <c r="F454" s="3"/>
      <c r="G454" s="3"/>
      <c r="H454" s="10"/>
      <c r="I454" s="187"/>
      <c r="J454" s="188"/>
      <c r="K454" s="188"/>
      <c r="L454" s="188"/>
      <c r="M454" s="188"/>
      <c r="N454" s="188"/>
      <c r="O454" s="188"/>
      <c r="P454" s="188"/>
      <c r="Q454" s="188"/>
      <c r="R454" s="188"/>
      <c r="S454" s="188"/>
      <c r="T454" s="7"/>
      <c r="U454" s="176"/>
    </row>
    <row r="455" spans="1:21">
      <c r="A455" s="3"/>
      <c r="B455" s="3"/>
      <c r="C455" s="3"/>
      <c r="D455" s="3"/>
      <c r="E455" s="4"/>
      <c r="F455" s="3"/>
      <c r="G455" s="3"/>
      <c r="H455" s="10"/>
      <c r="I455" s="187"/>
      <c r="J455" s="188"/>
      <c r="K455" s="188"/>
      <c r="L455" s="188"/>
      <c r="M455" s="188"/>
      <c r="N455" s="188"/>
      <c r="O455" s="188"/>
      <c r="P455" s="188"/>
      <c r="Q455" s="188"/>
      <c r="R455" s="188"/>
      <c r="S455" s="188"/>
      <c r="T455" s="7"/>
      <c r="U455" s="176"/>
    </row>
    <row r="456" spans="1:21">
      <c r="A456" s="3"/>
      <c r="B456" s="3"/>
      <c r="C456" s="3"/>
      <c r="D456" s="3"/>
      <c r="E456" s="4"/>
      <c r="F456" s="3"/>
      <c r="G456" s="3"/>
      <c r="H456" s="10"/>
      <c r="I456" s="187"/>
      <c r="J456" s="188"/>
      <c r="K456" s="188"/>
      <c r="L456" s="188"/>
      <c r="M456" s="188"/>
      <c r="N456" s="188"/>
      <c r="O456" s="188"/>
      <c r="P456" s="188"/>
      <c r="Q456" s="188"/>
      <c r="R456" s="188"/>
      <c r="S456" s="188"/>
      <c r="T456" s="7"/>
      <c r="U456" s="176"/>
    </row>
    <row r="457" spans="1:21">
      <c r="A457" s="3"/>
      <c r="B457" s="3"/>
      <c r="C457" s="3"/>
      <c r="D457" s="3"/>
      <c r="E457" s="4"/>
      <c r="F457" s="3"/>
      <c r="G457" s="3"/>
      <c r="H457" s="10"/>
      <c r="I457" s="187"/>
      <c r="J457" s="188"/>
      <c r="K457" s="188"/>
      <c r="L457" s="188"/>
      <c r="M457" s="188"/>
      <c r="N457" s="188"/>
      <c r="O457" s="188"/>
      <c r="P457" s="188"/>
      <c r="Q457" s="188"/>
      <c r="R457" s="188"/>
      <c r="S457" s="188"/>
      <c r="T457" s="7"/>
      <c r="U457" s="176"/>
    </row>
    <row r="458" spans="1:21">
      <c r="A458" s="3"/>
      <c r="B458" s="3"/>
      <c r="C458" s="3"/>
      <c r="D458" s="3"/>
      <c r="E458" s="4"/>
      <c r="F458" s="3"/>
      <c r="G458" s="3"/>
      <c r="H458" s="10"/>
      <c r="I458" s="187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7"/>
      <c r="U458" s="176"/>
    </row>
    <row r="459" spans="1:21">
      <c r="A459" s="3"/>
      <c r="B459" s="3"/>
      <c r="C459" s="3"/>
      <c r="D459" s="3"/>
      <c r="E459" s="4"/>
      <c r="F459" s="3"/>
      <c r="G459" s="3"/>
      <c r="H459" s="10"/>
      <c r="I459" s="187"/>
      <c r="J459" s="188"/>
      <c r="K459" s="188"/>
      <c r="L459" s="188"/>
      <c r="M459" s="188"/>
      <c r="N459" s="188"/>
      <c r="O459" s="188"/>
      <c r="P459" s="188"/>
      <c r="Q459" s="188"/>
      <c r="R459" s="188"/>
      <c r="S459" s="188"/>
      <c r="T459" s="7"/>
      <c r="U459" s="176"/>
    </row>
    <row r="460" spans="1:21">
      <c r="A460" s="3"/>
      <c r="B460" s="3"/>
      <c r="C460" s="3"/>
      <c r="D460" s="3"/>
      <c r="E460" s="4"/>
      <c r="F460" s="3"/>
      <c r="G460" s="3"/>
      <c r="H460" s="10"/>
      <c r="I460" s="187"/>
      <c r="J460" s="188"/>
      <c r="K460" s="188"/>
      <c r="L460" s="188"/>
      <c r="M460" s="188"/>
      <c r="N460" s="188"/>
      <c r="O460" s="188"/>
      <c r="P460" s="188"/>
      <c r="Q460" s="188"/>
      <c r="R460" s="188"/>
      <c r="S460" s="188"/>
      <c r="T460" s="7"/>
      <c r="U460" s="176"/>
    </row>
    <row r="461" spans="1:21">
      <c r="A461" s="3"/>
      <c r="B461" s="3"/>
      <c r="C461" s="3"/>
      <c r="D461" s="3"/>
      <c r="E461" s="4"/>
      <c r="F461" s="3"/>
      <c r="G461" s="3"/>
      <c r="H461" s="10"/>
      <c r="I461" s="187"/>
      <c r="J461" s="188"/>
      <c r="K461" s="188"/>
      <c r="L461" s="188"/>
      <c r="M461" s="188"/>
      <c r="N461" s="188"/>
      <c r="O461" s="188"/>
      <c r="P461" s="188"/>
      <c r="Q461" s="188"/>
      <c r="R461" s="188"/>
      <c r="S461" s="188"/>
      <c r="T461" s="7"/>
      <c r="U461" s="176"/>
    </row>
    <row r="462" spans="1:21">
      <c r="A462" s="3"/>
      <c r="B462" s="3"/>
      <c r="C462" s="3"/>
      <c r="D462" s="3"/>
      <c r="E462" s="4"/>
      <c r="F462" s="3"/>
      <c r="G462" s="3"/>
      <c r="H462" s="10"/>
      <c r="I462" s="187"/>
      <c r="J462" s="188"/>
      <c r="K462" s="188"/>
      <c r="L462" s="188"/>
      <c r="M462" s="188"/>
      <c r="N462" s="188"/>
      <c r="O462" s="188"/>
      <c r="P462" s="188"/>
      <c r="Q462" s="188"/>
      <c r="R462" s="188"/>
      <c r="S462" s="188"/>
      <c r="T462" s="7"/>
      <c r="U462" s="176"/>
    </row>
    <row r="463" spans="1:21">
      <c r="A463" s="3"/>
      <c r="B463" s="3"/>
      <c r="C463" s="3"/>
      <c r="D463" s="3"/>
      <c r="E463" s="4"/>
      <c r="F463" s="3"/>
      <c r="G463" s="3"/>
      <c r="H463" s="10"/>
      <c r="I463" s="187"/>
      <c r="J463" s="188"/>
      <c r="K463" s="188"/>
      <c r="L463" s="188"/>
      <c r="M463" s="188"/>
      <c r="N463" s="188"/>
      <c r="O463" s="188"/>
      <c r="P463" s="188"/>
      <c r="Q463" s="188"/>
      <c r="R463" s="188"/>
      <c r="S463" s="188"/>
      <c r="T463" s="7"/>
      <c r="U463" s="176"/>
    </row>
    <row r="464" spans="1:21">
      <c r="A464" s="3"/>
      <c r="B464" s="3"/>
      <c r="C464" s="3"/>
      <c r="D464" s="3"/>
      <c r="E464" s="4"/>
      <c r="F464" s="3"/>
      <c r="G464" s="3"/>
      <c r="H464" s="10"/>
      <c r="I464" s="187"/>
      <c r="J464" s="188"/>
      <c r="K464" s="188"/>
      <c r="L464" s="188"/>
      <c r="M464" s="188"/>
      <c r="N464" s="188"/>
      <c r="O464" s="188"/>
      <c r="P464" s="188"/>
      <c r="Q464" s="188"/>
      <c r="R464" s="188"/>
      <c r="S464" s="188"/>
      <c r="T464" s="7"/>
      <c r="U464" s="176"/>
    </row>
    <row r="465" spans="1:21">
      <c r="A465" s="3"/>
      <c r="B465" s="3"/>
      <c r="C465" s="3"/>
      <c r="D465" s="3"/>
      <c r="E465" s="4"/>
      <c r="F465" s="3"/>
      <c r="G465" s="3"/>
      <c r="H465" s="10"/>
      <c r="I465" s="187"/>
      <c r="J465" s="188"/>
      <c r="K465" s="188"/>
      <c r="L465" s="188"/>
      <c r="M465" s="188"/>
      <c r="N465" s="188"/>
      <c r="O465" s="188"/>
      <c r="P465" s="188"/>
      <c r="Q465" s="188"/>
      <c r="R465" s="188"/>
      <c r="S465" s="188"/>
      <c r="T465" s="7"/>
      <c r="U465" s="176"/>
    </row>
    <row r="466" spans="1:21">
      <c r="A466" s="3"/>
      <c r="B466" s="3"/>
      <c r="C466" s="3"/>
      <c r="D466" s="3"/>
      <c r="E466" s="4"/>
      <c r="F466" s="3"/>
      <c r="G466" s="3"/>
      <c r="H466" s="10"/>
      <c r="I466" s="187"/>
      <c r="J466" s="188"/>
      <c r="K466" s="188"/>
      <c r="L466" s="188"/>
      <c r="M466" s="188"/>
      <c r="N466" s="188"/>
      <c r="O466" s="188"/>
      <c r="P466" s="188"/>
      <c r="Q466" s="188"/>
      <c r="R466" s="188"/>
      <c r="S466" s="188"/>
      <c r="T466" s="7"/>
      <c r="U466" s="176"/>
    </row>
    <row r="467" spans="1:21">
      <c r="A467" s="3"/>
      <c r="B467" s="3"/>
      <c r="C467" s="3"/>
      <c r="D467" s="3"/>
      <c r="E467" s="4"/>
      <c r="F467" s="3"/>
      <c r="G467" s="3"/>
      <c r="H467" s="10"/>
      <c r="I467" s="187"/>
      <c r="J467" s="188"/>
      <c r="K467" s="188"/>
      <c r="L467" s="188"/>
      <c r="M467" s="188"/>
      <c r="N467" s="188"/>
      <c r="O467" s="188"/>
      <c r="P467" s="188"/>
      <c r="Q467" s="188"/>
      <c r="R467" s="188"/>
      <c r="S467" s="188"/>
      <c r="T467" s="7"/>
      <c r="U467" s="176"/>
    </row>
    <row r="468" spans="1:21">
      <c r="A468" s="3"/>
      <c r="B468" s="3"/>
      <c r="C468" s="3"/>
      <c r="D468" s="3"/>
      <c r="E468" s="4"/>
      <c r="F468" s="3"/>
      <c r="G468" s="3"/>
      <c r="H468" s="10"/>
      <c r="I468" s="187"/>
      <c r="J468" s="188"/>
      <c r="K468" s="188"/>
      <c r="L468" s="188"/>
      <c r="M468" s="188"/>
      <c r="N468" s="188"/>
      <c r="O468" s="188"/>
      <c r="P468" s="188"/>
      <c r="Q468" s="188"/>
      <c r="R468" s="188"/>
      <c r="S468" s="188"/>
      <c r="T468" s="7"/>
      <c r="U468" s="176"/>
    </row>
    <row r="469" spans="1:21">
      <c r="A469" s="3"/>
      <c r="B469" s="3"/>
      <c r="C469" s="3"/>
      <c r="D469" s="3"/>
      <c r="E469" s="4"/>
      <c r="F469" s="3"/>
      <c r="G469" s="3"/>
      <c r="H469" s="10"/>
      <c r="I469" s="187"/>
      <c r="J469" s="188"/>
      <c r="K469" s="188"/>
      <c r="L469" s="188"/>
      <c r="M469" s="188"/>
      <c r="N469" s="188"/>
      <c r="O469" s="188"/>
      <c r="P469" s="188"/>
      <c r="Q469" s="188"/>
      <c r="R469" s="188"/>
      <c r="S469" s="188"/>
      <c r="T469" s="7"/>
      <c r="U469" s="176"/>
    </row>
    <row r="470" spans="1:21">
      <c r="A470" s="3"/>
      <c r="B470" s="3"/>
      <c r="C470" s="3"/>
      <c r="D470" s="3"/>
      <c r="E470" s="4"/>
      <c r="F470" s="3"/>
      <c r="G470" s="3"/>
      <c r="H470" s="10"/>
      <c r="I470" s="187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7"/>
      <c r="U470" s="176"/>
    </row>
    <row r="471" spans="1:21">
      <c r="A471" s="3"/>
      <c r="B471" s="3"/>
      <c r="C471" s="3"/>
      <c r="D471" s="3"/>
      <c r="E471" s="4"/>
      <c r="F471" s="3"/>
      <c r="G471" s="3"/>
      <c r="H471" s="10"/>
      <c r="I471" s="187"/>
      <c r="J471" s="188"/>
      <c r="K471" s="188"/>
      <c r="L471" s="188"/>
      <c r="M471" s="188"/>
      <c r="N471" s="188"/>
      <c r="O471" s="188"/>
      <c r="P471" s="188"/>
      <c r="Q471" s="188"/>
      <c r="R471" s="188"/>
      <c r="S471" s="188"/>
      <c r="T471" s="7"/>
      <c r="U471" s="176"/>
    </row>
    <row r="472" spans="1:21">
      <c r="A472" s="3"/>
      <c r="B472" s="3"/>
      <c r="C472" s="3"/>
      <c r="D472" s="3"/>
      <c r="E472" s="4"/>
      <c r="F472" s="3"/>
      <c r="G472" s="3"/>
      <c r="H472" s="10"/>
      <c r="I472" s="187"/>
      <c r="J472" s="188"/>
      <c r="K472" s="188"/>
      <c r="L472" s="188"/>
      <c r="M472" s="188"/>
      <c r="N472" s="188"/>
      <c r="O472" s="188"/>
      <c r="P472" s="188"/>
      <c r="Q472" s="188"/>
      <c r="R472" s="188"/>
      <c r="S472" s="188"/>
      <c r="T472" s="7"/>
      <c r="U472" s="176"/>
    </row>
    <row r="473" spans="1:21">
      <c r="A473" s="3"/>
      <c r="B473" s="3"/>
      <c r="C473" s="3"/>
      <c r="D473" s="3"/>
      <c r="E473" s="4"/>
      <c r="F473" s="3"/>
      <c r="G473" s="3"/>
      <c r="H473" s="10"/>
      <c r="I473" s="187"/>
      <c r="J473" s="188"/>
      <c r="K473" s="188"/>
      <c r="L473" s="188"/>
      <c r="M473" s="188"/>
      <c r="N473" s="188"/>
      <c r="O473" s="188"/>
      <c r="P473" s="188"/>
      <c r="Q473" s="188"/>
      <c r="R473" s="188"/>
      <c r="S473" s="188"/>
      <c r="T473" s="7"/>
      <c r="U473" s="176"/>
    </row>
    <row r="474" spans="1:21">
      <c r="A474" s="3"/>
      <c r="B474" s="3"/>
      <c r="C474" s="3"/>
      <c r="D474" s="3"/>
      <c r="E474" s="4"/>
      <c r="F474" s="3"/>
      <c r="G474" s="3"/>
      <c r="H474" s="10"/>
      <c r="I474" s="187"/>
      <c r="J474" s="188"/>
      <c r="K474" s="188"/>
      <c r="L474" s="188"/>
      <c r="M474" s="188"/>
      <c r="N474" s="188"/>
      <c r="O474" s="188"/>
      <c r="P474" s="188"/>
      <c r="Q474" s="188"/>
      <c r="R474" s="188"/>
      <c r="S474" s="188"/>
      <c r="T474" s="7"/>
      <c r="U474" s="176"/>
    </row>
    <row r="475" spans="1:21">
      <c r="A475" s="3"/>
      <c r="B475" s="3"/>
      <c r="C475" s="3"/>
      <c r="D475" s="3"/>
      <c r="E475" s="4"/>
      <c r="F475" s="3"/>
      <c r="G475" s="3"/>
      <c r="H475" s="10"/>
      <c r="I475" s="187"/>
      <c r="J475" s="188"/>
      <c r="K475" s="188"/>
      <c r="L475" s="188"/>
      <c r="M475" s="188"/>
      <c r="N475" s="188"/>
      <c r="O475" s="188"/>
      <c r="P475" s="188"/>
      <c r="Q475" s="188"/>
      <c r="R475" s="188"/>
      <c r="S475" s="188"/>
      <c r="T475" s="7"/>
      <c r="U475" s="176"/>
    </row>
    <row r="476" spans="1:21">
      <c r="A476" s="3"/>
      <c r="B476" s="3"/>
      <c r="C476" s="3"/>
      <c r="D476" s="3"/>
      <c r="E476" s="4"/>
      <c r="F476" s="3"/>
      <c r="G476" s="3"/>
      <c r="H476" s="10"/>
      <c r="I476" s="187"/>
      <c r="J476" s="188"/>
      <c r="K476" s="188"/>
      <c r="L476" s="188"/>
      <c r="M476" s="188"/>
      <c r="N476" s="188"/>
      <c r="O476" s="188"/>
      <c r="P476" s="188"/>
      <c r="Q476" s="188"/>
      <c r="R476" s="188"/>
      <c r="S476" s="188"/>
      <c r="T476" s="7"/>
      <c r="U476" s="176"/>
    </row>
    <row r="477" spans="1:21">
      <c r="A477" s="3"/>
      <c r="B477" s="3"/>
      <c r="C477" s="3"/>
      <c r="D477" s="3"/>
      <c r="E477" s="4"/>
      <c r="F477" s="3"/>
      <c r="G477" s="3"/>
      <c r="H477" s="10"/>
      <c r="I477" s="187"/>
      <c r="J477" s="188"/>
      <c r="K477" s="188"/>
      <c r="L477" s="188"/>
      <c r="M477" s="188"/>
      <c r="N477" s="188"/>
      <c r="O477" s="188"/>
      <c r="P477" s="188"/>
      <c r="Q477" s="188"/>
      <c r="R477" s="188"/>
      <c r="S477" s="188"/>
      <c r="T477" s="7"/>
      <c r="U477" s="176"/>
    </row>
    <row r="478" spans="1:21">
      <c r="A478" s="3"/>
      <c r="B478" s="3"/>
      <c r="C478" s="3"/>
      <c r="D478" s="3"/>
      <c r="E478" s="4"/>
      <c r="F478" s="3"/>
      <c r="G478" s="3"/>
      <c r="H478" s="10"/>
      <c r="I478" s="187"/>
      <c r="J478" s="188"/>
      <c r="K478" s="188"/>
      <c r="L478" s="188"/>
      <c r="M478" s="188"/>
      <c r="N478" s="188"/>
      <c r="O478" s="188"/>
      <c r="P478" s="188"/>
      <c r="Q478" s="188"/>
      <c r="R478" s="188"/>
      <c r="S478" s="188"/>
      <c r="T478" s="7"/>
      <c r="U478" s="176"/>
    </row>
    <row r="479" spans="1:21">
      <c r="A479" s="3"/>
      <c r="B479" s="3"/>
      <c r="C479" s="3"/>
      <c r="D479" s="3"/>
      <c r="E479" s="4"/>
      <c r="F479" s="3"/>
      <c r="G479" s="3"/>
      <c r="H479" s="10"/>
      <c r="I479" s="187"/>
      <c r="J479" s="188"/>
      <c r="K479" s="188"/>
      <c r="L479" s="188"/>
      <c r="M479" s="188"/>
      <c r="N479" s="188"/>
      <c r="O479" s="188"/>
      <c r="P479" s="188"/>
      <c r="Q479" s="188"/>
      <c r="R479" s="188"/>
      <c r="S479" s="188"/>
      <c r="T479" s="7"/>
      <c r="U479" s="176"/>
    </row>
    <row r="480" spans="1:21">
      <c r="A480" s="3"/>
      <c r="B480" s="3"/>
      <c r="C480" s="3"/>
      <c r="D480" s="3"/>
      <c r="E480" s="4"/>
      <c r="F480" s="3"/>
      <c r="G480" s="3"/>
      <c r="H480" s="10"/>
      <c r="I480" s="187"/>
      <c r="J480" s="188"/>
      <c r="K480" s="188"/>
      <c r="L480" s="188"/>
      <c r="M480" s="188"/>
      <c r="N480" s="188"/>
      <c r="O480" s="188"/>
      <c r="P480" s="188"/>
      <c r="Q480" s="188"/>
      <c r="R480" s="188"/>
      <c r="S480" s="188"/>
      <c r="T480" s="7"/>
      <c r="U480" s="176"/>
    </row>
    <row r="481" spans="1:21">
      <c r="A481" s="3"/>
      <c r="B481" s="3"/>
      <c r="C481" s="3"/>
      <c r="D481" s="3"/>
      <c r="E481" s="4"/>
      <c r="F481" s="3"/>
      <c r="G481" s="3"/>
      <c r="H481" s="10"/>
      <c r="I481" s="187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7"/>
      <c r="U481" s="176"/>
    </row>
    <row r="482" spans="1:21">
      <c r="A482" s="3"/>
      <c r="B482" s="3"/>
      <c r="C482" s="3"/>
      <c r="D482" s="3"/>
      <c r="E482" s="4"/>
      <c r="F482" s="3"/>
      <c r="G482" s="3"/>
      <c r="H482" s="10"/>
      <c r="I482" s="187"/>
      <c r="J482" s="188"/>
      <c r="K482" s="188"/>
      <c r="L482" s="188"/>
      <c r="M482" s="188"/>
      <c r="N482" s="188"/>
      <c r="O482" s="188"/>
      <c r="P482" s="188"/>
      <c r="Q482" s="188"/>
      <c r="R482" s="188"/>
      <c r="S482" s="188"/>
      <c r="T482" s="7"/>
      <c r="U482" s="176"/>
    </row>
    <row r="483" spans="1:21">
      <c r="A483" s="3"/>
      <c r="B483" s="3"/>
      <c r="C483" s="3"/>
      <c r="D483" s="3"/>
      <c r="E483" s="4"/>
      <c r="F483" s="3"/>
      <c r="G483" s="3"/>
      <c r="H483" s="10"/>
      <c r="I483" s="187"/>
      <c r="J483" s="188"/>
      <c r="K483" s="188"/>
      <c r="L483" s="188"/>
      <c r="M483" s="188"/>
      <c r="N483" s="188"/>
      <c r="O483" s="188"/>
      <c r="P483" s="188"/>
      <c r="Q483" s="188"/>
      <c r="R483" s="188"/>
      <c r="S483" s="188"/>
      <c r="T483" s="7"/>
      <c r="U483" s="176"/>
    </row>
    <row r="484" spans="1:21">
      <c r="A484" s="3"/>
      <c r="B484" s="3"/>
      <c r="C484" s="3"/>
      <c r="D484" s="3"/>
      <c r="E484" s="4"/>
      <c r="F484" s="3"/>
      <c r="G484" s="3"/>
      <c r="H484" s="10"/>
      <c r="I484" s="187"/>
      <c r="J484" s="188"/>
      <c r="K484" s="188"/>
      <c r="L484" s="188"/>
      <c r="M484" s="188"/>
      <c r="N484" s="188"/>
      <c r="O484" s="188"/>
      <c r="P484" s="188"/>
      <c r="Q484" s="188"/>
      <c r="R484" s="188"/>
      <c r="S484" s="188"/>
      <c r="T484" s="7"/>
      <c r="U484" s="176"/>
    </row>
    <row r="485" spans="1:21">
      <c r="A485" s="3"/>
      <c r="B485" s="3"/>
      <c r="C485" s="3"/>
      <c r="D485" s="3"/>
      <c r="E485" s="4"/>
      <c r="F485" s="3"/>
      <c r="G485" s="3"/>
      <c r="H485" s="10"/>
      <c r="I485" s="187"/>
      <c r="J485" s="188"/>
      <c r="K485" s="188"/>
      <c r="L485" s="188"/>
      <c r="M485" s="188"/>
      <c r="N485" s="188"/>
      <c r="O485" s="188"/>
      <c r="P485" s="188"/>
      <c r="Q485" s="188"/>
      <c r="R485" s="188"/>
      <c r="S485" s="188"/>
      <c r="T485" s="7"/>
      <c r="U485" s="176"/>
    </row>
    <row r="486" spans="1:21">
      <c r="A486" s="3"/>
      <c r="B486" s="3"/>
      <c r="C486" s="3"/>
      <c r="D486" s="3"/>
      <c r="E486" s="4"/>
      <c r="F486" s="3"/>
      <c r="G486" s="3"/>
      <c r="H486" s="10"/>
      <c r="I486" s="187"/>
      <c r="J486" s="188"/>
      <c r="K486" s="188"/>
      <c r="L486" s="188"/>
      <c r="M486" s="188"/>
      <c r="N486" s="188"/>
      <c r="O486" s="188"/>
      <c r="P486" s="188"/>
      <c r="Q486" s="188"/>
      <c r="R486" s="188"/>
      <c r="S486" s="188"/>
      <c r="T486" s="7"/>
      <c r="U486" s="176"/>
    </row>
    <row r="487" spans="1:21">
      <c r="A487" s="3"/>
      <c r="B487" s="3"/>
      <c r="C487" s="3"/>
      <c r="D487" s="3"/>
      <c r="E487" s="4"/>
      <c r="F487" s="3"/>
      <c r="G487" s="3"/>
      <c r="H487" s="10"/>
      <c r="I487" s="187"/>
      <c r="J487" s="188"/>
      <c r="K487" s="188"/>
      <c r="L487" s="188"/>
      <c r="M487" s="188"/>
      <c r="N487" s="188"/>
      <c r="O487" s="188"/>
      <c r="P487" s="188"/>
      <c r="Q487" s="188"/>
      <c r="R487" s="188"/>
      <c r="S487" s="188"/>
      <c r="T487" s="7"/>
      <c r="U487" s="176"/>
    </row>
    <row r="488" spans="1:21">
      <c r="A488" s="3"/>
      <c r="B488" s="3"/>
      <c r="C488" s="3"/>
      <c r="D488" s="3"/>
      <c r="E488" s="4"/>
      <c r="F488" s="3"/>
      <c r="G488" s="3"/>
      <c r="H488" s="10"/>
      <c r="I488" s="187"/>
      <c r="J488" s="188"/>
      <c r="K488" s="188"/>
      <c r="L488" s="188"/>
      <c r="M488" s="188"/>
      <c r="N488" s="188"/>
      <c r="O488" s="188"/>
      <c r="P488" s="188"/>
      <c r="Q488" s="188"/>
      <c r="R488" s="188"/>
      <c r="S488" s="188"/>
      <c r="T488" s="7"/>
      <c r="U488" s="176"/>
    </row>
    <row r="489" spans="1:21">
      <c r="A489" s="3"/>
      <c r="B489" s="3"/>
      <c r="C489" s="3"/>
      <c r="D489" s="3"/>
      <c r="E489" s="4"/>
      <c r="F489" s="3"/>
      <c r="G489" s="3"/>
      <c r="H489" s="10"/>
      <c r="I489" s="187"/>
      <c r="J489" s="188"/>
      <c r="K489" s="188"/>
      <c r="L489" s="188"/>
      <c r="M489" s="188"/>
      <c r="N489" s="188"/>
      <c r="O489" s="188"/>
      <c r="P489" s="188"/>
      <c r="Q489" s="188"/>
      <c r="R489" s="188"/>
      <c r="S489" s="188"/>
      <c r="T489" s="7"/>
      <c r="U489" s="176"/>
    </row>
    <row r="490" spans="1:21">
      <c r="A490" s="3"/>
      <c r="B490" s="3"/>
      <c r="C490" s="3"/>
      <c r="D490" s="3"/>
      <c r="E490" s="4"/>
      <c r="F490" s="3"/>
      <c r="G490" s="3"/>
      <c r="H490" s="10"/>
      <c r="I490" s="187"/>
      <c r="J490" s="188"/>
      <c r="K490" s="188"/>
      <c r="L490" s="188"/>
      <c r="M490" s="188"/>
      <c r="N490" s="188"/>
      <c r="O490" s="188"/>
      <c r="P490" s="188"/>
      <c r="Q490" s="188"/>
      <c r="R490" s="188"/>
      <c r="S490" s="188"/>
      <c r="T490" s="7"/>
      <c r="U490" s="176"/>
    </row>
    <row r="491" spans="1:21">
      <c r="A491" s="3"/>
      <c r="B491" s="3"/>
      <c r="C491" s="3"/>
      <c r="D491" s="3"/>
      <c r="E491" s="4"/>
      <c r="F491" s="3"/>
      <c r="G491" s="3"/>
      <c r="H491" s="10"/>
      <c r="I491" s="187"/>
      <c r="J491" s="188"/>
      <c r="K491" s="188"/>
      <c r="L491" s="188"/>
      <c r="M491" s="188"/>
      <c r="N491" s="188"/>
      <c r="O491" s="188"/>
      <c r="P491" s="188"/>
      <c r="Q491" s="188"/>
      <c r="R491" s="188"/>
      <c r="S491" s="188"/>
      <c r="T491" s="7"/>
      <c r="U491" s="176"/>
    </row>
    <row r="492" spans="1:21">
      <c r="A492" s="3"/>
      <c r="B492" s="3"/>
      <c r="C492" s="3"/>
      <c r="D492" s="3"/>
      <c r="E492" s="4"/>
      <c r="F492" s="3"/>
      <c r="G492" s="3"/>
      <c r="H492" s="10"/>
      <c r="I492" s="187"/>
      <c r="J492" s="188"/>
      <c r="K492" s="188"/>
      <c r="L492" s="188"/>
      <c r="M492" s="188"/>
      <c r="N492" s="188"/>
      <c r="O492" s="188"/>
      <c r="P492" s="188"/>
      <c r="Q492" s="188"/>
      <c r="R492" s="188"/>
      <c r="S492" s="188"/>
      <c r="T492" s="7"/>
      <c r="U492" s="176"/>
    </row>
    <row r="493" spans="1:21">
      <c r="A493" s="3"/>
      <c r="B493" s="3"/>
      <c r="C493" s="3"/>
      <c r="D493" s="3"/>
      <c r="E493" s="4"/>
      <c r="F493" s="3"/>
      <c r="G493" s="3"/>
      <c r="H493" s="10"/>
      <c r="I493" s="187"/>
      <c r="J493" s="188"/>
      <c r="K493" s="188"/>
      <c r="L493" s="188"/>
      <c r="M493" s="188"/>
      <c r="N493" s="188"/>
      <c r="O493" s="188"/>
      <c r="P493" s="188"/>
      <c r="Q493" s="188"/>
      <c r="R493" s="188"/>
      <c r="S493" s="188"/>
      <c r="T493" s="7"/>
      <c r="U493" s="176"/>
    </row>
    <row r="494" spans="1:21">
      <c r="A494" s="3"/>
      <c r="B494" s="3"/>
      <c r="C494" s="3"/>
      <c r="D494" s="3"/>
      <c r="E494" s="4"/>
      <c r="F494" s="3"/>
      <c r="G494" s="3"/>
      <c r="H494" s="10"/>
      <c r="I494" s="187"/>
      <c r="J494" s="188"/>
      <c r="K494" s="188"/>
      <c r="L494" s="188"/>
      <c r="M494" s="188"/>
      <c r="N494" s="188"/>
      <c r="O494" s="188"/>
      <c r="P494" s="188"/>
      <c r="Q494" s="188"/>
      <c r="R494" s="188"/>
      <c r="S494" s="188"/>
      <c r="T494" s="7"/>
      <c r="U494" s="176"/>
    </row>
    <row r="495" spans="1:21">
      <c r="A495" s="3"/>
      <c r="B495" s="3"/>
      <c r="C495" s="3"/>
      <c r="D495" s="3"/>
      <c r="E495" s="4"/>
      <c r="F495" s="3"/>
      <c r="G495" s="3"/>
      <c r="H495" s="10"/>
      <c r="I495" s="187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7"/>
      <c r="U495" s="176"/>
    </row>
    <row r="496" spans="1:21">
      <c r="A496" s="3"/>
      <c r="B496" s="3"/>
      <c r="C496" s="3"/>
      <c r="D496" s="3"/>
      <c r="E496" s="4"/>
      <c r="F496" s="3"/>
      <c r="G496" s="3"/>
      <c r="H496" s="10"/>
      <c r="I496" s="187"/>
      <c r="J496" s="188"/>
      <c r="K496" s="188"/>
      <c r="L496" s="188"/>
      <c r="M496" s="188"/>
      <c r="N496" s="188"/>
      <c r="O496" s="188"/>
      <c r="P496" s="188"/>
      <c r="Q496" s="188"/>
      <c r="R496" s="188"/>
      <c r="S496" s="188"/>
      <c r="T496" s="7"/>
      <c r="U496" s="176"/>
    </row>
    <row r="497" spans="1:21">
      <c r="A497" s="3"/>
      <c r="B497" s="3"/>
      <c r="C497" s="3"/>
      <c r="D497" s="3"/>
      <c r="E497" s="4"/>
      <c r="F497" s="3"/>
      <c r="G497" s="3"/>
      <c r="H497" s="10"/>
      <c r="I497" s="187"/>
      <c r="J497" s="188"/>
      <c r="K497" s="188"/>
      <c r="L497" s="188"/>
      <c r="M497" s="188"/>
      <c r="N497" s="188"/>
      <c r="O497" s="188"/>
      <c r="P497" s="188"/>
      <c r="Q497" s="188"/>
      <c r="R497" s="188"/>
      <c r="S497" s="188"/>
      <c r="T497" s="7"/>
      <c r="U497" s="176"/>
    </row>
    <row r="498" spans="1:21">
      <c r="A498" s="3"/>
      <c r="B498" s="3"/>
      <c r="C498" s="3"/>
      <c r="D498" s="3"/>
      <c r="E498" s="4"/>
      <c r="F498" s="3"/>
      <c r="G498" s="3"/>
      <c r="H498" s="10"/>
      <c r="I498" s="187"/>
      <c r="J498" s="188"/>
      <c r="K498" s="188"/>
      <c r="L498" s="188"/>
      <c r="M498" s="188"/>
      <c r="N498" s="188"/>
      <c r="O498" s="188"/>
      <c r="P498" s="188"/>
      <c r="Q498" s="188"/>
      <c r="R498" s="188"/>
      <c r="S498" s="188"/>
      <c r="T498" s="7"/>
      <c r="U498" s="176"/>
    </row>
    <row r="499" spans="1:21">
      <c r="A499" s="3"/>
      <c r="B499" s="3"/>
      <c r="C499" s="3"/>
      <c r="D499" s="3"/>
      <c r="E499" s="4"/>
      <c r="F499" s="3"/>
      <c r="G499" s="3"/>
      <c r="H499" s="10"/>
      <c r="I499" s="187"/>
      <c r="J499" s="188"/>
      <c r="K499" s="188"/>
      <c r="L499" s="188"/>
      <c r="M499" s="188"/>
      <c r="N499" s="188"/>
      <c r="O499" s="188"/>
      <c r="P499" s="188"/>
      <c r="Q499" s="188"/>
      <c r="R499" s="188"/>
      <c r="S499" s="188"/>
      <c r="T499" s="7"/>
      <c r="U499" s="176"/>
    </row>
    <row r="500" spans="1:21">
      <c r="A500" s="3"/>
      <c r="B500" s="3"/>
      <c r="C500" s="3"/>
      <c r="D500" s="3"/>
      <c r="E500" s="4"/>
      <c r="F500" s="3"/>
      <c r="G500" s="3"/>
      <c r="H500" s="10"/>
      <c r="I500" s="187"/>
      <c r="J500" s="188"/>
      <c r="K500" s="188"/>
      <c r="L500" s="188"/>
      <c r="M500" s="188"/>
      <c r="N500" s="188"/>
      <c r="O500" s="188"/>
      <c r="P500" s="188"/>
      <c r="Q500" s="188"/>
      <c r="R500" s="188"/>
      <c r="S500" s="188"/>
      <c r="T500" s="7"/>
      <c r="U500" s="176"/>
    </row>
    <row r="501" spans="1:21">
      <c r="A501" s="3"/>
      <c r="B501" s="3"/>
      <c r="C501" s="3"/>
      <c r="D501" s="3"/>
      <c r="E501" s="4"/>
      <c r="F501" s="3"/>
      <c r="G501" s="3"/>
      <c r="H501" s="10"/>
      <c r="I501" s="187"/>
      <c r="J501" s="188"/>
      <c r="K501" s="188"/>
      <c r="L501" s="188"/>
      <c r="M501" s="188"/>
      <c r="N501" s="188"/>
      <c r="O501" s="188"/>
      <c r="P501" s="188"/>
      <c r="Q501" s="188"/>
      <c r="R501" s="188"/>
      <c r="S501" s="188"/>
      <c r="T501" s="7"/>
      <c r="U501" s="176"/>
    </row>
    <row r="502" spans="1:21">
      <c r="A502" s="3"/>
      <c r="B502" s="3"/>
      <c r="C502" s="3"/>
      <c r="D502" s="3"/>
      <c r="E502" s="4"/>
      <c r="F502" s="3"/>
      <c r="G502" s="3"/>
      <c r="H502" s="10"/>
      <c r="I502" s="187"/>
      <c r="J502" s="188"/>
      <c r="K502" s="188"/>
      <c r="L502" s="188"/>
      <c r="M502" s="188"/>
      <c r="N502" s="188"/>
      <c r="O502" s="188"/>
      <c r="P502" s="188"/>
      <c r="Q502" s="188"/>
      <c r="R502" s="188"/>
      <c r="S502" s="188"/>
      <c r="T502" s="7"/>
      <c r="U502" s="176"/>
    </row>
    <row r="503" spans="1:21">
      <c r="A503" s="3"/>
      <c r="B503" s="3"/>
      <c r="C503" s="3"/>
      <c r="D503" s="3"/>
      <c r="E503" s="4"/>
      <c r="F503" s="3"/>
      <c r="G503" s="3"/>
      <c r="H503" s="10"/>
      <c r="I503" s="187"/>
      <c r="J503" s="188"/>
      <c r="K503" s="188"/>
      <c r="L503" s="188"/>
      <c r="M503" s="188"/>
      <c r="N503" s="188"/>
      <c r="O503" s="188"/>
      <c r="P503" s="188"/>
      <c r="Q503" s="188"/>
      <c r="R503" s="188"/>
      <c r="S503" s="188"/>
      <c r="T503" s="7"/>
      <c r="U503" s="176"/>
    </row>
    <row r="504" spans="1:21">
      <c r="A504" s="3"/>
      <c r="B504" s="3"/>
      <c r="C504" s="3"/>
      <c r="D504" s="3"/>
      <c r="E504" s="4"/>
      <c r="F504" s="3"/>
      <c r="G504" s="3"/>
      <c r="H504" s="10"/>
      <c r="I504" s="187"/>
      <c r="J504" s="188"/>
      <c r="K504" s="188"/>
      <c r="L504" s="188"/>
      <c r="M504" s="188"/>
      <c r="N504" s="188"/>
      <c r="O504" s="188"/>
      <c r="P504" s="188"/>
      <c r="Q504" s="188"/>
      <c r="R504" s="188"/>
      <c r="S504" s="188"/>
      <c r="T504" s="7"/>
      <c r="U504" s="176"/>
    </row>
    <row r="505" spans="1:21">
      <c r="A505" s="3"/>
      <c r="B505" s="3"/>
      <c r="C505" s="3"/>
      <c r="D505" s="3"/>
      <c r="E505" s="4"/>
      <c r="F505" s="3"/>
      <c r="G505" s="3"/>
      <c r="H505" s="10"/>
      <c r="I505" s="187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7"/>
      <c r="U505" s="176"/>
    </row>
    <row r="506" spans="1:21">
      <c r="A506" s="3"/>
      <c r="B506" s="3"/>
      <c r="C506" s="3"/>
      <c r="D506" s="3"/>
      <c r="E506" s="4"/>
      <c r="F506" s="3"/>
      <c r="G506" s="3"/>
      <c r="H506" s="10"/>
      <c r="I506" s="187"/>
      <c r="J506" s="188"/>
      <c r="K506" s="188"/>
      <c r="L506" s="188"/>
      <c r="M506" s="188"/>
      <c r="N506" s="188"/>
      <c r="O506" s="188"/>
      <c r="P506" s="188"/>
      <c r="Q506" s="188"/>
      <c r="R506" s="188"/>
      <c r="S506" s="188"/>
      <c r="T506" s="7"/>
      <c r="U506" s="176"/>
    </row>
    <row r="507" spans="1:21">
      <c r="A507" s="3"/>
      <c r="B507" s="3"/>
      <c r="C507" s="3"/>
      <c r="D507" s="3"/>
      <c r="E507" s="4"/>
      <c r="F507" s="3"/>
      <c r="G507" s="3"/>
      <c r="H507" s="10"/>
      <c r="I507" s="187"/>
      <c r="J507" s="188"/>
      <c r="K507" s="188"/>
      <c r="L507" s="188"/>
      <c r="M507" s="188"/>
      <c r="N507" s="188"/>
      <c r="O507" s="188"/>
      <c r="P507" s="188"/>
      <c r="Q507" s="188"/>
      <c r="R507" s="188"/>
      <c r="S507" s="188"/>
      <c r="T507" s="7"/>
      <c r="U507" s="176"/>
    </row>
    <row r="508" spans="1:21">
      <c r="A508" s="3"/>
      <c r="B508" s="3"/>
      <c r="C508" s="3"/>
      <c r="D508" s="3"/>
      <c r="E508" s="4"/>
      <c r="F508" s="3"/>
      <c r="G508" s="3"/>
      <c r="H508" s="10"/>
      <c r="I508" s="187"/>
      <c r="J508" s="188"/>
      <c r="K508" s="188"/>
      <c r="L508" s="188"/>
      <c r="M508" s="188"/>
      <c r="N508" s="188"/>
      <c r="O508" s="188"/>
      <c r="P508" s="188"/>
      <c r="Q508" s="188"/>
      <c r="R508" s="188"/>
      <c r="S508" s="188"/>
      <c r="T508" s="7"/>
      <c r="U508" s="176"/>
    </row>
    <row r="509" spans="1:21">
      <c r="A509" s="3"/>
      <c r="B509" s="3"/>
      <c r="C509" s="3"/>
      <c r="D509" s="3"/>
      <c r="E509" s="4"/>
      <c r="F509" s="3"/>
      <c r="G509" s="3"/>
      <c r="H509" s="10"/>
      <c r="I509" s="187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7"/>
      <c r="U509" s="176"/>
    </row>
    <row r="510" spans="1:21">
      <c r="A510" s="3"/>
      <c r="B510" s="3"/>
      <c r="C510" s="3"/>
      <c r="D510" s="3"/>
      <c r="E510" s="4"/>
      <c r="F510" s="3"/>
      <c r="G510" s="3"/>
      <c r="H510" s="10"/>
      <c r="I510" s="187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7"/>
      <c r="U510" s="176"/>
    </row>
    <row r="511" spans="1:21">
      <c r="A511" s="3"/>
      <c r="B511" s="3"/>
      <c r="C511" s="3"/>
      <c r="D511" s="3"/>
      <c r="E511" s="4"/>
      <c r="F511" s="3"/>
      <c r="G511" s="3"/>
      <c r="H511" s="10"/>
      <c r="I511" s="187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7"/>
      <c r="U511" s="176"/>
    </row>
    <row r="512" spans="1:21">
      <c r="A512" s="3"/>
      <c r="B512" s="3"/>
      <c r="C512" s="3"/>
      <c r="D512" s="3"/>
      <c r="E512" s="4"/>
      <c r="F512" s="3"/>
      <c r="G512" s="3"/>
      <c r="H512" s="10"/>
      <c r="I512" s="187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7"/>
      <c r="U512" s="176"/>
    </row>
    <row r="513" spans="1:21">
      <c r="A513" s="3"/>
      <c r="B513" s="3"/>
      <c r="C513" s="3"/>
      <c r="D513" s="3"/>
      <c r="E513" s="4"/>
      <c r="F513" s="3"/>
      <c r="G513" s="3"/>
      <c r="H513" s="10"/>
      <c r="I513" s="187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7"/>
      <c r="U513" s="176"/>
    </row>
    <row r="514" spans="1:21">
      <c r="A514" s="3"/>
      <c r="B514" s="3"/>
      <c r="C514" s="3"/>
      <c r="D514" s="3"/>
      <c r="E514" s="4"/>
      <c r="F514" s="3"/>
      <c r="G514" s="3"/>
      <c r="H514" s="10"/>
      <c r="I514" s="187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7"/>
      <c r="U514" s="176"/>
    </row>
    <row r="515" spans="1:21">
      <c r="A515" s="3"/>
      <c r="B515" s="3"/>
      <c r="C515" s="3"/>
      <c r="D515" s="3"/>
      <c r="E515" s="4"/>
      <c r="F515" s="3"/>
      <c r="G515" s="3"/>
      <c r="H515" s="10"/>
      <c r="I515" s="187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7"/>
      <c r="U515" s="176"/>
    </row>
    <row r="516" spans="1:21">
      <c r="A516" s="3"/>
      <c r="B516" s="3"/>
      <c r="C516" s="3"/>
      <c r="D516" s="3"/>
      <c r="E516" s="4"/>
      <c r="F516" s="3"/>
      <c r="G516" s="3"/>
      <c r="H516" s="10"/>
      <c r="I516" s="187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7"/>
      <c r="U516" s="176"/>
    </row>
    <row r="517" spans="1:21">
      <c r="A517" s="3"/>
      <c r="B517" s="3"/>
      <c r="C517" s="3"/>
      <c r="D517" s="3"/>
      <c r="E517" s="4"/>
      <c r="F517" s="3"/>
      <c r="G517" s="3"/>
      <c r="H517" s="10"/>
      <c r="I517" s="187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7"/>
      <c r="U517" s="176"/>
    </row>
    <row r="518" spans="1:21">
      <c r="A518" s="3"/>
      <c r="B518" s="3"/>
      <c r="C518" s="3"/>
      <c r="D518" s="3"/>
      <c r="E518" s="4"/>
      <c r="F518" s="3"/>
      <c r="G518" s="3"/>
      <c r="H518" s="10"/>
      <c r="I518" s="187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7"/>
      <c r="U518" s="176"/>
    </row>
    <row r="519" spans="1:21">
      <c r="A519" s="3"/>
      <c r="B519" s="3"/>
      <c r="C519" s="3"/>
      <c r="D519" s="3"/>
      <c r="E519" s="4"/>
      <c r="F519" s="3"/>
      <c r="G519" s="3"/>
      <c r="H519" s="10"/>
      <c r="I519" s="187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7"/>
      <c r="U519" s="176"/>
    </row>
    <row r="520" spans="1:21">
      <c r="A520" s="3"/>
      <c r="B520" s="3"/>
      <c r="C520" s="3"/>
      <c r="D520" s="3"/>
      <c r="E520" s="4"/>
      <c r="F520" s="3"/>
      <c r="G520" s="3"/>
      <c r="H520" s="10"/>
      <c r="I520" s="187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7"/>
      <c r="U520" s="176"/>
    </row>
    <row r="521" spans="1:21">
      <c r="A521" s="3"/>
      <c r="B521" s="3"/>
      <c r="C521" s="3"/>
      <c r="D521" s="3"/>
      <c r="E521" s="4"/>
      <c r="F521" s="3"/>
      <c r="G521" s="3"/>
      <c r="H521" s="10"/>
      <c r="I521" s="187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7"/>
      <c r="U521" s="176"/>
    </row>
    <row r="522" spans="1:21">
      <c r="A522" s="3"/>
      <c r="B522" s="3"/>
      <c r="C522" s="3"/>
      <c r="D522" s="3"/>
      <c r="E522" s="4"/>
      <c r="F522" s="3"/>
      <c r="G522" s="3"/>
      <c r="H522" s="10"/>
      <c r="I522" s="187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7"/>
      <c r="U522" s="176"/>
    </row>
    <row r="523" spans="1:21">
      <c r="A523" s="3"/>
      <c r="B523" s="3"/>
      <c r="C523" s="3"/>
      <c r="D523" s="3"/>
      <c r="E523" s="4"/>
      <c r="F523" s="3"/>
      <c r="G523" s="3"/>
      <c r="H523" s="10"/>
      <c r="I523" s="187"/>
      <c r="J523" s="188"/>
      <c r="K523" s="188"/>
      <c r="L523" s="188"/>
      <c r="M523" s="188"/>
      <c r="N523" s="188"/>
      <c r="O523" s="188"/>
      <c r="P523" s="188"/>
      <c r="Q523" s="188"/>
      <c r="R523" s="188"/>
      <c r="S523" s="188"/>
      <c r="T523" s="7"/>
      <c r="U523" s="176"/>
    </row>
    <row r="524" spans="1:21">
      <c r="A524" s="3"/>
      <c r="B524" s="3"/>
      <c r="C524" s="3"/>
      <c r="D524" s="3"/>
      <c r="E524" s="4"/>
      <c r="F524" s="3"/>
      <c r="G524" s="3"/>
      <c r="H524" s="10"/>
      <c r="I524" s="187"/>
      <c r="J524" s="188"/>
      <c r="K524" s="188"/>
      <c r="L524" s="188"/>
      <c r="M524" s="188"/>
      <c r="N524" s="188"/>
      <c r="O524" s="188"/>
      <c r="P524" s="188"/>
      <c r="Q524" s="188"/>
      <c r="R524" s="188"/>
      <c r="S524" s="188"/>
      <c r="T524" s="7"/>
      <c r="U524" s="176"/>
    </row>
    <row r="525" spans="1:21">
      <c r="A525" s="3"/>
      <c r="B525" s="3"/>
      <c r="C525" s="3"/>
      <c r="D525" s="3"/>
      <c r="E525" s="4"/>
      <c r="F525" s="3"/>
      <c r="G525" s="3"/>
      <c r="H525" s="10"/>
      <c r="I525" s="187"/>
      <c r="J525" s="188"/>
      <c r="K525" s="188"/>
      <c r="L525" s="188"/>
      <c r="M525" s="188"/>
      <c r="N525" s="188"/>
      <c r="O525" s="188"/>
      <c r="P525" s="188"/>
      <c r="Q525" s="188"/>
      <c r="R525" s="188"/>
      <c r="S525" s="188"/>
      <c r="T525" s="7"/>
      <c r="U525" s="176"/>
    </row>
    <row r="526" spans="1:21">
      <c r="A526" s="3"/>
      <c r="B526" s="3"/>
      <c r="C526" s="3"/>
      <c r="D526" s="3"/>
      <c r="E526" s="4"/>
      <c r="F526" s="3"/>
      <c r="G526" s="3"/>
      <c r="H526" s="10"/>
      <c r="I526" s="187"/>
      <c r="J526" s="188"/>
      <c r="K526" s="188"/>
      <c r="L526" s="188"/>
      <c r="M526" s="188"/>
      <c r="N526" s="188"/>
      <c r="O526" s="188"/>
      <c r="P526" s="188"/>
      <c r="Q526" s="188"/>
      <c r="R526" s="188"/>
      <c r="S526" s="188"/>
      <c r="T526" s="7"/>
      <c r="U526" s="176"/>
    </row>
    <row r="527" spans="1:21">
      <c r="A527" s="3"/>
      <c r="B527" s="3"/>
      <c r="C527" s="3"/>
      <c r="D527" s="3"/>
      <c r="E527" s="4"/>
      <c r="F527" s="3"/>
      <c r="G527" s="3"/>
      <c r="H527" s="10"/>
      <c r="I527" s="187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7"/>
      <c r="U527" s="176"/>
    </row>
    <row r="528" spans="1:21">
      <c r="A528" s="3"/>
      <c r="B528" s="3"/>
      <c r="C528" s="3"/>
      <c r="D528" s="3"/>
      <c r="E528" s="4"/>
      <c r="F528" s="3"/>
      <c r="G528" s="3"/>
      <c r="H528" s="10"/>
      <c r="I528" s="187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7"/>
      <c r="U528" s="176"/>
    </row>
    <row r="529" spans="1:21">
      <c r="A529" s="3"/>
      <c r="B529" s="3"/>
      <c r="C529" s="3"/>
      <c r="D529" s="3"/>
      <c r="E529" s="4"/>
      <c r="F529" s="3"/>
      <c r="G529" s="3"/>
      <c r="H529" s="10"/>
      <c r="I529" s="187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7"/>
      <c r="U529" s="176"/>
    </row>
    <row r="530" spans="1:21">
      <c r="A530" s="3"/>
      <c r="B530" s="3"/>
      <c r="C530" s="3"/>
      <c r="D530" s="3"/>
      <c r="E530" s="4"/>
      <c r="F530" s="3"/>
      <c r="G530" s="3"/>
      <c r="H530" s="10"/>
      <c r="I530" s="187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7"/>
      <c r="U530" s="176"/>
    </row>
    <row r="531" spans="1:21">
      <c r="A531" s="3"/>
      <c r="B531" s="3"/>
      <c r="C531" s="3"/>
      <c r="D531" s="3"/>
      <c r="E531" s="4"/>
      <c r="F531" s="3"/>
      <c r="G531" s="3"/>
      <c r="H531" s="10"/>
      <c r="I531" s="187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7"/>
      <c r="U531" s="176"/>
    </row>
    <row r="532" spans="1:21">
      <c r="A532" s="3"/>
      <c r="B532" s="3"/>
      <c r="C532" s="3"/>
      <c r="D532" s="3"/>
      <c r="E532" s="4"/>
      <c r="F532" s="3"/>
      <c r="G532" s="3"/>
      <c r="H532" s="10"/>
      <c r="I532" s="187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7"/>
      <c r="U532" s="176"/>
    </row>
    <row r="533" spans="1:21">
      <c r="A533" s="3"/>
      <c r="B533" s="3"/>
      <c r="C533" s="3"/>
      <c r="D533" s="3"/>
      <c r="E533" s="4"/>
      <c r="F533" s="3"/>
      <c r="G533" s="3"/>
      <c r="H533" s="10"/>
      <c r="I533" s="187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7"/>
      <c r="U533" s="176"/>
    </row>
    <row r="534" spans="1:21">
      <c r="A534" s="3"/>
      <c r="B534" s="3"/>
      <c r="C534" s="3"/>
      <c r="D534" s="3"/>
      <c r="E534" s="4"/>
      <c r="F534" s="3"/>
      <c r="G534" s="3"/>
      <c r="H534" s="10"/>
      <c r="I534" s="187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7"/>
      <c r="U534" s="176"/>
    </row>
    <row r="535" spans="1:21">
      <c r="A535" s="3"/>
      <c r="B535" s="3"/>
      <c r="C535" s="3"/>
      <c r="D535" s="3"/>
      <c r="E535" s="4"/>
      <c r="F535" s="3"/>
      <c r="G535" s="3"/>
      <c r="H535" s="10"/>
      <c r="I535" s="187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7"/>
      <c r="U535" s="176"/>
    </row>
    <row r="536" spans="1:21">
      <c r="A536" s="3"/>
      <c r="B536" s="3"/>
      <c r="C536" s="3"/>
      <c r="D536" s="3"/>
      <c r="E536" s="4"/>
      <c r="F536" s="3"/>
      <c r="G536" s="3"/>
      <c r="H536" s="10"/>
      <c r="I536" s="187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7"/>
      <c r="U536" s="176"/>
    </row>
    <row r="537" spans="1:21">
      <c r="A537" s="3"/>
      <c r="B537" s="3"/>
      <c r="C537" s="3"/>
      <c r="D537" s="3"/>
      <c r="E537" s="4"/>
      <c r="F537" s="3"/>
      <c r="G537" s="3"/>
      <c r="H537" s="10"/>
      <c r="I537" s="187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7"/>
      <c r="U537" s="176"/>
    </row>
    <row r="538" spans="1:21">
      <c r="A538" s="3"/>
      <c r="B538" s="3"/>
      <c r="C538" s="3"/>
      <c r="D538" s="3"/>
      <c r="E538" s="4"/>
      <c r="F538" s="3"/>
      <c r="G538" s="3"/>
      <c r="H538" s="10"/>
      <c r="I538" s="187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7"/>
      <c r="U538" s="176"/>
    </row>
    <row r="539" spans="1:21">
      <c r="A539" s="3"/>
      <c r="B539" s="3"/>
      <c r="C539" s="3"/>
      <c r="D539" s="3"/>
      <c r="E539" s="4"/>
      <c r="F539" s="3"/>
      <c r="G539" s="3"/>
      <c r="H539" s="10"/>
      <c r="I539" s="187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7"/>
      <c r="U539" s="176"/>
    </row>
    <row r="540" spans="1:21">
      <c r="A540" s="3"/>
      <c r="B540" s="3"/>
      <c r="C540" s="3"/>
      <c r="D540" s="3"/>
      <c r="E540" s="4"/>
      <c r="F540" s="3"/>
      <c r="G540" s="3"/>
      <c r="H540" s="10"/>
      <c r="I540" s="187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7"/>
      <c r="U540" s="176"/>
    </row>
    <row r="541" spans="1:21">
      <c r="A541" s="3"/>
      <c r="B541" s="3"/>
      <c r="C541" s="3"/>
      <c r="D541" s="3"/>
      <c r="E541" s="4"/>
      <c r="F541" s="3"/>
      <c r="G541" s="3"/>
      <c r="H541" s="10"/>
      <c r="I541" s="187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7"/>
      <c r="U541" s="176"/>
    </row>
    <row r="542" spans="1:21">
      <c r="A542" s="3"/>
      <c r="B542" s="3"/>
      <c r="C542" s="3"/>
      <c r="D542" s="3"/>
      <c r="E542" s="4"/>
      <c r="F542" s="3"/>
      <c r="G542" s="3"/>
      <c r="H542" s="10"/>
      <c r="I542" s="187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7"/>
      <c r="U542" s="176"/>
    </row>
    <row r="543" spans="1:21">
      <c r="A543" s="3"/>
      <c r="B543" s="3"/>
      <c r="C543" s="3"/>
      <c r="D543" s="3"/>
      <c r="E543" s="4"/>
      <c r="F543" s="3"/>
      <c r="G543" s="3"/>
      <c r="H543" s="10"/>
      <c r="I543" s="187"/>
      <c r="J543" s="188"/>
      <c r="K543" s="188"/>
      <c r="L543" s="188"/>
      <c r="M543" s="188"/>
      <c r="N543" s="188"/>
      <c r="O543" s="188"/>
      <c r="P543" s="188"/>
      <c r="Q543" s="188"/>
      <c r="R543" s="188"/>
      <c r="S543" s="188"/>
      <c r="T543" s="7"/>
      <c r="U543" s="176"/>
    </row>
    <row r="544" spans="1:21">
      <c r="A544" s="3"/>
      <c r="B544" s="3"/>
      <c r="C544" s="3"/>
      <c r="D544" s="3"/>
      <c r="E544" s="4"/>
      <c r="F544" s="3"/>
      <c r="G544" s="3"/>
      <c r="H544" s="10"/>
      <c r="I544" s="187"/>
      <c r="J544" s="188"/>
      <c r="K544" s="188"/>
      <c r="L544" s="188"/>
      <c r="M544" s="188"/>
      <c r="N544" s="188"/>
      <c r="O544" s="188"/>
      <c r="P544" s="188"/>
      <c r="Q544" s="188"/>
      <c r="R544" s="188"/>
      <c r="S544" s="188"/>
      <c r="T544" s="7"/>
      <c r="U544" s="176"/>
    </row>
    <row r="545" spans="1:21">
      <c r="A545" s="3"/>
      <c r="B545" s="3"/>
      <c r="C545" s="3"/>
      <c r="D545" s="3"/>
      <c r="E545" s="4"/>
      <c r="F545" s="3"/>
      <c r="G545" s="3"/>
      <c r="H545" s="10"/>
      <c r="I545" s="187"/>
      <c r="J545" s="188"/>
      <c r="K545" s="188"/>
      <c r="L545" s="188"/>
      <c r="M545" s="188"/>
      <c r="N545" s="188"/>
      <c r="O545" s="188"/>
      <c r="P545" s="188"/>
      <c r="Q545" s="188"/>
      <c r="R545" s="188"/>
      <c r="S545" s="188"/>
      <c r="T545" s="7"/>
      <c r="U545" s="176"/>
    </row>
    <row r="546" spans="1:21">
      <c r="A546" s="3"/>
      <c r="B546" s="3"/>
      <c r="C546" s="3"/>
      <c r="D546" s="3"/>
      <c r="E546" s="4"/>
      <c r="F546" s="3"/>
      <c r="G546" s="3"/>
      <c r="H546" s="10"/>
      <c r="I546" s="187"/>
      <c r="J546" s="188"/>
      <c r="K546" s="188"/>
      <c r="L546" s="188"/>
      <c r="M546" s="188"/>
      <c r="N546" s="188"/>
      <c r="O546" s="188"/>
      <c r="P546" s="188"/>
      <c r="Q546" s="188"/>
      <c r="R546" s="188"/>
      <c r="S546" s="188"/>
      <c r="T546" s="7"/>
      <c r="U546" s="176"/>
    </row>
    <row r="547" spans="1:21">
      <c r="A547" s="3"/>
      <c r="B547" s="3"/>
      <c r="C547" s="3"/>
      <c r="D547" s="3"/>
      <c r="E547" s="4"/>
      <c r="F547" s="3"/>
      <c r="G547" s="3"/>
      <c r="H547" s="10"/>
      <c r="I547" s="187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7"/>
      <c r="U547" s="176"/>
    </row>
    <row r="548" spans="1:21">
      <c r="A548" s="3"/>
      <c r="B548" s="3"/>
      <c r="C548" s="3"/>
      <c r="D548" s="3"/>
      <c r="E548" s="4"/>
      <c r="F548" s="3"/>
      <c r="G548" s="3"/>
      <c r="H548" s="10"/>
      <c r="I548" s="187"/>
      <c r="J548" s="188"/>
      <c r="K548" s="188"/>
      <c r="L548" s="188"/>
      <c r="M548" s="188"/>
      <c r="N548" s="188"/>
      <c r="O548" s="188"/>
      <c r="P548" s="188"/>
      <c r="Q548" s="188"/>
      <c r="R548" s="188"/>
      <c r="S548" s="188"/>
      <c r="T548" s="7"/>
      <c r="U548" s="176"/>
    </row>
    <row r="549" spans="1:21">
      <c r="A549" s="3"/>
      <c r="B549" s="3"/>
      <c r="C549" s="3"/>
      <c r="D549" s="3"/>
      <c r="E549" s="4"/>
      <c r="F549" s="3"/>
      <c r="G549" s="3"/>
      <c r="H549" s="10"/>
      <c r="I549" s="187"/>
      <c r="J549" s="188"/>
      <c r="K549" s="188"/>
      <c r="L549" s="188"/>
      <c r="M549" s="188"/>
      <c r="N549" s="188"/>
      <c r="O549" s="188"/>
      <c r="P549" s="188"/>
      <c r="Q549" s="188"/>
      <c r="R549" s="188"/>
      <c r="S549" s="188"/>
      <c r="T549" s="7"/>
      <c r="U549" s="176"/>
    </row>
    <row r="550" spans="1:21">
      <c r="A550" s="3"/>
      <c r="B550" s="3"/>
      <c r="C550" s="3"/>
      <c r="D550" s="3"/>
      <c r="E550" s="4"/>
      <c r="F550" s="3"/>
      <c r="G550" s="3"/>
      <c r="H550" s="10"/>
      <c r="I550" s="187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7"/>
      <c r="U550" s="176"/>
    </row>
    <row r="551" spans="1:21">
      <c r="A551" s="3"/>
      <c r="B551" s="3"/>
      <c r="C551" s="3"/>
      <c r="D551" s="3"/>
      <c r="E551" s="4"/>
      <c r="F551" s="3"/>
      <c r="G551" s="3"/>
      <c r="H551" s="10"/>
      <c r="I551" s="187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7"/>
      <c r="U551" s="176"/>
    </row>
    <row r="552" spans="1:21">
      <c r="A552" s="3"/>
      <c r="B552" s="3"/>
      <c r="C552" s="3"/>
      <c r="D552" s="3"/>
      <c r="E552" s="4"/>
      <c r="F552" s="3"/>
      <c r="G552" s="3"/>
      <c r="H552" s="10"/>
      <c r="I552" s="187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7"/>
      <c r="U552" s="176"/>
    </row>
    <row r="553" spans="1:21">
      <c r="A553" s="3"/>
      <c r="B553" s="3"/>
      <c r="C553" s="3"/>
      <c r="D553" s="3"/>
      <c r="E553" s="4"/>
      <c r="F553" s="3"/>
      <c r="G553" s="3"/>
      <c r="H553" s="10"/>
      <c r="I553" s="187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7"/>
      <c r="U553" s="176"/>
    </row>
    <row r="554" spans="1:21">
      <c r="A554" s="3"/>
      <c r="B554" s="3"/>
      <c r="C554" s="3"/>
      <c r="D554" s="3"/>
      <c r="E554" s="4"/>
      <c r="F554" s="3"/>
      <c r="G554" s="3"/>
      <c r="H554" s="10"/>
      <c r="I554" s="187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7"/>
      <c r="U554" s="176"/>
    </row>
    <row r="555" spans="1:21">
      <c r="A555" s="3"/>
      <c r="B555" s="3"/>
      <c r="C555" s="3"/>
      <c r="D555" s="3"/>
      <c r="E555" s="4"/>
      <c r="F555" s="3"/>
      <c r="G555" s="3"/>
      <c r="H555" s="10"/>
      <c r="I555" s="187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7"/>
      <c r="U555" s="176"/>
    </row>
    <row r="556" spans="1:21">
      <c r="A556" s="3"/>
      <c r="B556" s="3"/>
      <c r="C556" s="3"/>
      <c r="D556" s="3"/>
      <c r="E556" s="4"/>
      <c r="F556" s="3"/>
      <c r="G556" s="3"/>
      <c r="H556" s="10"/>
      <c r="I556" s="187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7"/>
      <c r="U556" s="176"/>
    </row>
    <row r="557" spans="1:21">
      <c r="A557" s="3"/>
      <c r="B557" s="3"/>
      <c r="C557" s="3"/>
      <c r="D557" s="3"/>
      <c r="E557" s="4"/>
      <c r="F557" s="3"/>
      <c r="G557" s="3"/>
      <c r="H557" s="10"/>
      <c r="I557" s="187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7"/>
      <c r="U557" s="176"/>
    </row>
    <row r="558" spans="1:21">
      <c r="A558" s="3"/>
      <c r="B558" s="3"/>
      <c r="C558" s="3"/>
      <c r="D558" s="3"/>
      <c r="E558" s="4"/>
      <c r="F558" s="3"/>
      <c r="G558" s="3"/>
      <c r="H558" s="10"/>
      <c r="I558" s="187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7"/>
      <c r="U558" s="176"/>
    </row>
    <row r="559" spans="1:21">
      <c r="A559" s="3"/>
      <c r="B559" s="3"/>
      <c r="C559" s="3"/>
      <c r="D559" s="3"/>
      <c r="E559" s="4"/>
      <c r="F559" s="3"/>
      <c r="G559" s="3"/>
      <c r="H559" s="10"/>
      <c r="I559" s="187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7"/>
      <c r="U559" s="176"/>
    </row>
    <row r="560" spans="1:21">
      <c r="A560" s="3"/>
      <c r="B560" s="3"/>
      <c r="C560" s="3"/>
      <c r="D560" s="3"/>
      <c r="E560" s="4"/>
      <c r="F560" s="3"/>
      <c r="G560" s="3"/>
      <c r="H560" s="10"/>
      <c r="I560" s="187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7"/>
      <c r="U560" s="176"/>
    </row>
    <row r="561" spans="1:21">
      <c r="A561" s="3"/>
      <c r="B561" s="3"/>
      <c r="C561" s="3"/>
      <c r="D561" s="3"/>
      <c r="E561" s="4"/>
      <c r="F561" s="3"/>
      <c r="G561" s="3"/>
      <c r="H561" s="10"/>
      <c r="I561" s="187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7"/>
      <c r="U561" s="176"/>
    </row>
    <row r="562" spans="1:21">
      <c r="A562" s="3"/>
      <c r="B562" s="3"/>
      <c r="C562" s="3"/>
      <c r="D562" s="3"/>
      <c r="E562" s="4"/>
      <c r="F562" s="3"/>
      <c r="G562" s="3"/>
      <c r="H562" s="10"/>
      <c r="I562" s="187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7"/>
      <c r="U562" s="176"/>
    </row>
    <row r="563" spans="1:21">
      <c r="A563" s="3"/>
      <c r="B563" s="3"/>
      <c r="C563" s="3"/>
      <c r="D563" s="3"/>
      <c r="E563" s="4"/>
      <c r="F563" s="3"/>
      <c r="G563" s="3"/>
      <c r="H563" s="10"/>
      <c r="I563" s="187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7"/>
      <c r="U563" s="176"/>
    </row>
    <row r="564" spans="1:21">
      <c r="A564" s="3"/>
      <c r="B564" s="3"/>
      <c r="C564" s="3"/>
      <c r="D564" s="3"/>
      <c r="E564" s="4"/>
      <c r="F564" s="3"/>
      <c r="G564" s="3"/>
      <c r="H564" s="10"/>
      <c r="I564" s="187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7"/>
      <c r="U564" s="176"/>
    </row>
    <row r="565" spans="1:21">
      <c r="A565" s="3"/>
      <c r="B565" s="3"/>
      <c r="C565" s="3"/>
      <c r="D565" s="3"/>
      <c r="E565" s="4"/>
      <c r="F565" s="3"/>
      <c r="G565" s="3"/>
      <c r="H565" s="10"/>
      <c r="I565" s="187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7"/>
      <c r="U565" s="176"/>
    </row>
    <row r="566" spans="1:21">
      <c r="A566" s="3"/>
      <c r="B566" s="3"/>
      <c r="C566" s="3"/>
      <c r="D566" s="3"/>
      <c r="E566" s="4"/>
      <c r="F566" s="3"/>
      <c r="G566" s="3"/>
      <c r="H566" s="10"/>
      <c r="I566" s="187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7"/>
      <c r="U566" s="176"/>
    </row>
    <row r="567" spans="1:21">
      <c r="A567" s="3"/>
      <c r="B567" s="3"/>
      <c r="C567" s="3"/>
      <c r="D567" s="3"/>
      <c r="E567" s="4"/>
      <c r="F567" s="3"/>
      <c r="G567" s="3"/>
      <c r="H567" s="10"/>
      <c r="I567" s="187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7"/>
      <c r="U567" s="176"/>
    </row>
    <row r="568" spans="1:21">
      <c r="A568" s="3"/>
      <c r="B568" s="3"/>
      <c r="C568" s="3"/>
      <c r="D568" s="3"/>
      <c r="E568" s="4"/>
      <c r="F568" s="3"/>
      <c r="G568" s="3"/>
      <c r="H568" s="10"/>
      <c r="I568" s="187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7"/>
      <c r="U568" s="176"/>
    </row>
    <row r="569" spans="1:21">
      <c r="A569" s="3"/>
      <c r="B569" s="3"/>
      <c r="C569" s="3"/>
      <c r="D569" s="3"/>
      <c r="E569" s="4"/>
      <c r="F569" s="3"/>
      <c r="G569" s="3"/>
      <c r="H569" s="10"/>
      <c r="I569" s="187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7"/>
      <c r="U569" s="176"/>
    </row>
    <row r="570" spans="1:21">
      <c r="A570" s="3"/>
      <c r="B570" s="3"/>
      <c r="C570" s="3"/>
      <c r="D570" s="3"/>
      <c r="E570" s="4"/>
      <c r="F570" s="3"/>
      <c r="G570" s="3"/>
      <c r="H570" s="10"/>
      <c r="I570" s="187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7"/>
      <c r="U570" s="176"/>
    </row>
    <row r="571" spans="1:21">
      <c r="A571" s="3"/>
      <c r="B571" s="3"/>
      <c r="C571" s="3"/>
      <c r="D571" s="3"/>
      <c r="E571" s="4"/>
      <c r="F571" s="3"/>
      <c r="G571" s="3"/>
      <c r="H571" s="10"/>
      <c r="I571" s="187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7"/>
      <c r="U571" s="176"/>
    </row>
    <row r="572" spans="1:21">
      <c r="A572" s="3"/>
      <c r="B572" s="3"/>
      <c r="C572" s="3"/>
      <c r="D572" s="3"/>
      <c r="E572" s="4"/>
      <c r="F572" s="3"/>
      <c r="G572" s="3"/>
      <c r="H572" s="10"/>
      <c r="I572" s="187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7"/>
      <c r="U572" s="176"/>
    </row>
    <row r="573" spans="1:21">
      <c r="A573" s="3"/>
      <c r="B573" s="3"/>
      <c r="C573" s="3"/>
      <c r="D573" s="3"/>
      <c r="E573" s="4"/>
      <c r="F573" s="3"/>
      <c r="G573" s="3"/>
      <c r="H573" s="10"/>
      <c r="I573" s="187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7"/>
      <c r="U573" s="176"/>
    </row>
    <row r="574" spans="1:21">
      <c r="A574" s="3"/>
      <c r="B574" s="3"/>
      <c r="C574" s="3"/>
      <c r="D574" s="3"/>
      <c r="E574" s="4"/>
      <c r="F574" s="3"/>
      <c r="G574" s="3"/>
      <c r="H574" s="10"/>
      <c r="I574" s="187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7"/>
      <c r="U574" s="176"/>
    </row>
    <row r="575" spans="1:21">
      <c r="A575" s="3"/>
      <c r="B575" s="3"/>
      <c r="C575" s="3"/>
      <c r="D575" s="3"/>
      <c r="E575" s="4"/>
      <c r="F575" s="3"/>
      <c r="G575" s="3"/>
      <c r="H575" s="10"/>
      <c r="I575" s="187"/>
      <c r="J575" s="188"/>
      <c r="K575" s="188"/>
      <c r="L575" s="188"/>
      <c r="M575" s="188"/>
      <c r="N575" s="188"/>
      <c r="O575" s="188"/>
      <c r="P575" s="188"/>
      <c r="Q575" s="188"/>
      <c r="R575" s="188"/>
      <c r="S575" s="188"/>
      <c r="T575" s="7"/>
      <c r="U575" s="176"/>
    </row>
    <row r="576" spans="1:21">
      <c r="A576" s="3"/>
      <c r="B576" s="3"/>
      <c r="C576" s="3"/>
      <c r="D576" s="3"/>
      <c r="E576" s="4"/>
      <c r="F576" s="3"/>
      <c r="G576" s="3"/>
      <c r="H576" s="10"/>
      <c r="I576" s="187"/>
      <c r="J576" s="188"/>
      <c r="K576" s="188"/>
      <c r="L576" s="188"/>
      <c r="M576" s="188"/>
      <c r="N576" s="188"/>
      <c r="O576" s="188"/>
      <c r="P576" s="188"/>
      <c r="Q576" s="188"/>
      <c r="R576" s="188"/>
      <c r="S576" s="188"/>
      <c r="T576" s="7"/>
      <c r="U576" s="176"/>
    </row>
    <row r="577" spans="1:21">
      <c r="A577" s="3"/>
      <c r="B577" s="3"/>
      <c r="C577" s="3"/>
      <c r="D577" s="3"/>
      <c r="E577" s="4"/>
      <c r="F577" s="3"/>
      <c r="G577" s="3"/>
      <c r="H577" s="10"/>
      <c r="I577" s="187"/>
      <c r="J577" s="188"/>
      <c r="K577" s="188"/>
      <c r="L577" s="188"/>
      <c r="M577" s="188"/>
      <c r="N577" s="188"/>
      <c r="O577" s="188"/>
      <c r="P577" s="188"/>
      <c r="Q577" s="188"/>
      <c r="R577" s="188"/>
      <c r="S577" s="188"/>
      <c r="T577" s="7"/>
      <c r="U577" s="176"/>
    </row>
    <row r="578" spans="1:21">
      <c r="A578" s="3"/>
      <c r="B578" s="3"/>
      <c r="C578" s="3"/>
      <c r="D578" s="3"/>
      <c r="E578" s="4"/>
      <c r="F578" s="3"/>
      <c r="G578" s="3"/>
      <c r="H578" s="10"/>
      <c r="I578" s="187"/>
      <c r="J578" s="188"/>
      <c r="K578" s="188"/>
      <c r="L578" s="188"/>
      <c r="M578" s="188"/>
      <c r="N578" s="188"/>
      <c r="O578" s="188"/>
      <c r="P578" s="188"/>
      <c r="Q578" s="188"/>
      <c r="R578" s="188"/>
      <c r="S578" s="188"/>
      <c r="T578" s="7"/>
      <c r="U578" s="176"/>
    </row>
    <row r="579" spans="1:21">
      <c r="A579" s="3"/>
      <c r="B579" s="3"/>
      <c r="C579" s="3"/>
      <c r="D579" s="3"/>
      <c r="E579" s="4"/>
      <c r="F579" s="3"/>
      <c r="G579" s="3"/>
      <c r="H579" s="10"/>
      <c r="I579" s="187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7"/>
      <c r="U579" s="176"/>
    </row>
    <row r="580" spans="1:21">
      <c r="A580" s="3"/>
      <c r="B580" s="3"/>
      <c r="C580" s="3"/>
      <c r="D580" s="3"/>
      <c r="E580" s="4"/>
      <c r="F580" s="3"/>
      <c r="G580" s="3"/>
      <c r="H580" s="10"/>
      <c r="I580" s="187"/>
      <c r="J580" s="188"/>
      <c r="K580" s="188"/>
      <c r="L580" s="188"/>
      <c r="M580" s="188"/>
      <c r="N580" s="188"/>
      <c r="O580" s="188"/>
      <c r="P580" s="188"/>
      <c r="Q580" s="188"/>
      <c r="R580" s="188"/>
      <c r="S580" s="188"/>
      <c r="T580" s="7"/>
      <c r="U580" s="176"/>
    </row>
    <row r="581" spans="1:21">
      <c r="A581" s="3"/>
      <c r="B581" s="3"/>
      <c r="C581" s="3"/>
      <c r="D581" s="3"/>
      <c r="E581" s="4"/>
      <c r="F581" s="3"/>
      <c r="G581" s="3"/>
      <c r="H581" s="10"/>
      <c r="I581" s="187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7"/>
      <c r="U581" s="176"/>
    </row>
    <row r="582" spans="1:21">
      <c r="A582" s="3"/>
      <c r="B582" s="3"/>
      <c r="C582" s="3"/>
      <c r="D582" s="3"/>
      <c r="E582" s="4"/>
      <c r="F582" s="3"/>
      <c r="G582" s="3"/>
      <c r="H582" s="10"/>
      <c r="I582" s="187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7"/>
      <c r="U582" s="176"/>
    </row>
    <row r="583" spans="1:21">
      <c r="A583" s="3"/>
      <c r="B583" s="3"/>
      <c r="C583" s="3"/>
      <c r="D583" s="3"/>
      <c r="E583" s="4"/>
      <c r="F583" s="3"/>
      <c r="G583" s="3"/>
      <c r="H583" s="10"/>
      <c r="I583" s="187"/>
      <c r="J583" s="188"/>
      <c r="K583" s="188"/>
      <c r="L583" s="188"/>
      <c r="M583" s="188"/>
      <c r="N583" s="188"/>
      <c r="O583" s="188"/>
      <c r="P583" s="188"/>
      <c r="Q583" s="188"/>
      <c r="R583" s="188"/>
      <c r="S583" s="188"/>
      <c r="T583" s="7"/>
      <c r="U583" s="176"/>
    </row>
    <row r="584" spans="1:21">
      <c r="A584" s="3"/>
      <c r="B584" s="3"/>
      <c r="C584" s="3"/>
      <c r="D584" s="3"/>
      <c r="E584" s="4"/>
      <c r="F584" s="3"/>
      <c r="G584" s="3"/>
      <c r="H584" s="10"/>
      <c r="I584" s="187"/>
      <c r="J584" s="188"/>
      <c r="K584" s="188"/>
      <c r="L584" s="188"/>
      <c r="M584" s="188"/>
      <c r="N584" s="188"/>
      <c r="O584" s="188"/>
      <c r="P584" s="188"/>
      <c r="Q584" s="188"/>
      <c r="R584" s="188"/>
      <c r="S584" s="188"/>
      <c r="T584" s="7"/>
      <c r="U584" s="176"/>
    </row>
    <row r="585" spans="1:21">
      <c r="A585" s="3"/>
      <c r="B585" s="3"/>
      <c r="C585" s="3"/>
      <c r="D585" s="3"/>
      <c r="E585" s="4"/>
      <c r="F585" s="3"/>
      <c r="G585" s="3"/>
      <c r="H585" s="10"/>
      <c r="I585" s="187"/>
      <c r="J585" s="188"/>
      <c r="K585" s="188"/>
      <c r="L585" s="188"/>
      <c r="M585" s="188"/>
      <c r="N585" s="188"/>
      <c r="O585" s="188"/>
      <c r="P585" s="188"/>
      <c r="Q585" s="188"/>
      <c r="R585" s="188"/>
      <c r="S585" s="188"/>
      <c r="T585" s="7"/>
      <c r="U585" s="176"/>
    </row>
    <row r="586" spans="1:21">
      <c r="A586" s="3"/>
      <c r="B586" s="3"/>
      <c r="C586" s="3"/>
      <c r="D586" s="3"/>
      <c r="E586" s="4"/>
      <c r="F586" s="3"/>
      <c r="G586" s="3"/>
      <c r="H586" s="10"/>
      <c r="I586" s="187"/>
      <c r="J586" s="188"/>
      <c r="K586" s="188"/>
      <c r="L586" s="188"/>
      <c r="M586" s="188"/>
      <c r="N586" s="188"/>
      <c r="O586" s="188"/>
      <c r="P586" s="188"/>
      <c r="Q586" s="188"/>
      <c r="R586" s="188"/>
      <c r="S586" s="188"/>
      <c r="T586" s="7"/>
      <c r="U586" s="176"/>
    </row>
    <row r="587" spans="1:21">
      <c r="A587" s="3"/>
      <c r="B587" s="3"/>
      <c r="C587" s="3"/>
      <c r="D587" s="3"/>
      <c r="E587" s="4"/>
      <c r="F587" s="3"/>
      <c r="G587" s="3"/>
      <c r="H587" s="10"/>
      <c r="I587" s="187"/>
      <c r="J587" s="188"/>
      <c r="K587" s="188"/>
      <c r="L587" s="188"/>
      <c r="M587" s="188"/>
      <c r="N587" s="188"/>
      <c r="O587" s="188"/>
      <c r="P587" s="188"/>
      <c r="Q587" s="188"/>
      <c r="R587" s="188"/>
      <c r="S587" s="188"/>
      <c r="T587" s="7"/>
      <c r="U587" s="176"/>
    </row>
    <row r="588" spans="1:21">
      <c r="A588" s="3"/>
      <c r="B588" s="3"/>
      <c r="C588" s="3"/>
      <c r="D588" s="3"/>
      <c r="E588" s="4"/>
      <c r="F588" s="3"/>
      <c r="G588" s="3"/>
      <c r="H588" s="10"/>
      <c r="I588" s="187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7"/>
      <c r="U588" s="176"/>
    </row>
    <row r="589" spans="1:21">
      <c r="A589" s="3"/>
      <c r="B589" s="3"/>
      <c r="C589" s="3"/>
      <c r="D589" s="3"/>
      <c r="E589" s="4"/>
      <c r="F589" s="3"/>
      <c r="G589" s="3"/>
      <c r="H589" s="10"/>
      <c r="I589" s="187"/>
      <c r="J589" s="188"/>
      <c r="K589" s="188"/>
      <c r="L589" s="188"/>
      <c r="M589" s="188"/>
      <c r="N589" s="188"/>
      <c r="O589" s="188"/>
      <c r="P589" s="188"/>
      <c r="Q589" s="188"/>
      <c r="R589" s="188"/>
      <c r="S589" s="188"/>
      <c r="T589" s="7"/>
      <c r="U589" s="176"/>
    </row>
    <row r="590" spans="1:21">
      <c r="A590" s="3"/>
      <c r="B590" s="3"/>
      <c r="C590" s="3"/>
      <c r="D590" s="3"/>
      <c r="E590" s="4"/>
      <c r="F590" s="3"/>
      <c r="G590" s="3"/>
      <c r="H590" s="10"/>
      <c r="I590" s="187"/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7"/>
      <c r="U590" s="176"/>
    </row>
    <row r="591" spans="1:21">
      <c r="A591" s="3"/>
      <c r="B591" s="3"/>
      <c r="C591" s="3"/>
      <c r="D591" s="3"/>
      <c r="E591" s="4"/>
      <c r="F591" s="3"/>
      <c r="G591" s="3"/>
      <c r="H591" s="10"/>
      <c r="I591" s="187"/>
      <c r="J591" s="188"/>
      <c r="K591" s="188"/>
      <c r="L591" s="188"/>
      <c r="M591" s="188"/>
      <c r="N591" s="188"/>
      <c r="O591" s="188"/>
      <c r="P591" s="188"/>
      <c r="Q591" s="188"/>
      <c r="R591" s="188"/>
      <c r="S591" s="188"/>
      <c r="T591" s="7"/>
      <c r="U591" s="176"/>
    </row>
    <row r="592" spans="1:21">
      <c r="A592" s="3"/>
      <c r="B592" s="3"/>
      <c r="C592" s="3"/>
      <c r="D592" s="3"/>
      <c r="E592" s="4"/>
      <c r="F592" s="3"/>
      <c r="G592" s="3"/>
      <c r="H592" s="10"/>
      <c r="I592" s="187"/>
      <c r="J592" s="188"/>
      <c r="K592" s="188"/>
      <c r="L592" s="188"/>
      <c r="M592" s="188"/>
      <c r="N592" s="188"/>
      <c r="O592" s="188"/>
      <c r="P592" s="188"/>
      <c r="Q592" s="188"/>
      <c r="R592" s="188"/>
      <c r="S592" s="188"/>
      <c r="T592" s="7"/>
      <c r="U592" s="176"/>
    </row>
    <row r="593" spans="1:21">
      <c r="A593" s="3"/>
      <c r="B593" s="3"/>
      <c r="C593" s="3"/>
      <c r="D593" s="3"/>
      <c r="E593" s="4"/>
      <c r="F593" s="3"/>
      <c r="G593" s="3"/>
      <c r="H593" s="10"/>
      <c r="I593" s="187"/>
      <c r="J593" s="188"/>
      <c r="K593" s="188"/>
      <c r="L593" s="188"/>
      <c r="M593" s="188"/>
      <c r="N593" s="188"/>
      <c r="O593" s="188"/>
      <c r="P593" s="188"/>
      <c r="Q593" s="188"/>
      <c r="R593" s="188"/>
      <c r="S593" s="188"/>
      <c r="T593" s="7"/>
      <c r="U593" s="176"/>
    </row>
    <row r="594" spans="1:21">
      <c r="A594" s="3"/>
      <c r="B594" s="3"/>
      <c r="C594" s="3"/>
      <c r="D594" s="3"/>
      <c r="E594" s="4"/>
      <c r="F594" s="3"/>
      <c r="G594" s="3"/>
      <c r="H594" s="10"/>
      <c r="I594" s="187"/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7"/>
      <c r="U594" s="176"/>
    </row>
    <row r="595" spans="1:21">
      <c r="A595" s="3"/>
      <c r="B595" s="3"/>
      <c r="C595" s="3"/>
      <c r="D595" s="3"/>
      <c r="E595" s="4"/>
      <c r="F595" s="3"/>
      <c r="G595" s="3"/>
      <c r="H595" s="10"/>
      <c r="I595" s="187"/>
      <c r="J595" s="188"/>
      <c r="K595" s="188"/>
      <c r="L595" s="188"/>
      <c r="M595" s="188"/>
      <c r="N595" s="188"/>
      <c r="O595" s="188"/>
      <c r="P595" s="188"/>
      <c r="Q595" s="188"/>
      <c r="R595" s="188"/>
      <c r="S595" s="188"/>
      <c r="T595" s="7"/>
      <c r="U595" s="176"/>
    </row>
    <row r="596" spans="1:21">
      <c r="A596" s="3"/>
      <c r="B596" s="3"/>
      <c r="C596" s="3"/>
      <c r="D596" s="3"/>
      <c r="E596" s="4"/>
      <c r="F596" s="3"/>
      <c r="G596" s="3"/>
      <c r="H596" s="10"/>
      <c r="I596" s="187"/>
      <c r="J596" s="188"/>
      <c r="K596" s="188"/>
      <c r="L596" s="188"/>
      <c r="M596" s="188"/>
      <c r="N596" s="188"/>
      <c r="O596" s="188"/>
      <c r="P596" s="188"/>
      <c r="Q596" s="188"/>
      <c r="R596" s="188"/>
      <c r="S596" s="188"/>
      <c r="T596" s="7"/>
      <c r="U596" s="176"/>
    </row>
    <row r="597" spans="1:21">
      <c r="A597" s="3"/>
      <c r="B597" s="3"/>
      <c r="C597" s="3"/>
      <c r="D597" s="3"/>
      <c r="E597" s="4"/>
      <c r="F597" s="3"/>
      <c r="G597" s="3"/>
      <c r="H597" s="10"/>
      <c r="I597" s="187"/>
      <c r="J597" s="188"/>
      <c r="K597" s="188"/>
      <c r="L597" s="188"/>
      <c r="M597" s="188"/>
      <c r="N597" s="188"/>
      <c r="O597" s="188"/>
      <c r="P597" s="188"/>
      <c r="Q597" s="188"/>
      <c r="R597" s="188"/>
      <c r="S597" s="188"/>
      <c r="T597" s="7"/>
      <c r="U597" s="176"/>
    </row>
    <row r="598" spans="1:21">
      <c r="A598" s="3"/>
      <c r="B598" s="3"/>
      <c r="C598" s="3"/>
      <c r="D598" s="3"/>
      <c r="E598" s="4"/>
      <c r="F598" s="3"/>
      <c r="G598" s="3"/>
      <c r="H598" s="10"/>
      <c r="I598" s="187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7"/>
      <c r="U598" s="176"/>
    </row>
    <row r="599" spans="1:21">
      <c r="A599" s="3"/>
      <c r="B599" s="3"/>
      <c r="C599" s="3"/>
      <c r="D599" s="3"/>
      <c r="E599" s="4"/>
      <c r="F599" s="3"/>
      <c r="G599" s="3"/>
      <c r="H599" s="10"/>
      <c r="I599" s="187"/>
      <c r="J599" s="188"/>
      <c r="K599" s="188"/>
      <c r="L599" s="188"/>
      <c r="M599" s="188"/>
      <c r="N599" s="188"/>
      <c r="O599" s="188"/>
      <c r="P599" s="188"/>
      <c r="Q599" s="188"/>
      <c r="R599" s="188"/>
      <c r="S599" s="188"/>
      <c r="T599" s="7"/>
      <c r="U599" s="176"/>
    </row>
    <row r="600" spans="1:21">
      <c r="A600" s="3"/>
      <c r="B600" s="3"/>
      <c r="C600" s="3"/>
      <c r="D600" s="3"/>
      <c r="E600" s="4"/>
      <c r="F600" s="3"/>
      <c r="G600" s="3"/>
      <c r="H600" s="10"/>
      <c r="I600" s="187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7"/>
      <c r="U600" s="176"/>
    </row>
    <row r="601" spans="1:21">
      <c r="A601" s="3"/>
      <c r="B601" s="3"/>
      <c r="C601" s="3"/>
      <c r="D601" s="3"/>
      <c r="E601" s="4"/>
      <c r="F601" s="3"/>
      <c r="G601" s="3"/>
      <c r="H601" s="10"/>
      <c r="I601" s="187"/>
      <c r="J601" s="188"/>
      <c r="K601" s="188"/>
      <c r="L601" s="188"/>
      <c r="M601" s="188"/>
      <c r="N601" s="188"/>
      <c r="O601" s="188"/>
      <c r="P601" s="188"/>
      <c r="Q601" s="188"/>
      <c r="R601" s="188"/>
      <c r="S601" s="188"/>
      <c r="T601" s="7"/>
      <c r="U601" s="176"/>
    </row>
    <row r="602" spans="1:21">
      <c r="A602" s="3"/>
      <c r="B602" s="3"/>
      <c r="C602" s="3"/>
      <c r="D602" s="3"/>
      <c r="E602" s="4"/>
      <c r="F602" s="3"/>
      <c r="G602" s="3"/>
      <c r="H602" s="10"/>
      <c r="I602" s="187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7"/>
      <c r="U602" s="176"/>
    </row>
    <row r="603" spans="1:21">
      <c r="A603" s="3"/>
      <c r="B603" s="3"/>
      <c r="C603" s="3"/>
      <c r="D603" s="3"/>
      <c r="E603" s="4"/>
      <c r="F603" s="3"/>
      <c r="G603" s="3"/>
      <c r="H603" s="10"/>
      <c r="I603" s="187"/>
      <c r="J603" s="188"/>
      <c r="K603" s="188"/>
      <c r="L603" s="188"/>
      <c r="M603" s="188"/>
      <c r="N603" s="188"/>
      <c r="O603" s="188"/>
      <c r="P603" s="188"/>
      <c r="Q603" s="188"/>
      <c r="R603" s="188"/>
      <c r="S603" s="188"/>
      <c r="T603" s="7"/>
      <c r="U603" s="176"/>
    </row>
    <row r="604" spans="1:21">
      <c r="A604" s="3"/>
      <c r="B604" s="3"/>
      <c r="C604" s="3"/>
      <c r="D604" s="3"/>
      <c r="E604" s="4"/>
      <c r="F604" s="3"/>
      <c r="G604" s="3"/>
      <c r="H604" s="10"/>
      <c r="I604" s="187"/>
      <c r="J604" s="188"/>
      <c r="K604" s="188"/>
      <c r="L604" s="188"/>
      <c r="M604" s="188"/>
      <c r="N604" s="188"/>
      <c r="O604" s="188"/>
      <c r="P604" s="188"/>
      <c r="Q604" s="188"/>
      <c r="R604" s="188"/>
      <c r="S604" s="188"/>
      <c r="T604" s="7"/>
      <c r="U604" s="176"/>
    </row>
    <row r="605" spans="1:21">
      <c r="A605" s="3"/>
      <c r="B605" s="3"/>
      <c r="C605" s="3"/>
      <c r="D605" s="3"/>
      <c r="E605" s="4"/>
      <c r="F605" s="3"/>
      <c r="G605" s="3"/>
      <c r="H605" s="10"/>
      <c r="I605" s="187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7"/>
      <c r="U605" s="176"/>
    </row>
    <row r="606" spans="1:21">
      <c r="A606" s="3"/>
      <c r="B606" s="3"/>
      <c r="C606" s="3"/>
      <c r="D606" s="3"/>
      <c r="E606" s="4"/>
      <c r="F606" s="3"/>
      <c r="G606" s="3"/>
      <c r="H606" s="10"/>
      <c r="I606" s="187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7"/>
      <c r="U606" s="176"/>
    </row>
    <row r="607" spans="1:21">
      <c r="A607" s="3"/>
      <c r="B607" s="3"/>
      <c r="C607" s="3"/>
      <c r="D607" s="3"/>
      <c r="E607" s="4"/>
      <c r="F607" s="3"/>
      <c r="G607" s="3"/>
      <c r="H607" s="10"/>
      <c r="I607" s="187"/>
      <c r="J607" s="188"/>
      <c r="K607" s="188"/>
      <c r="L607" s="188"/>
      <c r="M607" s="188"/>
      <c r="N607" s="188"/>
      <c r="O607" s="188"/>
      <c r="P607" s="188"/>
      <c r="Q607" s="188"/>
      <c r="R607" s="188"/>
      <c r="S607" s="188"/>
      <c r="T607" s="7"/>
      <c r="U607" s="176"/>
    </row>
    <row r="608" spans="1:21">
      <c r="A608" s="3"/>
      <c r="B608" s="3"/>
      <c r="C608" s="3"/>
      <c r="D608" s="3"/>
      <c r="E608" s="4"/>
      <c r="F608" s="3"/>
      <c r="G608" s="3"/>
      <c r="H608" s="10"/>
      <c r="I608" s="187"/>
      <c r="J608" s="188"/>
      <c r="K608" s="188"/>
      <c r="L608" s="188"/>
      <c r="M608" s="188"/>
      <c r="N608" s="188"/>
      <c r="O608" s="188"/>
      <c r="P608" s="188"/>
      <c r="Q608" s="188"/>
      <c r="R608" s="188"/>
      <c r="S608" s="188"/>
      <c r="T608" s="7"/>
      <c r="U608" s="176"/>
    </row>
    <row r="609" spans="1:21">
      <c r="A609" s="3"/>
      <c r="B609" s="3"/>
      <c r="C609" s="3"/>
      <c r="D609" s="3"/>
      <c r="E609" s="4"/>
      <c r="F609" s="3"/>
      <c r="G609" s="3"/>
      <c r="H609" s="10"/>
      <c r="I609" s="187"/>
      <c r="J609" s="188"/>
      <c r="K609" s="188"/>
      <c r="L609" s="188"/>
      <c r="M609" s="188"/>
      <c r="N609" s="188"/>
      <c r="O609" s="188"/>
      <c r="P609" s="188"/>
      <c r="Q609" s="188"/>
      <c r="R609" s="188"/>
      <c r="S609" s="188"/>
      <c r="T609" s="7"/>
      <c r="U609" s="176"/>
    </row>
    <row r="610" spans="1:21">
      <c r="A610" s="3"/>
      <c r="B610" s="3"/>
      <c r="C610" s="3"/>
      <c r="D610" s="3"/>
      <c r="E610" s="4"/>
      <c r="F610" s="3"/>
      <c r="G610" s="3"/>
      <c r="H610" s="10"/>
      <c r="I610" s="187"/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7"/>
      <c r="U610" s="176"/>
    </row>
    <row r="611" spans="1:21">
      <c r="A611" s="3"/>
      <c r="B611" s="3"/>
      <c r="C611" s="3"/>
      <c r="D611" s="3"/>
      <c r="E611" s="4"/>
      <c r="F611" s="3"/>
      <c r="G611" s="3"/>
      <c r="H611" s="10"/>
      <c r="I611" s="187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7"/>
      <c r="U611" s="176"/>
    </row>
    <row r="612" spans="1:21">
      <c r="A612" s="3"/>
      <c r="B612" s="3"/>
      <c r="C612" s="3"/>
      <c r="D612" s="3"/>
      <c r="E612" s="4"/>
      <c r="F612" s="3"/>
      <c r="G612" s="3"/>
      <c r="H612" s="10"/>
      <c r="I612" s="187"/>
      <c r="J612" s="188"/>
      <c r="K612" s="188"/>
      <c r="L612" s="188"/>
      <c r="M612" s="188"/>
      <c r="N612" s="188"/>
      <c r="O612" s="188"/>
      <c r="P612" s="188"/>
      <c r="Q612" s="188"/>
      <c r="R612" s="188"/>
      <c r="S612" s="188"/>
      <c r="T612" s="7"/>
      <c r="U612" s="176"/>
    </row>
    <row r="613" spans="1:21">
      <c r="A613" s="3"/>
      <c r="B613" s="3"/>
      <c r="C613" s="3"/>
      <c r="D613" s="3"/>
      <c r="E613" s="4"/>
      <c r="F613" s="3"/>
      <c r="G613" s="3"/>
      <c r="H613" s="10"/>
      <c r="I613" s="187"/>
      <c r="J613" s="188"/>
      <c r="K613" s="188"/>
      <c r="L613" s="188"/>
      <c r="M613" s="188"/>
      <c r="N613" s="188"/>
      <c r="O613" s="188"/>
      <c r="P613" s="188"/>
      <c r="Q613" s="188"/>
      <c r="R613" s="188"/>
      <c r="S613" s="188"/>
      <c r="T613" s="7"/>
      <c r="U613" s="176"/>
    </row>
    <row r="614" spans="1:21">
      <c r="A614" s="3"/>
      <c r="B614" s="3"/>
      <c r="C614" s="3"/>
      <c r="D614" s="3"/>
      <c r="E614" s="4"/>
      <c r="F614" s="3"/>
      <c r="G614" s="3"/>
      <c r="H614" s="10"/>
      <c r="I614" s="187"/>
      <c r="J614" s="188"/>
      <c r="K614" s="188"/>
      <c r="L614" s="188"/>
      <c r="M614" s="188"/>
      <c r="N614" s="188"/>
      <c r="O614" s="188"/>
      <c r="P614" s="188"/>
      <c r="Q614" s="188"/>
      <c r="R614" s="188"/>
      <c r="S614" s="188"/>
      <c r="T614" s="7"/>
      <c r="U614" s="176"/>
    </row>
    <row r="615" spans="1:21">
      <c r="A615" s="3"/>
      <c r="B615" s="3"/>
      <c r="C615" s="3"/>
      <c r="D615" s="3"/>
      <c r="E615" s="4"/>
      <c r="F615" s="3"/>
      <c r="G615" s="3"/>
      <c r="H615" s="10"/>
      <c r="I615" s="187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7"/>
      <c r="U615" s="176"/>
    </row>
    <row r="616" spans="1:21">
      <c r="A616" s="3"/>
      <c r="B616" s="3"/>
      <c r="C616" s="3"/>
      <c r="D616" s="3"/>
      <c r="E616" s="4"/>
      <c r="F616" s="3"/>
      <c r="G616" s="3"/>
      <c r="H616" s="10"/>
      <c r="I616" s="187"/>
      <c r="J616" s="188"/>
      <c r="K616" s="188"/>
      <c r="L616" s="188"/>
      <c r="M616" s="188"/>
      <c r="N616" s="188"/>
      <c r="O616" s="188"/>
      <c r="P616" s="188"/>
      <c r="Q616" s="188"/>
      <c r="R616" s="188"/>
      <c r="S616" s="188"/>
      <c r="T616" s="7"/>
      <c r="U616" s="176"/>
    </row>
    <row r="617" spans="1:21">
      <c r="A617" s="3"/>
      <c r="B617" s="3"/>
      <c r="C617" s="3"/>
      <c r="D617" s="3"/>
      <c r="E617" s="4"/>
      <c r="F617" s="3"/>
      <c r="G617" s="3"/>
      <c r="H617" s="10"/>
      <c r="I617" s="187"/>
      <c r="J617" s="188"/>
      <c r="K617" s="188"/>
      <c r="L617" s="188"/>
      <c r="M617" s="188"/>
      <c r="N617" s="188"/>
      <c r="O617" s="188"/>
      <c r="P617" s="188"/>
      <c r="Q617" s="188"/>
      <c r="R617" s="188"/>
      <c r="S617" s="188"/>
      <c r="T617" s="7"/>
      <c r="U617" s="176"/>
    </row>
    <row r="618" spans="1:21">
      <c r="A618" s="3"/>
      <c r="B618" s="3"/>
      <c r="C618" s="3"/>
      <c r="D618" s="3"/>
      <c r="E618" s="4"/>
      <c r="F618" s="3"/>
      <c r="G618" s="3"/>
      <c r="H618" s="10"/>
      <c r="I618" s="187"/>
      <c r="J618" s="188"/>
      <c r="K618" s="188"/>
      <c r="L618" s="188"/>
      <c r="M618" s="188"/>
      <c r="N618" s="188"/>
      <c r="O618" s="188"/>
      <c r="P618" s="188"/>
      <c r="Q618" s="188"/>
      <c r="R618" s="188"/>
      <c r="S618" s="188"/>
      <c r="T618" s="7"/>
      <c r="U618" s="176"/>
    </row>
    <row r="619" spans="1:21">
      <c r="A619" s="3"/>
      <c r="B619" s="3"/>
      <c r="C619" s="3"/>
      <c r="D619" s="3"/>
      <c r="E619" s="4"/>
      <c r="F619" s="3"/>
      <c r="G619" s="3"/>
      <c r="H619" s="10"/>
      <c r="I619" s="187"/>
      <c r="J619" s="188"/>
      <c r="K619" s="188"/>
      <c r="L619" s="188"/>
      <c r="M619" s="188"/>
      <c r="N619" s="188"/>
      <c r="O619" s="188"/>
      <c r="P619" s="188"/>
      <c r="Q619" s="188"/>
      <c r="R619" s="188"/>
      <c r="S619" s="188"/>
      <c r="T619" s="7"/>
      <c r="U619" s="176"/>
    </row>
    <row r="620" spans="1:21">
      <c r="A620" s="3"/>
      <c r="B620" s="3"/>
      <c r="C620" s="3"/>
      <c r="D620" s="3"/>
      <c r="E620" s="4"/>
      <c r="F620" s="3"/>
      <c r="G620" s="3"/>
      <c r="H620" s="10"/>
      <c r="I620" s="187"/>
      <c r="J620" s="188"/>
      <c r="K620" s="188"/>
      <c r="L620" s="188"/>
      <c r="M620" s="188"/>
      <c r="N620" s="188"/>
      <c r="O620" s="188"/>
      <c r="P620" s="188"/>
      <c r="Q620" s="188"/>
      <c r="R620" s="188"/>
      <c r="S620" s="188"/>
      <c r="T620" s="7"/>
      <c r="U620" s="176"/>
    </row>
    <row r="621" spans="1:21">
      <c r="A621" s="3"/>
      <c r="B621" s="3"/>
      <c r="C621" s="3"/>
      <c r="D621" s="3"/>
      <c r="E621" s="4"/>
      <c r="F621" s="3"/>
      <c r="G621" s="3"/>
      <c r="H621" s="10"/>
      <c r="I621" s="187"/>
      <c r="J621" s="188"/>
      <c r="K621" s="188"/>
      <c r="L621" s="188"/>
      <c r="M621" s="188"/>
      <c r="N621" s="188"/>
      <c r="O621" s="188"/>
      <c r="P621" s="188"/>
      <c r="Q621" s="188"/>
      <c r="R621" s="188"/>
      <c r="S621" s="188"/>
      <c r="T621" s="7"/>
      <c r="U621" s="176"/>
    </row>
    <row r="622" spans="1:21">
      <c r="A622" s="3"/>
      <c r="B622" s="3"/>
      <c r="C622" s="3"/>
      <c r="D622" s="3"/>
      <c r="E622" s="4"/>
      <c r="F622" s="3"/>
      <c r="G622" s="3"/>
      <c r="H622" s="10"/>
      <c r="I622" s="187"/>
      <c r="J622" s="188"/>
      <c r="K622" s="188"/>
      <c r="L622" s="188"/>
      <c r="M622" s="188"/>
      <c r="N622" s="188"/>
      <c r="O622" s="188"/>
      <c r="P622" s="188"/>
      <c r="Q622" s="188"/>
      <c r="R622" s="188"/>
      <c r="S622" s="188"/>
      <c r="T622" s="7"/>
      <c r="U622" s="176"/>
    </row>
    <row r="623" spans="1:21">
      <c r="A623" s="3"/>
      <c r="B623" s="3"/>
      <c r="C623" s="3"/>
      <c r="D623" s="3"/>
      <c r="E623" s="4"/>
      <c r="F623" s="3"/>
      <c r="G623" s="3"/>
      <c r="H623" s="10"/>
      <c r="I623" s="187"/>
      <c r="J623" s="188"/>
      <c r="K623" s="188"/>
      <c r="L623" s="188"/>
      <c r="M623" s="188"/>
      <c r="N623" s="188"/>
      <c r="O623" s="188"/>
      <c r="P623" s="188"/>
      <c r="Q623" s="188"/>
      <c r="R623" s="188"/>
      <c r="S623" s="188"/>
      <c r="T623" s="7"/>
      <c r="U623" s="176"/>
    </row>
    <row r="624" spans="1:21">
      <c r="A624" s="3"/>
      <c r="B624" s="3"/>
      <c r="C624" s="3"/>
      <c r="D624" s="3"/>
      <c r="E624" s="4"/>
      <c r="F624" s="3"/>
      <c r="G624" s="3"/>
      <c r="H624" s="10"/>
      <c r="I624" s="187"/>
      <c r="J624" s="188"/>
      <c r="K624" s="188"/>
      <c r="L624" s="188"/>
      <c r="M624" s="188"/>
      <c r="N624" s="188"/>
      <c r="O624" s="188"/>
      <c r="P624" s="188"/>
      <c r="Q624" s="188"/>
      <c r="R624" s="188"/>
      <c r="S624" s="188"/>
      <c r="T624" s="7"/>
      <c r="U624" s="176"/>
    </row>
    <row r="625" spans="1:21">
      <c r="A625" s="3"/>
      <c r="B625" s="3"/>
      <c r="C625" s="3"/>
      <c r="D625" s="3"/>
      <c r="E625" s="4"/>
      <c r="F625" s="3"/>
      <c r="G625" s="3"/>
      <c r="H625" s="10"/>
      <c r="I625" s="187"/>
      <c r="J625" s="188"/>
      <c r="K625" s="188"/>
      <c r="L625" s="188"/>
      <c r="M625" s="188"/>
      <c r="N625" s="188"/>
      <c r="O625" s="188"/>
      <c r="P625" s="188"/>
      <c r="Q625" s="188"/>
      <c r="R625" s="188"/>
      <c r="S625" s="188"/>
      <c r="T625" s="7"/>
      <c r="U625" s="176"/>
    </row>
    <row r="626" spans="1:21">
      <c r="A626" s="3"/>
      <c r="B626" s="3"/>
      <c r="C626" s="3"/>
      <c r="D626" s="3"/>
      <c r="E626" s="4"/>
      <c r="F626" s="3"/>
      <c r="G626" s="3"/>
      <c r="H626" s="10"/>
      <c r="I626" s="187"/>
      <c r="J626" s="188"/>
      <c r="K626" s="188"/>
      <c r="L626" s="188"/>
      <c r="M626" s="188"/>
      <c r="N626" s="188"/>
      <c r="O626" s="188"/>
      <c r="P626" s="188"/>
      <c r="Q626" s="188"/>
      <c r="R626" s="188"/>
      <c r="S626" s="188"/>
      <c r="T626" s="7"/>
      <c r="U626" s="176"/>
    </row>
    <row r="627" spans="1:21">
      <c r="A627" s="3"/>
      <c r="B627" s="3"/>
      <c r="C627" s="3"/>
      <c r="D627" s="3"/>
      <c r="E627" s="4"/>
      <c r="F627" s="3"/>
      <c r="G627" s="3"/>
      <c r="H627" s="10"/>
      <c r="I627" s="187"/>
      <c r="J627" s="188"/>
      <c r="K627" s="188"/>
      <c r="L627" s="188"/>
      <c r="M627" s="188"/>
      <c r="N627" s="188"/>
      <c r="O627" s="188"/>
      <c r="P627" s="188"/>
      <c r="Q627" s="188"/>
      <c r="R627" s="188"/>
      <c r="S627" s="188"/>
      <c r="T627" s="7"/>
      <c r="U627" s="176"/>
    </row>
    <row r="628" spans="1:21">
      <c r="A628" s="3"/>
      <c r="B628" s="3"/>
      <c r="C628" s="3"/>
      <c r="D628" s="3"/>
      <c r="E628" s="4"/>
      <c r="F628" s="3"/>
      <c r="G628" s="3"/>
      <c r="H628" s="10"/>
      <c r="I628" s="187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7"/>
      <c r="U628" s="176"/>
    </row>
    <row r="629" spans="1:21">
      <c r="A629" s="3"/>
      <c r="B629" s="3"/>
      <c r="C629" s="3"/>
      <c r="D629" s="3"/>
      <c r="E629" s="4"/>
      <c r="F629" s="3"/>
      <c r="G629" s="3"/>
      <c r="H629" s="10"/>
      <c r="I629" s="187"/>
      <c r="J629" s="188"/>
      <c r="K629" s="188"/>
      <c r="L629" s="188"/>
      <c r="M629" s="188"/>
      <c r="N629" s="188"/>
      <c r="O629" s="188"/>
      <c r="P629" s="188"/>
      <c r="Q629" s="188"/>
      <c r="R629" s="188"/>
      <c r="S629" s="188"/>
      <c r="T629" s="7"/>
      <c r="U629" s="176"/>
    </row>
    <row r="630" spans="1:21">
      <c r="A630" s="3"/>
      <c r="B630" s="3"/>
      <c r="C630" s="3"/>
      <c r="D630" s="3"/>
      <c r="E630" s="4"/>
      <c r="F630" s="3"/>
      <c r="G630" s="3"/>
      <c r="H630" s="10"/>
      <c r="I630" s="187"/>
      <c r="J630" s="188"/>
      <c r="K630" s="188"/>
      <c r="L630" s="188"/>
      <c r="M630" s="188"/>
      <c r="N630" s="188"/>
      <c r="O630" s="188"/>
      <c r="P630" s="188"/>
      <c r="Q630" s="188"/>
      <c r="R630" s="188"/>
      <c r="S630" s="188"/>
      <c r="T630" s="7"/>
      <c r="U630" s="176"/>
    </row>
    <row r="631" spans="1:21">
      <c r="A631" s="3"/>
      <c r="B631" s="3"/>
      <c r="C631" s="3"/>
      <c r="D631" s="3"/>
      <c r="E631" s="4"/>
      <c r="F631" s="3"/>
      <c r="G631" s="3"/>
      <c r="H631" s="10"/>
      <c r="I631" s="187"/>
      <c r="J631" s="188"/>
      <c r="K631" s="188"/>
      <c r="L631" s="188"/>
      <c r="M631" s="188"/>
      <c r="N631" s="188"/>
      <c r="O631" s="188"/>
      <c r="P631" s="188"/>
      <c r="Q631" s="188"/>
      <c r="R631" s="188"/>
      <c r="S631" s="188"/>
      <c r="T631" s="7"/>
      <c r="U631" s="176"/>
    </row>
    <row r="632" spans="1:21">
      <c r="A632" s="3"/>
      <c r="B632" s="3"/>
      <c r="C632" s="3"/>
      <c r="D632" s="3"/>
      <c r="E632" s="4"/>
      <c r="F632" s="3"/>
      <c r="G632" s="3"/>
      <c r="H632" s="10"/>
      <c r="I632" s="187"/>
      <c r="J632" s="188"/>
      <c r="K632" s="188"/>
      <c r="L632" s="188"/>
      <c r="M632" s="188"/>
      <c r="N632" s="188"/>
      <c r="O632" s="188"/>
      <c r="P632" s="188"/>
      <c r="Q632" s="188"/>
      <c r="R632" s="188"/>
      <c r="S632" s="188"/>
      <c r="T632" s="7"/>
      <c r="U632" s="176"/>
    </row>
    <row r="633" spans="1:21">
      <c r="A633" s="3"/>
      <c r="B633" s="3"/>
      <c r="C633" s="3"/>
      <c r="D633" s="3"/>
      <c r="E633" s="4"/>
      <c r="F633" s="3"/>
      <c r="G633" s="3"/>
      <c r="H633" s="10"/>
      <c r="I633" s="187"/>
      <c r="J633" s="188"/>
      <c r="K633" s="188"/>
      <c r="L633" s="188"/>
      <c r="M633" s="188"/>
      <c r="N633" s="188"/>
      <c r="O633" s="188"/>
      <c r="P633" s="188"/>
      <c r="Q633" s="188"/>
      <c r="R633" s="188"/>
      <c r="S633" s="188"/>
      <c r="T633" s="7"/>
      <c r="U633" s="176"/>
    </row>
    <row r="634" spans="1:21">
      <c r="A634" s="3"/>
      <c r="B634" s="3"/>
      <c r="C634" s="3"/>
      <c r="D634" s="3"/>
      <c r="E634" s="4"/>
      <c r="F634" s="3"/>
      <c r="G634" s="3"/>
      <c r="H634" s="10"/>
      <c r="I634" s="187"/>
      <c r="J634" s="188"/>
      <c r="K634" s="188"/>
      <c r="L634" s="188"/>
      <c r="M634" s="188"/>
      <c r="N634" s="188"/>
      <c r="O634" s="188"/>
      <c r="P634" s="188"/>
      <c r="Q634" s="188"/>
      <c r="R634" s="188"/>
      <c r="S634" s="188"/>
      <c r="T634" s="7"/>
      <c r="U634" s="176"/>
    </row>
    <row r="635" spans="1:21">
      <c r="A635" s="3"/>
      <c r="B635" s="3"/>
      <c r="C635" s="3"/>
      <c r="D635" s="3"/>
      <c r="E635" s="4"/>
      <c r="F635" s="3"/>
      <c r="G635" s="3"/>
      <c r="H635" s="10"/>
      <c r="I635" s="187"/>
      <c r="J635" s="188"/>
      <c r="K635" s="188"/>
      <c r="L635" s="188"/>
      <c r="M635" s="188"/>
      <c r="N635" s="188"/>
      <c r="O635" s="188"/>
      <c r="P635" s="188"/>
      <c r="Q635" s="188"/>
      <c r="R635" s="188"/>
      <c r="S635" s="188"/>
      <c r="T635" s="7"/>
      <c r="U635" s="176"/>
    </row>
    <row r="636" spans="1:21">
      <c r="A636" s="3"/>
      <c r="B636" s="3"/>
      <c r="C636" s="3"/>
      <c r="D636" s="3"/>
      <c r="E636" s="4"/>
      <c r="F636" s="3"/>
      <c r="G636" s="3"/>
      <c r="H636" s="10"/>
      <c r="I636" s="187"/>
      <c r="J636" s="188"/>
      <c r="K636" s="188"/>
      <c r="L636" s="188"/>
      <c r="M636" s="188"/>
      <c r="N636" s="188"/>
      <c r="O636" s="188"/>
      <c r="P636" s="188"/>
      <c r="Q636" s="188"/>
      <c r="R636" s="188"/>
      <c r="S636" s="188"/>
      <c r="T636" s="7"/>
      <c r="U636" s="176"/>
    </row>
    <row r="637" spans="1:21">
      <c r="A637" s="3"/>
      <c r="B637" s="3"/>
      <c r="C637" s="3"/>
      <c r="D637" s="3"/>
      <c r="E637" s="4"/>
      <c r="F637" s="3"/>
      <c r="G637" s="3"/>
      <c r="H637" s="10"/>
      <c r="I637" s="187"/>
      <c r="J637" s="188"/>
      <c r="K637" s="188"/>
      <c r="L637" s="188"/>
      <c r="M637" s="188"/>
      <c r="N637" s="188"/>
      <c r="O637" s="188"/>
      <c r="P637" s="188"/>
      <c r="Q637" s="188"/>
      <c r="R637" s="188"/>
      <c r="S637" s="188"/>
      <c r="T637" s="7"/>
      <c r="U637" s="176"/>
    </row>
    <row r="638" spans="1:21">
      <c r="A638" s="3"/>
      <c r="B638" s="3"/>
      <c r="C638" s="3"/>
      <c r="D638" s="3"/>
      <c r="E638" s="4"/>
      <c r="F638" s="3"/>
      <c r="G638" s="3"/>
      <c r="H638" s="10"/>
      <c r="I638" s="187"/>
      <c r="J638" s="188"/>
      <c r="K638" s="188"/>
      <c r="L638" s="188"/>
      <c r="M638" s="188"/>
      <c r="N638" s="188"/>
      <c r="O638" s="188"/>
      <c r="P638" s="188"/>
      <c r="Q638" s="188"/>
      <c r="R638" s="188"/>
      <c r="S638" s="188"/>
      <c r="T638" s="7"/>
      <c r="U638" s="176"/>
    </row>
    <row r="639" spans="1:21">
      <c r="A639" s="3"/>
      <c r="B639" s="3"/>
      <c r="C639" s="3"/>
      <c r="D639" s="3"/>
      <c r="E639" s="4"/>
      <c r="F639" s="3"/>
      <c r="G639" s="3"/>
      <c r="H639" s="10"/>
      <c r="I639" s="187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7"/>
      <c r="U639" s="176"/>
    </row>
    <row r="640" spans="1:21">
      <c r="A640" s="3"/>
      <c r="B640" s="3"/>
      <c r="C640" s="3"/>
      <c r="D640" s="3"/>
      <c r="E640" s="4"/>
      <c r="F640" s="3"/>
      <c r="G640" s="3"/>
      <c r="H640" s="10"/>
      <c r="I640" s="187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7"/>
      <c r="U640" s="176"/>
    </row>
    <row r="641" spans="1:21">
      <c r="A641" s="3"/>
      <c r="B641" s="3"/>
      <c r="C641" s="3"/>
      <c r="D641" s="3"/>
      <c r="E641" s="4"/>
      <c r="F641" s="3"/>
      <c r="G641" s="3"/>
      <c r="H641" s="10"/>
      <c r="I641" s="187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7"/>
      <c r="U641" s="176"/>
    </row>
    <row r="642" spans="1:21">
      <c r="A642" s="3"/>
      <c r="B642" s="3"/>
      <c r="C642" s="3"/>
      <c r="D642" s="3"/>
      <c r="E642" s="4"/>
      <c r="F642" s="3"/>
      <c r="G642" s="3"/>
      <c r="H642" s="10"/>
      <c r="I642" s="187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7"/>
      <c r="U642" s="176"/>
    </row>
    <row r="643" spans="1:21">
      <c r="A643" s="3"/>
      <c r="B643" s="3"/>
      <c r="C643" s="3"/>
      <c r="D643" s="3"/>
      <c r="E643" s="4"/>
      <c r="F643" s="3"/>
      <c r="G643" s="3"/>
      <c r="H643" s="10"/>
      <c r="I643" s="187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7"/>
      <c r="U643" s="176"/>
    </row>
    <row r="644" spans="1:21">
      <c r="A644" s="3"/>
      <c r="B644" s="3"/>
      <c r="C644" s="3"/>
      <c r="D644" s="3"/>
      <c r="E644" s="4"/>
      <c r="F644" s="3"/>
      <c r="G644" s="3"/>
      <c r="H644" s="10"/>
      <c r="I644" s="187"/>
      <c r="J644" s="188"/>
      <c r="K644" s="188"/>
      <c r="L644" s="188"/>
      <c r="M644" s="188"/>
      <c r="N644" s="188"/>
      <c r="O644" s="188"/>
      <c r="P644" s="188"/>
      <c r="Q644" s="188"/>
      <c r="R644" s="188"/>
      <c r="S644" s="188"/>
      <c r="T644" s="7"/>
      <c r="U644" s="176"/>
    </row>
    <row r="645" spans="1:21">
      <c r="A645" s="3"/>
      <c r="B645" s="3"/>
      <c r="C645" s="3"/>
      <c r="D645" s="3"/>
      <c r="E645" s="4"/>
      <c r="F645" s="3"/>
      <c r="G645" s="3"/>
      <c r="H645" s="10"/>
      <c r="I645" s="187"/>
      <c r="J645" s="188"/>
      <c r="K645" s="188"/>
      <c r="L645" s="188"/>
      <c r="M645" s="188"/>
      <c r="N645" s="188"/>
      <c r="O645" s="188"/>
      <c r="P645" s="188"/>
      <c r="Q645" s="188"/>
      <c r="R645" s="188"/>
      <c r="S645" s="188"/>
      <c r="T645" s="7"/>
      <c r="U645" s="176"/>
    </row>
    <row r="646" spans="1:21">
      <c r="A646" s="3"/>
      <c r="B646" s="3"/>
      <c r="C646" s="3"/>
      <c r="D646" s="3"/>
      <c r="E646" s="4"/>
      <c r="F646" s="3"/>
      <c r="G646" s="3"/>
      <c r="H646" s="10"/>
      <c r="I646" s="187"/>
      <c r="J646" s="188"/>
      <c r="K646" s="188"/>
      <c r="L646" s="188"/>
      <c r="M646" s="188"/>
      <c r="N646" s="188"/>
      <c r="O646" s="188"/>
      <c r="P646" s="188"/>
      <c r="Q646" s="188"/>
      <c r="R646" s="188"/>
      <c r="S646" s="188"/>
      <c r="T646" s="7"/>
      <c r="U646" s="176"/>
    </row>
    <row r="647" spans="1:21">
      <c r="A647" s="3"/>
      <c r="B647" s="3"/>
      <c r="C647" s="3"/>
      <c r="D647" s="3"/>
      <c r="E647" s="4"/>
      <c r="F647" s="3"/>
      <c r="G647" s="3"/>
      <c r="H647" s="10"/>
      <c r="I647" s="187"/>
      <c r="J647" s="188"/>
      <c r="K647" s="188"/>
      <c r="L647" s="188"/>
      <c r="M647" s="188"/>
      <c r="N647" s="188"/>
      <c r="O647" s="188"/>
      <c r="P647" s="188"/>
      <c r="Q647" s="188"/>
      <c r="R647" s="188"/>
      <c r="S647" s="188"/>
      <c r="T647" s="7"/>
      <c r="U647" s="176"/>
    </row>
    <row r="648" spans="1:21">
      <c r="A648" s="3"/>
      <c r="B648" s="3"/>
      <c r="C648" s="3"/>
      <c r="D648" s="3"/>
      <c r="E648" s="4"/>
      <c r="F648" s="3"/>
      <c r="G648" s="3"/>
      <c r="H648" s="10"/>
      <c r="I648" s="187"/>
      <c r="J648" s="188"/>
      <c r="K648" s="188"/>
      <c r="L648" s="188"/>
      <c r="M648" s="188"/>
      <c r="N648" s="188"/>
      <c r="O648" s="188"/>
      <c r="P648" s="188"/>
      <c r="Q648" s="188"/>
      <c r="R648" s="188"/>
      <c r="S648" s="188"/>
      <c r="T648" s="7"/>
      <c r="U648" s="176"/>
    </row>
    <row r="649" spans="1:21">
      <c r="A649" s="3"/>
      <c r="B649" s="3"/>
      <c r="C649" s="3"/>
      <c r="D649" s="3"/>
      <c r="E649" s="4"/>
      <c r="F649" s="3"/>
      <c r="G649" s="3"/>
      <c r="H649" s="10"/>
      <c r="I649" s="187"/>
      <c r="J649" s="188"/>
      <c r="K649" s="188"/>
      <c r="L649" s="188"/>
      <c r="M649" s="188"/>
      <c r="N649" s="188"/>
      <c r="O649" s="188"/>
      <c r="P649" s="188"/>
      <c r="Q649" s="188"/>
      <c r="R649" s="188"/>
      <c r="S649" s="188"/>
      <c r="T649" s="7"/>
      <c r="U649" s="176"/>
    </row>
    <row r="650" spans="1:21">
      <c r="A650" s="3"/>
      <c r="B650" s="3"/>
      <c r="C650" s="3"/>
      <c r="D650" s="3"/>
      <c r="E650" s="4"/>
      <c r="F650" s="3"/>
      <c r="G650" s="3"/>
      <c r="H650" s="10"/>
      <c r="I650" s="187"/>
      <c r="J650" s="188"/>
      <c r="K650" s="188"/>
      <c r="L650" s="188"/>
      <c r="M650" s="188"/>
      <c r="N650" s="188"/>
      <c r="O650" s="188"/>
      <c r="P650" s="188"/>
      <c r="Q650" s="188"/>
      <c r="R650" s="188"/>
      <c r="S650" s="188"/>
      <c r="T650" s="7"/>
      <c r="U650" s="176"/>
    </row>
    <row r="651" spans="1:21">
      <c r="A651" s="3"/>
      <c r="B651" s="3"/>
      <c r="C651" s="3"/>
      <c r="D651" s="3"/>
      <c r="E651" s="4"/>
      <c r="F651" s="3"/>
      <c r="G651" s="3"/>
      <c r="H651" s="10"/>
      <c r="I651" s="187"/>
      <c r="J651" s="188"/>
      <c r="K651" s="188"/>
      <c r="L651" s="188"/>
      <c r="M651" s="188"/>
      <c r="N651" s="188"/>
      <c r="O651" s="188"/>
      <c r="P651" s="188"/>
      <c r="Q651" s="188"/>
      <c r="R651" s="188"/>
      <c r="S651" s="188"/>
      <c r="T651" s="7"/>
      <c r="U651" s="176"/>
    </row>
    <row r="652" spans="1:21">
      <c r="A652" s="3"/>
      <c r="B652" s="3"/>
      <c r="C652" s="3"/>
      <c r="D652" s="3"/>
      <c r="E652" s="4"/>
      <c r="F652" s="3"/>
      <c r="G652" s="3"/>
      <c r="H652" s="10"/>
      <c r="I652" s="187"/>
      <c r="J652" s="188"/>
      <c r="K652" s="188"/>
      <c r="L652" s="188"/>
      <c r="M652" s="188"/>
      <c r="N652" s="188"/>
      <c r="O652" s="188"/>
      <c r="P652" s="188"/>
      <c r="Q652" s="188"/>
      <c r="R652" s="188"/>
      <c r="S652" s="188"/>
      <c r="T652" s="7"/>
      <c r="U652" s="176"/>
    </row>
    <row r="653" spans="1:21">
      <c r="A653" s="3"/>
      <c r="B653" s="3"/>
      <c r="C653" s="3"/>
      <c r="D653" s="3"/>
      <c r="E653" s="4"/>
      <c r="F653" s="3"/>
      <c r="G653" s="3"/>
      <c r="H653" s="10"/>
      <c r="I653" s="187"/>
      <c r="J653" s="188"/>
      <c r="K653" s="188"/>
      <c r="L653" s="188"/>
      <c r="M653" s="188"/>
      <c r="N653" s="188"/>
      <c r="O653" s="188"/>
      <c r="P653" s="188"/>
      <c r="Q653" s="188"/>
      <c r="R653" s="188"/>
      <c r="S653" s="188"/>
      <c r="T653" s="7"/>
      <c r="U653" s="176"/>
    </row>
    <row r="654" spans="1:21">
      <c r="A654" s="3"/>
      <c r="B654" s="3"/>
      <c r="C654" s="3"/>
      <c r="D654" s="3"/>
      <c r="E654" s="4"/>
      <c r="F654" s="3"/>
      <c r="G654" s="3"/>
      <c r="H654" s="10"/>
      <c r="I654" s="187"/>
      <c r="J654" s="188"/>
      <c r="K654" s="188"/>
      <c r="L654" s="188"/>
      <c r="M654" s="188"/>
      <c r="N654" s="188"/>
      <c r="O654" s="188"/>
      <c r="P654" s="188"/>
      <c r="Q654" s="188"/>
      <c r="R654" s="188"/>
      <c r="S654" s="188"/>
      <c r="T654" s="7"/>
      <c r="U654" s="176"/>
    </row>
    <row r="655" spans="1:21">
      <c r="A655" s="3"/>
      <c r="B655" s="3"/>
      <c r="C655" s="3"/>
      <c r="D655" s="3"/>
      <c r="E655" s="4"/>
      <c r="F655" s="3"/>
      <c r="G655" s="3"/>
      <c r="H655" s="10"/>
      <c r="I655" s="187"/>
      <c r="J655" s="188"/>
      <c r="K655" s="188"/>
      <c r="L655" s="188"/>
      <c r="M655" s="188"/>
      <c r="N655" s="188"/>
      <c r="O655" s="188"/>
      <c r="P655" s="188"/>
      <c r="Q655" s="188"/>
      <c r="R655" s="188"/>
      <c r="S655" s="188"/>
      <c r="T655" s="7"/>
      <c r="U655" s="176"/>
    </row>
    <row r="656" spans="1:21">
      <c r="A656" s="3"/>
      <c r="B656" s="3"/>
      <c r="C656" s="3"/>
      <c r="D656" s="3"/>
      <c r="E656" s="4"/>
      <c r="F656" s="3"/>
      <c r="G656" s="3"/>
      <c r="H656" s="10"/>
      <c r="I656" s="187"/>
      <c r="J656" s="188"/>
      <c r="K656" s="188"/>
      <c r="L656" s="188"/>
      <c r="M656" s="188"/>
      <c r="N656" s="188"/>
      <c r="O656" s="188"/>
      <c r="P656" s="188"/>
      <c r="Q656" s="188"/>
      <c r="R656" s="188"/>
      <c r="S656" s="188"/>
      <c r="T656" s="7"/>
      <c r="U656" s="176"/>
    </row>
    <row r="657" spans="1:21">
      <c r="A657" s="3"/>
      <c r="B657" s="3"/>
      <c r="C657" s="3"/>
      <c r="D657" s="3"/>
      <c r="E657" s="4"/>
      <c r="F657" s="3"/>
      <c r="G657" s="3"/>
      <c r="H657" s="10"/>
      <c r="I657" s="187"/>
      <c r="J657" s="188"/>
      <c r="K657" s="188"/>
      <c r="L657" s="188"/>
      <c r="M657" s="188"/>
      <c r="N657" s="188"/>
      <c r="O657" s="188"/>
      <c r="P657" s="188"/>
      <c r="Q657" s="188"/>
      <c r="R657" s="188"/>
      <c r="S657" s="188"/>
      <c r="T657" s="7"/>
      <c r="U657" s="176"/>
    </row>
    <row r="658" spans="1:21">
      <c r="A658" s="3"/>
      <c r="B658" s="3"/>
      <c r="C658" s="3"/>
      <c r="D658" s="3"/>
      <c r="E658" s="4"/>
      <c r="F658" s="3"/>
      <c r="G658" s="3"/>
      <c r="H658" s="10"/>
      <c r="I658" s="187"/>
      <c r="J658" s="188"/>
      <c r="K658" s="188"/>
      <c r="L658" s="188"/>
      <c r="M658" s="188"/>
      <c r="N658" s="188"/>
      <c r="O658" s="188"/>
      <c r="P658" s="188"/>
      <c r="Q658" s="188"/>
      <c r="R658" s="188"/>
      <c r="S658" s="188"/>
      <c r="T658" s="7"/>
      <c r="U658" s="176"/>
    </row>
    <row r="659" spans="1:21">
      <c r="A659" s="3"/>
      <c r="B659" s="3"/>
      <c r="C659" s="3"/>
      <c r="D659" s="3"/>
      <c r="E659" s="4"/>
      <c r="F659" s="3"/>
      <c r="G659" s="3"/>
      <c r="H659" s="10"/>
      <c r="I659" s="187"/>
      <c r="J659" s="188"/>
      <c r="K659" s="188"/>
      <c r="L659" s="188"/>
      <c r="M659" s="188"/>
      <c r="N659" s="188"/>
      <c r="O659" s="188"/>
      <c r="P659" s="188"/>
      <c r="Q659" s="188"/>
      <c r="R659" s="188"/>
      <c r="S659" s="188"/>
      <c r="T659" s="7"/>
      <c r="U659" s="176"/>
    </row>
    <row r="660" spans="1:21">
      <c r="A660" s="3"/>
      <c r="B660" s="3"/>
      <c r="C660" s="3"/>
      <c r="D660" s="3"/>
      <c r="E660" s="4"/>
      <c r="F660" s="3"/>
      <c r="G660" s="3"/>
      <c r="H660" s="10"/>
      <c r="I660" s="187"/>
      <c r="J660" s="188"/>
      <c r="K660" s="188"/>
      <c r="L660" s="188"/>
      <c r="M660" s="188"/>
      <c r="N660" s="188"/>
      <c r="O660" s="188"/>
      <c r="P660" s="188"/>
      <c r="Q660" s="188"/>
      <c r="R660" s="188"/>
      <c r="S660" s="188"/>
      <c r="T660" s="7"/>
      <c r="U660" s="176"/>
    </row>
    <row r="661" spans="1:21">
      <c r="A661" s="3"/>
      <c r="B661" s="3"/>
      <c r="C661" s="3"/>
      <c r="D661" s="3"/>
      <c r="E661" s="4"/>
      <c r="F661" s="3"/>
      <c r="G661" s="3"/>
      <c r="H661" s="10"/>
      <c r="I661" s="187"/>
      <c r="J661" s="188"/>
      <c r="K661" s="188"/>
      <c r="L661" s="188"/>
      <c r="M661" s="188"/>
      <c r="N661" s="188"/>
      <c r="O661" s="188"/>
      <c r="P661" s="188"/>
      <c r="Q661" s="188"/>
      <c r="R661" s="188"/>
      <c r="S661" s="188"/>
      <c r="T661" s="7"/>
      <c r="U661" s="176"/>
    </row>
    <row r="662" spans="1:21">
      <c r="A662" s="3"/>
      <c r="B662" s="3"/>
      <c r="C662" s="3"/>
      <c r="D662" s="3"/>
      <c r="E662" s="4"/>
      <c r="F662" s="3"/>
      <c r="G662" s="3"/>
      <c r="H662" s="10"/>
      <c r="I662" s="187"/>
      <c r="J662" s="188"/>
      <c r="K662" s="188"/>
      <c r="L662" s="188"/>
      <c r="M662" s="188"/>
      <c r="N662" s="188"/>
      <c r="O662" s="188"/>
      <c r="P662" s="188"/>
      <c r="Q662" s="188"/>
      <c r="R662" s="188"/>
      <c r="S662" s="188"/>
      <c r="T662" s="7"/>
      <c r="U662" s="176"/>
    </row>
    <row r="663" spans="1:21">
      <c r="A663" s="3"/>
      <c r="B663" s="3"/>
      <c r="C663" s="3"/>
      <c r="D663" s="3"/>
      <c r="E663" s="4"/>
      <c r="F663" s="3"/>
      <c r="G663" s="3"/>
      <c r="H663" s="10"/>
      <c r="I663" s="187"/>
      <c r="J663" s="188"/>
      <c r="K663" s="188"/>
      <c r="L663" s="188"/>
      <c r="M663" s="188"/>
      <c r="N663" s="188"/>
      <c r="O663" s="188"/>
      <c r="P663" s="188"/>
      <c r="Q663" s="188"/>
      <c r="R663" s="188"/>
      <c r="S663" s="188"/>
      <c r="T663" s="7"/>
      <c r="U663" s="176"/>
    </row>
    <row r="664" spans="1:21">
      <c r="A664" s="3"/>
      <c r="B664" s="3"/>
      <c r="C664" s="3"/>
      <c r="D664" s="3"/>
      <c r="E664" s="4"/>
      <c r="F664" s="3"/>
      <c r="G664" s="3"/>
      <c r="H664" s="10"/>
      <c r="I664" s="187"/>
      <c r="J664" s="188"/>
      <c r="K664" s="188"/>
      <c r="L664" s="188"/>
      <c r="M664" s="188"/>
      <c r="N664" s="188"/>
      <c r="O664" s="188"/>
      <c r="P664" s="188"/>
      <c r="Q664" s="188"/>
      <c r="R664" s="188"/>
      <c r="S664" s="188"/>
      <c r="T664" s="7"/>
      <c r="U664" s="176"/>
    </row>
    <row r="665" spans="1:21">
      <c r="A665" s="3"/>
      <c r="B665" s="3"/>
      <c r="C665" s="3"/>
      <c r="D665" s="3"/>
      <c r="E665" s="4"/>
      <c r="F665" s="3"/>
      <c r="G665" s="3"/>
      <c r="H665" s="10"/>
      <c r="I665" s="187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7"/>
      <c r="U665" s="176"/>
    </row>
    <row r="666" spans="1:21">
      <c r="A666" s="3"/>
      <c r="B666" s="3"/>
      <c r="C666" s="3"/>
      <c r="D666" s="3"/>
      <c r="E666" s="4"/>
      <c r="F666" s="3"/>
      <c r="G666" s="3"/>
      <c r="H666" s="10"/>
      <c r="I666" s="187"/>
      <c r="J666" s="188"/>
      <c r="K666" s="188"/>
      <c r="L666" s="188"/>
      <c r="M666" s="188"/>
      <c r="N666" s="188"/>
      <c r="O666" s="188"/>
      <c r="P666" s="188"/>
      <c r="Q666" s="188"/>
      <c r="R666" s="188"/>
      <c r="S666" s="188"/>
      <c r="T666" s="7"/>
      <c r="U666" s="176"/>
    </row>
    <row r="667" spans="1:21">
      <c r="A667" s="3"/>
      <c r="B667" s="3"/>
      <c r="C667" s="3"/>
      <c r="D667" s="3"/>
      <c r="E667" s="4"/>
      <c r="F667" s="3"/>
      <c r="G667" s="3"/>
      <c r="H667" s="10"/>
      <c r="I667" s="187"/>
      <c r="J667" s="188"/>
      <c r="K667" s="188"/>
      <c r="L667" s="188"/>
      <c r="M667" s="188"/>
      <c r="N667" s="188"/>
      <c r="O667" s="188"/>
      <c r="P667" s="188"/>
      <c r="Q667" s="188"/>
      <c r="R667" s="188"/>
      <c r="S667" s="188"/>
      <c r="T667" s="7"/>
      <c r="U667" s="176"/>
    </row>
    <row r="668" spans="1:21">
      <c r="A668" s="3"/>
      <c r="B668" s="3"/>
      <c r="C668" s="3"/>
      <c r="D668" s="3"/>
      <c r="E668" s="4"/>
      <c r="F668" s="3"/>
      <c r="G668" s="3"/>
      <c r="H668" s="10"/>
      <c r="I668" s="187"/>
      <c r="J668" s="188"/>
      <c r="K668" s="188"/>
      <c r="L668" s="188"/>
      <c r="M668" s="188"/>
      <c r="N668" s="188"/>
      <c r="O668" s="188"/>
      <c r="P668" s="188"/>
      <c r="Q668" s="188"/>
      <c r="R668" s="188"/>
      <c r="S668" s="188"/>
      <c r="T668" s="7"/>
      <c r="U668" s="176"/>
    </row>
    <row r="669" spans="1:21">
      <c r="A669" s="3"/>
      <c r="B669" s="3"/>
      <c r="C669" s="3"/>
      <c r="D669" s="3"/>
      <c r="E669" s="4"/>
      <c r="F669" s="3"/>
      <c r="G669" s="3"/>
      <c r="H669" s="10"/>
      <c r="I669" s="187"/>
      <c r="J669" s="188"/>
      <c r="K669" s="188"/>
      <c r="L669" s="188"/>
      <c r="M669" s="188"/>
      <c r="N669" s="188"/>
      <c r="O669" s="188"/>
      <c r="P669" s="188"/>
      <c r="Q669" s="188"/>
      <c r="R669" s="188"/>
      <c r="S669" s="188"/>
      <c r="T669" s="7"/>
      <c r="U669" s="176"/>
    </row>
    <row r="670" spans="1:21">
      <c r="A670" s="3"/>
      <c r="B670" s="3"/>
      <c r="C670" s="3"/>
      <c r="D670" s="3"/>
      <c r="E670" s="4"/>
      <c r="F670" s="3"/>
      <c r="G670" s="3"/>
      <c r="H670" s="10"/>
      <c r="I670" s="187"/>
      <c r="J670" s="188"/>
      <c r="K670" s="188"/>
      <c r="L670" s="188"/>
      <c r="M670" s="188"/>
      <c r="N670" s="188"/>
      <c r="O670" s="188"/>
      <c r="P670" s="188"/>
      <c r="Q670" s="188"/>
      <c r="R670" s="188"/>
      <c r="S670" s="188"/>
      <c r="T670" s="7"/>
      <c r="U670" s="176"/>
    </row>
    <row r="671" spans="1:21">
      <c r="A671" s="3"/>
      <c r="B671" s="3"/>
      <c r="C671" s="3"/>
      <c r="D671" s="3"/>
      <c r="E671" s="4"/>
      <c r="F671" s="3"/>
      <c r="G671" s="3"/>
      <c r="H671" s="10"/>
      <c r="I671" s="187"/>
      <c r="J671" s="188"/>
      <c r="K671" s="188"/>
      <c r="L671" s="188"/>
      <c r="M671" s="188"/>
      <c r="N671" s="188"/>
      <c r="O671" s="188"/>
      <c r="P671" s="188"/>
      <c r="Q671" s="188"/>
      <c r="R671" s="188"/>
      <c r="S671" s="188"/>
      <c r="T671" s="7"/>
      <c r="U671" s="176"/>
    </row>
    <row r="672" spans="1:21">
      <c r="A672" s="3"/>
      <c r="B672" s="3"/>
      <c r="C672" s="3"/>
      <c r="D672" s="3"/>
      <c r="E672" s="4"/>
      <c r="F672" s="3"/>
      <c r="G672" s="3"/>
      <c r="H672" s="10"/>
      <c r="I672" s="187"/>
      <c r="J672" s="188"/>
      <c r="K672" s="188"/>
      <c r="L672" s="188"/>
      <c r="M672" s="188"/>
      <c r="N672" s="188"/>
      <c r="O672" s="188"/>
      <c r="P672" s="188"/>
      <c r="Q672" s="188"/>
      <c r="R672" s="188"/>
      <c r="S672" s="188"/>
      <c r="T672" s="7"/>
      <c r="U672" s="176"/>
    </row>
    <row r="673" spans="1:21">
      <c r="A673" s="3"/>
      <c r="B673" s="3"/>
      <c r="C673" s="3"/>
      <c r="D673" s="3"/>
      <c r="E673" s="4"/>
      <c r="F673" s="3"/>
      <c r="G673" s="3"/>
      <c r="H673" s="10"/>
      <c r="I673" s="187"/>
      <c r="J673" s="188"/>
      <c r="K673" s="188"/>
      <c r="L673" s="188"/>
      <c r="M673" s="188"/>
      <c r="N673" s="188"/>
      <c r="O673" s="188"/>
      <c r="P673" s="188"/>
      <c r="Q673" s="188"/>
      <c r="R673" s="188"/>
      <c r="S673" s="188"/>
      <c r="T673" s="7"/>
      <c r="U673" s="176"/>
    </row>
    <row r="674" spans="1:21">
      <c r="A674" s="3"/>
      <c r="B674" s="3"/>
      <c r="C674" s="3"/>
      <c r="D674" s="3"/>
      <c r="E674" s="4"/>
      <c r="F674" s="3"/>
      <c r="G674" s="3"/>
      <c r="H674" s="10"/>
      <c r="I674" s="187"/>
      <c r="J674" s="188"/>
      <c r="K674" s="188"/>
      <c r="L674" s="188"/>
      <c r="M674" s="188"/>
      <c r="N674" s="188"/>
      <c r="O674" s="188"/>
      <c r="P674" s="188"/>
      <c r="Q674" s="188"/>
      <c r="R674" s="188"/>
      <c r="S674" s="188"/>
      <c r="T674" s="7"/>
      <c r="U674" s="176"/>
    </row>
    <row r="675" spans="1:21">
      <c r="A675" s="3"/>
      <c r="B675" s="3"/>
      <c r="C675" s="3"/>
      <c r="D675" s="3"/>
      <c r="E675" s="4"/>
      <c r="F675" s="3"/>
      <c r="G675" s="3"/>
      <c r="H675" s="10"/>
      <c r="I675" s="187"/>
      <c r="J675" s="188"/>
      <c r="K675" s="188"/>
      <c r="L675" s="188"/>
      <c r="M675" s="188"/>
      <c r="N675" s="188"/>
      <c r="O675" s="188"/>
      <c r="P675" s="188"/>
      <c r="Q675" s="188"/>
      <c r="R675" s="188"/>
      <c r="S675" s="188"/>
      <c r="T675" s="7"/>
      <c r="U675" s="176"/>
    </row>
    <row r="676" spans="1:21">
      <c r="A676" s="3"/>
      <c r="B676" s="3"/>
      <c r="C676" s="3"/>
      <c r="D676" s="3"/>
      <c r="E676" s="4"/>
      <c r="F676" s="3"/>
      <c r="G676" s="3"/>
      <c r="H676" s="10"/>
      <c r="I676" s="187"/>
      <c r="J676" s="188"/>
      <c r="K676" s="188"/>
      <c r="L676" s="188"/>
      <c r="M676" s="188"/>
      <c r="N676" s="188"/>
      <c r="O676" s="188"/>
      <c r="P676" s="188"/>
      <c r="Q676" s="188"/>
      <c r="R676" s="188"/>
      <c r="S676" s="188"/>
      <c r="T676" s="7"/>
      <c r="U676" s="176"/>
    </row>
    <row r="677" spans="1:21">
      <c r="A677" s="3"/>
      <c r="B677" s="3"/>
      <c r="C677" s="3"/>
      <c r="D677" s="3"/>
      <c r="E677" s="4"/>
      <c r="F677" s="3"/>
      <c r="G677" s="3"/>
      <c r="H677" s="10"/>
      <c r="I677" s="187"/>
      <c r="J677" s="188"/>
      <c r="K677" s="188"/>
      <c r="L677" s="188"/>
      <c r="M677" s="188"/>
      <c r="N677" s="188"/>
      <c r="O677" s="188"/>
      <c r="P677" s="188"/>
      <c r="Q677" s="188"/>
      <c r="R677" s="188"/>
      <c r="S677" s="188"/>
      <c r="T677" s="7"/>
      <c r="U677" s="176"/>
    </row>
    <row r="678" spans="1:21">
      <c r="A678" s="3"/>
      <c r="B678" s="3"/>
      <c r="C678" s="3"/>
      <c r="D678" s="3"/>
      <c r="E678" s="4"/>
      <c r="F678" s="3"/>
      <c r="G678" s="3"/>
      <c r="H678" s="10"/>
      <c r="I678" s="187"/>
      <c r="J678" s="188"/>
      <c r="K678" s="188"/>
      <c r="L678" s="188"/>
      <c r="M678" s="188"/>
      <c r="N678" s="188"/>
      <c r="O678" s="188"/>
      <c r="P678" s="188"/>
      <c r="Q678" s="188"/>
      <c r="R678" s="188"/>
      <c r="S678" s="188"/>
      <c r="T678" s="7"/>
      <c r="U678" s="176"/>
    </row>
    <row r="679" spans="1:21">
      <c r="A679" s="3"/>
      <c r="B679" s="3"/>
      <c r="C679" s="3"/>
      <c r="D679" s="3"/>
      <c r="E679" s="4"/>
      <c r="F679" s="3"/>
      <c r="G679" s="3"/>
      <c r="H679" s="10"/>
      <c r="I679" s="187"/>
      <c r="J679" s="188"/>
      <c r="K679" s="188"/>
      <c r="L679" s="188"/>
      <c r="M679" s="188"/>
      <c r="N679" s="188"/>
      <c r="O679" s="188"/>
      <c r="P679" s="188"/>
      <c r="Q679" s="188"/>
      <c r="R679" s="188"/>
      <c r="S679" s="188"/>
      <c r="T679" s="7"/>
      <c r="U679" s="176"/>
    </row>
    <row r="680" spans="1:21">
      <c r="A680" s="3"/>
      <c r="B680" s="3"/>
      <c r="C680" s="3"/>
      <c r="D680" s="3"/>
      <c r="E680" s="4"/>
      <c r="F680" s="3"/>
      <c r="G680" s="3"/>
      <c r="H680" s="10"/>
      <c r="I680" s="187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7"/>
      <c r="U680" s="176"/>
    </row>
    <row r="681" spans="1:21">
      <c r="A681" s="3"/>
      <c r="B681" s="3"/>
      <c r="C681" s="3"/>
      <c r="D681" s="3"/>
      <c r="E681" s="4"/>
      <c r="F681" s="3"/>
      <c r="G681" s="3"/>
      <c r="H681" s="10"/>
      <c r="I681" s="187"/>
      <c r="J681" s="188"/>
      <c r="K681" s="188"/>
      <c r="L681" s="188"/>
      <c r="M681" s="188"/>
      <c r="N681" s="188"/>
      <c r="O681" s="188"/>
      <c r="P681" s="188"/>
      <c r="Q681" s="188"/>
      <c r="R681" s="188"/>
      <c r="S681" s="188"/>
      <c r="T681" s="7"/>
      <c r="U681" s="176"/>
    </row>
    <row r="682" spans="1:21">
      <c r="A682" s="3"/>
      <c r="B682" s="3"/>
      <c r="C682" s="3"/>
      <c r="D682" s="3"/>
      <c r="E682" s="4"/>
      <c r="F682" s="3"/>
      <c r="G682" s="3"/>
      <c r="H682" s="10"/>
      <c r="I682" s="187"/>
      <c r="J682" s="188"/>
      <c r="K682" s="188"/>
      <c r="L682" s="188"/>
      <c r="M682" s="188"/>
      <c r="N682" s="188"/>
      <c r="O682" s="188"/>
      <c r="P682" s="188"/>
      <c r="Q682" s="188"/>
      <c r="R682" s="188"/>
      <c r="S682" s="188"/>
      <c r="T682" s="7"/>
      <c r="U682" s="176"/>
    </row>
    <row r="683" spans="1:21">
      <c r="A683" s="3"/>
      <c r="B683" s="3"/>
      <c r="C683" s="3"/>
      <c r="D683" s="3"/>
      <c r="E683" s="4"/>
      <c r="F683" s="3"/>
      <c r="G683" s="3"/>
      <c r="H683" s="10"/>
      <c r="I683" s="187"/>
      <c r="J683" s="188"/>
      <c r="K683" s="188"/>
      <c r="L683" s="188"/>
      <c r="M683" s="188"/>
      <c r="N683" s="188"/>
      <c r="O683" s="188"/>
      <c r="P683" s="188"/>
      <c r="Q683" s="188"/>
      <c r="R683" s="188"/>
      <c r="S683" s="188"/>
      <c r="T683" s="7"/>
      <c r="U683" s="176"/>
    </row>
    <row r="684" spans="1:21">
      <c r="A684" s="3"/>
      <c r="B684" s="3"/>
      <c r="C684" s="3"/>
      <c r="D684" s="3"/>
      <c r="E684" s="4"/>
      <c r="F684" s="3"/>
      <c r="G684" s="3"/>
      <c r="H684" s="10"/>
      <c r="I684" s="187"/>
      <c r="J684" s="188"/>
      <c r="K684" s="188"/>
      <c r="L684" s="188"/>
      <c r="M684" s="188"/>
      <c r="N684" s="188"/>
      <c r="O684" s="188"/>
      <c r="P684" s="188"/>
      <c r="Q684" s="188"/>
      <c r="R684" s="188"/>
      <c r="S684" s="188"/>
      <c r="T684" s="7"/>
      <c r="U684" s="176"/>
    </row>
    <row r="685" spans="1:21">
      <c r="A685" s="3"/>
      <c r="B685" s="3"/>
      <c r="C685" s="3"/>
      <c r="D685" s="3"/>
      <c r="E685" s="4"/>
      <c r="F685" s="3"/>
      <c r="G685" s="3"/>
      <c r="H685" s="10"/>
      <c r="I685" s="187"/>
      <c r="J685" s="188"/>
      <c r="K685" s="188"/>
      <c r="L685" s="188"/>
      <c r="M685" s="188"/>
      <c r="N685" s="188"/>
      <c r="O685" s="188"/>
      <c r="P685" s="188"/>
      <c r="Q685" s="188"/>
      <c r="R685" s="188"/>
      <c r="S685" s="188"/>
      <c r="T685" s="7"/>
      <c r="U685" s="176"/>
    </row>
    <row r="686" spans="1:21">
      <c r="A686" s="3"/>
      <c r="B686" s="3"/>
      <c r="C686" s="3"/>
      <c r="D686" s="3"/>
      <c r="E686" s="4"/>
      <c r="F686" s="3"/>
      <c r="G686" s="3"/>
      <c r="H686" s="10"/>
      <c r="I686" s="187"/>
      <c r="J686" s="188"/>
      <c r="K686" s="188"/>
      <c r="L686" s="188"/>
      <c r="M686" s="188"/>
      <c r="N686" s="188"/>
      <c r="O686" s="188"/>
      <c r="P686" s="188"/>
      <c r="Q686" s="188"/>
      <c r="R686" s="188"/>
      <c r="S686" s="188"/>
      <c r="T686" s="7"/>
      <c r="U686" s="176"/>
    </row>
    <row r="687" spans="1:21">
      <c r="A687" s="3"/>
      <c r="B687" s="3"/>
      <c r="C687" s="3"/>
      <c r="D687" s="3"/>
      <c r="E687" s="4"/>
      <c r="F687" s="3"/>
      <c r="G687" s="3"/>
      <c r="H687" s="10"/>
      <c r="I687" s="187"/>
      <c r="J687" s="188"/>
      <c r="K687" s="188"/>
      <c r="L687" s="188"/>
      <c r="M687" s="188"/>
      <c r="N687" s="188"/>
      <c r="O687" s="188"/>
      <c r="P687" s="188"/>
      <c r="Q687" s="188"/>
      <c r="R687" s="188"/>
      <c r="S687" s="188"/>
      <c r="T687" s="7"/>
      <c r="U687" s="176"/>
    </row>
    <row r="688" spans="1:21">
      <c r="A688" s="3"/>
      <c r="B688" s="3"/>
      <c r="C688" s="3"/>
      <c r="D688" s="3"/>
      <c r="E688" s="4"/>
      <c r="F688" s="3"/>
      <c r="G688" s="3"/>
      <c r="H688" s="10"/>
      <c r="I688" s="187"/>
      <c r="J688" s="188"/>
      <c r="K688" s="188"/>
      <c r="L688" s="188"/>
      <c r="M688" s="188"/>
      <c r="N688" s="188"/>
      <c r="O688" s="188"/>
      <c r="P688" s="188"/>
      <c r="Q688" s="188"/>
      <c r="R688" s="188"/>
      <c r="S688" s="188"/>
      <c r="T688" s="7"/>
      <c r="U688" s="176"/>
    </row>
    <row r="689" spans="1:21">
      <c r="A689" s="3"/>
      <c r="B689" s="3"/>
      <c r="C689" s="3"/>
      <c r="D689" s="3"/>
      <c r="E689" s="4"/>
      <c r="F689" s="3"/>
      <c r="G689" s="3"/>
      <c r="H689" s="10"/>
      <c r="I689" s="187"/>
      <c r="J689" s="188"/>
      <c r="K689" s="188"/>
      <c r="L689" s="188"/>
      <c r="M689" s="188"/>
      <c r="N689" s="188"/>
      <c r="O689" s="188"/>
      <c r="P689" s="188"/>
      <c r="Q689" s="188"/>
      <c r="R689" s="188"/>
      <c r="S689" s="188"/>
      <c r="T689" s="7"/>
      <c r="U689" s="176"/>
    </row>
    <row r="690" spans="1:21">
      <c r="A690" s="3"/>
      <c r="B690" s="3"/>
      <c r="C690" s="3"/>
      <c r="D690" s="3"/>
      <c r="E690" s="4"/>
      <c r="F690" s="3"/>
      <c r="G690" s="3"/>
      <c r="H690" s="10"/>
      <c r="I690" s="187"/>
      <c r="J690" s="188"/>
      <c r="K690" s="188"/>
      <c r="L690" s="188"/>
      <c r="M690" s="188"/>
      <c r="N690" s="188"/>
      <c r="O690" s="188"/>
      <c r="P690" s="188"/>
      <c r="Q690" s="188"/>
      <c r="R690" s="188"/>
      <c r="S690" s="188"/>
      <c r="T690" s="7"/>
      <c r="U690" s="176"/>
    </row>
    <row r="691" spans="1:21">
      <c r="A691" s="3"/>
      <c r="B691" s="3"/>
      <c r="C691" s="3"/>
      <c r="D691" s="3"/>
      <c r="E691" s="4"/>
      <c r="F691" s="3"/>
      <c r="G691" s="3"/>
      <c r="H691" s="10"/>
      <c r="I691" s="187"/>
      <c r="J691" s="188"/>
      <c r="K691" s="188"/>
      <c r="L691" s="188"/>
      <c r="M691" s="188"/>
      <c r="N691" s="188"/>
      <c r="O691" s="188"/>
      <c r="P691" s="188"/>
      <c r="Q691" s="188"/>
      <c r="R691" s="188"/>
      <c r="S691" s="188"/>
      <c r="T691" s="7"/>
      <c r="U691" s="176"/>
    </row>
    <row r="692" spans="1:21">
      <c r="A692" s="3"/>
      <c r="B692" s="3"/>
      <c r="C692" s="3"/>
      <c r="D692" s="3"/>
      <c r="E692" s="4"/>
      <c r="F692" s="3"/>
      <c r="G692" s="3"/>
      <c r="H692" s="10"/>
      <c r="I692" s="187"/>
      <c r="J692" s="188"/>
      <c r="K692" s="188"/>
      <c r="L692" s="188"/>
      <c r="M692" s="188"/>
      <c r="N692" s="188"/>
      <c r="O692" s="188"/>
      <c r="P692" s="188"/>
      <c r="Q692" s="188"/>
      <c r="R692" s="188"/>
      <c r="S692" s="188"/>
      <c r="T692" s="7"/>
      <c r="U692" s="176"/>
    </row>
    <row r="693" spans="1:21">
      <c r="A693" s="3"/>
      <c r="B693" s="3"/>
      <c r="C693" s="3"/>
      <c r="D693" s="3"/>
      <c r="E693" s="4"/>
      <c r="F693" s="3"/>
      <c r="G693" s="3"/>
      <c r="H693" s="10"/>
      <c r="I693" s="187"/>
      <c r="J693" s="188"/>
      <c r="K693" s="188"/>
      <c r="L693" s="188"/>
      <c r="M693" s="188"/>
      <c r="N693" s="188"/>
      <c r="O693" s="188"/>
      <c r="P693" s="188"/>
      <c r="Q693" s="188"/>
      <c r="R693" s="188"/>
      <c r="S693" s="188"/>
      <c r="T693" s="7"/>
      <c r="U693" s="176"/>
    </row>
    <row r="694" spans="1:21">
      <c r="A694" s="3"/>
      <c r="B694" s="3"/>
      <c r="C694" s="3"/>
      <c r="D694" s="3"/>
      <c r="E694" s="4"/>
      <c r="F694" s="3"/>
      <c r="G694" s="3"/>
      <c r="H694" s="10"/>
      <c r="I694" s="187"/>
      <c r="J694" s="188"/>
      <c r="K694" s="188"/>
      <c r="L694" s="188"/>
      <c r="M694" s="188"/>
      <c r="N694" s="188"/>
      <c r="O694" s="188"/>
      <c r="P694" s="188"/>
      <c r="Q694" s="188"/>
      <c r="R694" s="188"/>
      <c r="S694" s="188"/>
      <c r="T694" s="7"/>
      <c r="U694" s="176"/>
    </row>
    <row r="695" spans="1:21">
      <c r="A695" s="3"/>
      <c r="B695" s="3"/>
      <c r="C695" s="3"/>
      <c r="D695" s="3"/>
      <c r="E695" s="4"/>
      <c r="F695" s="3"/>
      <c r="G695" s="3"/>
      <c r="H695" s="10"/>
      <c r="I695" s="187"/>
      <c r="J695" s="188"/>
      <c r="K695" s="188"/>
      <c r="L695" s="188"/>
      <c r="M695" s="188"/>
      <c r="N695" s="188"/>
      <c r="O695" s="188"/>
      <c r="P695" s="188"/>
      <c r="Q695" s="188"/>
      <c r="R695" s="188"/>
      <c r="S695" s="188"/>
      <c r="T695" s="7"/>
      <c r="U695" s="176"/>
    </row>
    <row r="696" spans="1:21">
      <c r="A696" s="3"/>
      <c r="B696" s="3"/>
      <c r="C696" s="3"/>
      <c r="D696" s="3"/>
      <c r="E696" s="4"/>
      <c r="F696" s="3"/>
      <c r="G696" s="3"/>
      <c r="H696" s="10"/>
      <c r="I696" s="187"/>
      <c r="J696" s="188"/>
      <c r="K696" s="188"/>
      <c r="L696" s="188"/>
      <c r="M696" s="188"/>
      <c r="N696" s="188"/>
      <c r="O696" s="188"/>
      <c r="P696" s="188"/>
      <c r="Q696" s="188"/>
      <c r="R696" s="188"/>
      <c r="S696" s="188"/>
      <c r="T696" s="7"/>
      <c r="U696" s="176"/>
    </row>
    <row r="697" spans="1:21">
      <c r="A697" s="3"/>
      <c r="B697" s="3"/>
      <c r="C697" s="3"/>
      <c r="D697" s="3"/>
      <c r="E697" s="4"/>
      <c r="F697" s="3"/>
      <c r="G697" s="3"/>
      <c r="H697" s="10"/>
      <c r="I697" s="187"/>
      <c r="J697" s="188"/>
      <c r="K697" s="188"/>
      <c r="L697" s="188"/>
      <c r="M697" s="188"/>
      <c r="N697" s="188"/>
      <c r="O697" s="188"/>
      <c r="P697" s="188"/>
      <c r="Q697" s="188"/>
      <c r="R697" s="188"/>
      <c r="S697" s="188"/>
      <c r="T697" s="7"/>
      <c r="U697" s="176"/>
    </row>
    <row r="698" spans="1:21">
      <c r="A698" s="3"/>
      <c r="B698" s="3"/>
      <c r="C698" s="3"/>
      <c r="D698" s="3"/>
      <c r="E698" s="4"/>
      <c r="F698" s="3"/>
      <c r="G698" s="3"/>
      <c r="H698" s="10"/>
      <c r="I698" s="187"/>
      <c r="J698" s="188"/>
      <c r="K698" s="188"/>
      <c r="L698" s="188"/>
      <c r="M698" s="188"/>
      <c r="N698" s="188"/>
      <c r="O698" s="188"/>
      <c r="P698" s="188"/>
      <c r="Q698" s="188"/>
      <c r="R698" s="188"/>
      <c r="S698" s="188"/>
      <c r="T698" s="7"/>
      <c r="U698" s="176"/>
    </row>
    <row r="699" spans="1:21">
      <c r="A699" s="3"/>
      <c r="B699" s="3"/>
      <c r="C699" s="3"/>
      <c r="D699" s="3"/>
      <c r="E699" s="4"/>
      <c r="F699" s="3"/>
      <c r="G699" s="3"/>
      <c r="H699" s="10"/>
      <c r="I699" s="187"/>
      <c r="J699" s="188"/>
      <c r="K699" s="188"/>
      <c r="L699" s="188"/>
      <c r="M699" s="188"/>
      <c r="N699" s="188"/>
      <c r="O699" s="188"/>
      <c r="P699" s="188"/>
      <c r="Q699" s="188"/>
      <c r="R699" s="188"/>
      <c r="S699" s="188"/>
      <c r="T699" s="7"/>
      <c r="U699" s="176"/>
    </row>
    <row r="700" spans="1:21">
      <c r="A700" s="3"/>
      <c r="B700" s="3"/>
      <c r="C700" s="3"/>
      <c r="D700" s="3"/>
      <c r="E700" s="4"/>
      <c r="F700" s="3"/>
      <c r="G700" s="3"/>
      <c r="H700" s="10"/>
      <c r="I700" s="187"/>
      <c r="J700" s="188"/>
      <c r="K700" s="188"/>
      <c r="L700" s="188"/>
      <c r="M700" s="188"/>
      <c r="N700" s="188"/>
      <c r="O700" s="188"/>
      <c r="P700" s="188"/>
      <c r="Q700" s="188"/>
      <c r="R700" s="188"/>
      <c r="S700" s="188"/>
      <c r="T700" s="7"/>
      <c r="U700" s="176"/>
    </row>
    <row r="701" spans="1:21">
      <c r="A701" s="3"/>
      <c r="B701" s="3"/>
      <c r="C701" s="3"/>
      <c r="D701" s="3"/>
      <c r="E701" s="4"/>
      <c r="F701" s="3"/>
      <c r="G701" s="3"/>
      <c r="H701" s="10"/>
      <c r="I701" s="187"/>
      <c r="J701" s="188"/>
      <c r="K701" s="188"/>
      <c r="L701" s="188"/>
      <c r="M701" s="188"/>
      <c r="N701" s="188"/>
      <c r="O701" s="188"/>
      <c r="P701" s="188"/>
      <c r="Q701" s="188"/>
      <c r="R701" s="188"/>
      <c r="S701" s="188"/>
      <c r="T701" s="7"/>
      <c r="U701" s="176"/>
    </row>
    <row r="702" spans="1:21">
      <c r="A702" s="3"/>
      <c r="B702" s="3"/>
      <c r="C702" s="3"/>
      <c r="D702" s="3"/>
      <c r="E702" s="4"/>
      <c r="F702" s="3"/>
      <c r="G702" s="3"/>
      <c r="H702" s="10"/>
      <c r="I702" s="187"/>
      <c r="J702" s="188"/>
      <c r="K702" s="188"/>
      <c r="L702" s="188"/>
      <c r="M702" s="188"/>
      <c r="N702" s="188"/>
      <c r="O702" s="188"/>
      <c r="P702" s="188"/>
      <c r="Q702" s="188"/>
      <c r="R702" s="188"/>
      <c r="S702" s="188"/>
      <c r="T702" s="7"/>
      <c r="U702" s="176"/>
    </row>
    <row r="703" spans="1:21">
      <c r="A703" s="3"/>
      <c r="B703" s="3"/>
      <c r="C703" s="3"/>
      <c r="D703" s="3"/>
      <c r="E703" s="4"/>
      <c r="F703" s="3"/>
      <c r="G703" s="3"/>
      <c r="H703" s="10"/>
      <c r="I703" s="187"/>
      <c r="J703" s="188"/>
      <c r="K703" s="188"/>
      <c r="L703" s="188"/>
      <c r="M703" s="188"/>
      <c r="N703" s="188"/>
      <c r="O703" s="188"/>
      <c r="P703" s="188"/>
      <c r="Q703" s="188"/>
      <c r="R703" s="188"/>
      <c r="S703" s="188"/>
      <c r="T703" s="7"/>
      <c r="U703" s="176"/>
    </row>
    <row r="704" spans="1:21">
      <c r="A704" s="3"/>
      <c r="B704" s="3"/>
      <c r="C704" s="3"/>
      <c r="D704" s="3"/>
      <c r="E704" s="4"/>
      <c r="F704" s="3"/>
      <c r="G704" s="3"/>
      <c r="H704" s="10"/>
      <c r="I704" s="187"/>
      <c r="J704" s="188"/>
      <c r="K704" s="188"/>
      <c r="L704" s="188"/>
      <c r="M704" s="188"/>
      <c r="N704" s="188"/>
      <c r="O704" s="188"/>
      <c r="P704" s="188"/>
      <c r="Q704" s="188"/>
      <c r="R704" s="188"/>
      <c r="S704" s="188"/>
      <c r="T704" s="7"/>
      <c r="U704" s="176"/>
    </row>
    <row r="705" spans="1:21">
      <c r="A705" s="3"/>
      <c r="B705" s="3"/>
      <c r="C705" s="3"/>
      <c r="D705" s="3"/>
      <c r="E705" s="4"/>
      <c r="F705" s="3"/>
      <c r="G705" s="3"/>
      <c r="H705" s="10"/>
      <c r="I705" s="187"/>
      <c r="J705" s="188"/>
      <c r="K705" s="188"/>
      <c r="L705" s="188"/>
      <c r="M705" s="188"/>
      <c r="N705" s="188"/>
      <c r="O705" s="188"/>
      <c r="P705" s="188"/>
      <c r="Q705" s="188"/>
      <c r="R705" s="188"/>
      <c r="S705" s="188"/>
      <c r="T705" s="7"/>
      <c r="U705" s="176"/>
    </row>
    <row r="706" spans="1:21">
      <c r="A706" s="3"/>
      <c r="B706" s="3"/>
      <c r="C706" s="3"/>
      <c r="D706" s="3"/>
      <c r="E706" s="4"/>
      <c r="F706" s="3"/>
      <c r="G706" s="3"/>
      <c r="H706" s="10"/>
      <c r="I706" s="187"/>
      <c r="J706" s="188"/>
      <c r="K706" s="188"/>
      <c r="L706" s="188"/>
      <c r="M706" s="188"/>
      <c r="N706" s="188"/>
      <c r="O706" s="188"/>
      <c r="P706" s="188"/>
      <c r="Q706" s="188"/>
      <c r="R706" s="188"/>
      <c r="S706" s="188"/>
      <c r="T706" s="7"/>
      <c r="U706" s="176"/>
    </row>
    <row r="707" spans="1:21">
      <c r="A707" s="3"/>
      <c r="B707" s="3"/>
      <c r="C707" s="3"/>
      <c r="D707" s="3"/>
      <c r="E707" s="4"/>
      <c r="F707" s="3"/>
      <c r="G707" s="3"/>
      <c r="H707" s="10"/>
      <c r="I707" s="187"/>
      <c r="J707" s="188"/>
      <c r="K707" s="188"/>
      <c r="L707" s="188"/>
      <c r="M707" s="188"/>
      <c r="N707" s="188"/>
      <c r="O707" s="188"/>
      <c r="P707" s="188"/>
      <c r="Q707" s="188"/>
      <c r="R707" s="188"/>
      <c r="S707" s="188"/>
      <c r="T707" s="7"/>
      <c r="U707" s="176"/>
    </row>
    <row r="708" spans="1:21">
      <c r="A708" s="3"/>
      <c r="B708" s="3"/>
      <c r="C708" s="3"/>
      <c r="D708" s="3"/>
      <c r="E708" s="4"/>
      <c r="F708" s="3"/>
      <c r="G708" s="3"/>
      <c r="H708" s="10"/>
      <c r="I708" s="187"/>
      <c r="J708" s="188"/>
      <c r="K708" s="188"/>
      <c r="L708" s="188"/>
      <c r="M708" s="188"/>
      <c r="N708" s="188"/>
      <c r="O708" s="188"/>
      <c r="P708" s="188"/>
      <c r="Q708" s="188"/>
      <c r="R708" s="188"/>
      <c r="S708" s="188"/>
      <c r="T708" s="7"/>
      <c r="U708" s="176"/>
    </row>
    <row r="709" spans="1:21">
      <c r="A709" s="3"/>
      <c r="B709" s="3"/>
      <c r="C709" s="3"/>
      <c r="D709" s="3"/>
      <c r="E709" s="4"/>
      <c r="F709" s="3"/>
      <c r="G709" s="3"/>
      <c r="H709" s="10"/>
      <c r="I709" s="187"/>
      <c r="J709" s="188"/>
      <c r="K709" s="188"/>
      <c r="L709" s="188"/>
      <c r="M709" s="188"/>
      <c r="N709" s="188"/>
      <c r="O709" s="188"/>
      <c r="P709" s="188"/>
      <c r="Q709" s="188"/>
      <c r="R709" s="188"/>
      <c r="S709" s="188"/>
      <c r="T709" s="7"/>
      <c r="U709" s="176"/>
    </row>
    <row r="710" spans="1:21">
      <c r="A710" s="3"/>
      <c r="B710" s="3"/>
      <c r="C710" s="3"/>
      <c r="D710" s="3"/>
      <c r="E710" s="4"/>
      <c r="F710" s="3"/>
      <c r="G710" s="3"/>
      <c r="H710" s="10"/>
      <c r="I710" s="187"/>
      <c r="J710" s="188"/>
      <c r="K710" s="188"/>
      <c r="L710" s="188"/>
      <c r="M710" s="188"/>
      <c r="N710" s="188"/>
      <c r="O710" s="188"/>
      <c r="P710" s="188"/>
      <c r="Q710" s="188"/>
      <c r="R710" s="188"/>
      <c r="S710" s="188"/>
      <c r="T710" s="7"/>
      <c r="U710" s="176"/>
    </row>
    <row r="711" spans="1:21">
      <c r="A711" s="3"/>
      <c r="B711" s="3"/>
      <c r="C711" s="3"/>
      <c r="D711" s="3"/>
      <c r="E711" s="4"/>
      <c r="F711" s="3"/>
      <c r="G711" s="3"/>
      <c r="H711" s="10"/>
      <c r="I711" s="187"/>
      <c r="J711" s="188"/>
      <c r="K711" s="188"/>
      <c r="L711" s="188"/>
      <c r="M711" s="188"/>
      <c r="N711" s="188"/>
      <c r="O711" s="188"/>
      <c r="P711" s="188"/>
      <c r="Q711" s="188"/>
      <c r="R711" s="188"/>
      <c r="S711" s="188"/>
      <c r="T711" s="7"/>
      <c r="U711" s="176"/>
    </row>
    <row r="712" spans="1:21">
      <c r="A712" s="3"/>
      <c r="B712" s="3"/>
      <c r="C712" s="3"/>
      <c r="D712" s="3"/>
      <c r="E712" s="4"/>
      <c r="F712" s="3"/>
      <c r="G712" s="3"/>
      <c r="H712" s="10"/>
      <c r="I712" s="187"/>
      <c r="J712" s="188"/>
      <c r="K712" s="188"/>
      <c r="L712" s="188"/>
      <c r="M712" s="188"/>
      <c r="N712" s="188"/>
      <c r="O712" s="188"/>
      <c r="P712" s="188"/>
      <c r="Q712" s="188"/>
      <c r="R712" s="188"/>
      <c r="S712" s="188"/>
      <c r="T712" s="7"/>
      <c r="U712" s="176"/>
    </row>
    <row r="713" spans="1:21">
      <c r="A713" s="3"/>
      <c r="B713" s="3"/>
      <c r="C713" s="3"/>
      <c r="D713" s="3"/>
      <c r="E713" s="4"/>
      <c r="F713" s="3"/>
      <c r="G713" s="3"/>
      <c r="H713" s="10"/>
      <c r="I713" s="187"/>
      <c r="J713" s="188"/>
      <c r="K713" s="188"/>
      <c r="L713" s="188"/>
      <c r="M713" s="188"/>
      <c r="N713" s="188"/>
      <c r="O713" s="188"/>
      <c r="P713" s="188"/>
      <c r="Q713" s="188"/>
      <c r="R713" s="188"/>
      <c r="S713" s="188"/>
      <c r="T713" s="7"/>
      <c r="U713" s="176"/>
    </row>
    <row r="714" spans="1:21">
      <c r="A714" s="3"/>
      <c r="B714" s="3"/>
      <c r="C714" s="3"/>
      <c r="D714" s="3"/>
      <c r="E714" s="4"/>
      <c r="F714" s="3"/>
      <c r="G714" s="3"/>
      <c r="H714" s="10"/>
      <c r="I714" s="187"/>
      <c r="J714" s="188"/>
      <c r="K714" s="188"/>
      <c r="L714" s="188"/>
      <c r="M714" s="188"/>
      <c r="N714" s="188"/>
      <c r="O714" s="188"/>
      <c r="P714" s="188"/>
      <c r="Q714" s="188"/>
      <c r="R714" s="188"/>
      <c r="S714" s="188"/>
      <c r="T714" s="7"/>
      <c r="U714" s="176"/>
    </row>
    <row r="715" spans="1:21">
      <c r="A715" s="3"/>
      <c r="B715" s="3"/>
      <c r="C715" s="3"/>
      <c r="D715" s="3"/>
      <c r="E715" s="4"/>
      <c r="F715" s="3"/>
      <c r="G715" s="3"/>
      <c r="H715" s="10"/>
      <c r="I715" s="187"/>
      <c r="J715" s="188"/>
      <c r="K715" s="188"/>
      <c r="L715" s="188"/>
      <c r="M715" s="188"/>
      <c r="N715" s="188"/>
      <c r="O715" s="188"/>
      <c r="P715" s="188"/>
      <c r="Q715" s="188"/>
      <c r="R715" s="188"/>
      <c r="S715" s="188"/>
      <c r="T715" s="7"/>
      <c r="U715" s="176"/>
    </row>
    <row r="716" spans="1:21">
      <c r="A716" s="3"/>
      <c r="B716" s="3"/>
      <c r="C716" s="3"/>
      <c r="D716" s="3"/>
      <c r="E716" s="4"/>
      <c r="F716" s="3"/>
      <c r="G716" s="3"/>
      <c r="H716" s="10"/>
      <c r="I716" s="187"/>
      <c r="J716" s="188"/>
      <c r="K716" s="188"/>
      <c r="L716" s="188"/>
      <c r="M716" s="188"/>
      <c r="N716" s="188"/>
      <c r="O716" s="188"/>
      <c r="P716" s="188"/>
      <c r="Q716" s="188"/>
      <c r="R716" s="188"/>
      <c r="S716" s="188"/>
      <c r="T716" s="7"/>
      <c r="U716" s="176"/>
    </row>
    <row r="717" spans="1:21">
      <c r="A717" s="3"/>
      <c r="B717" s="3"/>
      <c r="C717" s="3"/>
      <c r="D717" s="3"/>
      <c r="E717" s="4"/>
      <c r="F717" s="3"/>
      <c r="G717" s="3"/>
      <c r="H717" s="10"/>
      <c r="I717" s="187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7"/>
      <c r="U717" s="176"/>
    </row>
    <row r="718" spans="1:21">
      <c r="A718" s="3"/>
      <c r="B718" s="3"/>
      <c r="C718" s="3"/>
      <c r="D718" s="3"/>
      <c r="E718" s="4"/>
      <c r="F718" s="3"/>
      <c r="G718" s="3"/>
      <c r="H718" s="10"/>
      <c r="I718" s="187"/>
      <c r="J718" s="188"/>
      <c r="K718" s="188"/>
      <c r="L718" s="188"/>
      <c r="M718" s="188"/>
      <c r="N718" s="188"/>
      <c r="O718" s="188"/>
      <c r="P718" s="188"/>
      <c r="Q718" s="188"/>
      <c r="R718" s="188"/>
      <c r="S718" s="188"/>
      <c r="T718" s="7"/>
      <c r="U718" s="176"/>
    </row>
    <row r="719" spans="1:21">
      <c r="A719" s="3"/>
      <c r="B719" s="3"/>
      <c r="C719" s="3"/>
      <c r="D719" s="3"/>
      <c r="E719" s="4"/>
      <c r="F719" s="3"/>
      <c r="G719" s="3"/>
      <c r="H719" s="10"/>
      <c r="I719" s="187"/>
      <c r="J719" s="188"/>
      <c r="K719" s="188"/>
      <c r="L719" s="188"/>
      <c r="M719" s="188"/>
      <c r="N719" s="188"/>
      <c r="O719" s="188"/>
      <c r="P719" s="188"/>
      <c r="Q719" s="188"/>
      <c r="R719" s="188"/>
      <c r="S719" s="188"/>
      <c r="T719" s="7"/>
      <c r="U719" s="176"/>
    </row>
    <row r="720" spans="1:21">
      <c r="A720" s="3"/>
      <c r="B720" s="3"/>
      <c r="C720" s="3"/>
      <c r="D720" s="3"/>
      <c r="E720" s="4"/>
      <c r="F720" s="3"/>
      <c r="G720" s="3"/>
      <c r="H720" s="10"/>
      <c r="I720" s="187"/>
      <c r="J720" s="188"/>
      <c r="K720" s="188"/>
      <c r="L720" s="188"/>
      <c r="M720" s="188"/>
      <c r="N720" s="188"/>
      <c r="O720" s="188"/>
      <c r="P720" s="188"/>
      <c r="Q720" s="188"/>
      <c r="R720" s="188"/>
      <c r="S720" s="188"/>
      <c r="T720" s="7"/>
      <c r="U720" s="176"/>
    </row>
    <row r="721" spans="1:21">
      <c r="A721" s="3"/>
      <c r="B721" s="3"/>
      <c r="C721" s="3"/>
      <c r="D721" s="3"/>
      <c r="E721" s="4"/>
      <c r="F721" s="3"/>
      <c r="G721" s="3"/>
      <c r="H721" s="10"/>
      <c r="I721" s="187"/>
      <c r="J721" s="188"/>
      <c r="K721" s="188"/>
      <c r="L721" s="188"/>
      <c r="M721" s="188"/>
      <c r="N721" s="188"/>
      <c r="O721" s="188"/>
      <c r="P721" s="188"/>
      <c r="Q721" s="188"/>
      <c r="R721" s="188"/>
      <c r="S721" s="188"/>
      <c r="T721" s="7"/>
      <c r="U721" s="176"/>
    </row>
    <row r="722" spans="1:21">
      <c r="A722" s="3"/>
      <c r="B722" s="3"/>
      <c r="C722" s="3"/>
      <c r="D722" s="3"/>
      <c r="E722" s="4"/>
      <c r="F722" s="3"/>
      <c r="G722" s="3"/>
      <c r="H722" s="10"/>
      <c r="I722" s="187"/>
      <c r="J722" s="188"/>
      <c r="K722" s="188"/>
      <c r="L722" s="188"/>
      <c r="M722" s="188"/>
      <c r="N722" s="188"/>
      <c r="O722" s="188"/>
      <c r="P722" s="188"/>
      <c r="Q722" s="188"/>
      <c r="R722" s="188"/>
      <c r="S722" s="188"/>
      <c r="T722" s="7"/>
      <c r="U722" s="176"/>
    </row>
    <row r="723" spans="1:21">
      <c r="A723" s="3"/>
      <c r="B723" s="3"/>
      <c r="C723" s="3"/>
      <c r="D723" s="3"/>
      <c r="E723" s="4"/>
      <c r="F723" s="3"/>
      <c r="G723" s="3"/>
      <c r="H723" s="10"/>
      <c r="I723" s="187"/>
      <c r="J723" s="188"/>
      <c r="K723" s="188"/>
      <c r="L723" s="188"/>
      <c r="M723" s="188"/>
      <c r="N723" s="188"/>
      <c r="O723" s="188"/>
      <c r="P723" s="188"/>
      <c r="Q723" s="188"/>
      <c r="R723" s="188"/>
      <c r="S723" s="188"/>
      <c r="T723" s="7"/>
      <c r="U723" s="176"/>
    </row>
    <row r="724" spans="1:21">
      <c r="A724" s="3"/>
      <c r="B724" s="3"/>
      <c r="C724" s="3"/>
      <c r="D724" s="3"/>
      <c r="E724" s="4"/>
      <c r="F724" s="3"/>
      <c r="G724" s="3"/>
      <c r="H724" s="10"/>
      <c r="I724" s="187"/>
      <c r="J724" s="188"/>
      <c r="K724" s="188"/>
      <c r="L724" s="188"/>
      <c r="M724" s="188"/>
      <c r="N724" s="188"/>
      <c r="O724" s="188"/>
      <c r="P724" s="188"/>
      <c r="Q724" s="188"/>
      <c r="R724" s="188"/>
      <c r="S724" s="188"/>
      <c r="T724" s="7"/>
      <c r="U724" s="176"/>
    </row>
    <row r="725" spans="1:21">
      <c r="A725" s="3"/>
      <c r="B725" s="3"/>
      <c r="C725" s="3"/>
      <c r="D725" s="3"/>
      <c r="E725" s="4"/>
      <c r="F725" s="3"/>
      <c r="G725" s="3"/>
      <c r="H725" s="10"/>
      <c r="I725" s="187"/>
      <c r="J725" s="188"/>
      <c r="K725" s="188"/>
      <c r="L725" s="188"/>
      <c r="M725" s="188"/>
      <c r="N725" s="188"/>
      <c r="O725" s="188"/>
      <c r="P725" s="188"/>
      <c r="Q725" s="188"/>
      <c r="R725" s="188"/>
      <c r="S725" s="188"/>
      <c r="T725" s="7"/>
      <c r="U725" s="176"/>
    </row>
    <row r="726" spans="1:21">
      <c r="A726" s="3"/>
      <c r="B726" s="3"/>
      <c r="C726" s="3"/>
      <c r="D726" s="3"/>
      <c r="E726" s="4"/>
      <c r="F726" s="3"/>
      <c r="G726" s="3"/>
      <c r="H726" s="10"/>
      <c r="I726" s="187"/>
      <c r="J726" s="188"/>
      <c r="K726" s="188"/>
      <c r="L726" s="188"/>
      <c r="M726" s="188"/>
      <c r="N726" s="188"/>
      <c r="O726" s="188"/>
      <c r="P726" s="188"/>
      <c r="Q726" s="188"/>
      <c r="R726" s="188"/>
      <c r="S726" s="188"/>
      <c r="T726" s="7"/>
      <c r="U726" s="176"/>
    </row>
    <row r="727" spans="1:21">
      <c r="A727" s="3"/>
      <c r="B727" s="3"/>
      <c r="C727" s="3"/>
      <c r="D727" s="3"/>
      <c r="E727" s="4"/>
      <c r="F727" s="3"/>
      <c r="G727" s="3"/>
      <c r="H727" s="10"/>
      <c r="I727" s="187"/>
      <c r="J727" s="188"/>
      <c r="K727" s="188"/>
      <c r="L727" s="188"/>
      <c r="M727" s="188"/>
      <c r="N727" s="188"/>
      <c r="O727" s="188"/>
      <c r="P727" s="188"/>
      <c r="Q727" s="188"/>
      <c r="R727" s="188"/>
      <c r="S727" s="188"/>
      <c r="T727" s="7"/>
      <c r="U727" s="176"/>
    </row>
    <row r="728" spans="1:21">
      <c r="A728" s="3"/>
      <c r="B728" s="3"/>
      <c r="C728" s="3"/>
      <c r="D728" s="3"/>
      <c r="E728" s="4"/>
      <c r="F728" s="3"/>
      <c r="G728" s="3"/>
      <c r="H728" s="10"/>
      <c r="I728" s="187"/>
      <c r="J728" s="188"/>
      <c r="K728" s="188"/>
      <c r="L728" s="188"/>
      <c r="M728" s="188"/>
      <c r="N728" s="188"/>
      <c r="O728" s="188"/>
      <c r="P728" s="188"/>
      <c r="Q728" s="188"/>
      <c r="R728" s="188"/>
      <c r="S728" s="188"/>
      <c r="T728" s="7"/>
      <c r="U728" s="176"/>
    </row>
    <row r="729" spans="1:21">
      <c r="A729" s="3"/>
      <c r="B729" s="3"/>
      <c r="C729" s="3"/>
      <c r="D729" s="3"/>
      <c r="E729" s="4"/>
      <c r="F729" s="3"/>
      <c r="G729" s="3"/>
      <c r="H729" s="10"/>
      <c r="I729" s="187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7"/>
      <c r="U729" s="176"/>
    </row>
    <row r="730" spans="1:21">
      <c r="A730" s="3"/>
      <c r="B730" s="3"/>
      <c r="C730" s="3"/>
      <c r="D730" s="3"/>
      <c r="E730" s="4"/>
      <c r="F730" s="3"/>
      <c r="G730" s="3"/>
      <c r="H730" s="10"/>
      <c r="I730" s="187"/>
      <c r="J730" s="188"/>
      <c r="K730" s="188"/>
      <c r="L730" s="188"/>
      <c r="M730" s="188"/>
      <c r="N730" s="188"/>
      <c r="O730" s="188"/>
      <c r="P730" s="188"/>
      <c r="Q730" s="188"/>
      <c r="R730" s="188"/>
      <c r="S730" s="188"/>
      <c r="T730" s="7"/>
      <c r="U730" s="176"/>
    </row>
    <row r="731" spans="1:21">
      <c r="A731" s="3"/>
      <c r="B731" s="3"/>
      <c r="C731" s="3"/>
      <c r="D731" s="3"/>
      <c r="E731" s="4"/>
      <c r="F731" s="3"/>
      <c r="G731" s="3"/>
      <c r="H731" s="10"/>
      <c r="I731" s="187"/>
      <c r="J731" s="188"/>
      <c r="K731" s="188"/>
      <c r="L731" s="188"/>
      <c r="M731" s="188"/>
      <c r="N731" s="188"/>
      <c r="O731" s="188"/>
      <c r="P731" s="188"/>
      <c r="Q731" s="188"/>
      <c r="R731" s="188"/>
      <c r="S731" s="188"/>
      <c r="T731" s="7"/>
      <c r="U731" s="176"/>
    </row>
    <row r="732" spans="1:21">
      <c r="A732" s="3"/>
      <c r="B732" s="3"/>
      <c r="C732" s="3"/>
      <c r="D732" s="3"/>
      <c r="E732" s="4"/>
      <c r="F732" s="3"/>
      <c r="G732" s="3"/>
      <c r="H732" s="10"/>
      <c r="I732" s="187"/>
      <c r="J732" s="188"/>
      <c r="K732" s="188"/>
      <c r="L732" s="188"/>
      <c r="M732" s="188"/>
      <c r="N732" s="188"/>
      <c r="O732" s="188"/>
      <c r="P732" s="188"/>
      <c r="Q732" s="188"/>
      <c r="R732" s="188"/>
      <c r="S732" s="188"/>
      <c r="T732" s="7"/>
      <c r="U732" s="176"/>
    </row>
    <row r="733" spans="1:21">
      <c r="A733" s="3"/>
      <c r="B733" s="3"/>
      <c r="C733" s="3"/>
      <c r="D733" s="3"/>
      <c r="E733" s="4"/>
      <c r="F733" s="3"/>
      <c r="G733" s="3"/>
      <c r="H733" s="10"/>
      <c r="I733" s="187"/>
      <c r="J733" s="188"/>
      <c r="K733" s="188"/>
      <c r="L733" s="188"/>
      <c r="M733" s="188"/>
      <c r="N733" s="188"/>
      <c r="O733" s="188"/>
      <c r="P733" s="188"/>
      <c r="Q733" s="188"/>
      <c r="R733" s="188"/>
      <c r="S733" s="188"/>
      <c r="T733" s="7"/>
      <c r="U733" s="176"/>
    </row>
    <row r="734" spans="1:21">
      <c r="A734" s="3"/>
      <c r="B734" s="3"/>
      <c r="C734" s="3"/>
      <c r="D734" s="3"/>
      <c r="E734" s="4"/>
      <c r="F734" s="3"/>
      <c r="G734" s="3"/>
      <c r="H734" s="10"/>
      <c r="I734" s="187"/>
      <c r="J734" s="188"/>
      <c r="K734" s="188"/>
      <c r="L734" s="188"/>
      <c r="M734" s="188"/>
      <c r="N734" s="188"/>
      <c r="O734" s="188"/>
      <c r="P734" s="188"/>
      <c r="Q734" s="188"/>
      <c r="R734" s="188"/>
      <c r="S734" s="188"/>
      <c r="T734" s="7"/>
      <c r="U734" s="176"/>
    </row>
    <row r="735" spans="1:21">
      <c r="A735" s="3"/>
      <c r="B735" s="3"/>
      <c r="C735" s="3"/>
      <c r="D735" s="3"/>
      <c r="E735" s="4"/>
      <c r="F735" s="3"/>
      <c r="G735" s="3"/>
      <c r="H735" s="10"/>
      <c r="I735" s="187"/>
      <c r="J735" s="188"/>
      <c r="K735" s="188"/>
      <c r="L735" s="188"/>
      <c r="M735" s="188"/>
      <c r="N735" s="188"/>
      <c r="O735" s="188"/>
      <c r="P735" s="188"/>
      <c r="Q735" s="188"/>
      <c r="R735" s="188"/>
      <c r="S735" s="188"/>
      <c r="T735" s="7"/>
      <c r="U735" s="176"/>
    </row>
    <row r="736" spans="1:21">
      <c r="A736" s="3"/>
      <c r="B736" s="3"/>
      <c r="C736" s="3"/>
      <c r="D736" s="3"/>
      <c r="E736" s="4"/>
      <c r="F736" s="3"/>
      <c r="G736" s="3"/>
      <c r="H736" s="10"/>
      <c r="I736" s="187"/>
      <c r="J736" s="188"/>
      <c r="K736" s="188"/>
      <c r="L736" s="188"/>
      <c r="M736" s="188"/>
      <c r="N736" s="188"/>
      <c r="O736" s="188"/>
      <c r="P736" s="188"/>
      <c r="Q736" s="188"/>
      <c r="R736" s="188"/>
      <c r="S736" s="188"/>
      <c r="T736" s="7"/>
      <c r="U736" s="176"/>
    </row>
    <row r="737" spans="1:21">
      <c r="A737" s="3"/>
      <c r="B737" s="3"/>
      <c r="C737" s="3"/>
      <c r="D737" s="3"/>
      <c r="E737" s="4"/>
      <c r="F737" s="3"/>
      <c r="G737" s="3"/>
      <c r="H737" s="10"/>
      <c r="I737" s="187"/>
      <c r="J737" s="188"/>
      <c r="K737" s="188"/>
      <c r="L737" s="188"/>
      <c r="M737" s="188"/>
      <c r="N737" s="188"/>
      <c r="O737" s="188"/>
      <c r="P737" s="188"/>
      <c r="Q737" s="188"/>
      <c r="R737" s="188"/>
      <c r="S737" s="188"/>
      <c r="T737" s="7"/>
      <c r="U737" s="176"/>
    </row>
    <row r="738" spans="1:21">
      <c r="A738" s="3"/>
      <c r="B738" s="3"/>
      <c r="C738" s="3"/>
      <c r="D738" s="3"/>
      <c r="E738" s="4"/>
      <c r="F738" s="3"/>
      <c r="G738" s="3"/>
      <c r="H738" s="10"/>
      <c r="I738" s="187"/>
      <c r="J738" s="188"/>
      <c r="K738" s="188"/>
      <c r="L738" s="188"/>
      <c r="M738" s="188"/>
      <c r="N738" s="188"/>
      <c r="O738" s="188"/>
      <c r="P738" s="188"/>
      <c r="Q738" s="188"/>
      <c r="R738" s="188"/>
      <c r="S738" s="188"/>
      <c r="T738" s="7"/>
      <c r="U738" s="176"/>
    </row>
    <row r="739" spans="1:21">
      <c r="A739" s="3"/>
      <c r="B739" s="3"/>
      <c r="C739" s="3"/>
      <c r="D739" s="3"/>
      <c r="E739" s="4"/>
      <c r="F739" s="3"/>
      <c r="G739" s="3"/>
      <c r="H739" s="10"/>
      <c r="I739" s="187"/>
      <c r="J739" s="188"/>
      <c r="K739" s="188"/>
      <c r="L739" s="188"/>
      <c r="M739" s="188"/>
      <c r="N739" s="188"/>
      <c r="O739" s="188"/>
      <c r="P739" s="188"/>
      <c r="Q739" s="188"/>
      <c r="R739" s="188"/>
      <c r="S739" s="188"/>
      <c r="T739" s="7"/>
      <c r="U739" s="176"/>
    </row>
    <row r="740" spans="1:21">
      <c r="A740" s="3"/>
      <c r="B740" s="3"/>
      <c r="C740" s="3"/>
      <c r="D740" s="3"/>
      <c r="E740" s="4"/>
      <c r="F740" s="3"/>
      <c r="G740" s="3"/>
      <c r="H740" s="10"/>
      <c r="I740" s="187"/>
      <c r="J740" s="188"/>
      <c r="K740" s="188"/>
      <c r="L740" s="188"/>
      <c r="M740" s="188"/>
      <c r="N740" s="188"/>
      <c r="O740" s="188"/>
      <c r="P740" s="188"/>
      <c r="Q740" s="188"/>
      <c r="R740" s="188"/>
      <c r="S740" s="188"/>
      <c r="T740" s="7"/>
      <c r="U740" s="176"/>
    </row>
    <row r="741" spans="1:21">
      <c r="A741" s="3"/>
      <c r="B741" s="3"/>
      <c r="C741" s="3"/>
      <c r="D741" s="3"/>
      <c r="E741" s="4"/>
      <c r="F741" s="3"/>
      <c r="G741" s="3"/>
      <c r="H741" s="10"/>
      <c r="I741" s="187"/>
      <c r="J741" s="188"/>
      <c r="K741" s="188"/>
      <c r="L741" s="188"/>
      <c r="M741" s="188"/>
      <c r="N741" s="188"/>
      <c r="O741" s="188"/>
      <c r="P741" s="188"/>
      <c r="Q741" s="188"/>
      <c r="R741" s="188"/>
      <c r="S741" s="188"/>
      <c r="T741" s="7"/>
      <c r="U741" s="176"/>
    </row>
    <row r="742" spans="1:21">
      <c r="A742" s="3"/>
      <c r="B742" s="3"/>
      <c r="C742" s="3"/>
      <c r="D742" s="3"/>
      <c r="E742" s="4"/>
      <c r="F742" s="3"/>
      <c r="G742" s="3"/>
      <c r="H742" s="10"/>
      <c r="I742" s="187"/>
      <c r="J742" s="188"/>
      <c r="K742" s="188"/>
      <c r="L742" s="188"/>
      <c r="M742" s="188"/>
      <c r="N742" s="188"/>
      <c r="O742" s="188"/>
      <c r="P742" s="188"/>
      <c r="Q742" s="188"/>
      <c r="R742" s="188"/>
      <c r="S742" s="188"/>
      <c r="T742" s="7"/>
      <c r="U742" s="176"/>
    </row>
    <row r="743" spans="1:21">
      <c r="A743" s="3"/>
      <c r="B743" s="3"/>
      <c r="C743" s="3"/>
      <c r="D743" s="3"/>
      <c r="E743" s="4"/>
      <c r="F743" s="3"/>
      <c r="G743" s="3"/>
      <c r="H743" s="10"/>
      <c r="I743" s="187"/>
      <c r="J743" s="188"/>
      <c r="K743" s="188"/>
      <c r="L743" s="188"/>
      <c r="M743" s="188"/>
      <c r="N743" s="188"/>
      <c r="O743" s="188"/>
      <c r="P743" s="188"/>
      <c r="Q743" s="188"/>
      <c r="R743" s="188"/>
      <c r="S743" s="188"/>
      <c r="T743" s="7"/>
      <c r="U743" s="176"/>
    </row>
    <row r="744" spans="1:21">
      <c r="A744" s="3"/>
      <c r="B744" s="3"/>
      <c r="C744" s="3"/>
      <c r="D744" s="3"/>
      <c r="E744" s="4"/>
      <c r="F744" s="3"/>
      <c r="G744" s="3"/>
      <c r="H744" s="10"/>
      <c r="I744" s="187"/>
      <c r="J744" s="188"/>
      <c r="K744" s="188"/>
      <c r="L744" s="188"/>
      <c r="M744" s="188"/>
      <c r="N744" s="188"/>
      <c r="O744" s="188"/>
      <c r="P744" s="188"/>
      <c r="Q744" s="188"/>
      <c r="R744" s="188"/>
      <c r="S744" s="188"/>
      <c r="T744" s="7"/>
      <c r="U744" s="176"/>
    </row>
    <row r="745" spans="1:21">
      <c r="A745" s="3"/>
      <c r="B745" s="3"/>
      <c r="C745" s="3"/>
      <c r="D745" s="3"/>
      <c r="E745" s="4"/>
      <c r="F745" s="3"/>
      <c r="G745" s="3"/>
      <c r="H745" s="10"/>
      <c r="I745" s="187"/>
      <c r="J745" s="188"/>
      <c r="K745" s="188"/>
      <c r="L745" s="188"/>
      <c r="M745" s="188"/>
      <c r="N745" s="188"/>
      <c r="O745" s="188"/>
      <c r="P745" s="188"/>
      <c r="Q745" s="188"/>
      <c r="R745" s="188"/>
      <c r="S745" s="188"/>
      <c r="T745" s="7"/>
      <c r="U745" s="176"/>
    </row>
    <row r="746" spans="1:21">
      <c r="A746" s="3"/>
      <c r="B746" s="3"/>
      <c r="C746" s="3"/>
      <c r="D746" s="3"/>
      <c r="E746" s="4"/>
      <c r="F746" s="3"/>
      <c r="G746" s="3"/>
      <c r="H746" s="10"/>
      <c r="I746" s="187"/>
      <c r="J746" s="188"/>
      <c r="K746" s="188"/>
      <c r="L746" s="188"/>
      <c r="M746" s="188"/>
      <c r="N746" s="188"/>
      <c r="O746" s="188"/>
      <c r="P746" s="188"/>
      <c r="Q746" s="188"/>
      <c r="R746" s="188"/>
      <c r="S746" s="188"/>
      <c r="T746" s="7"/>
      <c r="U746" s="176"/>
    </row>
    <row r="747" spans="1:21">
      <c r="A747" s="3"/>
      <c r="B747" s="3"/>
      <c r="C747" s="3"/>
      <c r="D747" s="3"/>
      <c r="E747" s="4"/>
      <c r="F747" s="3"/>
      <c r="G747" s="3"/>
      <c r="H747" s="10"/>
      <c r="I747" s="187"/>
      <c r="J747" s="188"/>
      <c r="K747" s="188"/>
      <c r="L747" s="188"/>
      <c r="M747" s="188"/>
      <c r="N747" s="188"/>
      <c r="O747" s="188"/>
      <c r="P747" s="188"/>
      <c r="Q747" s="188"/>
      <c r="R747" s="188"/>
      <c r="S747" s="188"/>
      <c r="T747" s="7"/>
      <c r="U747" s="176"/>
    </row>
    <row r="748" spans="1:21">
      <c r="A748" s="3"/>
      <c r="B748" s="3"/>
      <c r="C748" s="3"/>
      <c r="D748" s="3"/>
      <c r="E748" s="4"/>
      <c r="F748" s="3"/>
      <c r="G748" s="3"/>
      <c r="H748" s="10"/>
      <c r="I748" s="187"/>
      <c r="J748" s="188"/>
      <c r="K748" s="188"/>
      <c r="L748" s="188"/>
      <c r="M748" s="188"/>
      <c r="N748" s="188"/>
      <c r="O748" s="188"/>
      <c r="P748" s="188"/>
      <c r="Q748" s="188"/>
      <c r="R748" s="188"/>
      <c r="S748" s="188"/>
      <c r="T748" s="7"/>
      <c r="U748" s="176"/>
    </row>
    <row r="749" spans="1:21">
      <c r="A749" s="3"/>
      <c r="B749" s="3"/>
      <c r="C749" s="3"/>
      <c r="D749" s="3"/>
      <c r="E749" s="4"/>
      <c r="F749" s="3"/>
      <c r="G749" s="3"/>
      <c r="H749" s="10"/>
      <c r="I749" s="187"/>
      <c r="J749" s="188"/>
      <c r="K749" s="188"/>
      <c r="L749" s="188"/>
      <c r="M749" s="188"/>
      <c r="N749" s="188"/>
      <c r="O749" s="188"/>
      <c r="P749" s="188"/>
      <c r="Q749" s="188"/>
      <c r="R749" s="188"/>
      <c r="S749" s="188"/>
      <c r="T749" s="7"/>
      <c r="U749" s="176"/>
    </row>
    <row r="750" spans="1:21">
      <c r="A750" s="3"/>
      <c r="B750" s="3"/>
      <c r="C750" s="3"/>
      <c r="D750" s="3"/>
      <c r="E750" s="4"/>
      <c r="F750" s="3"/>
      <c r="G750" s="3"/>
      <c r="H750" s="10"/>
      <c r="I750" s="187"/>
      <c r="J750" s="188"/>
      <c r="K750" s="188"/>
      <c r="L750" s="188"/>
      <c r="M750" s="188"/>
      <c r="N750" s="188"/>
      <c r="O750" s="188"/>
      <c r="P750" s="188"/>
      <c r="Q750" s="188"/>
      <c r="R750" s="188"/>
      <c r="S750" s="188"/>
      <c r="T750" s="7"/>
      <c r="U750" s="176"/>
    </row>
    <row r="751" spans="1:21">
      <c r="A751" s="3"/>
      <c r="B751" s="3"/>
      <c r="C751" s="3"/>
      <c r="D751" s="3"/>
      <c r="E751" s="4"/>
      <c r="F751" s="3"/>
      <c r="G751" s="3"/>
      <c r="H751" s="10"/>
      <c r="I751" s="187"/>
      <c r="J751" s="188"/>
      <c r="K751" s="188"/>
      <c r="L751" s="188"/>
      <c r="M751" s="188"/>
      <c r="N751" s="188"/>
      <c r="O751" s="188"/>
      <c r="P751" s="188"/>
      <c r="Q751" s="188"/>
      <c r="R751" s="188"/>
      <c r="S751" s="188"/>
      <c r="T751" s="7"/>
      <c r="U751" s="176"/>
    </row>
    <row r="752" spans="1:21">
      <c r="A752" s="3"/>
      <c r="B752" s="3"/>
      <c r="C752" s="3"/>
      <c r="D752" s="3"/>
      <c r="E752" s="4"/>
      <c r="F752" s="3"/>
      <c r="G752" s="3"/>
      <c r="H752" s="10"/>
      <c r="I752" s="187"/>
      <c r="J752" s="188"/>
      <c r="K752" s="188"/>
      <c r="L752" s="188"/>
      <c r="M752" s="188"/>
      <c r="N752" s="188"/>
      <c r="O752" s="188"/>
      <c r="P752" s="188"/>
      <c r="Q752" s="188"/>
      <c r="R752" s="188"/>
      <c r="S752" s="188"/>
      <c r="T752" s="7"/>
      <c r="U752" s="176"/>
    </row>
    <row r="753" spans="1:21">
      <c r="A753" s="3"/>
      <c r="B753" s="3"/>
      <c r="C753" s="3"/>
      <c r="D753" s="3"/>
      <c r="E753" s="4"/>
      <c r="F753" s="3"/>
      <c r="G753" s="3"/>
      <c r="H753" s="10"/>
      <c r="I753" s="187"/>
      <c r="J753" s="188"/>
      <c r="K753" s="188"/>
      <c r="L753" s="188"/>
      <c r="M753" s="188"/>
      <c r="N753" s="188"/>
      <c r="O753" s="188"/>
      <c r="P753" s="188"/>
      <c r="Q753" s="188"/>
      <c r="R753" s="188"/>
      <c r="S753" s="188"/>
      <c r="T753" s="7"/>
      <c r="U753" s="176"/>
    </row>
    <row r="754" spans="1:21">
      <c r="A754" s="3"/>
      <c r="B754" s="3"/>
      <c r="C754" s="3"/>
      <c r="D754" s="3"/>
      <c r="E754" s="4"/>
      <c r="F754" s="3"/>
      <c r="G754" s="3"/>
      <c r="H754" s="10"/>
      <c r="I754" s="187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7"/>
      <c r="U754" s="176"/>
    </row>
    <row r="755" spans="1:21">
      <c r="A755" s="3"/>
      <c r="B755" s="3"/>
      <c r="C755" s="3"/>
      <c r="D755" s="3"/>
      <c r="E755" s="4"/>
      <c r="F755" s="3"/>
      <c r="G755" s="3"/>
      <c r="H755" s="10"/>
      <c r="I755" s="187"/>
      <c r="J755" s="188"/>
      <c r="K755" s="188"/>
      <c r="L755" s="188"/>
      <c r="M755" s="188"/>
      <c r="N755" s="188"/>
      <c r="O755" s="188"/>
      <c r="P755" s="188"/>
      <c r="Q755" s="188"/>
      <c r="R755" s="188"/>
      <c r="S755" s="188"/>
      <c r="T755" s="7"/>
      <c r="U755" s="176"/>
    </row>
    <row r="756" spans="1:21">
      <c r="A756" s="3"/>
      <c r="B756" s="3"/>
      <c r="C756" s="3"/>
      <c r="D756" s="3"/>
      <c r="E756" s="4"/>
      <c r="F756" s="3"/>
      <c r="G756" s="3"/>
      <c r="H756" s="10"/>
      <c r="I756" s="187"/>
      <c r="J756" s="188"/>
      <c r="K756" s="188"/>
      <c r="L756" s="188"/>
      <c r="M756" s="188"/>
      <c r="N756" s="188"/>
      <c r="O756" s="188"/>
      <c r="P756" s="188"/>
      <c r="Q756" s="188"/>
      <c r="R756" s="188"/>
      <c r="S756" s="188"/>
      <c r="T756" s="7"/>
      <c r="U756" s="176"/>
    </row>
    <row r="757" spans="1:21">
      <c r="A757" s="3"/>
      <c r="B757" s="3"/>
      <c r="C757" s="3"/>
      <c r="D757" s="3"/>
      <c r="E757" s="4"/>
      <c r="F757" s="3"/>
      <c r="G757" s="3"/>
      <c r="H757" s="10"/>
      <c r="I757" s="187"/>
      <c r="J757" s="188"/>
      <c r="K757" s="188"/>
      <c r="L757" s="188"/>
      <c r="M757" s="188"/>
      <c r="N757" s="188"/>
      <c r="O757" s="188"/>
      <c r="P757" s="188"/>
      <c r="Q757" s="188"/>
      <c r="R757" s="188"/>
      <c r="S757" s="188"/>
      <c r="T757" s="7"/>
      <c r="U757" s="176"/>
    </row>
    <row r="758" spans="1:21">
      <c r="A758" s="3"/>
      <c r="B758" s="3"/>
      <c r="C758" s="3"/>
      <c r="D758" s="3"/>
      <c r="E758" s="4"/>
      <c r="F758" s="3"/>
      <c r="G758" s="3"/>
      <c r="H758" s="10"/>
      <c r="I758" s="187"/>
      <c r="J758" s="188"/>
      <c r="K758" s="188"/>
      <c r="L758" s="188"/>
      <c r="M758" s="188"/>
      <c r="N758" s="188"/>
      <c r="O758" s="188"/>
      <c r="P758" s="188"/>
      <c r="Q758" s="188"/>
      <c r="R758" s="188"/>
      <c r="S758" s="188"/>
      <c r="T758" s="7"/>
      <c r="U758" s="176"/>
    </row>
    <row r="759" spans="1:21">
      <c r="A759" s="3"/>
      <c r="B759" s="3"/>
      <c r="C759" s="3"/>
      <c r="D759" s="3"/>
      <c r="E759" s="4"/>
      <c r="F759" s="3"/>
      <c r="G759" s="3"/>
      <c r="H759" s="10"/>
      <c r="I759" s="187"/>
      <c r="J759" s="188"/>
      <c r="K759" s="188"/>
      <c r="L759" s="188"/>
      <c r="M759" s="188"/>
      <c r="N759" s="188"/>
      <c r="O759" s="188"/>
      <c r="P759" s="188"/>
      <c r="Q759" s="188"/>
      <c r="R759" s="188"/>
      <c r="S759" s="188"/>
      <c r="T759" s="7"/>
      <c r="U759" s="176"/>
    </row>
    <row r="760" spans="1:21">
      <c r="A760" s="3"/>
      <c r="B760" s="3"/>
      <c r="C760" s="3"/>
      <c r="D760" s="3"/>
      <c r="E760" s="4"/>
      <c r="F760" s="3"/>
      <c r="G760" s="3"/>
      <c r="H760" s="10"/>
      <c r="I760" s="187"/>
      <c r="J760" s="188"/>
      <c r="K760" s="188"/>
      <c r="L760" s="188"/>
      <c r="M760" s="188"/>
      <c r="N760" s="188"/>
      <c r="O760" s="188"/>
      <c r="P760" s="188"/>
      <c r="Q760" s="188"/>
      <c r="R760" s="188"/>
      <c r="S760" s="188"/>
      <c r="T760" s="7"/>
      <c r="U760" s="176"/>
    </row>
    <row r="761" spans="1:21">
      <c r="A761" s="3"/>
      <c r="B761" s="3"/>
      <c r="C761" s="3"/>
      <c r="D761" s="3"/>
      <c r="E761" s="4"/>
      <c r="F761" s="3"/>
      <c r="G761" s="3"/>
      <c r="H761" s="10"/>
      <c r="I761" s="187"/>
      <c r="J761" s="188"/>
      <c r="K761" s="188"/>
      <c r="L761" s="188"/>
      <c r="M761" s="188"/>
      <c r="N761" s="188"/>
      <c r="O761" s="188"/>
      <c r="P761" s="188"/>
      <c r="Q761" s="188"/>
      <c r="R761" s="188"/>
      <c r="S761" s="188"/>
      <c r="T761" s="7"/>
      <c r="U761" s="176"/>
    </row>
    <row r="762" spans="1:21">
      <c r="A762" s="3"/>
      <c r="B762" s="3"/>
      <c r="C762" s="3"/>
      <c r="D762" s="3"/>
      <c r="E762" s="4"/>
      <c r="F762" s="3"/>
      <c r="G762" s="3"/>
      <c r="H762" s="10"/>
      <c r="I762" s="187"/>
      <c r="J762" s="188"/>
      <c r="K762" s="188"/>
      <c r="L762" s="188"/>
      <c r="M762" s="188"/>
      <c r="N762" s="188"/>
      <c r="O762" s="188"/>
      <c r="P762" s="188"/>
      <c r="Q762" s="188"/>
      <c r="R762" s="188"/>
      <c r="S762" s="188"/>
      <c r="T762" s="7"/>
      <c r="U762" s="176"/>
    </row>
    <row r="763" spans="1:21">
      <c r="A763" s="3"/>
      <c r="B763" s="3"/>
      <c r="C763" s="3"/>
      <c r="D763" s="3"/>
      <c r="E763" s="4"/>
      <c r="F763" s="3"/>
      <c r="G763" s="3"/>
      <c r="H763" s="10"/>
      <c r="I763" s="187"/>
      <c r="J763" s="188"/>
      <c r="K763" s="188"/>
      <c r="L763" s="188"/>
      <c r="M763" s="188"/>
      <c r="N763" s="188"/>
      <c r="O763" s="188"/>
      <c r="P763" s="188"/>
      <c r="Q763" s="188"/>
      <c r="R763" s="188"/>
      <c r="S763" s="188"/>
      <c r="T763" s="7"/>
      <c r="U763" s="176"/>
    </row>
    <row r="764" spans="1:21">
      <c r="A764" s="3"/>
      <c r="B764" s="3"/>
      <c r="C764" s="3"/>
      <c r="D764" s="3"/>
      <c r="E764" s="4"/>
      <c r="F764" s="3"/>
      <c r="G764" s="3"/>
      <c r="H764" s="10"/>
      <c r="I764" s="187"/>
      <c r="J764" s="188"/>
      <c r="K764" s="188"/>
      <c r="L764" s="188"/>
      <c r="M764" s="188"/>
      <c r="N764" s="188"/>
      <c r="O764" s="188"/>
      <c r="P764" s="188"/>
      <c r="Q764" s="188"/>
      <c r="R764" s="188"/>
      <c r="S764" s="188"/>
      <c r="T764" s="7"/>
      <c r="U764" s="176"/>
    </row>
    <row r="765" spans="1:21">
      <c r="A765" s="3"/>
      <c r="B765" s="3"/>
      <c r="C765" s="3"/>
      <c r="D765" s="3"/>
      <c r="E765" s="4"/>
      <c r="F765" s="3"/>
      <c r="G765" s="3"/>
      <c r="H765" s="10"/>
      <c r="I765" s="187"/>
      <c r="J765" s="188"/>
      <c r="K765" s="188"/>
      <c r="L765" s="188"/>
      <c r="M765" s="188"/>
      <c r="N765" s="188"/>
      <c r="O765" s="188"/>
      <c r="P765" s="188"/>
      <c r="Q765" s="188"/>
      <c r="R765" s="188"/>
      <c r="S765" s="188"/>
      <c r="T765" s="7"/>
      <c r="U765" s="176"/>
    </row>
    <row r="766" spans="1:21">
      <c r="A766" s="3"/>
      <c r="B766" s="3"/>
      <c r="C766" s="3"/>
      <c r="D766" s="3"/>
      <c r="E766" s="4"/>
      <c r="F766" s="3"/>
      <c r="G766" s="3"/>
      <c r="H766" s="10"/>
      <c r="I766" s="187"/>
      <c r="J766" s="188"/>
      <c r="K766" s="188"/>
      <c r="L766" s="188"/>
      <c r="M766" s="188"/>
      <c r="N766" s="188"/>
      <c r="O766" s="188"/>
      <c r="P766" s="188"/>
      <c r="Q766" s="188"/>
      <c r="R766" s="188"/>
      <c r="S766" s="188"/>
      <c r="T766" s="7"/>
      <c r="U766" s="176"/>
    </row>
    <row r="767" spans="1:21">
      <c r="A767" s="3"/>
      <c r="B767" s="3"/>
      <c r="C767" s="3"/>
      <c r="D767" s="3"/>
      <c r="E767" s="4"/>
      <c r="F767" s="3"/>
      <c r="G767" s="3"/>
      <c r="H767" s="10"/>
      <c r="I767" s="187"/>
      <c r="J767" s="188"/>
      <c r="K767" s="188"/>
      <c r="L767" s="188"/>
      <c r="M767" s="188"/>
      <c r="N767" s="188"/>
      <c r="O767" s="188"/>
      <c r="P767" s="188"/>
      <c r="Q767" s="188"/>
      <c r="R767" s="188"/>
      <c r="S767" s="188"/>
      <c r="T767" s="7"/>
      <c r="U767" s="176"/>
    </row>
    <row r="768" spans="1:21">
      <c r="A768" s="3"/>
      <c r="B768" s="3"/>
      <c r="C768" s="3"/>
      <c r="D768" s="3"/>
      <c r="E768" s="4"/>
      <c r="F768" s="3"/>
      <c r="G768" s="3"/>
      <c r="H768" s="10"/>
      <c r="I768" s="187"/>
      <c r="J768" s="188"/>
      <c r="K768" s="188"/>
      <c r="L768" s="188"/>
      <c r="M768" s="188"/>
      <c r="N768" s="188"/>
      <c r="O768" s="188"/>
      <c r="P768" s="188"/>
      <c r="Q768" s="188"/>
      <c r="R768" s="188"/>
      <c r="S768" s="188"/>
      <c r="T768" s="7"/>
      <c r="U768" s="176"/>
    </row>
    <row r="769" spans="1:21">
      <c r="A769" s="3"/>
      <c r="B769" s="3"/>
      <c r="C769" s="3"/>
      <c r="D769" s="3"/>
      <c r="E769" s="4"/>
      <c r="F769" s="3"/>
      <c r="G769" s="3"/>
      <c r="H769" s="10"/>
      <c r="I769" s="187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7"/>
      <c r="U769" s="176"/>
    </row>
    <row r="770" spans="1:21">
      <c r="A770" s="3"/>
      <c r="B770" s="3"/>
      <c r="C770" s="3"/>
      <c r="D770" s="3"/>
      <c r="E770" s="4"/>
      <c r="F770" s="3"/>
      <c r="G770" s="3"/>
      <c r="H770" s="10"/>
      <c r="I770" s="187"/>
      <c r="J770" s="188"/>
      <c r="K770" s="188"/>
      <c r="L770" s="188"/>
      <c r="M770" s="188"/>
      <c r="N770" s="188"/>
      <c r="O770" s="188"/>
      <c r="P770" s="188"/>
      <c r="Q770" s="188"/>
      <c r="R770" s="188"/>
      <c r="S770" s="188"/>
      <c r="T770" s="7"/>
      <c r="U770" s="176"/>
    </row>
    <row r="771" spans="1:21">
      <c r="A771" s="3"/>
      <c r="B771" s="3"/>
      <c r="C771" s="3"/>
      <c r="D771" s="3"/>
      <c r="E771" s="4"/>
      <c r="F771" s="3"/>
      <c r="G771" s="3"/>
      <c r="H771" s="10"/>
      <c r="I771" s="187"/>
      <c r="J771" s="188"/>
      <c r="K771" s="188"/>
      <c r="L771" s="188"/>
      <c r="M771" s="188"/>
      <c r="N771" s="188"/>
      <c r="O771" s="188"/>
      <c r="P771" s="188"/>
      <c r="Q771" s="188"/>
      <c r="R771" s="188"/>
      <c r="S771" s="188"/>
      <c r="T771" s="7"/>
      <c r="U771" s="176"/>
    </row>
    <row r="772" spans="1:21">
      <c r="A772" s="3"/>
      <c r="B772" s="3"/>
      <c r="C772" s="3"/>
      <c r="D772" s="3"/>
      <c r="E772" s="4"/>
      <c r="F772" s="3"/>
      <c r="G772" s="3"/>
      <c r="H772" s="10"/>
      <c r="I772" s="187"/>
      <c r="J772" s="188"/>
      <c r="K772" s="188"/>
      <c r="L772" s="188"/>
      <c r="M772" s="188"/>
      <c r="N772" s="188"/>
      <c r="O772" s="188"/>
      <c r="P772" s="188"/>
      <c r="Q772" s="188"/>
      <c r="R772" s="188"/>
      <c r="S772" s="188"/>
      <c r="T772" s="7"/>
      <c r="U772" s="176"/>
    </row>
    <row r="773" spans="1:21">
      <c r="A773" s="3"/>
      <c r="B773" s="3"/>
      <c r="C773" s="3"/>
      <c r="D773" s="3"/>
      <c r="E773" s="4"/>
      <c r="F773" s="3"/>
      <c r="G773" s="3"/>
      <c r="H773" s="10"/>
      <c r="I773" s="187"/>
      <c r="J773" s="188"/>
      <c r="K773" s="188"/>
      <c r="L773" s="188"/>
      <c r="M773" s="188"/>
      <c r="N773" s="188"/>
      <c r="O773" s="188"/>
      <c r="P773" s="188"/>
      <c r="Q773" s="188"/>
      <c r="R773" s="188"/>
      <c r="S773" s="188"/>
      <c r="T773" s="7"/>
      <c r="U773" s="176"/>
    </row>
    <row r="774" spans="1:21">
      <c r="A774" s="3"/>
      <c r="B774" s="3"/>
      <c r="C774" s="3"/>
      <c r="D774" s="3"/>
      <c r="E774" s="4"/>
      <c r="F774" s="3"/>
      <c r="G774" s="3"/>
      <c r="H774" s="10"/>
      <c r="I774" s="187"/>
      <c r="J774" s="188"/>
      <c r="K774" s="188"/>
      <c r="L774" s="188"/>
      <c r="M774" s="188"/>
      <c r="N774" s="188"/>
      <c r="O774" s="188"/>
      <c r="P774" s="188"/>
      <c r="Q774" s="188"/>
      <c r="R774" s="188"/>
      <c r="S774" s="188"/>
      <c r="T774" s="7"/>
      <c r="U774" s="176"/>
    </row>
    <row r="775" spans="1:21">
      <c r="A775" s="3"/>
      <c r="B775" s="3"/>
      <c r="C775" s="3"/>
      <c r="D775" s="3"/>
      <c r="E775" s="4"/>
      <c r="F775" s="3"/>
      <c r="G775" s="3"/>
      <c r="H775" s="10"/>
      <c r="I775" s="187"/>
      <c r="J775" s="188"/>
      <c r="K775" s="188"/>
      <c r="L775" s="188"/>
      <c r="M775" s="188"/>
      <c r="N775" s="188"/>
      <c r="O775" s="188"/>
      <c r="P775" s="188"/>
      <c r="Q775" s="188"/>
      <c r="R775" s="188"/>
      <c r="S775" s="188"/>
      <c r="T775" s="7"/>
      <c r="U775" s="176"/>
    </row>
    <row r="776" spans="1:21">
      <c r="A776" s="3"/>
      <c r="B776" s="3"/>
      <c r="C776" s="3"/>
      <c r="D776" s="3"/>
      <c r="E776" s="4"/>
      <c r="F776" s="3"/>
      <c r="G776" s="3"/>
      <c r="H776" s="10"/>
      <c r="I776" s="187"/>
      <c r="J776" s="188"/>
      <c r="K776" s="188"/>
      <c r="L776" s="188"/>
      <c r="M776" s="188"/>
      <c r="N776" s="188"/>
      <c r="O776" s="188"/>
      <c r="P776" s="188"/>
      <c r="Q776" s="188"/>
      <c r="R776" s="188"/>
      <c r="S776" s="188"/>
      <c r="T776" s="7"/>
      <c r="U776" s="176"/>
    </row>
    <row r="777" spans="1:21">
      <c r="A777" s="3"/>
      <c r="B777" s="3"/>
      <c r="C777" s="3"/>
      <c r="D777" s="3"/>
      <c r="E777" s="4"/>
      <c r="F777" s="3"/>
      <c r="G777" s="3"/>
      <c r="H777" s="10"/>
      <c r="I777" s="187"/>
      <c r="J777" s="188"/>
      <c r="K777" s="188"/>
      <c r="L777" s="188"/>
      <c r="M777" s="188"/>
      <c r="N777" s="188"/>
      <c r="O777" s="188"/>
      <c r="P777" s="188"/>
      <c r="Q777" s="188"/>
      <c r="R777" s="188"/>
      <c r="S777" s="188"/>
      <c r="T777" s="7"/>
      <c r="U777" s="176"/>
    </row>
    <row r="778" spans="1:21">
      <c r="A778" s="3"/>
      <c r="B778" s="3"/>
      <c r="C778" s="3"/>
      <c r="D778" s="3"/>
      <c r="E778" s="4"/>
      <c r="F778" s="3"/>
      <c r="G778" s="3"/>
      <c r="H778" s="10"/>
      <c r="I778" s="187"/>
      <c r="J778" s="188"/>
      <c r="K778" s="188"/>
      <c r="L778" s="188"/>
      <c r="M778" s="188"/>
      <c r="N778" s="188"/>
      <c r="O778" s="188"/>
      <c r="P778" s="188"/>
      <c r="Q778" s="188"/>
      <c r="R778" s="188"/>
      <c r="S778" s="188"/>
      <c r="T778" s="7"/>
      <c r="U778" s="176"/>
    </row>
    <row r="779" spans="1:21">
      <c r="A779" s="3"/>
      <c r="B779" s="3"/>
      <c r="C779" s="3"/>
      <c r="D779" s="3"/>
      <c r="E779" s="4"/>
      <c r="F779" s="3"/>
      <c r="G779" s="3"/>
      <c r="H779" s="10"/>
      <c r="I779" s="187"/>
      <c r="J779" s="188"/>
      <c r="K779" s="188"/>
      <c r="L779" s="188"/>
      <c r="M779" s="188"/>
      <c r="N779" s="188"/>
      <c r="O779" s="188"/>
      <c r="P779" s="188"/>
      <c r="Q779" s="188"/>
      <c r="R779" s="188"/>
      <c r="S779" s="188"/>
      <c r="T779" s="7"/>
      <c r="U779" s="176"/>
    </row>
    <row r="780" spans="1:21">
      <c r="A780" s="3"/>
      <c r="B780" s="3"/>
      <c r="C780" s="3"/>
      <c r="D780" s="3"/>
      <c r="E780" s="4"/>
      <c r="F780" s="3"/>
      <c r="G780" s="3"/>
      <c r="H780" s="10"/>
      <c r="I780" s="187"/>
      <c r="J780" s="188"/>
      <c r="K780" s="188"/>
      <c r="L780" s="188"/>
      <c r="M780" s="188"/>
      <c r="N780" s="188"/>
      <c r="O780" s="188"/>
      <c r="P780" s="188"/>
      <c r="Q780" s="188"/>
      <c r="R780" s="188"/>
      <c r="S780" s="188"/>
      <c r="T780" s="7"/>
      <c r="U780" s="176"/>
    </row>
    <row r="781" spans="1:21">
      <c r="A781" s="3"/>
      <c r="B781" s="3"/>
      <c r="C781" s="3"/>
      <c r="D781" s="3"/>
      <c r="E781" s="4"/>
      <c r="F781" s="3"/>
      <c r="G781" s="3"/>
      <c r="H781" s="10"/>
      <c r="I781" s="187"/>
      <c r="J781" s="188"/>
      <c r="K781" s="188"/>
      <c r="L781" s="188"/>
      <c r="M781" s="188"/>
      <c r="N781" s="188"/>
      <c r="O781" s="188"/>
      <c r="P781" s="188"/>
      <c r="Q781" s="188"/>
      <c r="R781" s="188"/>
      <c r="S781" s="188"/>
      <c r="T781" s="7"/>
      <c r="U781" s="176"/>
    </row>
    <row r="782" spans="1:21">
      <c r="A782" s="3"/>
      <c r="B782" s="3"/>
      <c r="C782" s="3"/>
      <c r="D782" s="3"/>
      <c r="E782" s="4"/>
      <c r="F782" s="3"/>
      <c r="G782" s="3"/>
      <c r="H782" s="10"/>
      <c r="I782" s="187"/>
      <c r="J782" s="188"/>
      <c r="K782" s="188"/>
      <c r="L782" s="188"/>
      <c r="M782" s="188"/>
      <c r="N782" s="188"/>
      <c r="O782" s="188"/>
      <c r="P782" s="188"/>
      <c r="Q782" s="188"/>
      <c r="R782" s="188"/>
      <c r="S782" s="188"/>
      <c r="T782" s="7"/>
      <c r="U782" s="176"/>
    </row>
    <row r="783" spans="1:21">
      <c r="A783" s="3"/>
      <c r="B783" s="3"/>
      <c r="C783" s="3"/>
      <c r="D783" s="3"/>
      <c r="E783" s="4"/>
      <c r="F783" s="3"/>
      <c r="G783" s="3"/>
      <c r="H783" s="10"/>
      <c r="I783" s="187"/>
      <c r="J783" s="188"/>
      <c r="K783" s="188"/>
      <c r="L783" s="188"/>
      <c r="M783" s="188"/>
      <c r="N783" s="188"/>
      <c r="O783" s="188"/>
      <c r="P783" s="188"/>
      <c r="Q783" s="188"/>
      <c r="R783" s="188"/>
      <c r="S783" s="188"/>
      <c r="T783" s="7"/>
      <c r="U783" s="176"/>
    </row>
    <row r="784" spans="1:21">
      <c r="A784" s="3"/>
      <c r="B784" s="3"/>
      <c r="C784" s="3"/>
      <c r="D784" s="3"/>
      <c r="E784" s="4"/>
      <c r="F784" s="3"/>
      <c r="G784" s="3"/>
      <c r="H784" s="10"/>
      <c r="I784" s="187"/>
      <c r="J784" s="188"/>
      <c r="K784" s="188"/>
      <c r="L784" s="188"/>
      <c r="M784" s="188"/>
      <c r="N784" s="188"/>
      <c r="O784" s="188"/>
      <c r="P784" s="188"/>
      <c r="Q784" s="188"/>
      <c r="R784" s="188"/>
      <c r="S784" s="188"/>
      <c r="T784" s="7"/>
      <c r="U784" s="176"/>
    </row>
    <row r="785" spans="1:21">
      <c r="A785" s="3"/>
      <c r="B785" s="3"/>
      <c r="C785" s="3"/>
      <c r="D785" s="3"/>
      <c r="E785" s="4"/>
      <c r="F785" s="3"/>
      <c r="G785" s="3"/>
      <c r="H785" s="10"/>
      <c r="I785" s="187"/>
      <c r="J785" s="188"/>
      <c r="K785" s="188"/>
      <c r="L785" s="188"/>
      <c r="M785" s="188"/>
      <c r="N785" s="188"/>
      <c r="O785" s="188"/>
      <c r="P785" s="188"/>
      <c r="Q785" s="188"/>
      <c r="R785" s="188"/>
      <c r="S785" s="188"/>
      <c r="T785" s="7"/>
      <c r="U785" s="176"/>
    </row>
    <row r="786" spans="1:21">
      <c r="A786" s="3"/>
      <c r="B786" s="3"/>
      <c r="C786" s="3"/>
      <c r="D786" s="3"/>
      <c r="E786" s="4"/>
      <c r="F786" s="3"/>
      <c r="G786" s="3"/>
      <c r="H786" s="10"/>
      <c r="I786" s="187"/>
      <c r="J786" s="188"/>
      <c r="K786" s="188"/>
      <c r="L786" s="188"/>
      <c r="M786" s="188"/>
      <c r="N786" s="188"/>
      <c r="O786" s="188"/>
      <c r="P786" s="188"/>
      <c r="Q786" s="188"/>
      <c r="R786" s="188"/>
      <c r="S786" s="188"/>
      <c r="T786" s="7"/>
      <c r="U786" s="176"/>
    </row>
    <row r="787" spans="1:21">
      <c r="A787" s="3"/>
      <c r="B787" s="3"/>
      <c r="C787" s="3"/>
      <c r="D787" s="3"/>
      <c r="E787" s="4"/>
      <c r="F787" s="3"/>
      <c r="G787" s="3"/>
      <c r="H787" s="10"/>
      <c r="I787" s="187"/>
      <c r="J787" s="188"/>
      <c r="K787" s="188"/>
      <c r="L787" s="188"/>
      <c r="M787" s="188"/>
      <c r="N787" s="188"/>
      <c r="O787" s="188"/>
      <c r="P787" s="188"/>
      <c r="Q787" s="188"/>
      <c r="R787" s="188"/>
      <c r="S787" s="188"/>
      <c r="T787" s="7"/>
      <c r="U787" s="176"/>
    </row>
    <row r="788" spans="1:21">
      <c r="A788" s="3"/>
      <c r="B788" s="3"/>
      <c r="C788" s="3"/>
      <c r="D788" s="3"/>
      <c r="E788" s="4"/>
      <c r="F788" s="3"/>
      <c r="G788" s="3"/>
      <c r="H788" s="10"/>
      <c r="I788" s="187"/>
      <c r="J788" s="188"/>
      <c r="K788" s="188"/>
      <c r="L788" s="188"/>
      <c r="M788" s="188"/>
      <c r="N788" s="188"/>
      <c r="O788" s="188"/>
      <c r="P788" s="188"/>
      <c r="Q788" s="188"/>
      <c r="R788" s="188"/>
      <c r="S788" s="188"/>
      <c r="T788" s="7"/>
      <c r="U788" s="176"/>
    </row>
    <row r="789" spans="1:21">
      <c r="A789" s="3"/>
      <c r="B789" s="3"/>
      <c r="C789" s="3"/>
      <c r="D789" s="3"/>
      <c r="E789" s="4"/>
      <c r="F789" s="3"/>
      <c r="G789" s="3"/>
      <c r="H789" s="10"/>
      <c r="I789" s="187"/>
      <c r="J789" s="188"/>
      <c r="K789" s="188"/>
      <c r="L789" s="188"/>
      <c r="M789" s="188"/>
      <c r="N789" s="188"/>
      <c r="O789" s="188"/>
      <c r="P789" s="188"/>
      <c r="Q789" s="188"/>
      <c r="R789" s="188"/>
      <c r="S789" s="188"/>
      <c r="T789" s="7"/>
      <c r="U789" s="176"/>
    </row>
    <row r="790" spans="1:21">
      <c r="A790" s="3"/>
      <c r="B790" s="3"/>
      <c r="C790" s="3"/>
      <c r="D790" s="3"/>
      <c r="E790" s="4"/>
      <c r="F790" s="3"/>
      <c r="G790" s="3"/>
      <c r="H790" s="10"/>
      <c r="I790" s="187"/>
      <c r="J790" s="188"/>
      <c r="K790" s="188"/>
      <c r="L790" s="188"/>
      <c r="M790" s="188"/>
      <c r="N790" s="188"/>
      <c r="O790" s="188"/>
      <c r="P790" s="188"/>
      <c r="Q790" s="188"/>
      <c r="R790" s="188"/>
      <c r="S790" s="188"/>
      <c r="T790" s="7"/>
      <c r="U790" s="176"/>
    </row>
    <row r="791" spans="1:21">
      <c r="A791" s="3"/>
      <c r="B791" s="3"/>
      <c r="C791" s="3"/>
      <c r="D791" s="3"/>
      <c r="E791" s="4"/>
      <c r="F791" s="3"/>
      <c r="G791" s="3"/>
      <c r="H791" s="10"/>
      <c r="I791" s="187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7"/>
      <c r="U791" s="176"/>
    </row>
    <row r="792" spans="1:21">
      <c r="A792" s="3"/>
      <c r="B792" s="3"/>
      <c r="C792" s="3"/>
      <c r="D792" s="3"/>
      <c r="E792" s="4"/>
      <c r="F792" s="3"/>
      <c r="G792" s="3"/>
      <c r="H792" s="10"/>
      <c r="I792" s="187"/>
      <c r="J792" s="188"/>
      <c r="K792" s="188"/>
      <c r="L792" s="188"/>
      <c r="M792" s="188"/>
      <c r="N792" s="188"/>
      <c r="O792" s="188"/>
      <c r="P792" s="188"/>
      <c r="Q792" s="188"/>
      <c r="R792" s="188"/>
      <c r="S792" s="188"/>
      <c r="T792" s="7"/>
      <c r="U792" s="176"/>
    </row>
    <row r="793" spans="1:21">
      <c r="A793" s="3"/>
      <c r="B793" s="3"/>
      <c r="C793" s="3"/>
      <c r="D793" s="3"/>
      <c r="E793" s="4"/>
      <c r="F793" s="3"/>
      <c r="G793" s="3"/>
      <c r="H793" s="10"/>
      <c r="I793" s="187"/>
      <c r="J793" s="188"/>
      <c r="K793" s="188"/>
      <c r="L793" s="188"/>
      <c r="M793" s="188"/>
      <c r="N793" s="188"/>
      <c r="O793" s="188"/>
      <c r="P793" s="188"/>
      <c r="Q793" s="188"/>
      <c r="R793" s="188"/>
      <c r="S793" s="188"/>
      <c r="T793" s="7"/>
      <c r="U793" s="176"/>
    </row>
    <row r="794" spans="1:21">
      <c r="A794" s="3"/>
      <c r="B794" s="3"/>
      <c r="C794" s="3"/>
      <c r="D794" s="3"/>
      <c r="E794" s="4"/>
      <c r="F794" s="3"/>
      <c r="G794" s="3"/>
      <c r="H794" s="10"/>
      <c r="I794" s="187"/>
      <c r="J794" s="188"/>
      <c r="K794" s="188"/>
      <c r="L794" s="188"/>
      <c r="M794" s="188"/>
      <c r="N794" s="188"/>
      <c r="O794" s="188"/>
      <c r="P794" s="188"/>
      <c r="Q794" s="188"/>
      <c r="R794" s="188"/>
      <c r="S794" s="188"/>
      <c r="T794" s="7"/>
      <c r="U794" s="176"/>
    </row>
    <row r="795" spans="1:21">
      <c r="A795" s="3"/>
      <c r="B795" s="3"/>
      <c r="C795" s="3"/>
      <c r="D795" s="3"/>
      <c r="E795" s="4"/>
      <c r="F795" s="3"/>
      <c r="G795" s="3"/>
      <c r="H795" s="10"/>
      <c r="I795" s="187"/>
      <c r="J795" s="188"/>
      <c r="K795" s="188"/>
      <c r="L795" s="188"/>
      <c r="M795" s="188"/>
      <c r="N795" s="188"/>
      <c r="O795" s="188"/>
      <c r="P795" s="188"/>
      <c r="Q795" s="188"/>
      <c r="R795" s="188"/>
      <c r="S795" s="188"/>
      <c r="T795" s="7"/>
      <c r="U795" s="176"/>
    </row>
    <row r="796" spans="1:21">
      <c r="A796" s="3"/>
      <c r="B796" s="3"/>
      <c r="C796" s="3"/>
      <c r="D796" s="3"/>
      <c r="E796" s="4"/>
      <c r="F796" s="3"/>
      <c r="G796" s="3"/>
      <c r="H796" s="10"/>
      <c r="I796" s="187"/>
      <c r="J796" s="188"/>
      <c r="K796" s="188"/>
      <c r="L796" s="188"/>
      <c r="M796" s="188"/>
      <c r="N796" s="188"/>
      <c r="O796" s="188"/>
      <c r="P796" s="188"/>
      <c r="Q796" s="188"/>
      <c r="R796" s="188"/>
      <c r="S796" s="188"/>
      <c r="T796" s="7"/>
      <c r="U796" s="176"/>
    </row>
    <row r="797" spans="1:21">
      <c r="A797" s="3"/>
      <c r="B797" s="3"/>
      <c r="C797" s="3"/>
      <c r="D797" s="3"/>
      <c r="E797" s="4"/>
      <c r="F797" s="3"/>
      <c r="G797" s="3"/>
      <c r="H797" s="10"/>
      <c r="I797" s="187"/>
      <c r="J797" s="188"/>
      <c r="K797" s="188"/>
      <c r="L797" s="188"/>
      <c r="M797" s="188"/>
      <c r="N797" s="188"/>
      <c r="O797" s="188"/>
      <c r="P797" s="188"/>
      <c r="Q797" s="188"/>
      <c r="R797" s="188"/>
      <c r="S797" s="188"/>
      <c r="T797" s="7"/>
      <c r="U797" s="176"/>
    </row>
    <row r="798" spans="1:21">
      <c r="A798" s="3"/>
      <c r="B798" s="3"/>
      <c r="C798" s="3"/>
      <c r="D798" s="3"/>
      <c r="E798" s="4"/>
      <c r="F798" s="3"/>
      <c r="G798" s="3"/>
      <c r="H798" s="10"/>
      <c r="I798" s="187"/>
      <c r="J798" s="188"/>
      <c r="K798" s="188"/>
      <c r="L798" s="188"/>
      <c r="M798" s="188"/>
      <c r="N798" s="188"/>
      <c r="O798" s="188"/>
      <c r="P798" s="188"/>
      <c r="Q798" s="188"/>
      <c r="R798" s="188"/>
      <c r="S798" s="188"/>
      <c r="T798" s="7"/>
      <c r="U798" s="176"/>
    </row>
    <row r="799" spans="1:21">
      <c r="A799" s="3"/>
      <c r="B799" s="3"/>
      <c r="C799" s="3"/>
      <c r="D799" s="3"/>
      <c r="E799" s="4"/>
      <c r="F799" s="3"/>
      <c r="G799" s="3"/>
      <c r="H799" s="10"/>
      <c r="I799" s="187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7"/>
      <c r="U799" s="176"/>
    </row>
    <row r="800" spans="1:21">
      <c r="A800" s="3"/>
      <c r="B800" s="3"/>
      <c r="C800" s="3"/>
      <c r="D800" s="3"/>
      <c r="E800" s="4"/>
      <c r="F800" s="3"/>
      <c r="G800" s="3"/>
      <c r="H800" s="10"/>
      <c r="I800" s="187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7"/>
      <c r="U800" s="176"/>
    </row>
    <row r="801" spans="1:21">
      <c r="A801" s="3"/>
      <c r="B801" s="3"/>
      <c r="C801" s="3"/>
      <c r="D801" s="3"/>
      <c r="E801" s="4"/>
      <c r="F801" s="3"/>
      <c r="G801" s="3"/>
      <c r="H801" s="10"/>
      <c r="I801" s="187"/>
      <c r="J801" s="188"/>
      <c r="K801" s="188"/>
      <c r="L801" s="188"/>
      <c r="M801" s="188"/>
      <c r="N801" s="188"/>
      <c r="O801" s="188"/>
      <c r="P801" s="188"/>
      <c r="Q801" s="188"/>
      <c r="R801" s="188"/>
      <c r="S801" s="188"/>
      <c r="T801" s="7"/>
      <c r="U801" s="176"/>
    </row>
    <row r="802" spans="1:21">
      <c r="A802" s="3"/>
      <c r="B802" s="3"/>
      <c r="C802" s="3"/>
      <c r="D802" s="3"/>
      <c r="E802" s="4"/>
      <c r="F802" s="3"/>
      <c r="G802" s="3"/>
      <c r="H802" s="10"/>
      <c r="I802" s="187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7"/>
      <c r="U802" s="176"/>
    </row>
    <row r="803" spans="1:21">
      <c r="A803" s="3"/>
      <c r="B803" s="3"/>
      <c r="C803" s="3"/>
      <c r="D803" s="3"/>
      <c r="E803" s="4"/>
      <c r="F803" s="3"/>
      <c r="G803" s="3"/>
      <c r="H803" s="10"/>
      <c r="I803" s="187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7"/>
      <c r="U803" s="176"/>
    </row>
    <row r="804" spans="1:21">
      <c r="A804" s="3"/>
      <c r="B804" s="3"/>
      <c r="C804" s="3"/>
      <c r="D804" s="3"/>
      <c r="E804" s="4"/>
      <c r="F804" s="3"/>
      <c r="G804" s="3"/>
      <c r="H804" s="10"/>
      <c r="I804" s="187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7"/>
      <c r="U804" s="176"/>
    </row>
    <row r="805" spans="1:21">
      <c r="A805" s="3"/>
      <c r="B805" s="3"/>
      <c r="C805" s="3"/>
      <c r="D805" s="3"/>
      <c r="E805" s="4"/>
      <c r="F805" s="3"/>
      <c r="G805" s="3"/>
      <c r="H805" s="10"/>
      <c r="I805" s="187"/>
      <c r="J805" s="188"/>
      <c r="K805" s="188"/>
      <c r="L805" s="188"/>
      <c r="M805" s="188"/>
      <c r="N805" s="188"/>
      <c r="O805" s="188"/>
      <c r="P805" s="188"/>
      <c r="Q805" s="188"/>
      <c r="R805" s="188"/>
      <c r="S805" s="188"/>
      <c r="T805" s="7"/>
      <c r="U805" s="176"/>
    </row>
    <row r="806" spans="1:21">
      <c r="A806" s="3"/>
      <c r="B806" s="3"/>
      <c r="C806" s="3"/>
      <c r="D806" s="3"/>
      <c r="E806" s="4"/>
      <c r="F806" s="3"/>
      <c r="G806" s="3"/>
      <c r="H806" s="10"/>
      <c r="I806" s="187"/>
      <c r="J806" s="188"/>
      <c r="K806" s="188"/>
      <c r="L806" s="188"/>
      <c r="M806" s="188"/>
      <c r="N806" s="188"/>
      <c r="O806" s="188"/>
      <c r="P806" s="188"/>
      <c r="Q806" s="188"/>
      <c r="R806" s="188"/>
      <c r="S806" s="188"/>
      <c r="T806" s="7"/>
      <c r="U806" s="176"/>
    </row>
    <row r="807" spans="1:21">
      <c r="A807" s="3"/>
      <c r="B807" s="3"/>
      <c r="C807" s="3"/>
      <c r="D807" s="3"/>
      <c r="E807" s="4"/>
      <c r="F807" s="3"/>
      <c r="G807" s="3"/>
      <c r="H807" s="10"/>
      <c r="I807" s="187"/>
      <c r="J807" s="188"/>
      <c r="K807" s="188"/>
      <c r="L807" s="188"/>
      <c r="M807" s="188"/>
      <c r="N807" s="188"/>
      <c r="O807" s="188"/>
      <c r="P807" s="188"/>
      <c r="Q807" s="188"/>
      <c r="R807" s="188"/>
      <c r="S807" s="188"/>
      <c r="T807" s="7"/>
      <c r="U807" s="176"/>
    </row>
    <row r="808" spans="1:21">
      <c r="A808" s="3"/>
      <c r="B808" s="3"/>
      <c r="C808" s="3"/>
      <c r="D808" s="3"/>
      <c r="E808" s="4"/>
      <c r="F808" s="3"/>
      <c r="G808" s="3"/>
      <c r="H808" s="10"/>
      <c r="I808" s="187"/>
      <c r="J808" s="188"/>
      <c r="K808" s="188"/>
      <c r="L808" s="188"/>
      <c r="M808" s="188"/>
      <c r="N808" s="188"/>
      <c r="O808" s="188"/>
      <c r="P808" s="188"/>
      <c r="Q808" s="188"/>
      <c r="R808" s="188"/>
      <c r="S808" s="188"/>
      <c r="T808" s="7"/>
      <c r="U808" s="176"/>
    </row>
    <row r="809" spans="1:21">
      <c r="A809" s="3"/>
      <c r="B809" s="3"/>
      <c r="C809" s="3"/>
      <c r="D809" s="3"/>
      <c r="E809" s="4"/>
      <c r="F809" s="3"/>
      <c r="G809" s="3"/>
      <c r="H809" s="10"/>
      <c r="I809" s="187"/>
      <c r="J809" s="188"/>
      <c r="K809" s="188"/>
      <c r="L809" s="188"/>
      <c r="M809" s="188"/>
      <c r="N809" s="188"/>
      <c r="O809" s="188"/>
      <c r="P809" s="188"/>
      <c r="Q809" s="188"/>
      <c r="R809" s="188"/>
      <c r="S809" s="188"/>
      <c r="T809" s="7"/>
      <c r="U809" s="176"/>
    </row>
    <row r="810" spans="1:21">
      <c r="A810" s="3"/>
      <c r="B810" s="3"/>
      <c r="C810" s="3"/>
      <c r="D810" s="3"/>
      <c r="E810" s="4"/>
      <c r="F810" s="3"/>
      <c r="G810" s="3"/>
      <c r="H810" s="10"/>
      <c r="I810" s="187"/>
      <c r="J810" s="188"/>
      <c r="K810" s="188"/>
      <c r="L810" s="188"/>
      <c r="M810" s="188"/>
      <c r="N810" s="188"/>
      <c r="O810" s="188"/>
      <c r="P810" s="188"/>
      <c r="Q810" s="188"/>
      <c r="R810" s="188"/>
      <c r="S810" s="188"/>
      <c r="T810" s="7"/>
      <c r="U810" s="176"/>
    </row>
    <row r="811" spans="1:21">
      <c r="A811" s="3"/>
      <c r="B811" s="3"/>
      <c r="C811" s="3"/>
      <c r="D811" s="3"/>
      <c r="E811" s="4"/>
      <c r="F811" s="3"/>
      <c r="G811" s="3"/>
      <c r="H811" s="10"/>
      <c r="I811" s="187"/>
      <c r="J811" s="188"/>
      <c r="K811" s="188"/>
      <c r="L811" s="188"/>
      <c r="M811" s="188"/>
      <c r="N811" s="188"/>
      <c r="O811" s="188"/>
      <c r="P811" s="188"/>
      <c r="Q811" s="188"/>
      <c r="R811" s="188"/>
      <c r="S811" s="188"/>
      <c r="T811" s="7"/>
      <c r="U811" s="176"/>
    </row>
    <row r="812" spans="1:21">
      <c r="A812" s="3"/>
      <c r="B812" s="3"/>
      <c r="C812" s="3"/>
      <c r="D812" s="3"/>
      <c r="E812" s="4"/>
      <c r="F812" s="3"/>
      <c r="G812" s="3"/>
      <c r="H812" s="10"/>
      <c r="I812" s="187"/>
      <c r="J812" s="188"/>
      <c r="K812" s="188"/>
      <c r="L812" s="188"/>
      <c r="M812" s="188"/>
      <c r="N812" s="188"/>
      <c r="O812" s="188"/>
      <c r="P812" s="188"/>
      <c r="Q812" s="188"/>
      <c r="R812" s="188"/>
      <c r="S812" s="188"/>
      <c r="T812" s="7"/>
      <c r="U812" s="176"/>
    </row>
    <row r="813" spans="1:21">
      <c r="A813" s="3"/>
      <c r="B813" s="3"/>
      <c r="C813" s="3"/>
      <c r="D813" s="3"/>
      <c r="E813" s="4"/>
      <c r="F813" s="3"/>
      <c r="G813" s="3"/>
      <c r="H813" s="10"/>
      <c r="I813" s="187"/>
      <c r="J813" s="188"/>
      <c r="K813" s="188"/>
      <c r="L813" s="188"/>
      <c r="M813" s="188"/>
      <c r="N813" s="188"/>
      <c r="O813" s="188"/>
      <c r="P813" s="188"/>
      <c r="Q813" s="188"/>
      <c r="R813" s="188"/>
      <c r="S813" s="188"/>
      <c r="T813" s="7"/>
      <c r="U813" s="176"/>
    </row>
    <row r="814" spans="1:21">
      <c r="A814" s="3"/>
      <c r="B814" s="3"/>
      <c r="C814" s="3"/>
      <c r="D814" s="3"/>
      <c r="E814" s="4"/>
      <c r="F814" s="3"/>
      <c r="G814" s="3"/>
      <c r="H814" s="10"/>
      <c r="I814" s="187"/>
      <c r="J814" s="188"/>
      <c r="K814" s="188"/>
      <c r="L814" s="188"/>
      <c r="M814" s="188"/>
      <c r="N814" s="188"/>
      <c r="O814" s="188"/>
      <c r="P814" s="188"/>
      <c r="Q814" s="188"/>
      <c r="R814" s="188"/>
      <c r="S814" s="188"/>
      <c r="T814" s="7"/>
      <c r="U814" s="176"/>
    </row>
    <row r="815" spans="1:21">
      <c r="A815" s="3"/>
      <c r="B815" s="3"/>
      <c r="C815" s="3"/>
      <c r="D815" s="3"/>
      <c r="E815" s="4"/>
      <c r="F815" s="3"/>
      <c r="G815" s="3"/>
      <c r="H815" s="10"/>
      <c r="I815" s="187"/>
      <c r="J815" s="188"/>
      <c r="K815" s="188"/>
      <c r="L815" s="188"/>
      <c r="M815" s="188"/>
      <c r="N815" s="188"/>
      <c r="O815" s="188"/>
      <c r="P815" s="188"/>
      <c r="Q815" s="188"/>
      <c r="R815" s="188"/>
      <c r="S815" s="188"/>
      <c r="T815" s="7"/>
      <c r="U815" s="176"/>
    </row>
    <row r="816" spans="1:21">
      <c r="A816" s="3"/>
      <c r="B816" s="3"/>
      <c r="C816" s="3"/>
      <c r="D816" s="3"/>
      <c r="E816" s="4"/>
      <c r="F816" s="3"/>
      <c r="G816" s="3"/>
      <c r="H816" s="10"/>
      <c r="I816" s="187"/>
      <c r="J816" s="188"/>
      <c r="K816" s="188"/>
      <c r="L816" s="188"/>
      <c r="M816" s="188"/>
      <c r="N816" s="188"/>
      <c r="O816" s="188"/>
      <c r="P816" s="188"/>
      <c r="Q816" s="188"/>
      <c r="R816" s="188"/>
      <c r="S816" s="188"/>
      <c r="T816" s="7"/>
      <c r="U816" s="176"/>
    </row>
    <row r="817" spans="1:21">
      <c r="A817" s="3"/>
      <c r="B817" s="3"/>
      <c r="C817" s="3"/>
      <c r="D817" s="3"/>
      <c r="E817" s="4"/>
      <c r="F817" s="3"/>
      <c r="G817" s="3"/>
      <c r="H817" s="10"/>
      <c r="I817" s="187"/>
      <c r="J817" s="188"/>
      <c r="K817" s="188"/>
      <c r="L817" s="188"/>
      <c r="M817" s="188"/>
      <c r="N817" s="188"/>
      <c r="O817" s="188"/>
      <c r="P817" s="188"/>
      <c r="Q817" s="188"/>
      <c r="R817" s="188"/>
      <c r="S817" s="188"/>
      <c r="T817" s="7"/>
      <c r="U817" s="176"/>
    </row>
    <row r="818" spans="1:21">
      <c r="A818" s="3"/>
      <c r="B818" s="3"/>
      <c r="C818" s="3"/>
      <c r="D818" s="3"/>
      <c r="E818" s="4"/>
      <c r="F818" s="3"/>
      <c r="G818" s="3"/>
      <c r="H818" s="10"/>
      <c r="I818" s="187"/>
      <c r="J818" s="188"/>
      <c r="K818" s="188"/>
      <c r="L818" s="188"/>
      <c r="M818" s="188"/>
      <c r="N818" s="188"/>
      <c r="O818" s="188"/>
      <c r="P818" s="188"/>
      <c r="Q818" s="188"/>
      <c r="R818" s="188"/>
      <c r="S818" s="188"/>
      <c r="T818" s="7"/>
      <c r="U818" s="176"/>
    </row>
    <row r="819" spans="1:21">
      <c r="A819" s="3"/>
      <c r="B819" s="3"/>
      <c r="C819" s="3"/>
      <c r="D819" s="3"/>
      <c r="E819" s="4"/>
      <c r="F819" s="3"/>
      <c r="G819" s="3"/>
      <c r="H819" s="10"/>
      <c r="I819" s="187"/>
      <c r="J819" s="188"/>
      <c r="K819" s="188"/>
      <c r="L819" s="188"/>
      <c r="M819" s="188"/>
      <c r="N819" s="188"/>
      <c r="O819" s="188"/>
      <c r="P819" s="188"/>
      <c r="Q819" s="188"/>
      <c r="R819" s="188"/>
      <c r="S819" s="188"/>
      <c r="T819" s="7"/>
      <c r="U819" s="176"/>
    </row>
    <row r="820" spans="1:21">
      <c r="A820" s="3"/>
      <c r="B820" s="3"/>
      <c r="C820" s="3"/>
      <c r="D820" s="3"/>
      <c r="E820" s="4"/>
      <c r="F820" s="3"/>
      <c r="G820" s="3"/>
      <c r="H820" s="10"/>
      <c r="I820" s="187"/>
      <c r="J820" s="188"/>
      <c r="K820" s="188"/>
      <c r="L820" s="188"/>
      <c r="M820" s="188"/>
      <c r="N820" s="188"/>
      <c r="O820" s="188"/>
      <c r="P820" s="188"/>
      <c r="Q820" s="188"/>
      <c r="R820" s="188"/>
      <c r="S820" s="188"/>
      <c r="T820" s="7"/>
      <c r="U820" s="176"/>
    </row>
    <row r="821" spans="1:21">
      <c r="A821" s="3"/>
      <c r="B821" s="3"/>
      <c r="C821" s="3"/>
      <c r="D821" s="3"/>
      <c r="E821" s="4"/>
      <c r="F821" s="3"/>
      <c r="G821" s="3"/>
      <c r="H821" s="10"/>
      <c r="I821" s="187"/>
      <c r="J821" s="188"/>
      <c r="K821" s="188"/>
      <c r="L821" s="188"/>
      <c r="M821" s="188"/>
      <c r="N821" s="188"/>
      <c r="O821" s="188"/>
      <c r="P821" s="188"/>
      <c r="Q821" s="188"/>
      <c r="R821" s="188"/>
      <c r="S821" s="188"/>
      <c r="T821" s="7"/>
      <c r="U821" s="176"/>
    </row>
    <row r="822" spans="1:21">
      <c r="A822" s="3"/>
      <c r="B822" s="3"/>
      <c r="C822" s="3"/>
      <c r="D822" s="3"/>
      <c r="E822" s="4"/>
      <c r="F822" s="3"/>
      <c r="G822" s="3"/>
      <c r="H822" s="10"/>
      <c r="I822" s="187"/>
      <c r="J822" s="188"/>
      <c r="K822" s="188"/>
      <c r="L822" s="188"/>
      <c r="M822" s="188"/>
      <c r="N822" s="188"/>
      <c r="O822" s="188"/>
      <c r="P822" s="188"/>
      <c r="Q822" s="188"/>
      <c r="R822" s="188"/>
      <c r="S822" s="188"/>
      <c r="T822" s="7"/>
      <c r="U822" s="176"/>
    </row>
    <row r="823" spans="1:21">
      <c r="A823" s="3"/>
      <c r="B823" s="3"/>
      <c r="C823" s="3"/>
      <c r="D823" s="3"/>
      <c r="E823" s="4"/>
      <c r="F823" s="3"/>
      <c r="G823" s="3"/>
      <c r="H823" s="10"/>
      <c r="I823" s="187"/>
      <c r="J823" s="188"/>
      <c r="K823" s="188"/>
      <c r="L823" s="188"/>
      <c r="M823" s="188"/>
      <c r="N823" s="188"/>
      <c r="O823" s="188"/>
      <c r="P823" s="188"/>
      <c r="Q823" s="188"/>
      <c r="R823" s="188"/>
      <c r="S823" s="188"/>
      <c r="T823" s="7"/>
      <c r="U823" s="176"/>
    </row>
    <row r="824" spans="1:21">
      <c r="A824" s="3"/>
      <c r="B824" s="3"/>
      <c r="C824" s="3"/>
      <c r="D824" s="3"/>
      <c r="E824" s="4"/>
      <c r="F824" s="3"/>
      <c r="G824" s="3"/>
      <c r="H824" s="10"/>
      <c r="I824" s="187"/>
      <c r="J824" s="188"/>
      <c r="K824" s="188"/>
      <c r="L824" s="188"/>
      <c r="M824" s="188"/>
      <c r="N824" s="188"/>
      <c r="O824" s="188"/>
      <c r="P824" s="188"/>
      <c r="Q824" s="188"/>
      <c r="R824" s="188"/>
      <c r="S824" s="188"/>
      <c r="T824" s="7"/>
      <c r="U824" s="176"/>
    </row>
    <row r="825" spans="1:21">
      <c r="A825" s="3"/>
      <c r="B825" s="3"/>
      <c r="C825" s="3"/>
      <c r="D825" s="3"/>
      <c r="E825" s="4"/>
      <c r="F825" s="3"/>
      <c r="G825" s="3"/>
      <c r="H825" s="10"/>
      <c r="I825" s="187"/>
      <c r="J825" s="188"/>
      <c r="K825" s="188"/>
      <c r="L825" s="188"/>
      <c r="M825" s="188"/>
      <c r="N825" s="188"/>
      <c r="O825" s="188"/>
      <c r="P825" s="188"/>
      <c r="Q825" s="188"/>
      <c r="R825" s="188"/>
      <c r="S825" s="188"/>
      <c r="T825" s="7"/>
      <c r="U825" s="176"/>
    </row>
    <row r="826" spans="1:21">
      <c r="A826" s="3"/>
      <c r="B826" s="3"/>
      <c r="C826" s="3"/>
      <c r="D826" s="3"/>
      <c r="E826" s="4"/>
      <c r="F826" s="3"/>
      <c r="G826" s="3"/>
      <c r="H826" s="10"/>
      <c r="I826" s="187"/>
      <c r="J826" s="188"/>
      <c r="K826" s="188"/>
      <c r="L826" s="188"/>
      <c r="M826" s="188"/>
      <c r="N826" s="188"/>
      <c r="O826" s="188"/>
      <c r="P826" s="188"/>
      <c r="Q826" s="188"/>
      <c r="R826" s="188"/>
      <c r="S826" s="188"/>
      <c r="T826" s="7"/>
      <c r="U826" s="176"/>
    </row>
    <row r="827" spans="1:21">
      <c r="A827" s="3"/>
      <c r="B827" s="3"/>
      <c r="C827" s="3"/>
      <c r="D827" s="3"/>
      <c r="E827" s="4"/>
      <c r="F827" s="3"/>
      <c r="G827" s="3"/>
      <c r="H827" s="10"/>
      <c r="I827" s="187"/>
      <c r="J827" s="188"/>
      <c r="K827" s="188"/>
      <c r="L827" s="188"/>
      <c r="M827" s="188"/>
      <c r="N827" s="188"/>
      <c r="O827" s="188"/>
      <c r="P827" s="188"/>
      <c r="Q827" s="188"/>
      <c r="R827" s="188"/>
      <c r="S827" s="188"/>
      <c r="T827" s="7"/>
      <c r="U827" s="176"/>
    </row>
    <row r="828" spans="1:21">
      <c r="A828" s="3"/>
      <c r="B828" s="3"/>
      <c r="C828" s="3"/>
      <c r="D828" s="3"/>
      <c r="E828" s="4"/>
      <c r="F828" s="3"/>
      <c r="G828" s="3"/>
      <c r="H828" s="10"/>
      <c r="I828" s="187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7"/>
      <c r="U828" s="176"/>
    </row>
    <row r="829" spans="1:21">
      <c r="A829" s="3"/>
      <c r="B829" s="3"/>
      <c r="C829" s="3"/>
      <c r="D829" s="3"/>
      <c r="E829" s="4"/>
      <c r="F829" s="3"/>
      <c r="G829" s="3"/>
      <c r="H829" s="10"/>
      <c r="I829" s="187"/>
      <c r="J829" s="188"/>
      <c r="K829" s="188"/>
      <c r="L829" s="188"/>
      <c r="M829" s="188"/>
      <c r="N829" s="188"/>
      <c r="O829" s="188"/>
      <c r="P829" s="188"/>
      <c r="Q829" s="188"/>
      <c r="R829" s="188"/>
      <c r="S829" s="188"/>
      <c r="T829" s="7"/>
      <c r="U829" s="176"/>
    </row>
    <row r="830" spans="1:21">
      <c r="A830" s="3"/>
      <c r="B830" s="3"/>
      <c r="C830" s="3"/>
      <c r="D830" s="3"/>
      <c r="E830" s="4"/>
      <c r="F830" s="3"/>
      <c r="G830" s="3"/>
      <c r="H830" s="10"/>
      <c r="I830" s="187"/>
      <c r="J830" s="188"/>
      <c r="K830" s="188"/>
      <c r="L830" s="188"/>
      <c r="M830" s="188"/>
      <c r="N830" s="188"/>
      <c r="O830" s="188"/>
      <c r="P830" s="188"/>
      <c r="Q830" s="188"/>
      <c r="R830" s="188"/>
      <c r="S830" s="188"/>
      <c r="T830" s="7"/>
      <c r="U830" s="176"/>
    </row>
    <row r="831" spans="1:21">
      <c r="A831" s="3"/>
      <c r="B831" s="3"/>
      <c r="C831" s="3"/>
      <c r="D831" s="3"/>
      <c r="E831" s="4"/>
      <c r="F831" s="3"/>
      <c r="G831" s="3"/>
      <c r="H831" s="10"/>
      <c r="I831" s="187"/>
      <c r="J831" s="188"/>
      <c r="K831" s="188"/>
      <c r="L831" s="188"/>
      <c r="M831" s="188"/>
      <c r="N831" s="188"/>
      <c r="O831" s="188"/>
      <c r="P831" s="188"/>
      <c r="Q831" s="188"/>
      <c r="R831" s="188"/>
      <c r="S831" s="188"/>
      <c r="T831" s="7"/>
      <c r="U831" s="176"/>
    </row>
    <row r="832" spans="1:21">
      <c r="A832" s="3"/>
      <c r="B832" s="3"/>
      <c r="C832" s="3"/>
      <c r="D832" s="3"/>
      <c r="E832" s="4"/>
      <c r="F832" s="3"/>
      <c r="G832" s="3"/>
      <c r="H832" s="10"/>
      <c r="I832" s="187"/>
      <c r="J832" s="188"/>
      <c r="K832" s="188"/>
      <c r="L832" s="188"/>
      <c r="M832" s="188"/>
      <c r="N832" s="188"/>
      <c r="O832" s="188"/>
      <c r="P832" s="188"/>
      <c r="Q832" s="188"/>
      <c r="R832" s="188"/>
      <c r="S832" s="188"/>
      <c r="T832" s="7"/>
      <c r="U832" s="176"/>
    </row>
    <row r="833" spans="1:21">
      <c r="A833" s="3"/>
      <c r="B833" s="3"/>
      <c r="C833" s="3"/>
      <c r="D833" s="3"/>
      <c r="E833" s="4"/>
      <c r="F833" s="3"/>
      <c r="G833" s="3"/>
      <c r="H833" s="10"/>
      <c r="I833" s="187"/>
      <c r="J833" s="188"/>
      <c r="K833" s="188"/>
      <c r="L833" s="188"/>
      <c r="M833" s="188"/>
      <c r="N833" s="188"/>
      <c r="O833" s="188"/>
      <c r="P833" s="188"/>
      <c r="Q833" s="188"/>
      <c r="R833" s="188"/>
      <c r="S833" s="188"/>
      <c r="T833" s="7"/>
      <c r="U833" s="176"/>
    </row>
    <row r="834" spans="1:21">
      <c r="A834" s="3"/>
      <c r="B834" s="3"/>
      <c r="C834" s="3"/>
      <c r="D834" s="3"/>
      <c r="E834" s="4"/>
      <c r="F834" s="3"/>
      <c r="G834" s="3"/>
      <c r="H834" s="10"/>
      <c r="I834" s="187"/>
      <c r="J834" s="188"/>
      <c r="K834" s="188"/>
      <c r="L834" s="188"/>
      <c r="M834" s="188"/>
      <c r="N834" s="188"/>
      <c r="O834" s="188"/>
      <c r="P834" s="188"/>
      <c r="Q834" s="188"/>
      <c r="R834" s="188"/>
      <c r="S834" s="188"/>
      <c r="T834" s="7"/>
      <c r="U834" s="176"/>
    </row>
    <row r="835" spans="1:21">
      <c r="A835" s="3"/>
      <c r="B835" s="3"/>
      <c r="C835" s="3"/>
      <c r="D835" s="3"/>
      <c r="E835" s="4"/>
      <c r="F835" s="3"/>
      <c r="G835" s="3"/>
      <c r="H835" s="10"/>
      <c r="I835" s="187"/>
      <c r="J835" s="188"/>
      <c r="K835" s="188"/>
      <c r="L835" s="188"/>
      <c r="M835" s="188"/>
      <c r="N835" s="188"/>
      <c r="O835" s="188"/>
      <c r="P835" s="188"/>
      <c r="Q835" s="188"/>
      <c r="R835" s="188"/>
      <c r="S835" s="188"/>
      <c r="T835" s="7"/>
      <c r="U835" s="176"/>
    </row>
    <row r="836" spans="1:21">
      <c r="A836" s="3"/>
      <c r="B836" s="3"/>
      <c r="C836" s="3"/>
      <c r="D836" s="3"/>
      <c r="E836" s="4"/>
      <c r="F836" s="3"/>
      <c r="G836" s="3"/>
      <c r="H836" s="10"/>
      <c r="I836" s="187"/>
      <c r="J836" s="188"/>
      <c r="K836" s="188"/>
      <c r="L836" s="188"/>
      <c r="M836" s="188"/>
      <c r="N836" s="188"/>
      <c r="O836" s="188"/>
      <c r="P836" s="188"/>
      <c r="Q836" s="188"/>
      <c r="R836" s="188"/>
      <c r="S836" s="188"/>
      <c r="T836" s="7"/>
      <c r="U836" s="176"/>
    </row>
    <row r="837" spans="1:21">
      <c r="A837" s="3"/>
      <c r="B837" s="3"/>
      <c r="C837" s="3"/>
      <c r="D837" s="3"/>
      <c r="E837" s="4"/>
      <c r="F837" s="3"/>
      <c r="G837" s="3"/>
      <c r="H837" s="10"/>
      <c r="I837" s="187"/>
      <c r="J837" s="188"/>
      <c r="K837" s="188"/>
      <c r="L837" s="188"/>
      <c r="M837" s="188"/>
      <c r="N837" s="188"/>
      <c r="O837" s="188"/>
      <c r="P837" s="188"/>
      <c r="Q837" s="188"/>
      <c r="R837" s="188"/>
      <c r="S837" s="188"/>
      <c r="T837" s="7"/>
      <c r="U837" s="176"/>
    </row>
    <row r="838" spans="1:21">
      <c r="A838" s="3"/>
      <c r="B838" s="3"/>
      <c r="C838" s="3"/>
      <c r="D838" s="3"/>
      <c r="E838" s="4"/>
      <c r="F838" s="3"/>
      <c r="G838" s="3"/>
      <c r="H838" s="10"/>
      <c r="I838" s="187"/>
      <c r="J838" s="188"/>
      <c r="K838" s="188"/>
      <c r="L838" s="188"/>
      <c r="M838" s="188"/>
      <c r="N838" s="188"/>
      <c r="O838" s="188"/>
      <c r="P838" s="188"/>
      <c r="Q838" s="188"/>
      <c r="R838" s="188"/>
      <c r="S838" s="188"/>
      <c r="T838" s="7"/>
      <c r="U838" s="176"/>
    </row>
    <row r="839" spans="1:21">
      <c r="A839" s="3"/>
      <c r="B839" s="3"/>
      <c r="C839" s="3"/>
      <c r="D839" s="3"/>
      <c r="E839" s="4"/>
      <c r="F839" s="3"/>
      <c r="G839" s="3"/>
      <c r="H839" s="10"/>
      <c r="I839" s="187"/>
      <c r="J839" s="188"/>
      <c r="K839" s="188"/>
      <c r="L839" s="188"/>
      <c r="M839" s="188"/>
      <c r="N839" s="188"/>
      <c r="O839" s="188"/>
      <c r="P839" s="188"/>
      <c r="Q839" s="188"/>
      <c r="R839" s="188"/>
      <c r="S839" s="188"/>
      <c r="T839" s="7"/>
      <c r="U839" s="176"/>
    </row>
    <row r="840" spans="1:21">
      <c r="A840" s="3"/>
      <c r="B840" s="3"/>
      <c r="C840" s="3"/>
      <c r="D840" s="3"/>
      <c r="E840" s="4"/>
      <c r="F840" s="3"/>
      <c r="G840" s="3"/>
      <c r="H840" s="10"/>
      <c r="I840" s="187"/>
      <c r="J840" s="188"/>
      <c r="K840" s="188"/>
      <c r="L840" s="188"/>
      <c r="M840" s="188"/>
      <c r="N840" s="188"/>
      <c r="O840" s="188"/>
      <c r="P840" s="188"/>
      <c r="Q840" s="188"/>
      <c r="R840" s="188"/>
      <c r="S840" s="188"/>
      <c r="T840" s="7"/>
      <c r="U840" s="176"/>
    </row>
    <row r="841" spans="1:21">
      <c r="A841" s="3"/>
      <c r="B841" s="3"/>
      <c r="C841" s="3"/>
      <c r="D841" s="3"/>
      <c r="E841" s="4"/>
      <c r="F841" s="3"/>
      <c r="G841" s="3"/>
      <c r="H841" s="10"/>
      <c r="I841" s="187"/>
      <c r="J841" s="188"/>
      <c r="K841" s="188"/>
      <c r="L841" s="188"/>
      <c r="M841" s="188"/>
      <c r="N841" s="188"/>
      <c r="O841" s="188"/>
      <c r="P841" s="188"/>
      <c r="Q841" s="188"/>
      <c r="R841" s="188"/>
      <c r="S841" s="188"/>
      <c r="T841" s="7"/>
      <c r="U841" s="176"/>
    </row>
    <row r="842" spans="1:21">
      <c r="A842" s="3"/>
      <c r="B842" s="3"/>
      <c r="C842" s="3"/>
      <c r="D842" s="3"/>
      <c r="E842" s="4"/>
      <c r="F842" s="3"/>
      <c r="G842" s="3"/>
      <c r="H842" s="10"/>
      <c r="I842" s="187"/>
      <c r="J842" s="188"/>
      <c r="K842" s="188"/>
      <c r="L842" s="188"/>
      <c r="M842" s="188"/>
      <c r="N842" s="188"/>
      <c r="O842" s="188"/>
      <c r="P842" s="188"/>
      <c r="Q842" s="188"/>
      <c r="R842" s="188"/>
      <c r="S842" s="188"/>
      <c r="T842" s="7"/>
      <c r="U842" s="176"/>
    </row>
    <row r="843" spans="1:21">
      <c r="A843" s="3"/>
      <c r="B843" s="3"/>
      <c r="C843" s="3"/>
      <c r="D843" s="3"/>
      <c r="E843" s="4"/>
      <c r="F843" s="3"/>
      <c r="G843" s="3"/>
      <c r="H843" s="10"/>
      <c r="I843" s="187"/>
      <c r="J843" s="188"/>
      <c r="K843" s="188"/>
      <c r="L843" s="188"/>
      <c r="M843" s="188"/>
      <c r="N843" s="188"/>
      <c r="O843" s="188"/>
      <c r="P843" s="188"/>
      <c r="Q843" s="188"/>
      <c r="R843" s="188"/>
      <c r="S843" s="188"/>
      <c r="T843" s="7"/>
      <c r="U843" s="176"/>
    </row>
    <row r="844" spans="1:21">
      <c r="A844" s="3"/>
      <c r="B844" s="3"/>
      <c r="C844" s="3"/>
      <c r="D844" s="3"/>
      <c r="E844" s="4"/>
      <c r="F844" s="3"/>
      <c r="G844" s="3"/>
      <c r="H844" s="10"/>
      <c r="I844" s="187"/>
      <c r="J844" s="188"/>
      <c r="K844" s="188"/>
      <c r="L844" s="188"/>
      <c r="M844" s="188"/>
      <c r="N844" s="188"/>
      <c r="O844" s="188"/>
      <c r="P844" s="188"/>
      <c r="Q844" s="188"/>
      <c r="R844" s="188"/>
      <c r="S844" s="188"/>
      <c r="T844" s="7"/>
      <c r="U844" s="176"/>
    </row>
    <row r="845" spans="1:21">
      <c r="A845" s="3"/>
      <c r="B845" s="3"/>
      <c r="C845" s="3"/>
      <c r="D845" s="3"/>
      <c r="E845" s="4"/>
      <c r="F845" s="3"/>
      <c r="G845" s="3"/>
      <c r="H845" s="10"/>
      <c r="I845" s="187"/>
      <c r="J845" s="188"/>
      <c r="K845" s="188"/>
      <c r="L845" s="188"/>
      <c r="M845" s="188"/>
      <c r="N845" s="188"/>
      <c r="O845" s="188"/>
      <c r="P845" s="188"/>
      <c r="Q845" s="188"/>
      <c r="R845" s="188"/>
      <c r="S845" s="188"/>
      <c r="T845" s="7"/>
      <c r="U845" s="176"/>
    </row>
    <row r="846" spans="1:21">
      <c r="A846" s="3"/>
      <c r="B846" s="3"/>
      <c r="C846" s="3"/>
      <c r="D846" s="3"/>
      <c r="E846" s="4"/>
      <c r="F846" s="3"/>
      <c r="G846" s="3"/>
      <c r="H846" s="10"/>
      <c r="I846" s="187"/>
      <c r="J846" s="188"/>
      <c r="K846" s="188"/>
      <c r="L846" s="188"/>
      <c r="M846" s="188"/>
      <c r="N846" s="188"/>
      <c r="O846" s="188"/>
      <c r="P846" s="188"/>
      <c r="Q846" s="188"/>
      <c r="R846" s="188"/>
      <c r="S846" s="188"/>
      <c r="T846" s="7"/>
      <c r="U846" s="176"/>
    </row>
    <row r="847" spans="1:21">
      <c r="A847" s="3"/>
      <c r="B847" s="3"/>
      <c r="C847" s="3"/>
      <c r="D847" s="3"/>
      <c r="E847" s="4"/>
      <c r="F847" s="3"/>
      <c r="G847" s="3"/>
      <c r="H847" s="10"/>
      <c r="I847" s="187"/>
      <c r="J847" s="188"/>
      <c r="K847" s="188"/>
      <c r="L847" s="188"/>
      <c r="M847" s="188"/>
      <c r="N847" s="188"/>
      <c r="O847" s="188"/>
      <c r="P847" s="188"/>
      <c r="Q847" s="188"/>
      <c r="R847" s="188"/>
      <c r="S847" s="188"/>
      <c r="T847" s="7"/>
      <c r="U847" s="176"/>
    </row>
    <row r="848" spans="1:21">
      <c r="A848" s="3"/>
      <c r="B848" s="3"/>
      <c r="C848" s="3"/>
      <c r="D848" s="3"/>
      <c r="E848" s="4"/>
      <c r="F848" s="3"/>
      <c r="G848" s="3"/>
      <c r="H848" s="10"/>
      <c r="I848" s="187"/>
      <c r="J848" s="188"/>
      <c r="K848" s="188"/>
      <c r="L848" s="188"/>
      <c r="M848" s="188"/>
      <c r="N848" s="188"/>
      <c r="O848" s="188"/>
      <c r="P848" s="188"/>
      <c r="Q848" s="188"/>
      <c r="R848" s="188"/>
      <c r="S848" s="188"/>
      <c r="T848" s="7"/>
      <c r="U848" s="176"/>
    </row>
    <row r="849" spans="1:21">
      <c r="A849" s="3"/>
      <c r="B849" s="3"/>
      <c r="C849" s="3"/>
      <c r="D849" s="3"/>
      <c r="E849" s="4"/>
      <c r="F849" s="3"/>
      <c r="G849" s="3"/>
      <c r="H849" s="10"/>
      <c r="I849" s="187"/>
      <c r="J849" s="188"/>
      <c r="K849" s="188"/>
      <c r="L849" s="188"/>
      <c r="M849" s="188"/>
      <c r="N849" s="188"/>
      <c r="O849" s="188"/>
      <c r="P849" s="188"/>
      <c r="Q849" s="188"/>
      <c r="R849" s="188"/>
      <c r="S849" s="188"/>
      <c r="T849" s="7"/>
      <c r="U849" s="176"/>
    </row>
    <row r="850" spans="1:21">
      <c r="A850" s="3"/>
      <c r="B850" s="3"/>
      <c r="C850" s="3"/>
      <c r="D850" s="3"/>
      <c r="E850" s="4"/>
      <c r="F850" s="3"/>
      <c r="G850" s="3"/>
      <c r="H850" s="10"/>
      <c r="I850" s="187"/>
      <c r="J850" s="188"/>
      <c r="K850" s="188"/>
      <c r="L850" s="188"/>
      <c r="M850" s="188"/>
      <c r="N850" s="188"/>
      <c r="O850" s="188"/>
      <c r="P850" s="188"/>
      <c r="Q850" s="188"/>
      <c r="R850" s="188"/>
      <c r="S850" s="188"/>
      <c r="T850" s="7"/>
      <c r="U850" s="176"/>
    </row>
    <row r="851" spans="1:21">
      <c r="A851" s="3"/>
      <c r="B851" s="3"/>
      <c r="C851" s="3"/>
      <c r="D851" s="3"/>
      <c r="E851" s="4"/>
      <c r="F851" s="3"/>
      <c r="G851" s="3"/>
      <c r="H851" s="10"/>
      <c r="I851" s="187"/>
      <c r="J851" s="188"/>
      <c r="K851" s="188"/>
      <c r="L851" s="188"/>
      <c r="M851" s="188"/>
      <c r="N851" s="188"/>
      <c r="O851" s="188"/>
      <c r="P851" s="188"/>
      <c r="Q851" s="188"/>
      <c r="R851" s="188"/>
      <c r="S851" s="188"/>
      <c r="T851" s="7"/>
      <c r="U851" s="176"/>
    </row>
    <row r="852" spans="1:21">
      <c r="A852" s="3"/>
      <c r="B852" s="3"/>
      <c r="C852" s="3"/>
      <c r="D852" s="3"/>
      <c r="E852" s="4"/>
      <c r="F852" s="3"/>
      <c r="G852" s="3"/>
      <c r="H852" s="10"/>
      <c r="I852" s="187"/>
      <c r="J852" s="188"/>
      <c r="K852" s="188"/>
      <c r="L852" s="188"/>
      <c r="M852" s="188"/>
      <c r="N852" s="188"/>
      <c r="O852" s="188"/>
      <c r="P852" s="188"/>
      <c r="Q852" s="188"/>
      <c r="R852" s="188"/>
      <c r="S852" s="188"/>
      <c r="T852" s="7"/>
      <c r="U852" s="176"/>
    </row>
    <row r="853" spans="1:21">
      <c r="A853" s="3"/>
      <c r="B853" s="3"/>
      <c r="C853" s="3"/>
      <c r="D853" s="3"/>
      <c r="E853" s="4"/>
      <c r="F853" s="3"/>
      <c r="G853" s="3"/>
      <c r="H853" s="10"/>
      <c r="I853" s="187"/>
      <c r="J853" s="188"/>
      <c r="K853" s="188"/>
      <c r="L853" s="188"/>
      <c r="M853" s="188"/>
      <c r="N853" s="188"/>
      <c r="O853" s="188"/>
      <c r="P853" s="188"/>
      <c r="Q853" s="188"/>
      <c r="R853" s="188"/>
      <c r="S853" s="188"/>
      <c r="T853" s="7"/>
      <c r="U853" s="176"/>
    </row>
    <row r="854" spans="1:21">
      <c r="A854" s="3"/>
      <c r="B854" s="3"/>
      <c r="C854" s="3"/>
      <c r="D854" s="3"/>
      <c r="E854" s="4"/>
      <c r="F854" s="3"/>
      <c r="G854" s="3"/>
      <c r="H854" s="10"/>
      <c r="I854" s="187"/>
      <c r="J854" s="188"/>
      <c r="K854" s="188"/>
      <c r="L854" s="188"/>
      <c r="M854" s="188"/>
      <c r="N854" s="188"/>
      <c r="O854" s="188"/>
      <c r="P854" s="188"/>
      <c r="Q854" s="188"/>
      <c r="R854" s="188"/>
      <c r="S854" s="188"/>
      <c r="T854" s="7"/>
      <c r="U854" s="176"/>
    </row>
    <row r="855" spans="1:21">
      <c r="A855" s="3"/>
      <c r="B855" s="3"/>
      <c r="C855" s="3"/>
      <c r="D855" s="3"/>
      <c r="E855" s="4"/>
      <c r="F855" s="3"/>
      <c r="G855" s="3"/>
      <c r="H855" s="10"/>
      <c r="I855" s="187"/>
      <c r="J855" s="188"/>
      <c r="K855" s="188"/>
      <c r="L855" s="188"/>
      <c r="M855" s="188"/>
      <c r="N855" s="188"/>
      <c r="O855" s="188"/>
      <c r="P855" s="188"/>
      <c r="Q855" s="188"/>
      <c r="R855" s="188"/>
      <c r="S855" s="188"/>
      <c r="T855" s="7"/>
      <c r="U855" s="176"/>
    </row>
    <row r="856" spans="1:21">
      <c r="A856" s="3"/>
      <c r="B856" s="3"/>
      <c r="C856" s="3"/>
      <c r="D856" s="3"/>
      <c r="E856" s="4"/>
      <c r="F856" s="3"/>
      <c r="G856" s="3"/>
      <c r="H856" s="10"/>
      <c r="I856" s="187"/>
      <c r="J856" s="188"/>
      <c r="K856" s="188"/>
      <c r="L856" s="188"/>
      <c r="M856" s="188"/>
      <c r="N856" s="188"/>
      <c r="O856" s="188"/>
      <c r="P856" s="188"/>
      <c r="Q856" s="188"/>
      <c r="R856" s="188"/>
      <c r="S856" s="188"/>
      <c r="T856" s="7"/>
      <c r="U856" s="176"/>
    </row>
    <row r="857" spans="1:21">
      <c r="A857" s="3"/>
      <c r="B857" s="3"/>
      <c r="C857" s="3"/>
      <c r="D857" s="3"/>
      <c r="E857" s="4"/>
      <c r="F857" s="3"/>
      <c r="G857" s="3"/>
      <c r="H857" s="10"/>
      <c r="I857" s="187"/>
      <c r="J857" s="188"/>
      <c r="K857" s="188"/>
      <c r="L857" s="188"/>
      <c r="M857" s="188"/>
      <c r="N857" s="188"/>
      <c r="O857" s="188"/>
      <c r="P857" s="188"/>
      <c r="Q857" s="188"/>
      <c r="R857" s="188"/>
      <c r="S857" s="188"/>
      <c r="T857" s="7"/>
      <c r="U857" s="176"/>
    </row>
    <row r="858" spans="1:21">
      <c r="A858" s="3"/>
      <c r="B858" s="3"/>
      <c r="C858" s="3"/>
      <c r="D858" s="3"/>
      <c r="E858" s="4"/>
      <c r="F858" s="3"/>
      <c r="G858" s="3"/>
      <c r="H858" s="10"/>
      <c r="I858" s="187"/>
      <c r="J858" s="188"/>
      <c r="K858" s="188"/>
      <c r="L858" s="188"/>
      <c r="M858" s="188"/>
      <c r="N858" s="188"/>
      <c r="O858" s="188"/>
      <c r="P858" s="188"/>
      <c r="Q858" s="188"/>
      <c r="R858" s="188"/>
      <c r="S858" s="188"/>
      <c r="T858" s="7"/>
      <c r="U858" s="176"/>
    </row>
    <row r="859" spans="1:21">
      <c r="A859" s="3"/>
      <c r="B859" s="3"/>
      <c r="C859" s="3"/>
      <c r="D859" s="3"/>
      <c r="E859" s="4"/>
      <c r="F859" s="3"/>
      <c r="G859" s="3"/>
      <c r="H859" s="10"/>
      <c r="I859" s="187"/>
      <c r="J859" s="188"/>
      <c r="K859" s="188"/>
      <c r="L859" s="188"/>
      <c r="M859" s="188"/>
      <c r="N859" s="188"/>
      <c r="O859" s="188"/>
      <c r="P859" s="188"/>
      <c r="Q859" s="188"/>
      <c r="R859" s="188"/>
      <c r="S859" s="188"/>
      <c r="T859" s="7"/>
      <c r="U859" s="176"/>
    </row>
    <row r="860" spans="1:21">
      <c r="A860" s="3"/>
      <c r="B860" s="3"/>
      <c r="C860" s="3"/>
      <c r="D860" s="3"/>
      <c r="E860" s="4"/>
      <c r="F860" s="3"/>
      <c r="G860" s="3"/>
      <c r="H860" s="10"/>
      <c r="I860" s="187"/>
      <c r="J860" s="188"/>
      <c r="K860" s="188"/>
      <c r="L860" s="188"/>
      <c r="M860" s="188"/>
      <c r="N860" s="188"/>
      <c r="O860" s="188"/>
      <c r="P860" s="188"/>
      <c r="Q860" s="188"/>
      <c r="R860" s="188"/>
      <c r="S860" s="188"/>
      <c r="T860" s="7"/>
      <c r="U860" s="176"/>
    </row>
    <row r="861" spans="1:21">
      <c r="A861" s="3"/>
      <c r="B861" s="3"/>
      <c r="C861" s="3"/>
      <c r="D861" s="3"/>
      <c r="E861" s="4"/>
      <c r="F861" s="3"/>
      <c r="G861" s="3"/>
      <c r="H861" s="10"/>
      <c r="I861" s="187"/>
      <c r="J861" s="188"/>
      <c r="K861" s="188"/>
      <c r="L861" s="188"/>
      <c r="M861" s="188"/>
      <c r="N861" s="188"/>
      <c r="O861" s="188"/>
      <c r="P861" s="188"/>
      <c r="Q861" s="188"/>
      <c r="R861" s="188"/>
      <c r="S861" s="188"/>
      <c r="T861" s="7"/>
      <c r="U861" s="176"/>
    </row>
    <row r="862" spans="1:21">
      <c r="A862" s="3"/>
      <c r="B862" s="3"/>
      <c r="C862" s="3"/>
      <c r="D862" s="3"/>
      <c r="E862" s="4"/>
      <c r="F862" s="3"/>
      <c r="G862" s="3"/>
      <c r="H862" s="10"/>
      <c r="I862" s="187"/>
      <c r="J862" s="188"/>
      <c r="K862" s="188"/>
      <c r="L862" s="188"/>
      <c r="M862" s="188"/>
      <c r="N862" s="188"/>
      <c r="O862" s="188"/>
      <c r="P862" s="188"/>
      <c r="Q862" s="188"/>
      <c r="R862" s="188"/>
      <c r="S862" s="188"/>
      <c r="T862" s="7"/>
      <c r="U862" s="176"/>
    </row>
    <row r="863" spans="1:21">
      <c r="A863" s="3"/>
      <c r="B863" s="3"/>
      <c r="C863" s="3"/>
      <c r="D863" s="3"/>
      <c r="E863" s="4"/>
      <c r="F863" s="3"/>
      <c r="G863" s="3"/>
      <c r="H863" s="10"/>
      <c r="I863" s="187"/>
      <c r="J863" s="188"/>
      <c r="K863" s="188"/>
      <c r="L863" s="188"/>
      <c r="M863" s="188"/>
      <c r="N863" s="188"/>
      <c r="O863" s="188"/>
      <c r="P863" s="188"/>
      <c r="Q863" s="188"/>
      <c r="R863" s="188"/>
      <c r="S863" s="188"/>
      <c r="T863" s="7"/>
      <c r="U863" s="176"/>
    </row>
    <row r="864" spans="1:21">
      <c r="A864" s="3"/>
      <c r="B864" s="3"/>
      <c r="C864" s="3"/>
      <c r="D864" s="3"/>
      <c r="E864" s="4"/>
      <c r="F864" s="3"/>
      <c r="G864" s="3"/>
      <c r="H864" s="10"/>
      <c r="I864" s="187"/>
      <c r="J864" s="188"/>
      <c r="K864" s="188"/>
      <c r="L864" s="188"/>
      <c r="M864" s="188"/>
      <c r="N864" s="188"/>
      <c r="O864" s="188"/>
      <c r="P864" s="188"/>
      <c r="Q864" s="188"/>
      <c r="R864" s="188"/>
      <c r="S864" s="188"/>
      <c r="T864" s="7"/>
      <c r="U864" s="176"/>
    </row>
    <row r="865" spans="1:21">
      <c r="A865" s="3"/>
      <c r="B865" s="3"/>
      <c r="C865" s="3"/>
      <c r="D865" s="3"/>
      <c r="E865" s="4"/>
      <c r="F865" s="3"/>
      <c r="G865" s="3"/>
      <c r="H865" s="10"/>
      <c r="I865" s="187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7"/>
      <c r="U865" s="176"/>
    </row>
    <row r="866" spans="1:21">
      <c r="A866" s="3"/>
      <c r="B866" s="3"/>
      <c r="C866" s="3"/>
      <c r="D866" s="3"/>
      <c r="E866" s="4"/>
      <c r="F866" s="3"/>
      <c r="G866" s="3"/>
      <c r="H866" s="10"/>
      <c r="I866" s="187"/>
      <c r="J866" s="188"/>
      <c r="K866" s="188"/>
      <c r="L866" s="188"/>
      <c r="M866" s="188"/>
      <c r="N866" s="188"/>
      <c r="O866" s="188"/>
      <c r="P866" s="188"/>
      <c r="Q866" s="188"/>
      <c r="R866" s="188"/>
      <c r="S866" s="188"/>
      <c r="T866" s="7"/>
      <c r="U866" s="176"/>
    </row>
    <row r="867" spans="1:21">
      <c r="A867" s="3"/>
      <c r="B867" s="3"/>
      <c r="C867" s="3"/>
      <c r="D867" s="3"/>
      <c r="E867" s="4"/>
      <c r="F867" s="3"/>
      <c r="G867" s="3"/>
      <c r="H867" s="10"/>
      <c r="I867" s="187"/>
      <c r="J867" s="188"/>
      <c r="K867" s="188"/>
      <c r="L867" s="188"/>
      <c r="M867" s="188"/>
      <c r="N867" s="188"/>
      <c r="O867" s="188"/>
      <c r="P867" s="188"/>
      <c r="Q867" s="188"/>
      <c r="R867" s="188"/>
      <c r="S867" s="188"/>
      <c r="T867" s="7"/>
      <c r="U867" s="176"/>
    </row>
    <row r="868" spans="1:21">
      <c r="A868" s="3"/>
      <c r="B868" s="3"/>
      <c r="C868" s="3"/>
      <c r="D868" s="3"/>
      <c r="E868" s="4"/>
      <c r="F868" s="3"/>
      <c r="G868" s="3"/>
      <c r="H868" s="10"/>
      <c r="I868" s="187"/>
      <c r="J868" s="188"/>
      <c r="K868" s="188"/>
      <c r="L868" s="188"/>
      <c r="M868" s="188"/>
      <c r="N868" s="188"/>
      <c r="O868" s="188"/>
      <c r="P868" s="188"/>
      <c r="Q868" s="188"/>
      <c r="R868" s="188"/>
      <c r="S868" s="188"/>
      <c r="T868" s="7"/>
      <c r="U868" s="176"/>
    </row>
    <row r="869" spans="1:21">
      <c r="A869" s="3"/>
      <c r="B869" s="3"/>
      <c r="C869" s="3"/>
      <c r="D869" s="3"/>
      <c r="E869" s="4"/>
      <c r="F869" s="3"/>
      <c r="G869" s="3"/>
      <c r="H869" s="10"/>
      <c r="I869" s="187"/>
      <c r="J869" s="188"/>
      <c r="K869" s="188"/>
      <c r="L869" s="188"/>
      <c r="M869" s="188"/>
      <c r="N869" s="188"/>
      <c r="O869" s="188"/>
      <c r="P869" s="188"/>
      <c r="Q869" s="188"/>
      <c r="R869" s="188"/>
      <c r="S869" s="188"/>
      <c r="T869" s="7"/>
      <c r="U869" s="176"/>
    </row>
    <row r="870" spans="1:21">
      <c r="A870" s="3"/>
      <c r="B870" s="3"/>
      <c r="C870" s="3"/>
      <c r="D870" s="3"/>
      <c r="E870" s="4"/>
      <c r="F870" s="3"/>
      <c r="G870" s="3"/>
      <c r="H870" s="10"/>
      <c r="I870" s="187"/>
      <c r="J870" s="188"/>
      <c r="K870" s="188"/>
      <c r="L870" s="188"/>
      <c r="M870" s="188"/>
      <c r="N870" s="188"/>
      <c r="O870" s="188"/>
      <c r="P870" s="188"/>
      <c r="Q870" s="188"/>
      <c r="R870" s="188"/>
      <c r="S870" s="188"/>
      <c r="T870" s="7"/>
      <c r="U870" s="176"/>
    </row>
    <row r="871" spans="1:21">
      <c r="A871" s="3"/>
      <c r="B871" s="3"/>
      <c r="C871" s="3"/>
      <c r="D871" s="3"/>
      <c r="E871" s="4"/>
      <c r="F871" s="3"/>
      <c r="G871" s="3"/>
      <c r="H871" s="10"/>
      <c r="I871" s="187"/>
      <c r="J871" s="188"/>
      <c r="K871" s="188"/>
      <c r="L871" s="188"/>
      <c r="M871" s="188"/>
      <c r="N871" s="188"/>
      <c r="O871" s="188"/>
      <c r="P871" s="188"/>
      <c r="Q871" s="188"/>
      <c r="R871" s="188"/>
      <c r="S871" s="188"/>
      <c r="T871" s="7"/>
      <c r="U871" s="176"/>
    </row>
    <row r="872" spans="1:21">
      <c r="A872" s="3"/>
      <c r="B872" s="3"/>
      <c r="C872" s="3"/>
      <c r="D872" s="3"/>
      <c r="E872" s="4"/>
      <c r="F872" s="3"/>
      <c r="G872" s="3"/>
      <c r="H872" s="10"/>
      <c r="I872" s="187"/>
      <c r="J872" s="188"/>
      <c r="K872" s="188"/>
      <c r="L872" s="188"/>
      <c r="M872" s="188"/>
      <c r="N872" s="188"/>
      <c r="O872" s="188"/>
      <c r="P872" s="188"/>
      <c r="Q872" s="188"/>
      <c r="R872" s="188"/>
      <c r="S872" s="188"/>
      <c r="T872" s="7"/>
      <c r="U872" s="176"/>
    </row>
    <row r="873" spans="1:21">
      <c r="A873" s="3"/>
      <c r="B873" s="3"/>
      <c r="C873" s="3"/>
      <c r="D873" s="3"/>
      <c r="E873" s="4"/>
      <c r="F873" s="3"/>
      <c r="G873" s="3"/>
      <c r="H873" s="10"/>
      <c r="I873" s="187"/>
      <c r="J873" s="188"/>
      <c r="K873" s="188"/>
      <c r="L873" s="188"/>
      <c r="M873" s="188"/>
      <c r="N873" s="188"/>
      <c r="O873" s="188"/>
      <c r="P873" s="188"/>
      <c r="Q873" s="188"/>
      <c r="R873" s="188"/>
      <c r="S873" s="188"/>
      <c r="T873" s="7"/>
      <c r="U873" s="176"/>
    </row>
    <row r="874" spans="1:21">
      <c r="A874" s="3"/>
      <c r="B874" s="3"/>
      <c r="C874" s="3"/>
      <c r="D874" s="3"/>
      <c r="E874" s="4"/>
      <c r="F874" s="3"/>
      <c r="G874" s="3"/>
      <c r="H874" s="10"/>
      <c r="I874" s="187"/>
      <c r="J874" s="188"/>
      <c r="K874" s="188"/>
      <c r="L874" s="188"/>
      <c r="M874" s="188"/>
      <c r="N874" s="188"/>
      <c r="O874" s="188"/>
      <c r="P874" s="188"/>
      <c r="Q874" s="188"/>
      <c r="R874" s="188"/>
      <c r="S874" s="188"/>
      <c r="T874" s="7"/>
      <c r="U874" s="176"/>
    </row>
    <row r="875" spans="1:21">
      <c r="A875" s="3"/>
      <c r="B875" s="3"/>
      <c r="C875" s="3"/>
      <c r="D875" s="3"/>
      <c r="E875" s="4"/>
      <c r="F875" s="3"/>
      <c r="G875" s="3"/>
      <c r="H875" s="10"/>
      <c r="I875" s="187"/>
      <c r="J875" s="188"/>
      <c r="K875" s="188"/>
      <c r="L875" s="188"/>
      <c r="M875" s="188"/>
      <c r="N875" s="188"/>
      <c r="O875" s="188"/>
      <c r="P875" s="188"/>
      <c r="Q875" s="188"/>
      <c r="R875" s="188"/>
      <c r="S875" s="188"/>
      <c r="T875" s="7"/>
      <c r="U875" s="176"/>
    </row>
    <row r="876" spans="1:21">
      <c r="A876" s="3"/>
      <c r="B876" s="3"/>
      <c r="C876" s="3"/>
      <c r="D876" s="3"/>
      <c r="E876" s="4"/>
      <c r="F876" s="3"/>
      <c r="G876" s="3"/>
      <c r="H876" s="10"/>
      <c r="I876" s="187"/>
      <c r="J876" s="188"/>
      <c r="K876" s="188"/>
      <c r="L876" s="188"/>
      <c r="M876" s="188"/>
      <c r="N876" s="188"/>
      <c r="O876" s="188"/>
      <c r="P876" s="188"/>
      <c r="Q876" s="188"/>
      <c r="R876" s="188"/>
      <c r="S876" s="188"/>
      <c r="T876" s="7"/>
      <c r="U876" s="176"/>
    </row>
    <row r="877" spans="1:21">
      <c r="A877" s="3"/>
      <c r="B877" s="3"/>
      <c r="C877" s="3"/>
      <c r="D877" s="3"/>
      <c r="E877" s="4"/>
      <c r="F877" s="3"/>
      <c r="G877" s="3"/>
      <c r="H877" s="10"/>
      <c r="I877" s="187"/>
      <c r="J877" s="188"/>
      <c r="K877" s="188"/>
      <c r="L877" s="188"/>
      <c r="M877" s="188"/>
      <c r="N877" s="188"/>
      <c r="O877" s="188"/>
      <c r="P877" s="188"/>
      <c r="Q877" s="188"/>
      <c r="R877" s="188"/>
      <c r="S877" s="188"/>
      <c r="T877" s="7"/>
      <c r="U877" s="176"/>
    </row>
    <row r="878" spans="1:21">
      <c r="A878" s="3"/>
      <c r="B878" s="3"/>
      <c r="C878" s="3"/>
      <c r="D878" s="3"/>
      <c r="E878" s="4"/>
      <c r="F878" s="3"/>
      <c r="G878" s="3"/>
      <c r="H878" s="10"/>
      <c r="I878" s="187"/>
      <c r="J878" s="188"/>
      <c r="K878" s="188"/>
      <c r="L878" s="188"/>
      <c r="M878" s="188"/>
      <c r="N878" s="188"/>
      <c r="O878" s="188"/>
      <c r="P878" s="188"/>
      <c r="Q878" s="188"/>
      <c r="R878" s="188"/>
      <c r="S878" s="188"/>
      <c r="T878" s="7"/>
      <c r="U878" s="176"/>
    </row>
    <row r="879" spans="1:21">
      <c r="A879" s="3"/>
      <c r="B879" s="3"/>
      <c r="C879" s="3"/>
      <c r="D879" s="3"/>
      <c r="E879" s="4"/>
      <c r="F879" s="3"/>
      <c r="G879" s="3"/>
      <c r="H879" s="10"/>
      <c r="I879" s="187"/>
      <c r="J879" s="188"/>
      <c r="K879" s="188"/>
      <c r="L879" s="188"/>
      <c r="M879" s="188"/>
      <c r="N879" s="188"/>
      <c r="O879" s="188"/>
      <c r="P879" s="188"/>
      <c r="Q879" s="188"/>
      <c r="R879" s="188"/>
      <c r="S879" s="188"/>
      <c r="T879" s="7"/>
      <c r="U879" s="176"/>
    </row>
    <row r="880" spans="1:21">
      <c r="A880" s="3"/>
      <c r="B880" s="3"/>
      <c r="C880" s="3"/>
      <c r="D880" s="3"/>
      <c r="E880" s="4"/>
      <c r="F880" s="3"/>
      <c r="G880" s="3"/>
      <c r="H880" s="10"/>
      <c r="I880" s="187"/>
      <c r="J880" s="188"/>
      <c r="K880" s="188"/>
      <c r="L880" s="188"/>
      <c r="M880" s="188"/>
      <c r="N880" s="188"/>
      <c r="O880" s="188"/>
      <c r="P880" s="188"/>
      <c r="Q880" s="188"/>
      <c r="R880" s="188"/>
      <c r="S880" s="188"/>
      <c r="T880" s="7"/>
      <c r="U880" s="176"/>
    </row>
    <row r="881" spans="1:21">
      <c r="A881" s="3"/>
      <c r="B881" s="3"/>
      <c r="C881" s="3"/>
      <c r="D881" s="3"/>
      <c r="E881" s="4"/>
      <c r="F881" s="3"/>
      <c r="G881" s="3"/>
      <c r="H881" s="10"/>
      <c r="I881" s="187"/>
      <c r="J881" s="188"/>
      <c r="K881" s="188"/>
      <c r="L881" s="188"/>
      <c r="M881" s="188"/>
      <c r="N881" s="188"/>
      <c r="O881" s="188"/>
      <c r="P881" s="188"/>
      <c r="Q881" s="188"/>
      <c r="R881" s="188"/>
      <c r="S881" s="188"/>
      <c r="T881" s="7"/>
      <c r="U881" s="176"/>
    </row>
    <row r="882" spans="1:21">
      <c r="A882" s="3"/>
      <c r="B882" s="3"/>
      <c r="C882" s="3"/>
      <c r="D882" s="3"/>
      <c r="E882" s="4"/>
      <c r="F882" s="3"/>
      <c r="G882" s="3"/>
      <c r="H882" s="10"/>
      <c r="I882" s="187"/>
      <c r="J882" s="188"/>
      <c r="K882" s="188"/>
      <c r="L882" s="188"/>
      <c r="M882" s="188"/>
      <c r="N882" s="188"/>
      <c r="O882" s="188"/>
      <c r="P882" s="188"/>
      <c r="Q882" s="188"/>
      <c r="R882" s="188"/>
      <c r="S882" s="188"/>
      <c r="T882" s="7"/>
      <c r="U882" s="176"/>
    </row>
    <row r="883" spans="1:21">
      <c r="A883" s="3"/>
      <c r="B883" s="3"/>
      <c r="C883" s="3"/>
      <c r="D883" s="3"/>
      <c r="E883" s="4"/>
      <c r="F883" s="3"/>
      <c r="G883" s="3"/>
      <c r="H883" s="10"/>
      <c r="I883" s="187"/>
      <c r="J883" s="188"/>
      <c r="K883" s="188"/>
      <c r="L883" s="188"/>
      <c r="M883" s="188"/>
      <c r="N883" s="188"/>
      <c r="O883" s="188"/>
      <c r="P883" s="188"/>
      <c r="Q883" s="188"/>
      <c r="R883" s="188"/>
      <c r="S883" s="188"/>
      <c r="T883" s="7"/>
      <c r="U883" s="176"/>
    </row>
    <row r="884" spans="1:21">
      <c r="A884" s="3"/>
      <c r="B884" s="3"/>
      <c r="C884" s="3"/>
      <c r="D884" s="3"/>
      <c r="E884" s="4"/>
      <c r="F884" s="3"/>
      <c r="G884" s="3"/>
      <c r="H884" s="10"/>
      <c r="I884" s="187"/>
      <c r="J884" s="188"/>
      <c r="K884" s="188"/>
      <c r="L884" s="188"/>
      <c r="M884" s="188"/>
      <c r="N884" s="188"/>
      <c r="O884" s="188"/>
      <c r="P884" s="188"/>
      <c r="Q884" s="188"/>
      <c r="R884" s="188"/>
      <c r="S884" s="188"/>
      <c r="T884" s="7"/>
      <c r="U884" s="176"/>
    </row>
    <row r="885" spans="1:21">
      <c r="A885" s="3"/>
      <c r="B885" s="3"/>
      <c r="C885" s="3"/>
      <c r="D885" s="3"/>
      <c r="E885" s="4"/>
      <c r="F885" s="3"/>
      <c r="G885" s="3"/>
      <c r="H885" s="10"/>
      <c r="I885" s="187"/>
      <c r="J885" s="188"/>
      <c r="K885" s="188"/>
      <c r="L885" s="188"/>
      <c r="M885" s="188"/>
      <c r="N885" s="188"/>
      <c r="O885" s="188"/>
      <c r="P885" s="188"/>
      <c r="Q885" s="188"/>
      <c r="R885" s="188"/>
      <c r="S885" s="188"/>
      <c r="T885" s="7"/>
      <c r="U885" s="176"/>
    </row>
    <row r="886" spans="1:21">
      <c r="A886" s="3"/>
      <c r="B886" s="3"/>
      <c r="C886" s="3"/>
      <c r="D886" s="3"/>
      <c r="E886" s="4"/>
      <c r="F886" s="3"/>
      <c r="G886" s="3"/>
      <c r="H886" s="10"/>
      <c r="I886" s="187"/>
      <c r="J886" s="188"/>
      <c r="K886" s="188"/>
      <c r="L886" s="188"/>
      <c r="M886" s="188"/>
      <c r="N886" s="188"/>
      <c r="O886" s="188"/>
      <c r="P886" s="188"/>
      <c r="Q886" s="188"/>
      <c r="R886" s="188"/>
      <c r="S886" s="188"/>
      <c r="T886" s="7"/>
      <c r="U886" s="176"/>
    </row>
    <row r="887" spans="1:21">
      <c r="A887" s="3"/>
      <c r="B887" s="3"/>
      <c r="C887" s="3"/>
      <c r="D887" s="3"/>
      <c r="E887" s="4"/>
      <c r="F887" s="3"/>
      <c r="G887" s="3"/>
      <c r="H887" s="10"/>
      <c r="I887" s="187"/>
      <c r="J887" s="188"/>
      <c r="K887" s="188"/>
      <c r="L887" s="188"/>
      <c r="M887" s="188"/>
      <c r="N887" s="188"/>
      <c r="O887" s="188"/>
      <c r="P887" s="188"/>
      <c r="Q887" s="188"/>
      <c r="R887" s="188"/>
      <c r="S887" s="188"/>
      <c r="T887" s="7"/>
      <c r="U887" s="176"/>
    </row>
    <row r="888" spans="1:21">
      <c r="A888" s="3"/>
      <c r="B888" s="3"/>
      <c r="C888" s="3"/>
      <c r="D888" s="3"/>
      <c r="E888" s="4"/>
      <c r="F888" s="3"/>
      <c r="G888" s="3"/>
      <c r="H888" s="10"/>
      <c r="I888" s="187"/>
      <c r="J888" s="188"/>
      <c r="K888" s="188"/>
      <c r="L888" s="188"/>
      <c r="M888" s="188"/>
      <c r="N888" s="188"/>
      <c r="O888" s="188"/>
      <c r="P888" s="188"/>
      <c r="Q888" s="188"/>
      <c r="R888" s="188"/>
      <c r="S888" s="188"/>
      <c r="T888" s="7"/>
      <c r="U888" s="176"/>
    </row>
    <row r="889" spans="1:21">
      <c r="A889" s="3"/>
      <c r="B889" s="3"/>
      <c r="C889" s="3"/>
      <c r="D889" s="3"/>
      <c r="E889" s="4"/>
      <c r="F889" s="3"/>
      <c r="G889" s="3"/>
      <c r="H889" s="10"/>
      <c r="I889" s="187"/>
      <c r="J889" s="188"/>
      <c r="K889" s="188"/>
      <c r="L889" s="188"/>
      <c r="M889" s="188"/>
      <c r="N889" s="188"/>
      <c r="O889" s="188"/>
      <c r="P889" s="188"/>
      <c r="Q889" s="188"/>
      <c r="R889" s="188"/>
      <c r="S889" s="188"/>
      <c r="T889" s="7"/>
      <c r="U889" s="176"/>
    </row>
    <row r="890" spans="1:21">
      <c r="A890" s="3"/>
      <c r="B890" s="3"/>
      <c r="C890" s="3"/>
      <c r="D890" s="3"/>
      <c r="E890" s="4"/>
      <c r="F890" s="3"/>
      <c r="G890" s="3"/>
      <c r="H890" s="10"/>
      <c r="I890" s="187"/>
      <c r="J890" s="188"/>
      <c r="K890" s="188"/>
      <c r="L890" s="188"/>
      <c r="M890" s="188"/>
      <c r="N890" s="188"/>
      <c r="O890" s="188"/>
      <c r="P890" s="188"/>
      <c r="Q890" s="188"/>
      <c r="R890" s="188"/>
      <c r="S890" s="188"/>
      <c r="T890" s="7"/>
      <c r="U890" s="176"/>
    </row>
    <row r="891" spans="1:21">
      <c r="A891" s="3"/>
      <c r="B891" s="3"/>
      <c r="C891" s="3"/>
      <c r="D891" s="3"/>
      <c r="E891" s="4"/>
      <c r="F891" s="3"/>
      <c r="G891" s="3"/>
      <c r="H891" s="10"/>
      <c r="I891" s="187"/>
      <c r="J891" s="188"/>
      <c r="K891" s="188"/>
      <c r="L891" s="188"/>
      <c r="M891" s="188"/>
      <c r="N891" s="188"/>
      <c r="O891" s="188"/>
      <c r="P891" s="188"/>
      <c r="Q891" s="188"/>
      <c r="R891" s="188"/>
      <c r="S891" s="188"/>
      <c r="T891" s="7"/>
      <c r="U891" s="176"/>
    </row>
    <row r="892" spans="1:21">
      <c r="A892" s="3"/>
      <c r="B892" s="3"/>
      <c r="C892" s="3"/>
      <c r="D892" s="3"/>
      <c r="E892" s="4"/>
      <c r="F892" s="3"/>
      <c r="G892" s="3"/>
      <c r="H892" s="10"/>
      <c r="I892" s="187"/>
      <c r="J892" s="188"/>
      <c r="K892" s="188"/>
      <c r="L892" s="188"/>
      <c r="M892" s="188"/>
      <c r="N892" s="188"/>
      <c r="O892" s="188"/>
      <c r="P892" s="188"/>
      <c r="Q892" s="188"/>
      <c r="R892" s="188"/>
      <c r="S892" s="188"/>
      <c r="T892" s="7"/>
      <c r="U892" s="176"/>
    </row>
    <row r="893" spans="1:21">
      <c r="A893" s="3"/>
      <c r="B893" s="3"/>
      <c r="C893" s="3"/>
      <c r="D893" s="3"/>
      <c r="E893" s="4"/>
      <c r="F893" s="3"/>
      <c r="G893" s="3"/>
      <c r="H893" s="10"/>
      <c r="I893" s="187"/>
      <c r="J893" s="188"/>
      <c r="K893" s="188"/>
      <c r="L893" s="188"/>
      <c r="M893" s="188"/>
      <c r="N893" s="188"/>
      <c r="O893" s="188"/>
      <c r="P893" s="188"/>
      <c r="Q893" s="188"/>
      <c r="R893" s="188"/>
      <c r="S893" s="188"/>
      <c r="T893" s="7"/>
      <c r="U893" s="176"/>
    </row>
    <row r="894" spans="1:21">
      <c r="A894" s="3"/>
      <c r="B894" s="3"/>
      <c r="C894" s="3"/>
      <c r="D894" s="3"/>
      <c r="E894" s="4"/>
      <c r="F894" s="3"/>
      <c r="G894" s="3"/>
      <c r="H894" s="10"/>
      <c r="I894" s="187"/>
      <c r="J894" s="188"/>
      <c r="K894" s="188"/>
      <c r="L894" s="188"/>
      <c r="M894" s="188"/>
      <c r="N894" s="188"/>
      <c r="O894" s="188"/>
      <c r="P894" s="188"/>
      <c r="Q894" s="188"/>
      <c r="R894" s="188"/>
      <c r="S894" s="188"/>
      <c r="T894" s="7"/>
      <c r="U894" s="176"/>
    </row>
    <row r="895" spans="1:21">
      <c r="A895" s="3"/>
      <c r="B895" s="3"/>
      <c r="C895" s="3"/>
      <c r="D895" s="3"/>
      <c r="E895" s="4"/>
      <c r="F895" s="3"/>
      <c r="G895" s="3"/>
      <c r="H895" s="10"/>
      <c r="I895" s="187"/>
      <c r="J895" s="188"/>
      <c r="K895" s="188"/>
      <c r="L895" s="188"/>
      <c r="M895" s="188"/>
      <c r="N895" s="188"/>
      <c r="O895" s="188"/>
      <c r="P895" s="188"/>
      <c r="Q895" s="188"/>
      <c r="R895" s="188"/>
      <c r="S895" s="188"/>
      <c r="T895" s="7"/>
      <c r="U895" s="176"/>
    </row>
    <row r="896" spans="1:21">
      <c r="A896" s="3"/>
      <c r="B896" s="3"/>
      <c r="C896" s="3"/>
      <c r="D896" s="3"/>
      <c r="E896" s="4"/>
      <c r="F896" s="3"/>
      <c r="G896" s="3"/>
      <c r="H896" s="10"/>
      <c r="I896" s="187"/>
      <c r="J896" s="188"/>
      <c r="K896" s="188"/>
      <c r="L896" s="188"/>
      <c r="M896" s="188"/>
      <c r="N896" s="188"/>
      <c r="O896" s="188"/>
      <c r="P896" s="188"/>
      <c r="Q896" s="188"/>
      <c r="R896" s="188"/>
      <c r="S896" s="188"/>
      <c r="T896" s="7"/>
      <c r="U896" s="176"/>
    </row>
    <row r="897" spans="1:21">
      <c r="A897" s="3"/>
      <c r="B897" s="3"/>
      <c r="C897" s="3"/>
      <c r="D897" s="3"/>
      <c r="E897" s="4"/>
      <c r="F897" s="3"/>
      <c r="G897" s="3"/>
      <c r="H897" s="10"/>
      <c r="I897" s="187"/>
      <c r="J897" s="188"/>
      <c r="K897" s="188"/>
      <c r="L897" s="188"/>
      <c r="M897" s="188"/>
      <c r="N897" s="188"/>
      <c r="O897" s="188"/>
      <c r="P897" s="188"/>
      <c r="Q897" s="188"/>
      <c r="R897" s="188"/>
      <c r="S897" s="188"/>
      <c r="T897" s="7"/>
      <c r="U897" s="176"/>
    </row>
    <row r="898" spans="1:21">
      <c r="A898" s="3"/>
      <c r="B898" s="3"/>
      <c r="C898" s="3"/>
      <c r="D898" s="3"/>
      <c r="E898" s="4"/>
      <c r="F898" s="3"/>
      <c r="G898" s="3"/>
      <c r="H898" s="10"/>
      <c r="I898" s="187"/>
      <c r="J898" s="188"/>
      <c r="K898" s="188"/>
      <c r="L898" s="188"/>
      <c r="M898" s="188"/>
      <c r="N898" s="188"/>
      <c r="O898" s="188"/>
      <c r="P898" s="188"/>
      <c r="Q898" s="188"/>
      <c r="R898" s="188"/>
      <c r="S898" s="188"/>
      <c r="T898" s="7"/>
      <c r="U898" s="176"/>
    </row>
    <row r="899" spans="1:21">
      <c r="A899" s="3"/>
      <c r="B899" s="3"/>
      <c r="C899" s="3"/>
      <c r="D899" s="3"/>
      <c r="E899" s="4"/>
      <c r="F899" s="3"/>
      <c r="G899" s="3"/>
      <c r="H899" s="10"/>
      <c r="I899" s="187"/>
      <c r="J899" s="188"/>
      <c r="K899" s="188"/>
      <c r="L899" s="188"/>
      <c r="M899" s="188"/>
      <c r="N899" s="188"/>
      <c r="O899" s="188"/>
      <c r="P899" s="188"/>
      <c r="Q899" s="188"/>
      <c r="R899" s="188"/>
      <c r="S899" s="188"/>
      <c r="T899" s="7"/>
      <c r="U899" s="176"/>
    </row>
    <row r="900" spans="1:21">
      <c r="A900" s="3"/>
      <c r="B900" s="3"/>
      <c r="C900" s="3"/>
      <c r="D900" s="3"/>
      <c r="E900" s="4"/>
      <c r="F900" s="3"/>
      <c r="G900" s="3"/>
      <c r="H900" s="10"/>
      <c r="I900" s="187"/>
      <c r="J900" s="188"/>
      <c r="K900" s="188"/>
      <c r="L900" s="188"/>
      <c r="M900" s="188"/>
      <c r="N900" s="188"/>
      <c r="O900" s="188"/>
      <c r="P900" s="188"/>
      <c r="Q900" s="188"/>
      <c r="R900" s="188"/>
      <c r="S900" s="188"/>
      <c r="T900" s="7"/>
      <c r="U900" s="176"/>
    </row>
    <row r="901" spans="1:21">
      <c r="A901" s="3"/>
      <c r="B901" s="3"/>
      <c r="C901" s="3"/>
      <c r="D901" s="3"/>
      <c r="E901" s="4"/>
      <c r="F901" s="3"/>
      <c r="G901" s="3"/>
      <c r="H901" s="10"/>
      <c r="I901" s="187"/>
      <c r="J901" s="188"/>
      <c r="K901" s="188"/>
      <c r="L901" s="188"/>
      <c r="M901" s="188"/>
      <c r="N901" s="188"/>
      <c r="O901" s="188"/>
      <c r="P901" s="188"/>
      <c r="Q901" s="188"/>
      <c r="R901" s="188"/>
      <c r="S901" s="188"/>
      <c r="T901" s="7"/>
      <c r="U901" s="176"/>
    </row>
    <row r="902" spans="1:21">
      <c r="A902" s="3"/>
      <c r="B902" s="3"/>
      <c r="C902" s="3"/>
      <c r="D902" s="3"/>
      <c r="E902" s="4"/>
      <c r="F902" s="3"/>
      <c r="G902" s="3"/>
      <c r="H902" s="10"/>
      <c r="I902" s="187"/>
      <c r="J902" s="188"/>
      <c r="K902" s="188"/>
      <c r="L902" s="188"/>
      <c r="M902" s="188"/>
      <c r="N902" s="188"/>
      <c r="O902" s="188"/>
      <c r="P902" s="188"/>
      <c r="Q902" s="188"/>
      <c r="R902" s="188"/>
      <c r="S902" s="188"/>
      <c r="T902" s="7"/>
      <c r="U902" s="176"/>
    </row>
    <row r="903" spans="1:21">
      <c r="A903" s="3"/>
      <c r="B903" s="3"/>
      <c r="C903" s="3"/>
      <c r="D903" s="3"/>
      <c r="E903" s="4"/>
      <c r="F903" s="3"/>
      <c r="G903" s="3"/>
      <c r="H903" s="10"/>
      <c r="I903" s="187"/>
      <c r="J903" s="188"/>
      <c r="K903" s="188"/>
      <c r="L903" s="188"/>
      <c r="M903" s="188"/>
      <c r="N903" s="188"/>
      <c r="O903" s="188"/>
      <c r="P903" s="188"/>
      <c r="Q903" s="188"/>
      <c r="R903" s="188"/>
      <c r="S903" s="188"/>
      <c r="T903" s="7"/>
      <c r="U903" s="176"/>
    </row>
    <row r="904" spans="1:21">
      <c r="A904" s="3"/>
      <c r="B904" s="3"/>
      <c r="C904" s="3"/>
      <c r="D904" s="3"/>
      <c r="E904" s="4"/>
      <c r="F904" s="3"/>
      <c r="G904" s="3"/>
      <c r="H904" s="10"/>
      <c r="I904" s="187"/>
      <c r="J904" s="188"/>
      <c r="K904" s="188"/>
      <c r="L904" s="188"/>
      <c r="M904" s="188"/>
      <c r="N904" s="188"/>
      <c r="O904" s="188"/>
      <c r="P904" s="188"/>
      <c r="Q904" s="188"/>
      <c r="R904" s="188"/>
      <c r="S904" s="188"/>
      <c r="T904" s="7"/>
      <c r="U904" s="176"/>
    </row>
    <row r="905" spans="1:21">
      <c r="A905" s="3"/>
      <c r="B905" s="3"/>
      <c r="C905" s="3"/>
      <c r="D905" s="3"/>
      <c r="E905" s="4"/>
      <c r="F905" s="3"/>
      <c r="G905" s="3"/>
      <c r="H905" s="10"/>
      <c r="I905" s="187"/>
      <c r="J905" s="188"/>
      <c r="K905" s="188"/>
      <c r="L905" s="188"/>
      <c r="M905" s="188"/>
      <c r="N905" s="188"/>
      <c r="O905" s="188"/>
      <c r="P905" s="188"/>
      <c r="Q905" s="188"/>
      <c r="R905" s="188"/>
      <c r="S905" s="188"/>
      <c r="T905" s="7"/>
      <c r="U905" s="176"/>
    </row>
    <row r="906" spans="1:21">
      <c r="A906" s="3"/>
      <c r="B906" s="3"/>
      <c r="C906" s="3"/>
      <c r="D906" s="3"/>
      <c r="E906" s="4"/>
      <c r="F906" s="3"/>
      <c r="G906" s="3"/>
      <c r="H906" s="10"/>
      <c r="I906" s="187"/>
      <c r="J906" s="188"/>
      <c r="K906" s="188"/>
      <c r="L906" s="188"/>
      <c r="M906" s="188"/>
      <c r="N906" s="188"/>
      <c r="O906" s="188"/>
      <c r="P906" s="188"/>
      <c r="Q906" s="188"/>
      <c r="R906" s="188"/>
      <c r="S906" s="188"/>
      <c r="T906" s="7"/>
      <c r="U906" s="176"/>
    </row>
    <row r="907" spans="1:21">
      <c r="A907" s="3"/>
      <c r="B907" s="3"/>
      <c r="C907" s="3"/>
      <c r="D907" s="3"/>
      <c r="E907" s="4"/>
      <c r="F907" s="3"/>
      <c r="G907" s="3"/>
      <c r="H907" s="10"/>
      <c r="I907" s="187"/>
      <c r="J907" s="188"/>
      <c r="K907" s="188"/>
      <c r="L907" s="188"/>
      <c r="M907" s="188"/>
      <c r="N907" s="188"/>
      <c r="O907" s="188"/>
      <c r="P907" s="188"/>
      <c r="Q907" s="188"/>
      <c r="R907" s="188"/>
      <c r="S907" s="188"/>
      <c r="T907" s="7"/>
      <c r="U907" s="176"/>
    </row>
    <row r="908" spans="1:21">
      <c r="A908" s="3"/>
      <c r="B908" s="3"/>
      <c r="C908" s="3"/>
      <c r="D908" s="3"/>
      <c r="E908" s="4"/>
      <c r="F908" s="3"/>
      <c r="G908" s="3"/>
      <c r="H908" s="10"/>
      <c r="I908" s="187"/>
      <c r="J908" s="188"/>
      <c r="K908" s="188"/>
      <c r="L908" s="188"/>
      <c r="M908" s="188"/>
      <c r="N908" s="188"/>
      <c r="O908" s="188"/>
      <c r="P908" s="188"/>
      <c r="Q908" s="188"/>
      <c r="R908" s="188"/>
      <c r="S908" s="188"/>
      <c r="T908" s="7"/>
      <c r="U908" s="176"/>
    </row>
    <row r="909" spans="1:21">
      <c r="A909" s="3"/>
      <c r="B909" s="3"/>
      <c r="C909" s="3"/>
      <c r="D909" s="3"/>
      <c r="E909" s="4"/>
      <c r="F909" s="3"/>
      <c r="G909" s="3"/>
      <c r="H909" s="10"/>
      <c r="I909" s="187"/>
      <c r="J909" s="188"/>
      <c r="K909" s="188"/>
      <c r="L909" s="188"/>
      <c r="M909" s="188"/>
      <c r="N909" s="188"/>
      <c r="O909" s="188"/>
      <c r="P909" s="188"/>
      <c r="Q909" s="188"/>
      <c r="R909" s="188"/>
      <c r="S909" s="188"/>
      <c r="T909" s="7"/>
      <c r="U909" s="176"/>
    </row>
    <row r="910" spans="1:21">
      <c r="A910" s="3"/>
      <c r="B910" s="3"/>
      <c r="C910" s="3"/>
      <c r="D910" s="3"/>
      <c r="E910" s="4"/>
      <c r="F910" s="3"/>
      <c r="G910" s="3"/>
      <c r="H910" s="10"/>
      <c r="I910" s="187"/>
      <c r="J910" s="188"/>
      <c r="K910" s="188"/>
      <c r="L910" s="188"/>
      <c r="M910" s="188"/>
      <c r="N910" s="188"/>
      <c r="O910" s="188"/>
      <c r="P910" s="188"/>
      <c r="Q910" s="188"/>
      <c r="R910" s="188"/>
      <c r="S910" s="188"/>
      <c r="T910" s="7"/>
      <c r="U910" s="176"/>
    </row>
    <row r="911" spans="1:21">
      <c r="A911" s="3"/>
      <c r="B911" s="3"/>
      <c r="C911" s="3"/>
      <c r="D911" s="3"/>
      <c r="E911" s="4"/>
      <c r="F911" s="3"/>
      <c r="G911" s="3"/>
      <c r="H911" s="10"/>
      <c r="I911" s="187"/>
      <c r="J911" s="188"/>
      <c r="K911" s="188"/>
      <c r="L911" s="188"/>
      <c r="M911" s="188"/>
      <c r="N911" s="188"/>
      <c r="O911" s="188"/>
      <c r="P911" s="188"/>
      <c r="Q911" s="188"/>
      <c r="R911" s="188"/>
      <c r="S911" s="188"/>
      <c r="T911" s="7"/>
      <c r="U911" s="176"/>
    </row>
    <row r="912" spans="1:21">
      <c r="A912" s="3"/>
      <c r="B912" s="3"/>
      <c r="C912" s="3"/>
      <c r="D912" s="3"/>
      <c r="E912" s="4"/>
      <c r="F912" s="3"/>
      <c r="G912" s="3"/>
      <c r="H912" s="10"/>
      <c r="I912" s="187"/>
      <c r="J912" s="188"/>
      <c r="K912" s="188"/>
      <c r="L912" s="188"/>
      <c r="M912" s="188"/>
      <c r="N912" s="188"/>
      <c r="O912" s="188"/>
      <c r="P912" s="188"/>
      <c r="Q912" s="188"/>
      <c r="R912" s="188"/>
      <c r="S912" s="188"/>
      <c r="T912" s="7"/>
      <c r="U912" s="176"/>
    </row>
    <row r="913" spans="1:21">
      <c r="A913" s="3"/>
      <c r="B913" s="3"/>
      <c r="C913" s="3"/>
      <c r="D913" s="3"/>
      <c r="E913" s="4"/>
      <c r="F913" s="3"/>
      <c r="G913" s="3"/>
      <c r="H913" s="10"/>
      <c r="I913" s="187"/>
      <c r="J913" s="188"/>
      <c r="K913" s="188"/>
      <c r="L913" s="188"/>
      <c r="M913" s="188"/>
      <c r="N913" s="188"/>
      <c r="O913" s="188"/>
      <c r="P913" s="188"/>
      <c r="Q913" s="188"/>
      <c r="R913" s="188"/>
      <c r="S913" s="188"/>
      <c r="T913" s="7"/>
      <c r="U913" s="176"/>
    </row>
    <row r="914" spans="1:21">
      <c r="A914" s="3"/>
      <c r="B914" s="3"/>
      <c r="C914" s="3"/>
      <c r="D914" s="3"/>
      <c r="E914" s="4"/>
      <c r="F914" s="3"/>
      <c r="G914" s="3"/>
      <c r="H914" s="10"/>
      <c r="I914" s="187"/>
      <c r="J914" s="188"/>
      <c r="K914" s="188"/>
      <c r="L914" s="188"/>
      <c r="M914" s="188"/>
      <c r="N914" s="188"/>
      <c r="O914" s="188"/>
      <c r="P914" s="188"/>
      <c r="Q914" s="188"/>
      <c r="R914" s="188"/>
      <c r="S914" s="188"/>
      <c r="T914" s="7"/>
      <c r="U914" s="176"/>
    </row>
    <row r="915" spans="1:21">
      <c r="A915" s="3"/>
      <c r="B915" s="3"/>
      <c r="C915" s="3"/>
      <c r="D915" s="3"/>
      <c r="E915" s="4"/>
      <c r="F915" s="3"/>
      <c r="G915" s="3"/>
      <c r="H915" s="10"/>
      <c r="I915" s="187"/>
      <c r="J915" s="188"/>
      <c r="K915" s="188"/>
      <c r="L915" s="188"/>
      <c r="M915" s="188"/>
      <c r="N915" s="188"/>
      <c r="O915" s="188"/>
      <c r="P915" s="188"/>
      <c r="Q915" s="188"/>
      <c r="R915" s="188"/>
      <c r="S915" s="188"/>
      <c r="T915" s="7"/>
      <c r="U915" s="176"/>
    </row>
    <row r="916" spans="1:21">
      <c r="A916" s="3"/>
      <c r="B916" s="3"/>
      <c r="C916" s="3"/>
      <c r="D916" s="3"/>
      <c r="E916" s="4"/>
      <c r="F916" s="3"/>
      <c r="G916" s="3"/>
      <c r="H916" s="10"/>
      <c r="I916" s="187"/>
      <c r="J916" s="188"/>
      <c r="K916" s="188"/>
      <c r="L916" s="188"/>
      <c r="M916" s="188"/>
      <c r="N916" s="188"/>
      <c r="O916" s="188"/>
      <c r="P916" s="188"/>
      <c r="Q916" s="188"/>
      <c r="R916" s="188"/>
      <c r="S916" s="188"/>
      <c r="T916" s="7"/>
      <c r="U916" s="176"/>
    </row>
    <row r="917" spans="1:21">
      <c r="A917" s="3"/>
      <c r="B917" s="3"/>
      <c r="C917" s="3"/>
      <c r="D917" s="3"/>
      <c r="E917" s="4"/>
      <c r="F917" s="3"/>
      <c r="G917" s="3"/>
      <c r="H917" s="10"/>
      <c r="I917" s="187"/>
      <c r="J917" s="188"/>
      <c r="K917" s="188"/>
      <c r="L917" s="188"/>
      <c r="M917" s="188"/>
      <c r="N917" s="188"/>
      <c r="O917" s="188"/>
      <c r="P917" s="188"/>
      <c r="Q917" s="188"/>
      <c r="R917" s="188"/>
      <c r="S917" s="188"/>
      <c r="T917" s="7"/>
      <c r="U917" s="176"/>
    </row>
    <row r="918" spans="1:21">
      <c r="A918" s="3"/>
      <c r="B918" s="3"/>
      <c r="C918" s="3"/>
      <c r="D918" s="3"/>
      <c r="E918" s="4"/>
      <c r="F918" s="3"/>
      <c r="G918" s="3"/>
      <c r="H918" s="10"/>
      <c r="I918" s="187"/>
      <c r="J918" s="188"/>
      <c r="K918" s="188"/>
      <c r="L918" s="188"/>
      <c r="M918" s="188"/>
      <c r="N918" s="188"/>
      <c r="O918" s="188"/>
      <c r="P918" s="188"/>
      <c r="Q918" s="188"/>
      <c r="R918" s="188"/>
      <c r="S918" s="188"/>
      <c r="T918" s="7"/>
      <c r="U918" s="176"/>
    </row>
    <row r="919" spans="1:21">
      <c r="A919" s="3"/>
      <c r="B919" s="3"/>
      <c r="C919" s="3"/>
      <c r="D919" s="3"/>
      <c r="E919" s="4"/>
      <c r="F919" s="3"/>
      <c r="G919" s="3"/>
      <c r="H919" s="10"/>
      <c r="I919" s="187"/>
      <c r="J919" s="188"/>
      <c r="K919" s="188"/>
      <c r="L919" s="188"/>
      <c r="M919" s="188"/>
      <c r="N919" s="188"/>
      <c r="O919" s="188"/>
      <c r="P919" s="188"/>
      <c r="Q919" s="188"/>
      <c r="R919" s="188"/>
      <c r="S919" s="188"/>
      <c r="T919" s="7"/>
      <c r="U919" s="176"/>
    </row>
    <row r="920" spans="1:21">
      <c r="A920" s="3"/>
      <c r="B920" s="3"/>
      <c r="C920" s="3"/>
      <c r="D920" s="3"/>
      <c r="E920" s="4"/>
      <c r="F920" s="3"/>
      <c r="G920" s="3"/>
      <c r="H920" s="10"/>
      <c r="I920" s="187"/>
      <c r="J920" s="188"/>
      <c r="K920" s="188"/>
      <c r="L920" s="188"/>
      <c r="M920" s="188"/>
      <c r="N920" s="188"/>
      <c r="O920" s="188"/>
      <c r="P920" s="188"/>
      <c r="Q920" s="188"/>
      <c r="R920" s="188"/>
      <c r="S920" s="188"/>
      <c r="T920" s="7"/>
      <c r="U920" s="176"/>
    </row>
    <row r="921" spans="1:21">
      <c r="A921" s="3"/>
      <c r="B921" s="3"/>
      <c r="C921" s="3"/>
      <c r="D921" s="3"/>
      <c r="E921" s="4"/>
      <c r="F921" s="3"/>
      <c r="G921" s="3"/>
      <c r="H921" s="10"/>
      <c r="I921" s="187"/>
      <c r="J921" s="188"/>
      <c r="K921" s="188"/>
      <c r="L921" s="188"/>
      <c r="M921" s="188"/>
      <c r="N921" s="188"/>
      <c r="O921" s="188"/>
      <c r="P921" s="188"/>
      <c r="Q921" s="188"/>
      <c r="R921" s="188"/>
      <c r="S921" s="188"/>
      <c r="T921" s="7"/>
      <c r="U921" s="176"/>
    </row>
    <row r="922" spans="1:21">
      <c r="A922" s="3"/>
      <c r="B922" s="3"/>
      <c r="C922" s="3"/>
      <c r="D922" s="3"/>
      <c r="E922" s="4"/>
      <c r="F922" s="3"/>
      <c r="G922" s="3"/>
      <c r="H922" s="10"/>
      <c r="I922" s="187"/>
      <c r="J922" s="188"/>
      <c r="K922" s="188"/>
      <c r="L922" s="188"/>
      <c r="M922" s="188"/>
      <c r="N922" s="188"/>
      <c r="O922" s="188"/>
      <c r="P922" s="188"/>
      <c r="Q922" s="188"/>
      <c r="R922" s="188"/>
      <c r="S922" s="188"/>
      <c r="T922" s="7"/>
      <c r="U922" s="176"/>
    </row>
    <row r="923" spans="1:21">
      <c r="A923" s="3"/>
      <c r="B923" s="3"/>
      <c r="C923" s="3"/>
      <c r="D923" s="3"/>
      <c r="E923" s="4"/>
      <c r="F923" s="3"/>
      <c r="G923" s="3"/>
      <c r="H923" s="10"/>
      <c r="I923" s="187"/>
      <c r="J923" s="188"/>
      <c r="K923" s="188"/>
      <c r="L923" s="188"/>
      <c r="M923" s="188"/>
      <c r="N923" s="188"/>
      <c r="O923" s="188"/>
      <c r="P923" s="188"/>
      <c r="Q923" s="188"/>
      <c r="R923" s="188"/>
      <c r="S923" s="188"/>
      <c r="T923" s="7"/>
      <c r="U923" s="176"/>
    </row>
    <row r="924" spans="1:21">
      <c r="A924" s="3"/>
      <c r="B924" s="3"/>
      <c r="C924" s="3"/>
      <c r="D924" s="3"/>
      <c r="E924" s="4"/>
      <c r="F924" s="3"/>
      <c r="G924" s="3"/>
      <c r="H924" s="10"/>
      <c r="I924" s="187"/>
      <c r="J924" s="188"/>
      <c r="K924" s="188"/>
      <c r="L924" s="188"/>
      <c r="M924" s="188"/>
      <c r="N924" s="188"/>
      <c r="O924" s="188"/>
      <c r="P924" s="188"/>
      <c r="Q924" s="188"/>
      <c r="R924" s="188"/>
      <c r="S924" s="188"/>
      <c r="T924" s="7"/>
      <c r="U924" s="176"/>
    </row>
    <row r="925" spans="1:21">
      <c r="A925" s="3"/>
      <c r="B925" s="3"/>
      <c r="C925" s="3"/>
      <c r="D925" s="3"/>
      <c r="E925" s="4"/>
      <c r="F925" s="3"/>
      <c r="G925" s="3"/>
      <c r="H925" s="10"/>
      <c r="I925" s="187"/>
      <c r="J925" s="188"/>
      <c r="K925" s="188"/>
      <c r="L925" s="188"/>
      <c r="M925" s="188"/>
      <c r="N925" s="188"/>
      <c r="O925" s="188"/>
      <c r="P925" s="188"/>
      <c r="Q925" s="188"/>
      <c r="R925" s="188"/>
      <c r="S925" s="188"/>
      <c r="T925" s="7"/>
      <c r="U925" s="176"/>
    </row>
    <row r="926" spans="1:21">
      <c r="A926" s="3"/>
      <c r="B926" s="3"/>
      <c r="C926" s="3"/>
      <c r="D926" s="3"/>
      <c r="E926" s="4"/>
      <c r="F926" s="3"/>
      <c r="G926" s="3"/>
      <c r="H926" s="10"/>
      <c r="I926" s="187"/>
      <c r="J926" s="188"/>
      <c r="K926" s="188"/>
      <c r="L926" s="188"/>
      <c r="M926" s="188"/>
      <c r="N926" s="188"/>
      <c r="O926" s="188"/>
      <c r="P926" s="188"/>
      <c r="Q926" s="188"/>
      <c r="R926" s="188"/>
      <c r="S926" s="188"/>
      <c r="T926" s="7"/>
      <c r="U926" s="176"/>
    </row>
    <row r="927" spans="1:21">
      <c r="A927" s="3"/>
      <c r="B927" s="3"/>
      <c r="C927" s="3"/>
      <c r="D927" s="3"/>
      <c r="E927" s="4"/>
      <c r="F927" s="3"/>
      <c r="G927" s="3"/>
      <c r="H927" s="10"/>
      <c r="I927" s="187"/>
      <c r="J927" s="188"/>
      <c r="K927" s="188"/>
      <c r="L927" s="188"/>
      <c r="M927" s="188"/>
      <c r="N927" s="188"/>
      <c r="O927" s="188"/>
      <c r="P927" s="188"/>
      <c r="Q927" s="188"/>
      <c r="R927" s="188"/>
      <c r="S927" s="188"/>
      <c r="T927" s="7"/>
      <c r="U927" s="176"/>
    </row>
    <row r="928" spans="1:21">
      <c r="A928" s="3"/>
      <c r="B928" s="3"/>
      <c r="C928" s="3"/>
      <c r="D928" s="3"/>
      <c r="E928" s="4"/>
      <c r="F928" s="3"/>
      <c r="G928" s="3"/>
      <c r="H928" s="10"/>
      <c r="I928" s="187"/>
      <c r="J928" s="188"/>
      <c r="K928" s="188"/>
      <c r="L928" s="188"/>
      <c r="M928" s="188"/>
      <c r="N928" s="188"/>
      <c r="O928" s="188"/>
      <c r="P928" s="188"/>
      <c r="Q928" s="188"/>
      <c r="R928" s="188"/>
      <c r="S928" s="188"/>
      <c r="T928" s="7"/>
      <c r="U928" s="176"/>
    </row>
    <row r="929" spans="1:21">
      <c r="A929" s="3"/>
      <c r="B929" s="3"/>
      <c r="C929" s="3"/>
      <c r="D929" s="3"/>
      <c r="E929" s="4"/>
      <c r="F929" s="3"/>
      <c r="G929" s="3"/>
      <c r="H929" s="10"/>
      <c r="I929" s="187"/>
      <c r="J929" s="188"/>
      <c r="K929" s="188"/>
      <c r="L929" s="188"/>
      <c r="M929" s="188"/>
      <c r="N929" s="188"/>
      <c r="O929" s="188"/>
      <c r="P929" s="188"/>
      <c r="Q929" s="188"/>
      <c r="R929" s="188"/>
      <c r="S929" s="188"/>
      <c r="T929" s="7"/>
      <c r="U929" s="176"/>
    </row>
    <row r="930" spans="1:21">
      <c r="A930" s="3"/>
      <c r="B930" s="3"/>
      <c r="C930" s="3"/>
      <c r="D930" s="3"/>
      <c r="E930" s="4"/>
      <c r="F930" s="3"/>
      <c r="G930" s="3"/>
      <c r="H930" s="10"/>
      <c r="I930" s="187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7"/>
      <c r="U930" s="176"/>
    </row>
    <row r="931" spans="1:21">
      <c r="A931" s="3"/>
      <c r="B931" s="3"/>
      <c r="C931" s="3"/>
      <c r="D931" s="3"/>
      <c r="E931" s="4"/>
      <c r="F931" s="3"/>
      <c r="G931" s="3"/>
      <c r="H931" s="10"/>
      <c r="I931" s="187"/>
      <c r="J931" s="188"/>
      <c r="K931" s="188"/>
      <c r="L931" s="188"/>
      <c r="M931" s="188"/>
      <c r="N931" s="188"/>
      <c r="O931" s="188"/>
      <c r="P931" s="188"/>
      <c r="Q931" s="188"/>
      <c r="R931" s="188"/>
      <c r="S931" s="188"/>
      <c r="T931" s="7"/>
      <c r="U931" s="176"/>
    </row>
    <row r="932" spans="1:21">
      <c r="A932" s="3"/>
      <c r="B932" s="3"/>
      <c r="C932" s="3"/>
      <c r="D932" s="3"/>
      <c r="E932" s="4"/>
      <c r="F932" s="3"/>
      <c r="G932" s="3"/>
      <c r="H932" s="10"/>
      <c r="I932" s="187"/>
      <c r="J932" s="188"/>
      <c r="K932" s="188"/>
      <c r="L932" s="188"/>
      <c r="M932" s="188"/>
      <c r="N932" s="188"/>
      <c r="O932" s="188"/>
      <c r="P932" s="188"/>
      <c r="Q932" s="188"/>
      <c r="R932" s="188"/>
      <c r="S932" s="188"/>
      <c r="T932" s="7"/>
      <c r="U932" s="176"/>
    </row>
    <row r="933" spans="1:21">
      <c r="A933" s="3"/>
      <c r="B933" s="3"/>
      <c r="C933" s="3"/>
      <c r="D933" s="3"/>
      <c r="E933" s="4"/>
      <c r="F933" s="3"/>
      <c r="G933" s="3"/>
      <c r="H933" s="10"/>
      <c r="I933" s="187"/>
      <c r="J933" s="188"/>
      <c r="K933" s="188"/>
      <c r="L933" s="188"/>
      <c r="M933" s="188"/>
      <c r="N933" s="188"/>
      <c r="O933" s="188"/>
      <c r="P933" s="188"/>
      <c r="Q933" s="188"/>
      <c r="R933" s="188"/>
      <c r="S933" s="188"/>
      <c r="T933" s="7"/>
      <c r="U933" s="176"/>
    </row>
    <row r="934" spans="1:21">
      <c r="A934" s="3"/>
      <c r="B934" s="3"/>
      <c r="C934" s="3"/>
      <c r="D934" s="3"/>
      <c r="E934" s="4"/>
      <c r="F934" s="3"/>
      <c r="G934" s="3"/>
      <c r="H934" s="10"/>
      <c r="I934" s="187"/>
      <c r="J934" s="188"/>
      <c r="K934" s="188"/>
      <c r="L934" s="188"/>
      <c r="M934" s="188"/>
      <c r="N934" s="188"/>
      <c r="O934" s="188"/>
      <c r="P934" s="188"/>
      <c r="Q934" s="188"/>
      <c r="R934" s="188"/>
      <c r="S934" s="188"/>
      <c r="T934" s="7"/>
      <c r="U934" s="176"/>
    </row>
    <row r="935" spans="1:21">
      <c r="A935" s="3"/>
      <c r="B935" s="3"/>
      <c r="C935" s="3"/>
      <c r="D935" s="3"/>
      <c r="E935" s="4"/>
      <c r="F935" s="3"/>
      <c r="G935" s="3"/>
      <c r="H935" s="10"/>
      <c r="I935" s="187"/>
      <c r="J935" s="188"/>
      <c r="K935" s="188"/>
      <c r="L935" s="188"/>
      <c r="M935" s="188"/>
      <c r="N935" s="188"/>
      <c r="O935" s="188"/>
      <c r="P935" s="188"/>
      <c r="Q935" s="188"/>
      <c r="R935" s="188"/>
      <c r="S935" s="188"/>
      <c r="T935" s="7"/>
      <c r="U935" s="176"/>
    </row>
    <row r="936" spans="1:21">
      <c r="A936" s="3"/>
      <c r="B936" s="3"/>
      <c r="C936" s="3"/>
      <c r="D936" s="3"/>
      <c r="E936" s="4"/>
      <c r="F936" s="3"/>
      <c r="G936" s="3"/>
      <c r="H936" s="10"/>
      <c r="I936" s="187"/>
      <c r="J936" s="188"/>
      <c r="K936" s="188"/>
      <c r="L936" s="188"/>
      <c r="M936" s="188"/>
      <c r="N936" s="188"/>
      <c r="O936" s="188"/>
      <c r="P936" s="188"/>
      <c r="Q936" s="188"/>
      <c r="R936" s="188"/>
      <c r="S936" s="188"/>
      <c r="T936" s="7"/>
      <c r="U936" s="176"/>
    </row>
    <row r="937" spans="1:21">
      <c r="A937" s="3"/>
      <c r="B937" s="3"/>
      <c r="C937" s="3"/>
      <c r="D937" s="3"/>
      <c r="E937" s="4"/>
      <c r="F937" s="3"/>
      <c r="G937" s="3"/>
      <c r="H937" s="10"/>
      <c r="I937" s="187"/>
      <c r="J937" s="188"/>
      <c r="K937" s="188"/>
      <c r="L937" s="188"/>
      <c r="M937" s="188"/>
      <c r="N937" s="188"/>
      <c r="O937" s="188"/>
      <c r="P937" s="188"/>
      <c r="Q937" s="188"/>
      <c r="R937" s="188"/>
      <c r="S937" s="188"/>
      <c r="T937" s="7"/>
      <c r="U937" s="176"/>
    </row>
    <row r="938" spans="1:21">
      <c r="A938" s="3"/>
      <c r="B938" s="3"/>
      <c r="C938" s="3"/>
      <c r="D938" s="3"/>
      <c r="E938" s="4"/>
      <c r="F938" s="3"/>
      <c r="G938" s="3"/>
      <c r="H938" s="10"/>
      <c r="I938" s="187"/>
      <c r="J938" s="188"/>
      <c r="K938" s="188"/>
      <c r="L938" s="188"/>
      <c r="M938" s="188"/>
      <c r="N938" s="188"/>
      <c r="O938" s="188"/>
      <c r="P938" s="188"/>
      <c r="Q938" s="188"/>
      <c r="R938" s="188"/>
      <c r="S938" s="188"/>
      <c r="T938" s="7"/>
      <c r="U938" s="176"/>
    </row>
    <row r="939" spans="1:21">
      <c r="A939" s="3"/>
      <c r="B939" s="3"/>
      <c r="C939" s="3"/>
      <c r="D939" s="3"/>
      <c r="E939" s="4"/>
      <c r="F939" s="3"/>
      <c r="G939" s="3"/>
      <c r="H939" s="10"/>
      <c r="I939" s="187"/>
      <c r="J939" s="188"/>
      <c r="K939" s="188"/>
      <c r="L939" s="188"/>
      <c r="M939" s="188"/>
      <c r="N939" s="188"/>
      <c r="O939" s="188"/>
      <c r="P939" s="188"/>
      <c r="Q939" s="188"/>
      <c r="R939" s="188"/>
      <c r="S939" s="188"/>
      <c r="T939" s="7"/>
      <c r="U939" s="176"/>
    </row>
    <row r="940" spans="1:21">
      <c r="A940" s="3"/>
      <c r="B940" s="3"/>
      <c r="C940" s="3"/>
      <c r="D940" s="3"/>
      <c r="E940" s="4"/>
      <c r="F940" s="3"/>
      <c r="G940" s="3"/>
      <c r="H940" s="10"/>
      <c r="I940" s="187"/>
      <c r="J940" s="188"/>
      <c r="K940" s="188"/>
      <c r="L940" s="188"/>
      <c r="M940" s="188"/>
      <c r="N940" s="188"/>
      <c r="O940" s="188"/>
      <c r="P940" s="188"/>
      <c r="Q940" s="188"/>
      <c r="R940" s="188"/>
      <c r="S940" s="188"/>
      <c r="T940" s="7"/>
      <c r="U940" s="176"/>
    </row>
    <row r="941" spans="1:21">
      <c r="A941" s="3"/>
      <c r="B941" s="3"/>
      <c r="C941" s="3"/>
      <c r="D941" s="3"/>
      <c r="E941" s="4"/>
      <c r="F941" s="3"/>
      <c r="G941" s="3"/>
      <c r="H941" s="10"/>
      <c r="I941" s="187"/>
      <c r="J941" s="188"/>
      <c r="K941" s="188"/>
      <c r="L941" s="188"/>
      <c r="M941" s="188"/>
      <c r="N941" s="188"/>
      <c r="O941" s="188"/>
      <c r="P941" s="188"/>
      <c r="Q941" s="188"/>
      <c r="R941" s="188"/>
      <c r="S941" s="188"/>
      <c r="T941" s="7"/>
      <c r="U941" s="176"/>
    </row>
    <row r="942" spans="1:21">
      <c r="A942" s="3"/>
      <c r="B942" s="3"/>
      <c r="C942" s="3"/>
      <c r="D942" s="3"/>
      <c r="E942" s="4"/>
      <c r="F942" s="3"/>
      <c r="G942" s="3"/>
      <c r="H942" s="10"/>
      <c r="I942" s="187"/>
      <c r="J942" s="188"/>
      <c r="K942" s="188"/>
      <c r="L942" s="188"/>
      <c r="M942" s="188"/>
      <c r="N942" s="188"/>
      <c r="O942" s="188"/>
      <c r="P942" s="188"/>
      <c r="Q942" s="188"/>
      <c r="R942" s="188"/>
      <c r="S942" s="188"/>
      <c r="T942" s="7"/>
      <c r="U942" s="176"/>
    </row>
    <row r="943" spans="1:21">
      <c r="A943" s="3"/>
      <c r="B943" s="3"/>
      <c r="C943" s="3"/>
      <c r="D943" s="3"/>
      <c r="E943" s="4"/>
      <c r="F943" s="3"/>
      <c r="G943" s="3"/>
      <c r="H943" s="10"/>
      <c r="I943" s="187"/>
      <c r="J943" s="188"/>
      <c r="K943" s="188"/>
      <c r="L943" s="188"/>
      <c r="M943" s="188"/>
      <c r="N943" s="188"/>
      <c r="O943" s="188"/>
      <c r="P943" s="188"/>
      <c r="Q943" s="188"/>
      <c r="R943" s="188"/>
      <c r="S943" s="188"/>
      <c r="T943" s="7"/>
      <c r="U943" s="176"/>
    </row>
    <row r="944" spans="1:21">
      <c r="A944" s="3"/>
      <c r="B944" s="3"/>
      <c r="C944" s="3"/>
      <c r="D944" s="3"/>
      <c r="E944" s="4"/>
      <c r="F944" s="3"/>
      <c r="G944" s="3"/>
      <c r="H944" s="10"/>
      <c r="I944" s="187"/>
      <c r="J944" s="188"/>
      <c r="K944" s="188"/>
      <c r="L944" s="188"/>
      <c r="M944" s="188"/>
      <c r="N944" s="188"/>
      <c r="O944" s="188"/>
      <c r="P944" s="188"/>
      <c r="Q944" s="188"/>
      <c r="R944" s="188"/>
      <c r="S944" s="188"/>
      <c r="T944" s="7"/>
      <c r="U944" s="176"/>
    </row>
    <row r="945" spans="1:21">
      <c r="A945" s="3"/>
      <c r="B945" s="3"/>
      <c r="C945" s="3"/>
      <c r="D945" s="3"/>
      <c r="E945" s="4"/>
      <c r="F945" s="3"/>
      <c r="G945" s="3"/>
      <c r="H945" s="10"/>
      <c r="I945" s="187"/>
      <c r="J945" s="188"/>
      <c r="K945" s="188"/>
      <c r="L945" s="188"/>
      <c r="M945" s="188"/>
      <c r="N945" s="188"/>
      <c r="O945" s="188"/>
      <c r="P945" s="188"/>
      <c r="Q945" s="188"/>
      <c r="R945" s="188"/>
      <c r="S945" s="188"/>
      <c r="T945" s="7"/>
      <c r="U945" s="176"/>
    </row>
    <row r="946" spans="1:21">
      <c r="A946" s="3"/>
      <c r="B946" s="3"/>
      <c r="C946" s="3"/>
      <c r="D946" s="3"/>
      <c r="E946" s="4"/>
      <c r="F946" s="3"/>
      <c r="G946" s="3"/>
      <c r="H946" s="10"/>
      <c r="I946" s="187"/>
      <c r="J946" s="188"/>
      <c r="K946" s="188"/>
      <c r="L946" s="188"/>
      <c r="M946" s="188"/>
      <c r="N946" s="188"/>
      <c r="O946" s="188"/>
      <c r="P946" s="188"/>
      <c r="Q946" s="188"/>
      <c r="R946" s="188"/>
      <c r="S946" s="188"/>
      <c r="T946" s="7"/>
      <c r="U946" s="176"/>
    </row>
    <row r="947" spans="1:21">
      <c r="A947" s="3"/>
      <c r="B947" s="3"/>
      <c r="C947" s="3"/>
      <c r="D947" s="3"/>
      <c r="E947" s="4"/>
      <c r="F947" s="3"/>
      <c r="G947" s="3"/>
      <c r="H947" s="10"/>
      <c r="I947" s="187"/>
      <c r="J947" s="188"/>
      <c r="K947" s="188"/>
      <c r="L947" s="188"/>
      <c r="M947" s="188"/>
      <c r="N947" s="188"/>
      <c r="O947" s="188"/>
      <c r="P947" s="188"/>
      <c r="Q947" s="188"/>
      <c r="R947" s="188"/>
      <c r="S947" s="188"/>
      <c r="T947" s="7"/>
      <c r="U947" s="176"/>
    </row>
    <row r="948" spans="1:21">
      <c r="A948" s="3"/>
      <c r="B948" s="3"/>
      <c r="C948" s="3"/>
      <c r="D948" s="3"/>
      <c r="E948" s="4"/>
      <c r="F948" s="3"/>
      <c r="G948" s="3"/>
      <c r="H948" s="10"/>
      <c r="I948" s="187"/>
      <c r="J948" s="188"/>
      <c r="K948" s="188"/>
      <c r="L948" s="188"/>
      <c r="M948" s="188"/>
      <c r="N948" s="188"/>
      <c r="O948" s="188"/>
      <c r="P948" s="188"/>
      <c r="Q948" s="188"/>
      <c r="R948" s="188"/>
      <c r="S948" s="188"/>
      <c r="T948" s="7"/>
      <c r="U948" s="176"/>
    </row>
    <row r="949" spans="1:21">
      <c r="A949" s="3"/>
      <c r="B949" s="3"/>
      <c r="C949" s="3"/>
      <c r="D949" s="3"/>
      <c r="E949" s="4"/>
      <c r="F949" s="3"/>
      <c r="G949" s="3"/>
      <c r="H949" s="10"/>
      <c r="I949" s="187"/>
      <c r="J949" s="188"/>
      <c r="K949" s="188"/>
      <c r="L949" s="188"/>
      <c r="M949" s="188"/>
      <c r="N949" s="188"/>
      <c r="O949" s="188"/>
      <c r="P949" s="188"/>
      <c r="Q949" s="188"/>
      <c r="R949" s="188"/>
      <c r="S949" s="188"/>
      <c r="T949" s="7"/>
      <c r="U949" s="176"/>
    </row>
    <row r="950" spans="1:21">
      <c r="A950" s="3"/>
      <c r="B950" s="3"/>
      <c r="C950" s="3"/>
      <c r="D950" s="3"/>
      <c r="E950" s="4"/>
      <c r="F950" s="3"/>
      <c r="G950" s="3"/>
      <c r="H950" s="10"/>
      <c r="I950" s="187"/>
      <c r="J950" s="188"/>
      <c r="K950" s="188"/>
      <c r="L950" s="188"/>
      <c r="M950" s="188"/>
      <c r="N950" s="188"/>
      <c r="O950" s="188"/>
      <c r="P950" s="188"/>
      <c r="Q950" s="188"/>
      <c r="R950" s="188"/>
      <c r="S950" s="188"/>
      <c r="T950" s="7"/>
      <c r="U950" s="176"/>
    </row>
    <row r="951" spans="1:21">
      <c r="A951" s="3"/>
      <c r="B951" s="3"/>
      <c r="C951" s="3"/>
      <c r="D951" s="3"/>
      <c r="E951" s="4"/>
      <c r="F951" s="3"/>
      <c r="G951" s="3"/>
      <c r="H951" s="10"/>
      <c r="I951" s="187"/>
      <c r="J951" s="188"/>
      <c r="K951" s="188"/>
      <c r="L951" s="188"/>
      <c r="M951" s="188"/>
      <c r="N951" s="188"/>
      <c r="O951" s="188"/>
      <c r="P951" s="188"/>
      <c r="Q951" s="188"/>
      <c r="R951" s="188"/>
      <c r="S951" s="188"/>
      <c r="T951" s="7"/>
      <c r="U951" s="176"/>
    </row>
    <row r="952" spans="1:21">
      <c r="A952" s="3"/>
      <c r="B952" s="3"/>
      <c r="C952" s="3"/>
      <c r="D952" s="3"/>
      <c r="E952" s="4"/>
      <c r="F952" s="3"/>
      <c r="G952" s="3"/>
      <c r="H952" s="10"/>
      <c r="I952" s="187"/>
      <c r="J952" s="188"/>
      <c r="K952" s="188"/>
      <c r="L952" s="188"/>
      <c r="M952" s="188"/>
      <c r="N952" s="188"/>
      <c r="O952" s="188"/>
      <c r="P952" s="188"/>
      <c r="Q952" s="188"/>
      <c r="R952" s="188"/>
      <c r="S952" s="188"/>
      <c r="T952" s="7"/>
      <c r="U952" s="176"/>
    </row>
    <row r="953" spans="1:21">
      <c r="A953" s="3"/>
      <c r="B953" s="3"/>
      <c r="C953" s="3"/>
      <c r="D953" s="3"/>
      <c r="E953" s="4"/>
      <c r="F953" s="3"/>
      <c r="G953" s="3"/>
      <c r="H953" s="10"/>
      <c r="I953" s="187"/>
      <c r="J953" s="188"/>
      <c r="K953" s="188"/>
      <c r="L953" s="188"/>
      <c r="M953" s="188"/>
      <c r="N953" s="188"/>
      <c r="O953" s="188"/>
      <c r="P953" s="188"/>
      <c r="Q953" s="188"/>
      <c r="R953" s="188"/>
      <c r="S953" s="188"/>
      <c r="T953" s="7"/>
      <c r="U953" s="176"/>
    </row>
    <row r="954" spans="1:21">
      <c r="A954" s="3"/>
      <c r="B954" s="3"/>
      <c r="C954" s="3"/>
      <c r="D954" s="3"/>
      <c r="E954" s="4"/>
      <c r="F954" s="3"/>
      <c r="G954" s="3"/>
      <c r="H954" s="10"/>
      <c r="I954" s="187"/>
      <c r="J954" s="188"/>
      <c r="K954" s="188"/>
      <c r="L954" s="188"/>
      <c r="M954" s="188"/>
      <c r="N954" s="188"/>
      <c r="O954" s="188"/>
      <c r="P954" s="188"/>
      <c r="Q954" s="188"/>
      <c r="R954" s="188"/>
      <c r="S954" s="188"/>
      <c r="T954" s="7"/>
      <c r="U954" s="176"/>
    </row>
    <row r="955" spans="1:21">
      <c r="A955" s="3"/>
      <c r="B955" s="3"/>
      <c r="C955" s="3"/>
      <c r="D955" s="3"/>
      <c r="E955" s="4"/>
      <c r="F955" s="3"/>
      <c r="G955" s="3"/>
      <c r="H955" s="10"/>
      <c r="I955" s="187"/>
      <c r="J955" s="188"/>
      <c r="K955" s="188"/>
      <c r="L955" s="188"/>
      <c r="M955" s="188"/>
      <c r="N955" s="188"/>
      <c r="O955" s="188"/>
      <c r="P955" s="188"/>
      <c r="Q955" s="188"/>
      <c r="R955" s="188"/>
      <c r="S955" s="188"/>
      <c r="T955" s="7"/>
      <c r="U955" s="176"/>
    </row>
    <row r="956" spans="1:21">
      <c r="A956" s="3"/>
      <c r="B956" s="3"/>
      <c r="C956" s="3"/>
      <c r="D956" s="3"/>
      <c r="E956" s="4"/>
      <c r="F956" s="3"/>
      <c r="G956" s="3"/>
      <c r="H956" s="10"/>
      <c r="I956" s="187"/>
      <c r="J956" s="188"/>
      <c r="K956" s="188"/>
      <c r="L956" s="188"/>
      <c r="M956" s="188"/>
      <c r="N956" s="188"/>
      <c r="O956" s="188"/>
      <c r="P956" s="188"/>
      <c r="Q956" s="188"/>
      <c r="R956" s="188"/>
      <c r="S956" s="188"/>
      <c r="T956" s="7"/>
      <c r="U956" s="176"/>
    </row>
    <row r="957" spans="1:21">
      <c r="A957" s="3"/>
      <c r="B957" s="3"/>
      <c r="C957" s="3"/>
      <c r="D957" s="3"/>
      <c r="E957" s="4"/>
      <c r="F957" s="3"/>
      <c r="G957" s="3"/>
      <c r="H957" s="10"/>
      <c r="I957" s="187"/>
      <c r="J957" s="188"/>
      <c r="K957" s="188"/>
      <c r="L957" s="188"/>
      <c r="M957" s="188"/>
      <c r="N957" s="188"/>
      <c r="O957" s="188"/>
      <c r="P957" s="188"/>
      <c r="Q957" s="188"/>
      <c r="R957" s="188"/>
      <c r="S957" s="188"/>
      <c r="T957" s="7"/>
      <c r="U957" s="176"/>
    </row>
    <row r="958" spans="1:21">
      <c r="A958" s="3"/>
      <c r="B958" s="3"/>
      <c r="C958" s="3"/>
      <c r="D958" s="3"/>
      <c r="E958" s="4"/>
      <c r="F958" s="3"/>
      <c r="G958" s="3"/>
      <c r="H958" s="10"/>
      <c r="I958" s="187"/>
      <c r="J958" s="188"/>
      <c r="K958" s="188"/>
      <c r="L958" s="188"/>
      <c r="M958" s="188"/>
      <c r="N958" s="188"/>
      <c r="O958" s="188"/>
      <c r="P958" s="188"/>
      <c r="Q958" s="188"/>
      <c r="R958" s="188"/>
      <c r="S958" s="188"/>
      <c r="T958" s="7"/>
      <c r="U958" s="176"/>
    </row>
    <row r="959" spans="1:21">
      <c r="A959" s="3"/>
      <c r="B959" s="3"/>
      <c r="C959" s="3"/>
      <c r="D959" s="3"/>
      <c r="E959" s="4"/>
      <c r="F959" s="3"/>
      <c r="G959" s="3"/>
      <c r="H959" s="10"/>
      <c r="I959" s="187"/>
      <c r="J959" s="188"/>
      <c r="K959" s="188"/>
      <c r="L959" s="188"/>
      <c r="M959" s="188"/>
      <c r="N959" s="188"/>
      <c r="O959" s="188"/>
      <c r="P959" s="188"/>
      <c r="Q959" s="188"/>
      <c r="R959" s="188"/>
      <c r="S959" s="188"/>
      <c r="T959" s="7"/>
      <c r="U959" s="176"/>
    </row>
    <row r="960" spans="1:21">
      <c r="A960" s="3"/>
      <c r="B960" s="3"/>
      <c r="C960" s="3"/>
      <c r="D960" s="3"/>
      <c r="E960" s="4"/>
      <c r="F960" s="3"/>
      <c r="G960" s="3"/>
      <c r="H960" s="10"/>
      <c r="I960" s="187"/>
      <c r="J960" s="188"/>
      <c r="K960" s="188"/>
      <c r="L960" s="188"/>
      <c r="M960" s="188"/>
      <c r="N960" s="188"/>
      <c r="O960" s="188"/>
      <c r="P960" s="188"/>
      <c r="Q960" s="188"/>
      <c r="R960" s="188"/>
      <c r="S960" s="188"/>
      <c r="T960" s="7"/>
      <c r="U960" s="176"/>
    </row>
    <row r="961" spans="1:21">
      <c r="A961" s="3"/>
      <c r="B961" s="3"/>
      <c r="C961" s="3"/>
      <c r="D961" s="3"/>
      <c r="E961" s="4"/>
      <c r="F961" s="3"/>
      <c r="G961" s="3"/>
      <c r="H961" s="10"/>
      <c r="I961" s="187"/>
      <c r="J961" s="188"/>
      <c r="K961" s="188"/>
      <c r="L961" s="188"/>
      <c r="M961" s="188"/>
      <c r="N961" s="188"/>
      <c r="O961" s="188"/>
      <c r="P961" s="188"/>
      <c r="Q961" s="188"/>
      <c r="R961" s="188"/>
      <c r="S961" s="188"/>
      <c r="T961" s="7"/>
      <c r="U961" s="176"/>
    </row>
    <row r="962" spans="1:21">
      <c r="A962" s="3"/>
      <c r="B962" s="3"/>
      <c r="C962" s="3"/>
      <c r="D962" s="3"/>
      <c r="E962" s="4"/>
      <c r="F962" s="3"/>
      <c r="G962" s="3"/>
      <c r="H962" s="10"/>
      <c r="I962" s="187"/>
      <c r="J962" s="188"/>
      <c r="K962" s="188"/>
      <c r="L962" s="188"/>
      <c r="M962" s="188"/>
      <c r="N962" s="188"/>
      <c r="O962" s="188"/>
      <c r="P962" s="188"/>
      <c r="Q962" s="188"/>
      <c r="R962" s="188"/>
      <c r="S962" s="188"/>
      <c r="T962" s="7"/>
      <c r="U962" s="176"/>
    </row>
    <row r="963" spans="1:21">
      <c r="A963" s="3"/>
      <c r="B963" s="3"/>
      <c r="C963" s="3"/>
      <c r="D963" s="3"/>
      <c r="E963" s="4"/>
      <c r="F963" s="3"/>
      <c r="G963" s="3"/>
      <c r="H963" s="10"/>
      <c r="I963" s="187"/>
      <c r="J963" s="188"/>
      <c r="K963" s="188"/>
      <c r="L963" s="188"/>
      <c r="M963" s="188"/>
      <c r="N963" s="188"/>
      <c r="O963" s="188"/>
      <c r="P963" s="188"/>
      <c r="Q963" s="188"/>
      <c r="R963" s="188"/>
      <c r="S963" s="188"/>
      <c r="T963" s="7"/>
      <c r="U963" s="176"/>
    </row>
    <row r="964" spans="1:21">
      <c r="A964" s="3"/>
      <c r="B964" s="3"/>
      <c r="C964" s="3"/>
      <c r="D964" s="3"/>
      <c r="E964" s="4"/>
      <c r="F964" s="3"/>
      <c r="G964" s="3"/>
      <c r="H964" s="10"/>
      <c r="I964" s="187"/>
      <c r="J964" s="188"/>
      <c r="K964" s="188"/>
      <c r="L964" s="188"/>
      <c r="M964" s="188"/>
      <c r="N964" s="188"/>
      <c r="O964" s="188"/>
      <c r="P964" s="188"/>
      <c r="Q964" s="188"/>
      <c r="R964" s="188"/>
      <c r="S964" s="188"/>
      <c r="T964" s="7"/>
      <c r="U964" s="176"/>
    </row>
    <row r="965" spans="1:21">
      <c r="A965" s="3"/>
      <c r="B965" s="3"/>
      <c r="C965" s="3"/>
      <c r="D965" s="3"/>
      <c r="E965" s="4"/>
      <c r="F965" s="3"/>
      <c r="G965" s="3"/>
      <c r="H965" s="10"/>
      <c r="I965" s="187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7"/>
      <c r="U965" s="176"/>
    </row>
    <row r="966" spans="1:21">
      <c r="A966" s="3"/>
      <c r="B966" s="3"/>
      <c r="C966" s="3"/>
      <c r="D966" s="3"/>
      <c r="E966" s="4"/>
      <c r="F966" s="3"/>
      <c r="G966" s="3"/>
      <c r="H966" s="10"/>
      <c r="I966" s="187"/>
      <c r="J966" s="188"/>
      <c r="K966" s="188"/>
      <c r="L966" s="188"/>
      <c r="M966" s="188"/>
      <c r="N966" s="188"/>
      <c r="O966" s="188"/>
      <c r="P966" s="188"/>
      <c r="Q966" s="188"/>
      <c r="R966" s="188"/>
      <c r="S966" s="188"/>
      <c r="T966" s="7"/>
      <c r="U966" s="176"/>
    </row>
    <row r="967" spans="1:21">
      <c r="A967" s="3"/>
      <c r="B967" s="3"/>
      <c r="C967" s="3"/>
      <c r="D967" s="3"/>
      <c r="E967" s="4"/>
      <c r="F967" s="3"/>
      <c r="G967" s="3"/>
      <c r="H967" s="10"/>
      <c r="I967" s="187"/>
      <c r="J967" s="188"/>
      <c r="K967" s="188"/>
      <c r="L967" s="188"/>
      <c r="M967" s="188"/>
      <c r="N967" s="188"/>
      <c r="O967" s="188"/>
      <c r="P967" s="188"/>
      <c r="Q967" s="188"/>
      <c r="R967" s="188"/>
      <c r="S967" s="188"/>
      <c r="T967" s="7"/>
      <c r="U967" s="176"/>
    </row>
    <row r="968" spans="1:21">
      <c r="A968" s="3"/>
      <c r="B968" s="3"/>
      <c r="C968" s="3"/>
      <c r="D968" s="3"/>
      <c r="E968" s="4"/>
      <c r="F968" s="3"/>
      <c r="G968" s="3"/>
      <c r="H968" s="10"/>
      <c r="I968" s="187"/>
      <c r="J968" s="188"/>
      <c r="K968" s="188"/>
      <c r="L968" s="188"/>
      <c r="M968" s="188"/>
      <c r="N968" s="188"/>
      <c r="O968" s="188"/>
      <c r="P968" s="188"/>
      <c r="Q968" s="188"/>
      <c r="R968" s="188"/>
      <c r="S968" s="188"/>
      <c r="T968" s="7"/>
      <c r="U968" s="176"/>
    </row>
    <row r="969" spans="1:21">
      <c r="A969" s="3"/>
      <c r="B969" s="3"/>
      <c r="C969" s="3"/>
      <c r="D969" s="3"/>
      <c r="E969" s="4"/>
      <c r="F969" s="3"/>
      <c r="G969" s="3"/>
      <c r="H969" s="10"/>
      <c r="I969" s="187"/>
      <c r="J969" s="188"/>
      <c r="K969" s="188"/>
      <c r="L969" s="188"/>
      <c r="M969" s="188"/>
      <c r="N969" s="188"/>
      <c r="O969" s="188"/>
      <c r="P969" s="188"/>
      <c r="Q969" s="188"/>
      <c r="R969" s="188"/>
      <c r="S969" s="188"/>
      <c r="T969" s="7"/>
      <c r="U969" s="176"/>
    </row>
    <row r="970" spans="1:21">
      <c r="A970" s="3"/>
      <c r="B970" s="3"/>
      <c r="C970" s="3"/>
      <c r="D970" s="3"/>
      <c r="E970" s="4"/>
      <c r="F970" s="3"/>
      <c r="G970" s="3"/>
      <c r="H970" s="10"/>
      <c r="I970" s="187"/>
      <c r="J970" s="188"/>
      <c r="K970" s="188"/>
      <c r="L970" s="188"/>
      <c r="M970" s="188"/>
      <c r="N970" s="188"/>
      <c r="O970" s="188"/>
      <c r="P970" s="188"/>
      <c r="Q970" s="188"/>
      <c r="R970" s="188"/>
      <c r="S970" s="188"/>
      <c r="T970" s="7"/>
      <c r="U970" s="176"/>
    </row>
    <row r="971" spans="1:21">
      <c r="A971" s="3"/>
      <c r="B971" s="3"/>
      <c r="C971" s="3"/>
      <c r="D971" s="3"/>
      <c r="E971" s="4"/>
      <c r="F971" s="3"/>
      <c r="G971" s="3"/>
      <c r="H971" s="10"/>
      <c r="I971" s="187"/>
      <c r="J971" s="188"/>
      <c r="K971" s="188"/>
      <c r="L971" s="188"/>
      <c r="M971" s="188"/>
      <c r="N971" s="188"/>
      <c r="O971" s="188"/>
      <c r="P971" s="188"/>
      <c r="Q971" s="188"/>
      <c r="R971" s="188"/>
      <c r="S971" s="188"/>
      <c r="T971" s="7"/>
      <c r="U971" s="176"/>
    </row>
    <row r="972" spans="1:21">
      <c r="A972" s="3"/>
      <c r="B972" s="3"/>
      <c r="C972" s="3"/>
      <c r="D972" s="3"/>
      <c r="E972" s="4"/>
      <c r="F972" s="3"/>
      <c r="G972" s="3"/>
      <c r="H972" s="10"/>
      <c r="I972" s="187"/>
      <c r="J972" s="188"/>
      <c r="K972" s="188"/>
      <c r="L972" s="188"/>
      <c r="M972" s="188"/>
      <c r="N972" s="188"/>
      <c r="O972" s="188"/>
      <c r="P972" s="188"/>
      <c r="Q972" s="188"/>
      <c r="R972" s="188"/>
      <c r="S972" s="188"/>
      <c r="T972" s="7"/>
      <c r="U972" s="176"/>
    </row>
    <row r="973" spans="1:21">
      <c r="A973" s="3"/>
      <c r="B973" s="3"/>
      <c r="C973" s="3"/>
      <c r="D973" s="3"/>
      <c r="E973" s="4"/>
      <c r="F973" s="3"/>
      <c r="G973" s="3"/>
      <c r="H973" s="10"/>
      <c r="I973" s="187"/>
      <c r="J973" s="188"/>
      <c r="K973" s="188"/>
      <c r="L973" s="188"/>
      <c r="M973" s="188"/>
      <c r="N973" s="188"/>
      <c r="O973" s="188"/>
      <c r="P973" s="188"/>
      <c r="Q973" s="188"/>
      <c r="R973" s="188"/>
      <c r="S973" s="188"/>
      <c r="T973" s="7"/>
      <c r="U973" s="176"/>
    </row>
    <row r="974" spans="1:21">
      <c r="A974" s="3"/>
      <c r="B974" s="3"/>
      <c r="C974" s="3"/>
      <c r="D974" s="3"/>
      <c r="E974" s="4"/>
      <c r="F974" s="3"/>
      <c r="G974" s="3"/>
      <c r="H974" s="10"/>
      <c r="I974" s="187"/>
      <c r="J974" s="188"/>
      <c r="K974" s="188"/>
      <c r="L974" s="188"/>
      <c r="M974" s="188"/>
      <c r="N974" s="188"/>
      <c r="O974" s="188"/>
      <c r="P974" s="188"/>
      <c r="Q974" s="188"/>
      <c r="R974" s="188"/>
      <c r="S974" s="188"/>
      <c r="T974" s="7"/>
      <c r="U974" s="176"/>
    </row>
    <row r="975" spans="1:21">
      <c r="A975" s="3"/>
      <c r="B975" s="3"/>
      <c r="C975" s="3"/>
      <c r="D975" s="3"/>
      <c r="E975" s="4"/>
      <c r="F975" s="3"/>
      <c r="G975" s="3"/>
      <c r="H975" s="10"/>
      <c r="I975" s="187"/>
      <c r="J975" s="188"/>
      <c r="K975" s="188"/>
      <c r="L975" s="188"/>
      <c r="M975" s="188"/>
      <c r="N975" s="188"/>
      <c r="O975" s="188"/>
      <c r="P975" s="188"/>
      <c r="Q975" s="188"/>
      <c r="R975" s="188"/>
      <c r="S975" s="188"/>
      <c r="T975" s="7"/>
      <c r="U975" s="176"/>
    </row>
    <row r="976" spans="1:21">
      <c r="A976" s="3"/>
      <c r="B976" s="3"/>
      <c r="C976" s="3"/>
      <c r="D976" s="3"/>
      <c r="E976" s="4"/>
      <c r="F976" s="3"/>
      <c r="G976" s="3"/>
      <c r="H976" s="10"/>
      <c r="I976" s="187"/>
      <c r="J976" s="188"/>
      <c r="K976" s="188"/>
      <c r="L976" s="188"/>
      <c r="M976" s="188"/>
      <c r="N976" s="188"/>
      <c r="O976" s="188"/>
      <c r="P976" s="188"/>
      <c r="Q976" s="188"/>
      <c r="R976" s="188"/>
      <c r="S976" s="188"/>
      <c r="T976" s="7"/>
      <c r="U976" s="176"/>
    </row>
    <row r="977" spans="1:21">
      <c r="A977" s="3"/>
      <c r="B977" s="3"/>
      <c r="C977" s="3"/>
      <c r="D977" s="3"/>
      <c r="E977" s="4"/>
      <c r="F977" s="3"/>
      <c r="G977" s="3"/>
      <c r="H977" s="10"/>
      <c r="I977" s="187"/>
      <c r="J977" s="188"/>
      <c r="K977" s="188"/>
      <c r="L977" s="188"/>
      <c r="M977" s="188"/>
      <c r="N977" s="188"/>
      <c r="O977" s="188"/>
      <c r="P977" s="188"/>
      <c r="Q977" s="188"/>
      <c r="R977" s="188"/>
      <c r="S977" s="188"/>
      <c r="T977" s="7"/>
      <c r="U977" s="176"/>
    </row>
    <row r="978" spans="1:21">
      <c r="A978" s="3"/>
      <c r="B978" s="3"/>
      <c r="C978" s="3"/>
      <c r="D978" s="3"/>
      <c r="E978" s="4"/>
      <c r="F978" s="3"/>
      <c r="G978" s="3"/>
      <c r="H978" s="10"/>
      <c r="I978" s="187"/>
      <c r="J978" s="188"/>
      <c r="K978" s="188"/>
      <c r="L978" s="188"/>
      <c r="M978" s="188"/>
      <c r="N978" s="188"/>
      <c r="O978" s="188"/>
      <c r="P978" s="188"/>
      <c r="Q978" s="188"/>
      <c r="R978" s="188"/>
      <c r="S978" s="188"/>
      <c r="T978" s="7"/>
      <c r="U978" s="176"/>
    </row>
    <row r="979" spans="1:21">
      <c r="A979" s="3"/>
      <c r="B979" s="3"/>
      <c r="C979" s="3"/>
      <c r="D979" s="3"/>
      <c r="E979" s="4"/>
      <c r="F979" s="3"/>
      <c r="G979" s="3"/>
      <c r="H979" s="10"/>
      <c r="I979" s="187"/>
      <c r="J979" s="188"/>
      <c r="K979" s="188"/>
      <c r="L979" s="188"/>
      <c r="M979" s="188"/>
      <c r="N979" s="188"/>
      <c r="O979" s="188"/>
      <c r="P979" s="188"/>
      <c r="Q979" s="188"/>
      <c r="R979" s="188"/>
      <c r="S979" s="188"/>
      <c r="T979" s="7"/>
      <c r="U979" s="176"/>
    </row>
    <row r="980" spans="1:21">
      <c r="A980" s="3"/>
      <c r="B980" s="3"/>
      <c r="C980" s="3"/>
      <c r="D980" s="3"/>
      <c r="E980" s="4"/>
      <c r="F980" s="3"/>
      <c r="G980" s="3"/>
      <c r="H980" s="10"/>
      <c r="I980" s="187"/>
      <c r="J980" s="188"/>
      <c r="K980" s="188"/>
      <c r="L980" s="188"/>
      <c r="M980" s="188"/>
      <c r="N980" s="188"/>
      <c r="O980" s="188"/>
      <c r="P980" s="188"/>
      <c r="Q980" s="188"/>
      <c r="R980" s="188"/>
      <c r="S980" s="188"/>
      <c r="T980" s="7"/>
      <c r="U980" s="176"/>
    </row>
    <row r="981" spans="1:21">
      <c r="A981" s="3"/>
      <c r="B981" s="3"/>
      <c r="C981" s="3"/>
      <c r="D981" s="3"/>
      <c r="E981" s="4"/>
      <c r="F981" s="3"/>
      <c r="G981" s="3"/>
      <c r="H981" s="10"/>
      <c r="I981" s="187"/>
      <c r="J981" s="188"/>
      <c r="K981" s="188"/>
      <c r="L981" s="188"/>
      <c r="M981" s="188"/>
      <c r="N981" s="188"/>
      <c r="O981" s="188"/>
      <c r="P981" s="188"/>
      <c r="Q981" s="188"/>
      <c r="R981" s="188"/>
      <c r="S981" s="188"/>
      <c r="T981" s="7"/>
      <c r="U981" s="176"/>
    </row>
    <row r="982" spans="1:21">
      <c r="A982" s="3"/>
      <c r="B982" s="3"/>
      <c r="C982" s="3"/>
      <c r="D982" s="3"/>
      <c r="E982" s="4"/>
      <c r="F982" s="3"/>
      <c r="G982" s="3"/>
      <c r="H982" s="10"/>
      <c r="I982" s="187"/>
      <c r="J982" s="188"/>
      <c r="K982" s="188"/>
      <c r="L982" s="188"/>
      <c r="M982" s="188"/>
      <c r="N982" s="188"/>
      <c r="O982" s="188"/>
      <c r="P982" s="188"/>
      <c r="Q982" s="188"/>
      <c r="R982" s="188"/>
      <c r="S982" s="188"/>
      <c r="T982" s="7"/>
      <c r="U982" s="176"/>
    </row>
    <row r="983" spans="1:21">
      <c r="A983" s="3"/>
      <c r="B983" s="3"/>
      <c r="C983" s="3"/>
      <c r="D983" s="3"/>
      <c r="E983" s="4"/>
      <c r="F983" s="3"/>
      <c r="G983" s="3"/>
      <c r="H983" s="10"/>
      <c r="I983" s="187"/>
      <c r="J983" s="188"/>
      <c r="K983" s="188"/>
      <c r="L983" s="188"/>
      <c r="M983" s="188"/>
      <c r="N983" s="188"/>
      <c r="O983" s="188"/>
      <c r="P983" s="188"/>
      <c r="Q983" s="188"/>
      <c r="R983" s="188"/>
      <c r="S983" s="188"/>
      <c r="T983" s="7"/>
      <c r="U983" s="176"/>
    </row>
    <row r="984" spans="1:21">
      <c r="A984" s="3"/>
      <c r="B984" s="3"/>
      <c r="C984" s="3"/>
      <c r="D984" s="3"/>
      <c r="E984" s="4"/>
      <c r="F984" s="3"/>
      <c r="G984" s="3"/>
      <c r="H984" s="10"/>
      <c r="I984" s="187"/>
      <c r="J984" s="188"/>
      <c r="K984" s="188"/>
      <c r="L984" s="188"/>
      <c r="M984" s="188"/>
      <c r="N984" s="188"/>
      <c r="O984" s="188"/>
      <c r="P984" s="188"/>
      <c r="Q984" s="188"/>
      <c r="R984" s="188"/>
      <c r="S984" s="188"/>
      <c r="T984" s="7"/>
      <c r="U984" s="176"/>
    </row>
    <row r="985" spans="1:21">
      <c r="A985" s="3"/>
      <c r="B985" s="3"/>
      <c r="C985" s="3"/>
      <c r="D985" s="3"/>
      <c r="E985" s="4"/>
      <c r="F985" s="3"/>
      <c r="G985" s="3"/>
      <c r="H985" s="10"/>
      <c r="I985" s="187"/>
      <c r="J985" s="188"/>
      <c r="K985" s="188"/>
      <c r="L985" s="188"/>
      <c r="M985" s="188"/>
      <c r="N985" s="188"/>
      <c r="O985" s="188"/>
      <c r="P985" s="188"/>
      <c r="Q985" s="188"/>
      <c r="R985" s="188"/>
      <c r="S985" s="188"/>
      <c r="T985" s="7"/>
      <c r="U985" s="176"/>
    </row>
    <row r="986" spans="1:21">
      <c r="A986" s="3"/>
      <c r="B986" s="3"/>
      <c r="C986" s="3"/>
      <c r="D986" s="3"/>
      <c r="E986" s="4"/>
      <c r="F986" s="3"/>
      <c r="G986" s="3"/>
      <c r="H986" s="10"/>
      <c r="I986" s="187"/>
      <c r="J986" s="188"/>
      <c r="K986" s="188"/>
      <c r="L986" s="188"/>
      <c r="M986" s="188"/>
      <c r="N986" s="188"/>
      <c r="O986" s="188"/>
      <c r="P986" s="188"/>
      <c r="Q986" s="188"/>
      <c r="R986" s="188"/>
      <c r="S986" s="188"/>
      <c r="T986" s="7"/>
      <c r="U986" s="176"/>
    </row>
    <row r="987" spans="1:21">
      <c r="A987" s="3"/>
      <c r="B987" s="3"/>
      <c r="C987" s="3"/>
      <c r="D987" s="3"/>
      <c r="E987" s="4"/>
      <c r="F987" s="3"/>
      <c r="G987" s="3"/>
      <c r="H987" s="10"/>
      <c r="I987" s="187"/>
      <c r="J987" s="188"/>
      <c r="K987" s="188"/>
      <c r="L987" s="188"/>
      <c r="M987" s="188"/>
      <c r="N987" s="188"/>
      <c r="O987" s="188"/>
      <c r="P987" s="188"/>
      <c r="Q987" s="188"/>
      <c r="R987" s="188"/>
      <c r="S987" s="188"/>
      <c r="T987" s="7"/>
      <c r="U987" s="176"/>
    </row>
    <row r="988" spans="1:21">
      <c r="A988" s="3"/>
      <c r="B988" s="3"/>
      <c r="C988" s="3"/>
      <c r="D988" s="3"/>
      <c r="E988" s="4"/>
      <c r="F988" s="3"/>
      <c r="G988" s="3"/>
      <c r="H988" s="10"/>
      <c r="I988" s="187"/>
      <c r="J988" s="188"/>
      <c r="K988" s="188"/>
      <c r="L988" s="188"/>
      <c r="M988" s="188"/>
      <c r="N988" s="188"/>
      <c r="O988" s="188"/>
      <c r="P988" s="188"/>
      <c r="Q988" s="188"/>
      <c r="R988" s="188"/>
      <c r="S988" s="188"/>
      <c r="T988" s="7"/>
      <c r="U988" s="176"/>
    </row>
    <row r="989" spans="1:21">
      <c r="A989" s="3"/>
      <c r="B989" s="3"/>
      <c r="C989" s="3"/>
      <c r="D989" s="3"/>
      <c r="E989" s="4"/>
      <c r="F989" s="3"/>
      <c r="G989" s="3"/>
      <c r="H989" s="10"/>
      <c r="I989" s="187"/>
      <c r="J989" s="188"/>
      <c r="K989" s="188"/>
      <c r="L989" s="188"/>
      <c r="M989" s="188"/>
      <c r="N989" s="188"/>
      <c r="O989" s="188"/>
      <c r="P989" s="188"/>
      <c r="Q989" s="188"/>
      <c r="R989" s="188"/>
      <c r="S989" s="188"/>
      <c r="T989" s="7"/>
      <c r="U989" s="176"/>
    </row>
    <row r="990" spans="1:21">
      <c r="A990" s="3"/>
      <c r="B990" s="3"/>
      <c r="C990" s="3"/>
      <c r="D990" s="3"/>
      <c r="E990" s="4"/>
      <c r="F990" s="3"/>
      <c r="G990" s="3"/>
      <c r="H990" s="10"/>
      <c r="I990" s="187"/>
      <c r="J990" s="188"/>
      <c r="K990" s="188"/>
      <c r="L990" s="188"/>
      <c r="M990" s="188"/>
      <c r="N990" s="188"/>
      <c r="O990" s="188"/>
      <c r="P990" s="188"/>
      <c r="Q990" s="188"/>
      <c r="R990" s="188"/>
      <c r="S990" s="188"/>
      <c r="T990" s="7"/>
      <c r="U990" s="176"/>
    </row>
    <row r="991" spans="1:21">
      <c r="A991" s="3"/>
      <c r="B991" s="3"/>
      <c r="C991" s="3"/>
      <c r="D991" s="3"/>
      <c r="E991" s="4"/>
      <c r="F991" s="3"/>
      <c r="G991" s="3"/>
      <c r="H991" s="10"/>
      <c r="I991" s="187"/>
      <c r="J991" s="188"/>
      <c r="K991" s="188"/>
      <c r="L991" s="188"/>
      <c r="M991" s="188"/>
      <c r="N991" s="188"/>
      <c r="O991" s="188"/>
      <c r="P991" s="188"/>
      <c r="Q991" s="188"/>
      <c r="R991" s="188"/>
      <c r="S991" s="188"/>
      <c r="T991" s="7"/>
      <c r="U991" s="176"/>
    </row>
    <row r="992" spans="1:21">
      <c r="A992" s="3"/>
      <c r="B992" s="3"/>
      <c r="C992" s="3"/>
      <c r="D992" s="3"/>
      <c r="E992" s="4"/>
      <c r="F992" s="3"/>
      <c r="G992" s="3"/>
      <c r="H992" s="10"/>
      <c r="I992" s="187"/>
      <c r="J992" s="188"/>
      <c r="K992" s="188"/>
      <c r="L992" s="188"/>
      <c r="M992" s="188"/>
      <c r="N992" s="188"/>
      <c r="O992" s="188"/>
      <c r="P992" s="188"/>
      <c r="Q992" s="188"/>
      <c r="R992" s="188"/>
      <c r="S992" s="188"/>
      <c r="T992" s="7"/>
      <c r="U992" s="176"/>
    </row>
    <row r="993" spans="1:21">
      <c r="A993" s="3"/>
      <c r="B993" s="3"/>
      <c r="C993" s="3"/>
      <c r="D993" s="3"/>
      <c r="E993" s="4"/>
      <c r="F993" s="3"/>
      <c r="G993" s="3"/>
      <c r="H993" s="10"/>
      <c r="I993" s="187"/>
      <c r="J993" s="188"/>
      <c r="K993" s="188"/>
      <c r="L993" s="188"/>
      <c r="M993" s="188"/>
      <c r="N993" s="188"/>
      <c r="O993" s="188"/>
      <c r="P993" s="188"/>
      <c r="Q993" s="188"/>
      <c r="R993" s="188"/>
      <c r="S993" s="188"/>
      <c r="T993" s="7"/>
      <c r="U993" s="176"/>
    </row>
    <row r="994" spans="1:21">
      <c r="A994" s="3"/>
      <c r="B994" s="3"/>
      <c r="C994" s="3"/>
      <c r="D994" s="3"/>
      <c r="E994" s="4"/>
      <c r="F994" s="3"/>
      <c r="G994" s="3"/>
      <c r="H994" s="10"/>
      <c r="I994" s="187"/>
      <c r="J994" s="188"/>
      <c r="K994" s="188"/>
      <c r="L994" s="188"/>
      <c r="M994" s="188"/>
      <c r="N994" s="188"/>
      <c r="O994" s="188"/>
      <c r="P994" s="188"/>
      <c r="Q994" s="188"/>
      <c r="R994" s="188"/>
      <c r="S994" s="188"/>
      <c r="T994" s="7"/>
      <c r="U994" s="176"/>
    </row>
    <row r="995" spans="1:21">
      <c r="A995" s="3"/>
      <c r="B995" s="3"/>
      <c r="C995" s="3"/>
      <c r="D995" s="3"/>
      <c r="E995" s="4"/>
      <c r="F995" s="3"/>
      <c r="G995" s="3"/>
      <c r="H995" s="10"/>
      <c r="I995" s="187"/>
      <c r="J995" s="188"/>
      <c r="K995" s="188"/>
      <c r="L995" s="188"/>
      <c r="M995" s="188"/>
      <c r="N995" s="188"/>
      <c r="O995" s="188"/>
      <c r="P995" s="188"/>
      <c r="Q995" s="188"/>
      <c r="R995" s="188"/>
      <c r="S995" s="188"/>
      <c r="T995" s="7"/>
      <c r="U995" s="176"/>
    </row>
    <row r="996" spans="1:21">
      <c r="A996" s="3"/>
      <c r="B996" s="3"/>
      <c r="C996" s="3"/>
      <c r="D996" s="3"/>
      <c r="E996" s="4"/>
      <c r="F996" s="3"/>
      <c r="G996" s="3"/>
      <c r="H996" s="10"/>
      <c r="I996" s="187"/>
      <c r="J996" s="188"/>
      <c r="K996" s="188"/>
      <c r="L996" s="188"/>
      <c r="M996" s="188"/>
      <c r="N996" s="188"/>
      <c r="O996" s="188"/>
      <c r="P996" s="188"/>
      <c r="Q996" s="188"/>
      <c r="R996" s="188"/>
      <c r="S996" s="188"/>
      <c r="T996" s="7"/>
      <c r="U996" s="176"/>
    </row>
    <row r="997" spans="1:21">
      <c r="I997" s="241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3"/>
    </row>
    <row r="998" spans="1:21">
      <c r="I998" s="241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3"/>
    </row>
    <row r="999" spans="1:21">
      <c r="I999" s="241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3"/>
    </row>
    <row r="1000" spans="1:21">
      <c r="I1000" s="241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3"/>
    </row>
  </sheetData>
  <mergeCells count="1">
    <mergeCell ref="J2:U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="80" zoomScaleNormal="80" workbookViewId="0"/>
  </sheetViews>
  <sheetFormatPr baseColWidth="10" defaultColWidth="15.140625" defaultRowHeight="15" customHeight="1"/>
  <cols>
    <col min="1" max="1" width="3.5703125" customWidth="1"/>
    <col min="2" max="2" width="5" customWidth="1"/>
    <col min="3" max="3" width="5.28515625" customWidth="1"/>
    <col min="4" max="4" width="18.28515625" customWidth="1"/>
    <col min="5" max="5" width="20.42578125" customWidth="1"/>
    <col min="6" max="6" width="8" customWidth="1"/>
    <col min="7" max="7" width="7.7109375" bestFit="1" customWidth="1"/>
    <col min="8" max="8" width="6.7109375" customWidth="1"/>
    <col min="9" max="9" width="8" customWidth="1"/>
    <col min="10" max="11" width="9.42578125" customWidth="1"/>
    <col min="12" max="12" width="8.85546875" customWidth="1"/>
    <col min="13" max="13" width="8.42578125" customWidth="1"/>
    <col min="14" max="14" width="9.42578125" customWidth="1"/>
    <col min="15" max="16" width="9" customWidth="1"/>
    <col min="17" max="17" width="8.7109375" customWidth="1"/>
    <col min="18" max="18" width="10.28515625" customWidth="1"/>
    <col min="19" max="19" width="9.42578125" customWidth="1"/>
    <col min="20" max="20" width="30.140625" customWidth="1"/>
  </cols>
  <sheetData>
    <row r="1" spans="1:26">
      <c r="A1" s="189"/>
      <c r="B1" s="189"/>
      <c r="C1" s="189"/>
      <c r="D1" s="189"/>
      <c r="E1" s="189"/>
      <c r="F1" s="189"/>
      <c r="G1" s="189"/>
      <c r="H1" s="190"/>
      <c r="I1" s="177">
        <v>1</v>
      </c>
      <c r="J1" s="177">
        <v>2</v>
      </c>
      <c r="K1" s="177">
        <v>3</v>
      </c>
      <c r="L1" s="177">
        <v>4</v>
      </c>
      <c r="M1" s="177">
        <v>5</v>
      </c>
      <c r="N1" s="177">
        <v>6</v>
      </c>
      <c r="O1" s="177">
        <v>7</v>
      </c>
      <c r="P1" s="177">
        <v>8</v>
      </c>
      <c r="Q1" s="177">
        <v>9</v>
      </c>
      <c r="R1" s="177">
        <v>10</v>
      </c>
      <c r="S1" s="191"/>
      <c r="T1" s="192" t="s">
        <v>1</v>
      </c>
      <c r="U1" s="189"/>
      <c r="V1" s="189"/>
      <c r="W1" s="189"/>
      <c r="X1" s="189"/>
      <c r="Y1" s="189"/>
      <c r="Z1" s="189"/>
    </row>
    <row r="2" spans="1:26">
      <c r="A2" s="189"/>
      <c r="B2" s="189"/>
      <c r="C2" s="189"/>
      <c r="D2" s="189"/>
      <c r="E2" s="189"/>
      <c r="F2" s="189"/>
      <c r="G2" s="189"/>
      <c r="H2" s="190"/>
      <c r="I2" s="671" t="s">
        <v>2</v>
      </c>
      <c r="J2" s="670"/>
      <c r="K2" s="670"/>
      <c r="L2" s="670"/>
      <c r="M2" s="670"/>
      <c r="N2" s="670"/>
      <c r="O2" s="670"/>
      <c r="P2" s="670"/>
      <c r="Q2" s="670"/>
      <c r="R2" s="670"/>
      <c r="S2" s="670"/>
      <c r="T2" s="670"/>
      <c r="U2" s="189"/>
      <c r="V2" s="189"/>
      <c r="W2" s="189"/>
      <c r="X2" s="189"/>
      <c r="Y2" s="189"/>
      <c r="Z2" s="189"/>
    </row>
    <row r="3" spans="1:26">
      <c r="A3" s="193" t="s">
        <v>3</v>
      </c>
      <c r="B3" s="193" t="s">
        <v>4</v>
      </c>
      <c r="C3" s="193" t="s">
        <v>5</v>
      </c>
      <c r="D3" s="193" t="s">
        <v>6</v>
      </c>
      <c r="E3" s="193" t="s">
        <v>7</v>
      </c>
      <c r="F3" s="193" t="s">
        <v>8</v>
      </c>
      <c r="G3" s="193" t="s">
        <v>9</v>
      </c>
      <c r="H3" s="194" t="s">
        <v>10</v>
      </c>
      <c r="I3" s="193" t="s">
        <v>11</v>
      </c>
      <c r="J3" s="193" t="s">
        <v>12</v>
      </c>
      <c r="K3" s="193" t="s">
        <v>13</v>
      </c>
      <c r="L3" s="193" t="s">
        <v>14</v>
      </c>
      <c r="M3" s="193" t="s">
        <v>15</v>
      </c>
      <c r="N3" s="193" t="s">
        <v>16</v>
      </c>
      <c r="O3" s="193" t="s">
        <v>17</v>
      </c>
      <c r="P3" s="193" t="s">
        <v>18</v>
      </c>
      <c r="Q3" s="193" t="s">
        <v>19</v>
      </c>
      <c r="R3" s="193" t="s">
        <v>20</v>
      </c>
      <c r="S3" s="195" t="s">
        <v>21</v>
      </c>
      <c r="T3" s="196" t="s">
        <v>1</v>
      </c>
      <c r="U3" s="189"/>
      <c r="V3" s="189"/>
      <c r="W3" s="189"/>
      <c r="X3" s="189"/>
      <c r="Y3" s="189"/>
      <c r="Z3" s="189"/>
    </row>
    <row r="4" spans="1:26">
      <c r="A4" s="197">
        <v>2</v>
      </c>
      <c r="B4" s="197">
        <v>1</v>
      </c>
      <c r="C4" s="197">
        <v>1</v>
      </c>
      <c r="D4" s="197" t="s">
        <v>22</v>
      </c>
      <c r="E4" s="197" t="s">
        <v>23</v>
      </c>
      <c r="F4" s="197" t="s">
        <v>25</v>
      </c>
      <c r="G4" s="198">
        <v>30876</v>
      </c>
      <c r="H4" s="199">
        <v>510</v>
      </c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1"/>
      <c r="T4" s="202" t="s">
        <v>26</v>
      </c>
      <c r="U4" s="189"/>
      <c r="V4" s="189"/>
      <c r="W4" s="189"/>
      <c r="X4" s="189"/>
      <c r="Y4" s="189"/>
      <c r="Z4" s="189"/>
    </row>
    <row r="5" spans="1:26">
      <c r="A5" s="197">
        <v>2</v>
      </c>
      <c r="B5" s="197">
        <v>1</v>
      </c>
      <c r="C5" s="197">
        <v>2</v>
      </c>
      <c r="D5" s="197" t="s">
        <v>27</v>
      </c>
      <c r="E5" s="197" t="s">
        <v>28</v>
      </c>
      <c r="F5" s="197" t="s">
        <v>25</v>
      </c>
      <c r="G5" s="198">
        <v>30877</v>
      </c>
      <c r="H5" s="199">
        <v>250</v>
      </c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1"/>
      <c r="T5" s="202" t="s">
        <v>26</v>
      </c>
      <c r="U5" s="189"/>
      <c r="V5" s="189"/>
      <c r="W5" s="189"/>
      <c r="X5" s="189"/>
      <c r="Y5" s="189"/>
      <c r="Z5" s="189"/>
    </row>
    <row r="6" spans="1:26">
      <c r="A6" s="197">
        <v>2</v>
      </c>
      <c r="B6" s="197">
        <v>1</v>
      </c>
      <c r="C6" s="197">
        <v>2</v>
      </c>
      <c r="D6" s="197" t="s">
        <v>22</v>
      </c>
      <c r="E6" s="197" t="s">
        <v>23</v>
      </c>
      <c r="F6" s="197" t="s">
        <v>25</v>
      </c>
      <c r="G6" s="198">
        <v>30876</v>
      </c>
      <c r="H6" s="199">
        <v>290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  <c r="T6" s="202" t="s">
        <v>26</v>
      </c>
      <c r="U6" s="189"/>
      <c r="V6" s="189"/>
      <c r="W6" s="189"/>
      <c r="X6" s="189"/>
      <c r="Y6" s="189"/>
      <c r="Z6" s="189"/>
    </row>
    <row r="7" spans="1:26">
      <c r="A7" s="203">
        <v>2</v>
      </c>
      <c r="B7" s="203">
        <v>1</v>
      </c>
      <c r="C7" s="203">
        <v>3</v>
      </c>
      <c r="D7" s="203" t="s">
        <v>29</v>
      </c>
      <c r="E7" s="203" t="s">
        <v>30</v>
      </c>
      <c r="F7" s="203" t="s">
        <v>31</v>
      </c>
      <c r="G7" s="204">
        <v>50759</v>
      </c>
      <c r="H7" s="205">
        <v>232</v>
      </c>
      <c r="I7" s="206">
        <v>40</v>
      </c>
      <c r="J7" s="206">
        <v>40</v>
      </c>
      <c r="K7" s="206">
        <v>30</v>
      </c>
      <c r="L7" s="206">
        <v>13</v>
      </c>
      <c r="M7" s="206">
        <v>47</v>
      </c>
      <c r="N7" s="206">
        <v>14</v>
      </c>
      <c r="O7" s="206">
        <v>12</v>
      </c>
      <c r="P7" s="206" t="s">
        <v>246</v>
      </c>
      <c r="Q7" s="206" t="s">
        <v>80</v>
      </c>
      <c r="R7" s="206" t="s">
        <v>80</v>
      </c>
      <c r="S7" s="207">
        <f>AVERAGE(I7:R7)</f>
        <v>28</v>
      </c>
      <c r="T7" s="208"/>
      <c r="U7" s="189"/>
      <c r="V7" s="189"/>
      <c r="W7" s="189"/>
      <c r="X7" s="189"/>
      <c r="Y7" s="189"/>
      <c r="Z7" s="189"/>
    </row>
    <row r="8" spans="1:26">
      <c r="A8" s="203">
        <v>2</v>
      </c>
      <c r="B8" s="203">
        <v>1</v>
      </c>
      <c r="C8" s="203">
        <v>5</v>
      </c>
      <c r="D8" s="203" t="s">
        <v>32</v>
      </c>
      <c r="E8" s="203" t="s">
        <v>33</v>
      </c>
      <c r="F8" s="203" t="s">
        <v>34</v>
      </c>
      <c r="G8" s="204">
        <v>50616</v>
      </c>
      <c r="H8" s="205">
        <v>468</v>
      </c>
      <c r="I8" s="206">
        <v>32</v>
      </c>
      <c r="J8" s="206">
        <v>118</v>
      </c>
      <c r="K8" s="206">
        <v>149</v>
      </c>
      <c r="L8" s="206">
        <v>166</v>
      </c>
      <c r="M8" s="206">
        <v>203</v>
      </c>
      <c r="N8" s="206">
        <v>141</v>
      </c>
      <c r="O8" s="206">
        <v>231.5</v>
      </c>
      <c r="P8" s="206">
        <v>166</v>
      </c>
      <c r="Q8" s="206">
        <v>167</v>
      </c>
      <c r="R8" s="206">
        <v>117</v>
      </c>
      <c r="S8" s="207">
        <f>AVERAGE(I8:R8)</f>
        <v>149.05000000000001</v>
      </c>
      <c r="T8" s="208"/>
      <c r="U8" s="189"/>
      <c r="V8" s="189"/>
      <c r="W8" s="189"/>
      <c r="X8" s="189"/>
      <c r="Y8" s="189"/>
      <c r="Z8" s="189"/>
    </row>
    <row r="9" spans="1:26">
      <c r="A9" s="203">
        <v>2</v>
      </c>
      <c r="B9" s="203">
        <v>1</v>
      </c>
      <c r="C9" s="203">
        <v>8</v>
      </c>
      <c r="D9" s="203" t="s">
        <v>35</v>
      </c>
      <c r="E9" s="203" t="s">
        <v>36</v>
      </c>
      <c r="F9" s="203" t="s">
        <v>31</v>
      </c>
      <c r="G9" s="204">
        <v>50794</v>
      </c>
      <c r="H9" s="205">
        <v>392</v>
      </c>
      <c r="I9" s="206">
        <v>143</v>
      </c>
      <c r="J9" s="206">
        <v>166</v>
      </c>
      <c r="K9" s="206">
        <v>193</v>
      </c>
      <c r="L9" s="177" t="s">
        <v>80</v>
      </c>
      <c r="M9" s="206">
        <v>209</v>
      </c>
      <c r="N9" s="206">
        <v>169.5</v>
      </c>
      <c r="O9" s="206">
        <v>226</v>
      </c>
      <c r="P9" s="177" t="s">
        <v>80</v>
      </c>
      <c r="Q9" s="177" t="s">
        <v>80</v>
      </c>
      <c r="R9" s="177" t="s">
        <v>80</v>
      </c>
      <c r="S9" s="207">
        <f>AVERAGE(I9:R9)</f>
        <v>184.41666666666666</v>
      </c>
      <c r="T9" s="208"/>
      <c r="U9" s="189"/>
      <c r="V9" s="189"/>
      <c r="W9" s="189"/>
      <c r="X9" s="189"/>
      <c r="Y9" s="189"/>
      <c r="Z9" s="189"/>
    </row>
    <row r="10" spans="1:26">
      <c r="A10" s="203">
        <v>2</v>
      </c>
      <c r="B10" s="203">
        <v>1</v>
      </c>
      <c r="C10" s="203">
        <v>9</v>
      </c>
      <c r="D10" s="203" t="s">
        <v>37</v>
      </c>
      <c r="E10" s="203" t="s">
        <v>38</v>
      </c>
      <c r="F10" s="203" t="s">
        <v>34</v>
      </c>
      <c r="G10" s="204">
        <v>50663</v>
      </c>
      <c r="H10" s="205">
        <v>127</v>
      </c>
      <c r="I10" s="206">
        <v>105</v>
      </c>
      <c r="J10" s="206">
        <v>115</v>
      </c>
      <c r="K10" s="206" t="s">
        <v>80</v>
      </c>
      <c r="L10" s="206">
        <v>127</v>
      </c>
      <c r="M10" s="206" t="s">
        <v>80</v>
      </c>
      <c r="N10" s="206">
        <v>90</v>
      </c>
      <c r="O10" s="206" t="s">
        <v>80</v>
      </c>
      <c r="P10" s="206">
        <v>98</v>
      </c>
      <c r="Q10" s="177" t="s">
        <v>80</v>
      </c>
      <c r="R10" s="177" t="s">
        <v>80</v>
      </c>
      <c r="S10" s="207">
        <f>AVERAGE(I10:R10)</f>
        <v>107</v>
      </c>
      <c r="T10" s="208"/>
      <c r="U10" s="189"/>
      <c r="V10" s="189"/>
      <c r="W10" s="189"/>
      <c r="X10" s="189"/>
      <c r="Y10" s="189"/>
      <c r="Z10" s="189"/>
    </row>
    <row r="11" spans="1:26">
      <c r="A11" s="203">
        <v>2</v>
      </c>
      <c r="B11" s="203">
        <v>1</v>
      </c>
      <c r="C11" s="203">
        <v>9</v>
      </c>
      <c r="D11" s="203" t="s">
        <v>39</v>
      </c>
      <c r="E11" s="203" t="s">
        <v>84</v>
      </c>
      <c r="F11" s="203" t="s">
        <v>25</v>
      </c>
      <c r="G11" s="204">
        <v>50530</v>
      </c>
      <c r="H11" s="205">
        <v>48</v>
      </c>
      <c r="I11" s="206">
        <v>257</v>
      </c>
      <c r="J11" s="206">
        <v>240</v>
      </c>
      <c r="K11" s="206">
        <v>139</v>
      </c>
      <c r="L11" s="189"/>
      <c r="M11" s="189"/>
      <c r="N11" s="189"/>
      <c r="O11" s="189"/>
      <c r="P11" s="189"/>
      <c r="Q11" s="189"/>
      <c r="R11" s="189"/>
      <c r="S11" s="207">
        <f>AVERAGE(I11:R11)</f>
        <v>212</v>
      </c>
      <c r="T11" s="208"/>
      <c r="U11" s="189"/>
      <c r="V11" s="189"/>
      <c r="W11" s="189"/>
      <c r="X11" s="189"/>
      <c r="Y11" s="189"/>
      <c r="Z11" s="189"/>
    </row>
    <row r="12" spans="1:26">
      <c r="A12" s="209">
        <v>2</v>
      </c>
      <c r="B12" s="209">
        <v>1</v>
      </c>
      <c r="C12" s="209">
        <v>9</v>
      </c>
      <c r="D12" s="209" t="s">
        <v>41</v>
      </c>
      <c r="E12" s="209" t="s">
        <v>42</v>
      </c>
      <c r="F12" s="209" t="s">
        <v>25</v>
      </c>
      <c r="G12" s="210">
        <v>50721</v>
      </c>
      <c r="H12" s="211">
        <v>23</v>
      </c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3"/>
      <c r="T12" s="214" t="s">
        <v>43</v>
      </c>
      <c r="U12" s="189"/>
      <c r="V12" s="189"/>
      <c r="W12" s="189"/>
      <c r="X12" s="189"/>
      <c r="Y12" s="189"/>
      <c r="Z12" s="189"/>
    </row>
    <row r="13" spans="1:26">
      <c r="A13" s="203">
        <v>2</v>
      </c>
      <c r="B13" s="203">
        <v>1</v>
      </c>
      <c r="C13" s="203">
        <v>11</v>
      </c>
      <c r="D13" s="203" t="s">
        <v>44</v>
      </c>
      <c r="E13" s="203" t="s">
        <v>45</v>
      </c>
      <c r="F13" s="203" t="s">
        <v>31</v>
      </c>
      <c r="G13" s="204">
        <v>50795</v>
      </c>
      <c r="H13" s="205">
        <v>754</v>
      </c>
      <c r="I13" s="206">
        <v>303</v>
      </c>
      <c r="J13" s="206">
        <v>303</v>
      </c>
      <c r="K13" s="206">
        <v>308</v>
      </c>
      <c r="L13" s="206" t="s">
        <v>80</v>
      </c>
      <c r="M13" s="206">
        <v>237.5</v>
      </c>
      <c r="N13" s="206">
        <v>212</v>
      </c>
      <c r="O13" s="206">
        <v>230</v>
      </c>
      <c r="P13" s="206">
        <v>187</v>
      </c>
      <c r="Q13" s="177" t="s">
        <v>80</v>
      </c>
      <c r="R13" s="206">
        <v>226</v>
      </c>
      <c r="S13" s="207">
        <f t="shared" ref="S13:S21" si="0">AVERAGE(I13:R13)</f>
        <v>250.8125</v>
      </c>
      <c r="T13" s="208"/>
      <c r="U13" s="189"/>
      <c r="V13" s="189"/>
      <c r="W13" s="189"/>
      <c r="X13" s="189"/>
      <c r="Y13" s="189"/>
      <c r="Z13" s="189"/>
    </row>
    <row r="14" spans="1:26">
      <c r="A14" s="203">
        <v>2</v>
      </c>
      <c r="B14" s="203">
        <v>1</v>
      </c>
      <c r="C14" s="203">
        <v>12</v>
      </c>
      <c r="D14" s="203" t="s">
        <v>46</v>
      </c>
      <c r="E14" s="203" t="s">
        <v>47</v>
      </c>
      <c r="F14" s="203" t="s">
        <v>25</v>
      </c>
      <c r="G14" s="204">
        <v>50262</v>
      </c>
      <c r="H14" s="205">
        <v>472</v>
      </c>
      <c r="I14" s="206">
        <v>184</v>
      </c>
      <c r="J14" s="206">
        <v>211</v>
      </c>
      <c r="K14" s="206">
        <v>258</v>
      </c>
      <c r="L14" s="206">
        <v>217</v>
      </c>
      <c r="M14" s="206">
        <v>196</v>
      </c>
      <c r="N14" s="177">
        <v>182</v>
      </c>
      <c r="O14" s="206">
        <v>161</v>
      </c>
      <c r="P14" s="206">
        <v>165</v>
      </c>
      <c r="Q14" s="206">
        <v>136</v>
      </c>
      <c r="R14" s="206">
        <v>175</v>
      </c>
      <c r="S14" s="207">
        <f t="shared" si="0"/>
        <v>188.5</v>
      </c>
      <c r="T14" s="208"/>
      <c r="U14" s="189"/>
      <c r="V14" s="189"/>
      <c r="W14" s="189"/>
      <c r="X14" s="189"/>
      <c r="Y14" s="189"/>
      <c r="Z14" s="189"/>
    </row>
    <row r="15" spans="1:26">
      <c r="A15" s="203">
        <v>2</v>
      </c>
      <c r="B15" s="203">
        <v>1</v>
      </c>
      <c r="C15" s="203">
        <v>13</v>
      </c>
      <c r="D15" s="203" t="s">
        <v>32</v>
      </c>
      <c r="E15" s="203" t="s">
        <v>33</v>
      </c>
      <c r="F15" s="203" t="s">
        <v>48</v>
      </c>
      <c r="G15" s="204">
        <v>50267</v>
      </c>
      <c r="H15" s="205">
        <v>442</v>
      </c>
      <c r="I15" s="206">
        <v>140</v>
      </c>
      <c r="J15" s="206">
        <v>71</v>
      </c>
      <c r="K15" s="206">
        <v>123</v>
      </c>
      <c r="L15" s="206">
        <v>125.5</v>
      </c>
      <c r="M15" s="206">
        <v>101</v>
      </c>
      <c r="N15" s="206">
        <v>84</v>
      </c>
      <c r="O15" s="206">
        <v>129</v>
      </c>
      <c r="P15" s="206">
        <v>110</v>
      </c>
      <c r="Q15" s="206">
        <v>130</v>
      </c>
      <c r="R15" s="206">
        <v>157</v>
      </c>
      <c r="S15" s="207">
        <f t="shared" si="0"/>
        <v>117.05</v>
      </c>
      <c r="T15" s="208"/>
      <c r="U15" s="189"/>
      <c r="V15" s="189"/>
      <c r="W15" s="189"/>
      <c r="X15" s="189"/>
      <c r="Y15" s="189"/>
      <c r="Z15" s="189"/>
    </row>
    <row r="16" spans="1:26">
      <c r="A16" s="203">
        <v>2</v>
      </c>
      <c r="B16" s="203">
        <v>1</v>
      </c>
      <c r="C16" s="203">
        <v>13</v>
      </c>
      <c r="D16" s="203" t="s">
        <v>32</v>
      </c>
      <c r="E16" s="203" t="s">
        <v>33</v>
      </c>
      <c r="F16" s="203" t="s">
        <v>34</v>
      </c>
      <c r="G16" s="204">
        <v>50462</v>
      </c>
      <c r="H16" s="205">
        <v>206</v>
      </c>
      <c r="I16" s="206">
        <v>117</v>
      </c>
      <c r="J16" s="206">
        <v>120</v>
      </c>
      <c r="K16" s="206">
        <v>148</v>
      </c>
      <c r="L16" s="206">
        <v>118</v>
      </c>
      <c r="M16" s="206">
        <v>80</v>
      </c>
      <c r="N16" s="206">
        <v>76</v>
      </c>
      <c r="O16" s="189"/>
      <c r="P16" s="189"/>
      <c r="Q16" s="189"/>
      <c r="R16" s="189"/>
      <c r="S16" s="207">
        <f t="shared" si="0"/>
        <v>109.83333333333333</v>
      </c>
      <c r="T16" s="208"/>
      <c r="U16" s="189"/>
      <c r="V16" s="189"/>
      <c r="W16" s="189"/>
      <c r="X16" s="189"/>
      <c r="Y16" s="189"/>
      <c r="Z16" s="189"/>
    </row>
    <row r="17" spans="1:26">
      <c r="A17" s="203">
        <v>2</v>
      </c>
      <c r="B17" s="203">
        <v>1</v>
      </c>
      <c r="C17" s="203">
        <v>13</v>
      </c>
      <c r="D17" s="203" t="s">
        <v>32</v>
      </c>
      <c r="E17" s="203" t="s">
        <v>33</v>
      </c>
      <c r="F17" s="203" t="s">
        <v>34</v>
      </c>
      <c r="G17" s="204">
        <v>50616</v>
      </c>
      <c r="H17" s="205">
        <v>21</v>
      </c>
      <c r="I17" s="206">
        <v>122</v>
      </c>
      <c r="J17" s="206">
        <v>117.5</v>
      </c>
      <c r="K17" s="189"/>
      <c r="L17" s="189"/>
      <c r="M17" s="189"/>
      <c r="N17" s="189"/>
      <c r="O17" s="189"/>
      <c r="P17" s="189"/>
      <c r="Q17" s="189"/>
      <c r="R17" s="189"/>
      <c r="S17" s="207">
        <f t="shared" si="0"/>
        <v>119.75</v>
      </c>
      <c r="T17" s="208"/>
      <c r="U17" s="189"/>
      <c r="V17" s="189"/>
      <c r="W17" s="189"/>
      <c r="X17" s="189"/>
      <c r="Y17" s="189"/>
      <c r="Z17" s="189"/>
    </row>
    <row r="18" spans="1:26">
      <c r="A18" s="203">
        <v>2</v>
      </c>
      <c r="B18" s="203">
        <v>1</v>
      </c>
      <c r="C18" s="203">
        <v>13</v>
      </c>
      <c r="D18" s="203" t="s">
        <v>32</v>
      </c>
      <c r="E18" s="203" t="s">
        <v>33</v>
      </c>
      <c r="F18" s="203" t="s">
        <v>31</v>
      </c>
      <c r="G18" s="204">
        <v>50184</v>
      </c>
      <c r="H18" s="205">
        <v>39</v>
      </c>
      <c r="I18" s="206">
        <v>75</v>
      </c>
      <c r="J18" s="206">
        <v>120</v>
      </c>
      <c r="K18" s="189"/>
      <c r="L18" s="189"/>
      <c r="M18" s="189"/>
      <c r="N18" s="189"/>
      <c r="O18" s="189"/>
      <c r="P18" s="189"/>
      <c r="Q18" s="189"/>
      <c r="R18" s="189"/>
      <c r="S18" s="207">
        <f t="shared" si="0"/>
        <v>97.5</v>
      </c>
      <c r="T18" s="208"/>
      <c r="U18" s="189"/>
      <c r="V18" s="189"/>
      <c r="W18" s="189"/>
      <c r="X18" s="189"/>
      <c r="Y18" s="189"/>
      <c r="Z18" s="189"/>
    </row>
    <row r="19" spans="1:26">
      <c r="A19" s="203">
        <v>2</v>
      </c>
      <c r="B19" s="203">
        <v>1</v>
      </c>
      <c r="C19" s="203">
        <v>13</v>
      </c>
      <c r="D19" s="203" t="s">
        <v>32</v>
      </c>
      <c r="E19" s="203" t="s">
        <v>33</v>
      </c>
      <c r="F19" s="203" t="s">
        <v>34</v>
      </c>
      <c r="G19" s="204">
        <v>50104</v>
      </c>
      <c r="H19" s="205">
        <v>22</v>
      </c>
      <c r="I19" s="206">
        <v>73</v>
      </c>
      <c r="J19" s="189"/>
      <c r="K19" s="189"/>
      <c r="L19" s="189"/>
      <c r="M19" s="189"/>
      <c r="N19" s="189"/>
      <c r="O19" s="189"/>
      <c r="P19" s="189"/>
      <c r="Q19" s="189"/>
      <c r="R19" s="189"/>
      <c r="S19" s="207">
        <f t="shared" si="0"/>
        <v>73</v>
      </c>
      <c r="T19" s="208"/>
      <c r="U19" s="189"/>
      <c r="V19" s="189"/>
      <c r="W19" s="189"/>
      <c r="X19" s="189"/>
      <c r="Y19" s="189"/>
      <c r="Z19" s="189"/>
    </row>
    <row r="20" spans="1:26">
      <c r="A20" s="203">
        <v>2</v>
      </c>
      <c r="B20" s="203">
        <v>1</v>
      </c>
      <c r="C20" s="203">
        <v>14</v>
      </c>
      <c r="D20" s="203" t="s">
        <v>49</v>
      </c>
      <c r="E20" s="203" t="s">
        <v>50</v>
      </c>
      <c r="F20" s="203" t="s">
        <v>25</v>
      </c>
      <c r="G20" s="204">
        <v>50874</v>
      </c>
      <c r="H20" s="205">
        <v>282</v>
      </c>
      <c r="I20" s="177" t="s">
        <v>55</v>
      </c>
      <c r="J20" s="206">
        <v>14</v>
      </c>
      <c r="K20" s="206">
        <v>13</v>
      </c>
      <c r="L20" s="206">
        <v>9</v>
      </c>
      <c r="M20" s="206">
        <v>22</v>
      </c>
      <c r="N20" s="206">
        <v>19.5</v>
      </c>
      <c r="O20" s="206">
        <v>19</v>
      </c>
      <c r="P20" s="206">
        <v>17.5</v>
      </c>
      <c r="Q20" s="206">
        <v>33.5</v>
      </c>
      <c r="R20" s="206">
        <v>15</v>
      </c>
      <c r="S20" s="207">
        <f t="shared" si="0"/>
        <v>18.055555555555557</v>
      </c>
      <c r="T20" s="208"/>
      <c r="U20" s="189"/>
      <c r="V20" s="189"/>
      <c r="W20" s="189"/>
      <c r="X20" s="189"/>
      <c r="Y20" s="189"/>
      <c r="Z20" s="189"/>
    </row>
    <row r="21" spans="1:26">
      <c r="A21" s="203">
        <v>2</v>
      </c>
      <c r="B21" s="203">
        <v>1</v>
      </c>
      <c r="C21" s="203">
        <v>14</v>
      </c>
      <c r="D21" s="203" t="s">
        <v>51</v>
      </c>
      <c r="E21" s="203" t="s">
        <v>52</v>
      </c>
      <c r="F21" s="203" t="s">
        <v>25</v>
      </c>
      <c r="G21" s="204">
        <v>50875</v>
      </c>
      <c r="H21" s="205">
        <v>348</v>
      </c>
      <c r="I21" s="206">
        <v>10</v>
      </c>
      <c r="J21" s="206">
        <v>18.5</v>
      </c>
      <c r="K21" s="206">
        <v>14</v>
      </c>
      <c r="L21" s="206">
        <v>10</v>
      </c>
      <c r="M21" s="206">
        <v>10.5</v>
      </c>
      <c r="N21" s="206">
        <v>7</v>
      </c>
      <c r="O21" s="206">
        <v>18</v>
      </c>
      <c r="P21" s="206">
        <v>13</v>
      </c>
      <c r="Q21" s="206">
        <v>24</v>
      </c>
      <c r="R21" s="206">
        <v>24</v>
      </c>
      <c r="S21" s="207">
        <f t="shared" si="0"/>
        <v>14.9</v>
      </c>
      <c r="T21" s="208"/>
      <c r="U21" s="189"/>
      <c r="V21" s="189"/>
      <c r="W21" s="189"/>
      <c r="X21" s="189"/>
      <c r="Y21" s="189"/>
      <c r="Z21" s="189"/>
    </row>
    <row r="22" spans="1:26">
      <c r="A22" s="215">
        <v>2</v>
      </c>
      <c r="B22" s="215">
        <v>1</v>
      </c>
      <c r="C22" s="215">
        <v>14</v>
      </c>
      <c r="D22" s="215" t="s">
        <v>53</v>
      </c>
      <c r="E22" s="215" t="s">
        <v>54</v>
      </c>
      <c r="F22" s="215" t="s">
        <v>25</v>
      </c>
      <c r="G22" s="216">
        <v>50877</v>
      </c>
      <c r="H22" s="217">
        <v>101</v>
      </c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9"/>
      <c r="T22" s="220" t="s">
        <v>55</v>
      </c>
      <c r="U22" s="189"/>
      <c r="V22" s="189"/>
      <c r="W22" s="189"/>
      <c r="X22" s="189"/>
      <c r="Y22" s="189"/>
      <c r="Z22" s="189"/>
    </row>
    <row r="23" spans="1:26">
      <c r="A23" s="203">
        <v>2</v>
      </c>
      <c r="B23" s="203">
        <v>1</v>
      </c>
      <c r="C23" s="203">
        <v>15</v>
      </c>
      <c r="D23" s="203" t="s">
        <v>56</v>
      </c>
      <c r="E23" s="203" t="s">
        <v>57</v>
      </c>
      <c r="F23" s="203" t="s">
        <v>34</v>
      </c>
      <c r="G23" s="204">
        <v>50594</v>
      </c>
      <c r="H23" s="205">
        <v>154</v>
      </c>
      <c r="I23" s="206">
        <v>46</v>
      </c>
      <c r="J23" s="206">
        <v>98</v>
      </c>
      <c r="K23" s="189"/>
      <c r="L23" s="189"/>
      <c r="M23" s="189"/>
      <c r="N23" s="189"/>
      <c r="O23" s="189"/>
      <c r="P23" s="189"/>
      <c r="Q23" s="189"/>
      <c r="R23" s="189"/>
      <c r="S23" s="207">
        <f t="shared" ref="S23:S28" si="1">AVERAGE(I23:R23)</f>
        <v>72</v>
      </c>
      <c r="T23" s="208"/>
      <c r="U23" s="189"/>
      <c r="V23" s="189"/>
      <c r="W23" s="189"/>
      <c r="X23" s="189"/>
      <c r="Y23" s="189"/>
      <c r="Z23" s="189"/>
    </row>
    <row r="24" spans="1:26">
      <c r="A24" s="203">
        <v>2</v>
      </c>
      <c r="B24" s="203">
        <v>1</v>
      </c>
      <c r="C24" s="203">
        <v>16</v>
      </c>
      <c r="D24" s="203" t="s">
        <v>58</v>
      </c>
      <c r="E24" s="203" t="s">
        <v>59</v>
      </c>
      <c r="F24" s="203" t="s">
        <v>31</v>
      </c>
      <c r="G24" s="204">
        <v>50797</v>
      </c>
      <c r="H24" s="205">
        <v>311</v>
      </c>
      <c r="I24" s="206">
        <v>195</v>
      </c>
      <c r="J24" s="206">
        <v>235</v>
      </c>
      <c r="K24" s="206">
        <v>211</v>
      </c>
      <c r="L24" s="206">
        <v>224</v>
      </c>
      <c r="M24" s="206">
        <v>206</v>
      </c>
      <c r="N24" s="206">
        <v>196</v>
      </c>
      <c r="O24" s="206">
        <v>207</v>
      </c>
      <c r="P24" s="206">
        <v>196</v>
      </c>
      <c r="Q24" s="206">
        <v>210</v>
      </c>
      <c r="R24" s="206">
        <v>122</v>
      </c>
      <c r="S24" s="207">
        <f t="shared" si="1"/>
        <v>200.2</v>
      </c>
      <c r="T24" s="208"/>
      <c r="U24" s="189"/>
      <c r="V24" s="189"/>
      <c r="W24" s="189"/>
      <c r="X24" s="189"/>
      <c r="Y24" s="189"/>
      <c r="Z24" s="189"/>
    </row>
    <row r="25" spans="1:26">
      <c r="A25" s="203">
        <v>2</v>
      </c>
      <c r="B25" s="203">
        <v>1</v>
      </c>
      <c r="C25" s="203">
        <v>17</v>
      </c>
      <c r="D25" s="203" t="s">
        <v>60</v>
      </c>
      <c r="E25" s="203" t="s">
        <v>61</v>
      </c>
      <c r="F25" s="203" t="s">
        <v>34</v>
      </c>
      <c r="G25" s="204">
        <v>50467</v>
      </c>
      <c r="H25" s="205">
        <v>426</v>
      </c>
      <c r="I25" s="206">
        <v>232</v>
      </c>
      <c r="J25" s="206">
        <v>197</v>
      </c>
      <c r="K25" s="206">
        <v>283</v>
      </c>
      <c r="L25" s="206">
        <v>226</v>
      </c>
      <c r="M25" s="206">
        <v>163</v>
      </c>
      <c r="N25" s="206">
        <v>169</v>
      </c>
      <c r="O25" s="206">
        <v>157</v>
      </c>
      <c r="P25" s="206">
        <v>157</v>
      </c>
      <c r="Q25" s="206">
        <v>182</v>
      </c>
      <c r="R25" s="206">
        <v>71</v>
      </c>
      <c r="S25" s="207">
        <f t="shared" si="1"/>
        <v>183.7</v>
      </c>
      <c r="T25" s="208"/>
      <c r="U25" s="189"/>
      <c r="V25" s="189"/>
      <c r="W25" s="189"/>
      <c r="X25" s="189"/>
      <c r="Y25" s="189"/>
      <c r="Z25" s="189"/>
    </row>
    <row r="26" spans="1:26">
      <c r="A26" s="203">
        <v>2</v>
      </c>
      <c r="B26" s="203">
        <v>1</v>
      </c>
      <c r="C26" s="203">
        <v>18</v>
      </c>
      <c r="D26" s="203" t="s">
        <v>46</v>
      </c>
      <c r="E26" s="203" t="s">
        <v>47</v>
      </c>
      <c r="F26" s="203" t="s">
        <v>25</v>
      </c>
      <c r="G26" s="204">
        <v>50262</v>
      </c>
      <c r="H26" s="205">
        <v>81</v>
      </c>
      <c r="I26" s="206">
        <v>229</v>
      </c>
      <c r="J26" s="206">
        <v>247</v>
      </c>
      <c r="K26" s="206">
        <v>230</v>
      </c>
      <c r="L26" s="206">
        <v>229</v>
      </c>
      <c r="M26" s="206">
        <v>207</v>
      </c>
      <c r="N26" s="206">
        <v>166</v>
      </c>
      <c r="O26" s="206">
        <v>204</v>
      </c>
      <c r="P26" s="206">
        <v>216</v>
      </c>
      <c r="Q26" s="206">
        <v>234</v>
      </c>
      <c r="R26" s="206">
        <v>240</v>
      </c>
      <c r="S26" s="207">
        <f t="shared" si="1"/>
        <v>220.2</v>
      </c>
      <c r="T26" s="208"/>
      <c r="U26" s="189"/>
      <c r="V26" s="189"/>
      <c r="W26" s="189"/>
      <c r="X26" s="189"/>
      <c r="Y26" s="189"/>
      <c r="Z26" s="189"/>
    </row>
    <row r="27" spans="1:26">
      <c r="A27" s="203">
        <v>2</v>
      </c>
      <c r="B27" s="203">
        <v>1</v>
      </c>
      <c r="C27" s="203">
        <v>18</v>
      </c>
      <c r="D27" s="203" t="s">
        <v>46</v>
      </c>
      <c r="E27" s="203" t="s">
        <v>47</v>
      </c>
      <c r="F27" s="203" t="s">
        <v>34</v>
      </c>
      <c r="G27" s="204">
        <v>50542</v>
      </c>
      <c r="H27" s="205">
        <v>109</v>
      </c>
      <c r="I27" s="206">
        <v>181.5</v>
      </c>
      <c r="J27" s="206">
        <v>122</v>
      </c>
      <c r="K27" s="206">
        <v>179</v>
      </c>
      <c r="L27" s="206">
        <v>168</v>
      </c>
      <c r="M27" s="206">
        <v>89</v>
      </c>
      <c r="N27" s="206">
        <v>128</v>
      </c>
      <c r="O27" s="206">
        <v>114</v>
      </c>
      <c r="P27" s="189"/>
      <c r="Q27" s="189"/>
      <c r="R27" s="189"/>
      <c r="S27" s="207">
        <f t="shared" si="1"/>
        <v>140.21428571428572</v>
      </c>
      <c r="T27" s="208"/>
      <c r="U27" s="189"/>
      <c r="V27" s="189"/>
      <c r="W27" s="189"/>
      <c r="X27" s="189"/>
      <c r="Y27" s="189"/>
      <c r="Z27" s="189"/>
    </row>
    <row r="28" spans="1:26">
      <c r="A28" s="203">
        <v>2</v>
      </c>
      <c r="B28" s="203">
        <v>2</v>
      </c>
      <c r="C28" s="203">
        <v>2</v>
      </c>
      <c r="D28" s="203" t="s">
        <v>62</v>
      </c>
      <c r="E28" s="203" t="s">
        <v>63</v>
      </c>
      <c r="F28" s="203" t="s">
        <v>34</v>
      </c>
      <c r="G28" s="204">
        <v>50752</v>
      </c>
      <c r="H28" s="205">
        <v>89</v>
      </c>
      <c r="I28" s="206" t="s">
        <v>80</v>
      </c>
      <c r="J28" s="206" t="s">
        <v>80</v>
      </c>
      <c r="K28" s="206">
        <v>9</v>
      </c>
      <c r="L28" s="206">
        <v>15</v>
      </c>
      <c r="M28" s="189"/>
      <c r="N28" s="189"/>
      <c r="O28" s="189"/>
      <c r="P28" s="189"/>
      <c r="Q28" s="189"/>
      <c r="R28" s="189"/>
      <c r="S28" s="207">
        <f t="shared" si="1"/>
        <v>12</v>
      </c>
      <c r="T28" s="208"/>
      <c r="U28" s="189"/>
      <c r="V28" s="189"/>
      <c r="W28" s="189"/>
      <c r="X28" s="189"/>
      <c r="Y28" s="189"/>
      <c r="Z28" s="189"/>
    </row>
    <row r="29" spans="1:26">
      <c r="A29" s="209">
        <v>2</v>
      </c>
      <c r="B29" s="209">
        <v>2</v>
      </c>
      <c r="C29" s="209">
        <v>2</v>
      </c>
      <c r="D29" s="209" t="s">
        <v>64</v>
      </c>
      <c r="E29" s="209" t="s">
        <v>65</v>
      </c>
      <c r="F29" s="209" t="s">
        <v>31</v>
      </c>
      <c r="G29" s="210">
        <v>30869</v>
      </c>
      <c r="H29" s="211">
        <v>319</v>
      </c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2"/>
      <c r="T29" s="214" t="s">
        <v>88</v>
      </c>
      <c r="U29" s="189"/>
      <c r="V29" s="189"/>
      <c r="W29" s="189"/>
      <c r="X29" s="189"/>
      <c r="Y29" s="189"/>
      <c r="Z29" s="189"/>
    </row>
    <row r="30" spans="1:26">
      <c r="A30" s="209">
        <v>2</v>
      </c>
      <c r="B30" s="209">
        <v>2</v>
      </c>
      <c r="C30" s="209">
        <v>2</v>
      </c>
      <c r="D30" s="209" t="s">
        <v>62</v>
      </c>
      <c r="E30" s="209" t="s">
        <v>63</v>
      </c>
      <c r="F30" s="209" t="s">
        <v>34</v>
      </c>
      <c r="G30" s="210">
        <v>50719</v>
      </c>
      <c r="H30" s="211">
        <v>25</v>
      </c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2"/>
      <c r="T30" s="214" t="s">
        <v>43</v>
      </c>
      <c r="U30" s="189"/>
      <c r="V30" s="189"/>
      <c r="W30" s="189"/>
      <c r="X30" s="189"/>
      <c r="Y30" s="189"/>
      <c r="Z30" s="189"/>
    </row>
    <row r="31" spans="1:26">
      <c r="A31" s="203">
        <v>2</v>
      </c>
      <c r="B31" s="203">
        <v>2</v>
      </c>
      <c r="C31" s="203">
        <v>2</v>
      </c>
      <c r="D31" s="203" t="s">
        <v>62</v>
      </c>
      <c r="E31" s="203" t="s">
        <v>63</v>
      </c>
      <c r="F31" s="203" t="s">
        <v>25</v>
      </c>
      <c r="G31" s="204">
        <v>50188</v>
      </c>
      <c r="H31" s="205">
        <v>24</v>
      </c>
      <c r="I31" s="206">
        <v>70</v>
      </c>
      <c r="J31" s="206">
        <v>76</v>
      </c>
      <c r="K31" s="189"/>
      <c r="L31" s="189"/>
      <c r="M31" s="189"/>
      <c r="N31" s="189"/>
      <c r="O31" s="189"/>
      <c r="P31" s="189"/>
      <c r="Q31" s="189"/>
      <c r="R31" s="189"/>
      <c r="S31" s="207">
        <f t="shared" ref="S31:S38" si="2">AVERAGE(I31:R31)</f>
        <v>73</v>
      </c>
      <c r="T31" s="208"/>
      <c r="U31" s="189"/>
      <c r="V31" s="189"/>
      <c r="W31" s="189"/>
      <c r="X31" s="189"/>
      <c r="Y31" s="189"/>
      <c r="Z31" s="189"/>
    </row>
    <row r="32" spans="1:26">
      <c r="A32" s="203">
        <v>2</v>
      </c>
      <c r="B32" s="203">
        <v>2</v>
      </c>
      <c r="C32" s="203">
        <v>3</v>
      </c>
      <c r="D32" s="203" t="s">
        <v>66</v>
      </c>
      <c r="E32" s="203" t="s">
        <v>67</v>
      </c>
      <c r="F32" s="203" t="s">
        <v>68</v>
      </c>
      <c r="G32" s="204">
        <v>50632</v>
      </c>
      <c r="H32" s="205">
        <v>220</v>
      </c>
      <c r="I32" s="206">
        <v>63</v>
      </c>
      <c r="J32" s="206" t="s">
        <v>80</v>
      </c>
      <c r="K32" s="206">
        <v>48</v>
      </c>
      <c r="L32" s="206">
        <v>75</v>
      </c>
      <c r="M32" s="206">
        <v>56</v>
      </c>
      <c r="N32" s="206">
        <v>73</v>
      </c>
      <c r="O32" s="206">
        <v>45</v>
      </c>
      <c r="P32" s="206">
        <v>37</v>
      </c>
      <c r="Q32" s="206">
        <v>46</v>
      </c>
      <c r="R32" s="206">
        <v>12</v>
      </c>
      <c r="S32" s="207">
        <f t="shared" si="2"/>
        <v>50.555555555555557</v>
      </c>
      <c r="T32" s="208"/>
      <c r="U32" s="189"/>
      <c r="V32" s="189"/>
      <c r="W32" s="189"/>
      <c r="X32" s="189"/>
      <c r="Y32" s="189"/>
      <c r="Z32" s="189"/>
    </row>
    <row r="33" spans="1:26">
      <c r="A33" s="203">
        <v>2</v>
      </c>
      <c r="B33" s="203">
        <v>2</v>
      </c>
      <c r="C33" s="203">
        <v>3</v>
      </c>
      <c r="D33" s="203" t="s">
        <v>66</v>
      </c>
      <c r="E33" s="203" t="s">
        <v>67</v>
      </c>
      <c r="F33" s="203" t="s">
        <v>34</v>
      </c>
      <c r="G33" s="204">
        <v>50558</v>
      </c>
      <c r="H33" s="205">
        <v>227</v>
      </c>
      <c r="I33" s="177" t="s">
        <v>55</v>
      </c>
      <c r="J33" s="206">
        <v>15</v>
      </c>
      <c r="K33" s="206">
        <v>12</v>
      </c>
      <c r="L33" s="206">
        <v>14</v>
      </c>
      <c r="M33" s="206">
        <v>25</v>
      </c>
      <c r="N33" s="206">
        <v>34</v>
      </c>
      <c r="O33" s="206">
        <v>25</v>
      </c>
      <c r="P33" s="206">
        <v>33</v>
      </c>
      <c r="Q33" s="206">
        <v>46</v>
      </c>
      <c r="R33" s="206">
        <v>64</v>
      </c>
      <c r="S33" s="207">
        <f t="shared" si="2"/>
        <v>29.777777777777779</v>
      </c>
      <c r="T33" s="208"/>
      <c r="U33" s="189"/>
      <c r="V33" s="189"/>
      <c r="W33" s="189"/>
      <c r="X33" s="189"/>
      <c r="Y33" s="189"/>
      <c r="Z33" s="189"/>
    </row>
    <row r="34" spans="1:26">
      <c r="A34" s="203">
        <v>2</v>
      </c>
      <c r="B34" s="203">
        <v>2</v>
      </c>
      <c r="C34" s="203">
        <v>4</v>
      </c>
      <c r="D34" s="203" t="s">
        <v>69</v>
      </c>
      <c r="E34" s="203" t="s">
        <v>70</v>
      </c>
      <c r="F34" s="203" t="s">
        <v>25</v>
      </c>
      <c r="G34" s="204">
        <v>50754</v>
      </c>
      <c r="H34" s="205">
        <v>205</v>
      </c>
      <c r="I34" s="206" t="s">
        <v>80</v>
      </c>
      <c r="J34" s="206" t="s">
        <v>80</v>
      </c>
      <c r="K34" s="206" t="s">
        <v>80</v>
      </c>
      <c r="L34" s="206" t="s">
        <v>80</v>
      </c>
      <c r="M34" s="206" t="s">
        <v>80</v>
      </c>
      <c r="N34" s="206" t="s">
        <v>80</v>
      </c>
      <c r="O34" s="206">
        <v>179</v>
      </c>
      <c r="P34" s="206">
        <v>166</v>
      </c>
      <c r="Q34" s="206" t="s">
        <v>80</v>
      </c>
      <c r="R34" s="206" t="s">
        <v>80</v>
      </c>
      <c r="S34" s="207">
        <f t="shared" si="2"/>
        <v>172.5</v>
      </c>
      <c r="T34" s="192" t="s">
        <v>247</v>
      </c>
      <c r="U34" s="189"/>
      <c r="V34" s="189"/>
      <c r="W34" s="189"/>
      <c r="X34" s="189"/>
      <c r="Y34" s="189"/>
      <c r="Z34" s="189"/>
    </row>
    <row r="35" spans="1:26">
      <c r="A35" s="203">
        <v>2</v>
      </c>
      <c r="B35" s="203">
        <v>2</v>
      </c>
      <c r="C35" s="203">
        <v>4</v>
      </c>
      <c r="D35" s="203" t="s">
        <v>69</v>
      </c>
      <c r="E35" s="203" t="s">
        <v>70</v>
      </c>
      <c r="F35" s="203" t="s">
        <v>68</v>
      </c>
      <c r="G35" s="204">
        <v>50820</v>
      </c>
      <c r="H35" s="205">
        <v>9</v>
      </c>
      <c r="I35" s="206">
        <v>80</v>
      </c>
      <c r="J35" s="189"/>
      <c r="K35" s="189"/>
      <c r="L35" s="189"/>
      <c r="M35" s="189"/>
      <c r="N35" s="189"/>
      <c r="O35" s="189"/>
      <c r="P35" s="189"/>
      <c r="Q35" s="189"/>
      <c r="R35" s="189"/>
      <c r="S35" s="207">
        <f t="shared" si="2"/>
        <v>80</v>
      </c>
      <c r="T35" s="192" t="s">
        <v>247</v>
      </c>
      <c r="U35" s="189"/>
      <c r="V35" s="189"/>
      <c r="W35" s="189"/>
      <c r="X35" s="189"/>
      <c r="Y35" s="189"/>
      <c r="Z35" s="189"/>
    </row>
    <row r="36" spans="1:26">
      <c r="A36" s="203">
        <v>2</v>
      </c>
      <c r="B36" s="203">
        <v>2</v>
      </c>
      <c r="C36" s="203">
        <v>5</v>
      </c>
      <c r="D36" s="203" t="s">
        <v>60</v>
      </c>
      <c r="E36" s="203" t="s">
        <v>71</v>
      </c>
      <c r="F36" s="203" t="s">
        <v>31</v>
      </c>
      <c r="G36" s="204">
        <v>50764</v>
      </c>
      <c r="H36" s="205">
        <v>175</v>
      </c>
      <c r="I36" s="206">
        <v>172</v>
      </c>
      <c r="J36" s="206">
        <v>103</v>
      </c>
      <c r="K36" s="206">
        <v>197</v>
      </c>
      <c r="L36" s="206">
        <v>128</v>
      </c>
      <c r="M36" s="206">
        <v>130</v>
      </c>
      <c r="N36" s="206">
        <v>154</v>
      </c>
      <c r="O36" s="206">
        <v>193</v>
      </c>
      <c r="P36" s="206">
        <v>132</v>
      </c>
      <c r="Q36" s="206">
        <v>203</v>
      </c>
      <c r="R36" s="177" t="s">
        <v>80</v>
      </c>
      <c r="S36" s="207">
        <f t="shared" si="2"/>
        <v>156.88888888888889</v>
      </c>
      <c r="T36" s="208"/>
      <c r="U36" s="189"/>
      <c r="V36" s="189"/>
      <c r="W36" s="189"/>
      <c r="X36" s="189"/>
      <c r="Y36" s="189"/>
      <c r="Z36" s="189"/>
    </row>
    <row r="37" spans="1:26">
      <c r="A37" s="203">
        <v>2</v>
      </c>
      <c r="B37" s="203">
        <v>2</v>
      </c>
      <c r="C37" s="203">
        <v>8</v>
      </c>
      <c r="D37" s="203" t="s">
        <v>72</v>
      </c>
      <c r="E37" s="203" t="s">
        <v>73</v>
      </c>
      <c r="F37" s="203" t="s">
        <v>34</v>
      </c>
      <c r="G37" s="204">
        <v>50426</v>
      </c>
      <c r="H37" s="205">
        <v>320</v>
      </c>
      <c r="I37" s="206">
        <v>33</v>
      </c>
      <c r="J37" s="177" t="s">
        <v>80</v>
      </c>
      <c r="K37" s="206">
        <v>25</v>
      </c>
      <c r="L37" s="206" t="s">
        <v>80</v>
      </c>
      <c r="M37" s="206">
        <v>30</v>
      </c>
      <c r="N37" s="206">
        <v>12</v>
      </c>
      <c r="O37" s="177" t="s">
        <v>80</v>
      </c>
      <c r="P37" s="206">
        <v>33</v>
      </c>
      <c r="Q37" s="206">
        <v>36</v>
      </c>
      <c r="R37" s="206" t="s">
        <v>80</v>
      </c>
      <c r="S37" s="207">
        <f t="shared" si="2"/>
        <v>28.166666666666668</v>
      </c>
      <c r="T37" s="208"/>
      <c r="U37" s="189"/>
      <c r="V37" s="189"/>
      <c r="W37" s="189"/>
      <c r="X37" s="189"/>
      <c r="Y37" s="189"/>
      <c r="Z37" s="189"/>
    </row>
    <row r="38" spans="1:26">
      <c r="A38" s="203">
        <v>2</v>
      </c>
      <c r="B38" s="203">
        <v>2</v>
      </c>
      <c r="C38" s="203">
        <v>8</v>
      </c>
      <c r="D38" s="203" t="s">
        <v>72</v>
      </c>
      <c r="E38" s="203" t="s">
        <v>73</v>
      </c>
      <c r="F38" s="203" t="s">
        <v>34</v>
      </c>
      <c r="G38" s="204">
        <v>50760</v>
      </c>
      <c r="H38" s="205">
        <v>140</v>
      </c>
      <c r="I38" s="206">
        <v>50</v>
      </c>
      <c r="J38" s="206" t="s">
        <v>80</v>
      </c>
      <c r="K38" s="206">
        <v>52</v>
      </c>
      <c r="L38" s="206">
        <v>37</v>
      </c>
      <c r="M38" s="206">
        <v>61</v>
      </c>
      <c r="N38" s="206" t="s">
        <v>80</v>
      </c>
      <c r="O38" s="206">
        <v>43</v>
      </c>
      <c r="P38" s="206">
        <v>50</v>
      </c>
      <c r="Q38" s="177" t="s">
        <v>80</v>
      </c>
      <c r="R38" s="177" t="s">
        <v>80</v>
      </c>
      <c r="S38" s="207">
        <f t="shared" si="2"/>
        <v>48.833333333333336</v>
      </c>
      <c r="T38" s="208"/>
      <c r="U38" s="189"/>
      <c r="V38" s="189"/>
      <c r="W38" s="189"/>
      <c r="X38" s="189"/>
      <c r="Y38" s="189"/>
      <c r="Z38" s="189"/>
    </row>
    <row r="39" spans="1:26">
      <c r="A39" s="209">
        <v>2</v>
      </c>
      <c r="B39" s="209">
        <v>2</v>
      </c>
      <c r="C39" s="209">
        <v>9</v>
      </c>
      <c r="D39" s="209" t="s">
        <v>60</v>
      </c>
      <c r="E39" s="209" t="s">
        <v>71</v>
      </c>
      <c r="F39" s="209" t="s">
        <v>31</v>
      </c>
      <c r="G39" s="210">
        <v>50764</v>
      </c>
      <c r="H39" s="211">
        <v>48</v>
      </c>
      <c r="I39" s="223" t="s">
        <v>80</v>
      </c>
      <c r="J39" s="223" t="s">
        <v>80</v>
      </c>
      <c r="K39" s="223" t="s">
        <v>80</v>
      </c>
      <c r="L39" s="221"/>
      <c r="M39" s="221"/>
      <c r="N39" s="221"/>
      <c r="O39" s="221"/>
      <c r="P39" s="221"/>
      <c r="Q39" s="221"/>
      <c r="R39" s="221"/>
      <c r="S39" s="222"/>
      <c r="T39" s="214" t="s">
        <v>110</v>
      </c>
      <c r="U39" s="189"/>
      <c r="V39" s="189"/>
      <c r="W39" s="189"/>
      <c r="X39" s="189"/>
      <c r="Y39" s="189"/>
      <c r="Z39" s="189"/>
    </row>
    <row r="40" spans="1:26">
      <c r="A40" s="203">
        <v>2</v>
      </c>
      <c r="B40" s="203">
        <v>2</v>
      </c>
      <c r="C40" s="203">
        <v>11</v>
      </c>
      <c r="D40" s="203" t="s">
        <v>74</v>
      </c>
      <c r="E40" s="203" t="s">
        <v>75</v>
      </c>
      <c r="F40" s="203" t="s">
        <v>25</v>
      </c>
      <c r="G40" s="204">
        <v>50736</v>
      </c>
      <c r="H40" s="205">
        <v>354</v>
      </c>
      <c r="I40" s="206">
        <v>88</v>
      </c>
      <c r="J40" s="206" t="s">
        <v>80</v>
      </c>
      <c r="K40" s="206">
        <v>95</v>
      </c>
      <c r="L40" s="206" t="s">
        <v>80</v>
      </c>
      <c r="M40" s="206" t="s">
        <v>80</v>
      </c>
      <c r="N40" s="206" t="s">
        <v>80</v>
      </c>
      <c r="O40" s="206" t="s">
        <v>80</v>
      </c>
      <c r="P40" s="206" t="s">
        <v>80</v>
      </c>
      <c r="Q40" s="206">
        <v>169.5</v>
      </c>
      <c r="R40" s="206">
        <v>117</v>
      </c>
      <c r="S40" s="207">
        <f t="shared" ref="S40:S48" si="3">AVERAGE(I40:R40)</f>
        <v>117.375</v>
      </c>
      <c r="T40" s="192" t="s">
        <v>247</v>
      </c>
      <c r="U40" s="189"/>
      <c r="V40" s="189"/>
      <c r="W40" s="189"/>
      <c r="X40" s="189"/>
      <c r="Y40" s="189"/>
      <c r="Z40" s="189"/>
    </row>
    <row r="41" spans="1:26">
      <c r="A41" s="203">
        <v>2</v>
      </c>
      <c r="B41" s="203">
        <v>2</v>
      </c>
      <c r="C41" s="203">
        <v>11</v>
      </c>
      <c r="D41" s="203" t="s">
        <v>74</v>
      </c>
      <c r="E41" s="203" t="s">
        <v>75</v>
      </c>
      <c r="F41" s="203" t="s">
        <v>34</v>
      </c>
      <c r="G41" s="204">
        <v>50505</v>
      </c>
      <c r="H41" s="205">
        <v>15</v>
      </c>
      <c r="I41" s="206">
        <v>58</v>
      </c>
      <c r="J41" s="189"/>
      <c r="K41" s="189"/>
      <c r="L41" s="189"/>
      <c r="M41" s="189"/>
      <c r="N41" s="189"/>
      <c r="O41" s="189"/>
      <c r="P41" s="189"/>
      <c r="Q41" s="189"/>
      <c r="R41" s="189"/>
      <c r="S41" s="207">
        <f t="shared" si="3"/>
        <v>58</v>
      </c>
      <c r="T41" s="208"/>
      <c r="U41" s="189"/>
      <c r="V41" s="189"/>
      <c r="W41" s="189"/>
      <c r="X41" s="189"/>
      <c r="Y41" s="189"/>
      <c r="Z41" s="189"/>
    </row>
    <row r="42" spans="1:26">
      <c r="A42" s="203">
        <v>2</v>
      </c>
      <c r="B42" s="203">
        <v>2</v>
      </c>
      <c r="C42" s="203">
        <v>13</v>
      </c>
      <c r="D42" s="203" t="s">
        <v>60</v>
      </c>
      <c r="E42" s="203" t="s">
        <v>61</v>
      </c>
      <c r="F42" s="203" t="s">
        <v>25</v>
      </c>
      <c r="G42" s="204">
        <v>50749</v>
      </c>
      <c r="H42" s="205">
        <v>200</v>
      </c>
      <c r="I42" s="206">
        <v>156</v>
      </c>
      <c r="J42" s="206">
        <v>154.5</v>
      </c>
      <c r="K42" s="206">
        <v>167</v>
      </c>
      <c r="L42" s="206">
        <v>164</v>
      </c>
      <c r="M42" s="206">
        <v>219</v>
      </c>
      <c r="N42" s="206">
        <v>185</v>
      </c>
      <c r="O42" s="206">
        <v>222</v>
      </c>
      <c r="P42" s="206">
        <v>124</v>
      </c>
      <c r="Q42" s="189"/>
      <c r="R42" s="189"/>
      <c r="S42" s="207">
        <f t="shared" si="3"/>
        <v>173.9375</v>
      </c>
      <c r="T42" s="208"/>
      <c r="U42" s="189"/>
      <c r="V42" s="189"/>
      <c r="W42" s="189"/>
      <c r="X42" s="189"/>
      <c r="Y42" s="189"/>
      <c r="Z42" s="189"/>
    </row>
    <row r="43" spans="1:26">
      <c r="A43" s="203">
        <v>2</v>
      </c>
      <c r="B43" s="203">
        <v>2</v>
      </c>
      <c r="C43" s="203">
        <v>13</v>
      </c>
      <c r="D43" s="203" t="s">
        <v>76</v>
      </c>
      <c r="E43" s="203" t="s">
        <v>77</v>
      </c>
      <c r="F43" s="203" t="s">
        <v>25</v>
      </c>
      <c r="G43" s="204">
        <v>50748</v>
      </c>
      <c r="H43" s="205">
        <v>296</v>
      </c>
      <c r="I43" s="206">
        <v>96</v>
      </c>
      <c r="J43" s="206">
        <v>117</v>
      </c>
      <c r="K43" s="206">
        <v>125</v>
      </c>
      <c r="L43" s="206">
        <v>82</v>
      </c>
      <c r="M43" s="206">
        <v>141</v>
      </c>
      <c r="N43" s="206">
        <v>57</v>
      </c>
      <c r="O43" s="206">
        <v>163</v>
      </c>
      <c r="P43" s="206">
        <v>84</v>
      </c>
      <c r="Q43" s="189"/>
      <c r="R43" s="189"/>
      <c r="S43" s="207">
        <f t="shared" si="3"/>
        <v>108.125</v>
      </c>
      <c r="T43" s="208"/>
      <c r="U43" s="189"/>
      <c r="V43" s="189"/>
      <c r="W43" s="189"/>
      <c r="X43" s="189"/>
      <c r="Y43" s="189"/>
      <c r="Z43" s="189"/>
    </row>
    <row r="44" spans="1:26">
      <c r="A44" s="203">
        <v>2</v>
      </c>
      <c r="B44" s="203">
        <v>2</v>
      </c>
      <c r="C44" s="203">
        <v>18</v>
      </c>
      <c r="D44" s="203" t="s">
        <v>72</v>
      </c>
      <c r="E44" s="203" t="s">
        <v>73</v>
      </c>
      <c r="F44" s="203" t="s">
        <v>25</v>
      </c>
      <c r="G44" s="204">
        <v>50706</v>
      </c>
      <c r="H44" s="205">
        <v>71</v>
      </c>
      <c r="I44" s="206">
        <v>29</v>
      </c>
      <c r="J44" s="206">
        <v>17</v>
      </c>
      <c r="K44" s="206">
        <v>33</v>
      </c>
      <c r="L44" s="189"/>
      <c r="M44" s="189"/>
      <c r="N44" s="189"/>
      <c r="O44" s="189"/>
      <c r="P44" s="189"/>
      <c r="Q44" s="189"/>
      <c r="R44" s="189"/>
      <c r="S44" s="207">
        <f t="shared" si="3"/>
        <v>26.333333333333332</v>
      </c>
      <c r="T44" s="192" t="s">
        <v>247</v>
      </c>
      <c r="U44" s="189"/>
      <c r="V44" s="189"/>
      <c r="W44" s="189"/>
      <c r="X44" s="189"/>
      <c r="Y44" s="189"/>
      <c r="Z44" s="189"/>
    </row>
    <row r="45" spans="1:26">
      <c r="A45" s="203">
        <v>2</v>
      </c>
      <c r="B45" s="203">
        <v>3</v>
      </c>
      <c r="C45" s="203">
        <v>1</v>
      </c>
      <c r="D45" s="203" t="s">
        <v>78</v>
      </c>
      <c r="E45" s="203" t="s">
        <v>79</v>
      </c>
      <c r="F45" s="203" t="s">
        <v>31</v>
      </c>
      <c r="G45" s="204">
        <v>50801</v>
      </c>
      <c r="H45" s="205">
        <v>371</v>
      </c>
      <c r="I45" s="206" t="s">
        <v>80</v>
      </c>
      <c r="J45" s="206">
        <v>86</v>
      </c>
      <c r="K45" s="206">
        <v>93</v>
      </c>
      <c r="L45" s="206">
        <v>75</v>
      </c>
      <c r="M45" s="206">
        <v>95</v>
      </c>
      <c r="N45" s="206">
        <v>92</v>
      </c>
      <c r="O45" s="206">
        <v>115</v>
      </c>
      <c r="P45" s="206" t="s">
        <v>80</v>
      </c>
      <c r="Q45" s="206" t="s">
        <v>80</v>
      </c>
      <c r="R45" s="206">
        <v>66</v>
      </c>
      <c r="S45" s="207">
        <f t="shared" si="3"/>
        <v>88.857142857142861</v>
      </c>
      <c r="T45" s="192" t="s">
        <v>247</v>
      </c>
      <c r="U45" s="189"/>
      <c r="V45" s="189"/>
      <c r="W45" s="189"/>
      <c r="X45" s="189"/>
      <c r="Y45" s="189"/>
      <c r="Z45" s="189"/>
    </row>
    <row r="46" spans="1:26">
      <c r="A46" s="203">
        <v>2</v>
      </c>
      <c r="B46" s="203">
        <v>3</v>
      </c>
      <c r="C46" s="203">
        <v>1</v>
      </c>
      <c r="D46" s="203" t="s">
        <v>78</v>
      </c>
      <c r="E46" s="203" t="s">
        <v>79</v>
      </c>
      <c r="F46" s="203" t="s">
        <v>68</v>
      </c>
      <c r="G46" s="204">
        <v>50814</v>
      </c>
      <c r="H46" s="205">
        <v>218</v>
      </c>
      <c r="I46" s="206" t="s">
        <v>80</v>
      </c>
      <c r="J46" s="206" t="s">
        <v>80</v>
      </c>
      <c r="K46" s="206" t="s">
        <v>80</v>
      </c>
      <c r="L46" s="206" t="s">
        <v>80</v>
      </c>
      <c r="M46" s="206" t="s">
        <v>80</v>
      </c>
      <c r="N46" s="206" t="s">
        <v>80</v>
      </c>
      <c r="O46" s="206">
        <v>109</v>
      </c>
      <c r="P46" s="206">
        <v>69</v>
      </c>
      <c r="Q46" s="189"/>
      <c r="R46" s="189"/>
      <c r="S46" s="207">
        <f t="shared" si="3"/>
        <v>89</v>
      </c>
      <c r="T46" s="192" t="s">
        <v>247</v>
      </c>
      <c r="U46" s="189"/>
      <c r="V46" s="189"/>
      <c r="W46" s="189"/>
      <c r="X46" s="189"/>
      <c r="Y46" s="189"/>
      <c r="Z46" s="189"/>
    </row>
    <row r="47" spans="1:26">
      <c r="A47" s="203">
        <v>2</v>
      </c>
      <c r="B47" s="203">
        <v>3</v>
      </c>
      <c r="C47" s="203">
        <v>1</v>
      </c>
      <c r="D47" s="203" t="s">
        <v>78</v>
      </c>
      <c r="E47" s="203" t="s">
        <v>79</v>
      </c>
      <c r="F47" s="203" t="s">
        <v>25</v>
      </c>
      <c r="G47" s="204">
        <v>50741</v>
      </c>
      <c r="H47" s="205">
        <v>55</v>
      </c>
      <c r="I47" s="206" t="s">
        <v>80</v>
      </c>
      <c r="J47" s="206">
        <v>74</v>
      </c>
      <c r="K47" s="206" t="s">
        <v>80</v>
      </c>
      <c r="L47" s="189"/>
      <c r="M47" s="189"/>
      <c r="N47" s="189"/>
      <c r="O47" s="189"/>
      <c r="P47" s="189"/>
      <c r="Q47" s="189"/>
      <c r="R47" s="189"/>
      <c r="S47" s="207">
        <f t="shared" si="3"/>
        <v>74</v>
      </c>
      <c r="T47" s="192" t="s">
        <v>247</v>
      </c>
      <c r="U47" s="189"/>
      <c r="V47" s="189"/>
      <c r="W47" s="189"/>
      <c r="X47" s="189"/>
      <c r="Y47" s="189"/>
      <c r="Z47" s="189"/>
    </row>
    <row r="48" spans="1:26">
      <c r="A48" s="203">
        <v>2</v>
      </c>
      <c r="B48" s="203">
        <v>3</v>
      </c>
      <c r="C48" s="203">
        <v>1</v>
      </c>
      <c r="D48" s="203" t="s">
        <v>78</v>
      </c>
      <c r="E48" s="203" t="s">
        <v>79</v>
      </c>
      <c r="F48" s="203" t="s">
        <v>31</v>
      </c>
      <c r="G48" s="204">
        <v>50791</v>
      </c>
      <c r="H48" s="205">
        <v>49</v>
      </c>
      <c r="I48" s="206">
        <v>70</v>
      </c>
      <c r="J48" s="206" t="s">
        <v>80</v>
      </c>
      <c r="K48" s="189"/>
      <c r="L48" s="189"/>
      <c r="M48" s="189"/>
      <c r="N48" s="189"/>
      <c r="O48" s="189"/>
      <c r="P48" s="189"/>
      <c r="Q48" s="189"/>
      <c r="R48" s="189"/>
      <c r="S48" s="207">
        <f t="shared" si="3"/>
        <v>70</v>
      </c>
      <c r="T48" s="192" t="s">
        <v>247</v>
      </c>
      <c r="U48" s="189"/>
      <c r="V48" s="189"/>
      <c r="W48" s="189"/>
      <c r="X48" s="189"/>
      <c r="Y48" s="189"/>
      <c r="Z48" s="189"/>
    </row>
    <row r="49" spans="1:26">
      <c r="A49" s="215">
        <v>2</v>
      </c>
      <c r="B49" s="215">
        <v>3</v>
      </c>
      <c r="C49" s="215">
        <v>1</v>
      </c>
      <c r="D49" s="215" t="s">
        <v>78</v>
      </c>
      <c r="E49" s="215" t="s">
        <v>79</v>
      </c>
      <c r="F49" s="215" t="s">
        <v>34</v>
      </c>
      <c r="G49" s="216">
        <v>50850</v>
      </c>
      <c r="H49" s="217">
        <v>46</v>
      </c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5"/>
      <c r="T49" s="220" t="s">
        <v>248</v>
      </c>
      <c r="U49" s="189"/>
      <c r="V49" s="189"/>
      <c r="W49" s="189"/>
      <c r="X49" s="189"/>
      <c r="Y49" s="189"/>
      <c r="Z49" s="189"/>
    </row>
    <row r="50" spans="1:26">
      <c r="A50" s="215">
        <v>2</v>
      </c>
      <c r="B50" s="215">
        <v>3</v>
      </c>
      <c r="C50" s="215">
        <v>2</v>
      </c>
      <c r="D50" s="215" t="s">
        <v>81</v>
      </c>
      <c r="E50" s="215" t="s">
        <v>82</v>
      </c>
      <c r="F50" s="215" t="s">
        <v>25</v>
      </c>
      <c r="G50" s="216">
        <v>50723</v>
      </c>
      <c r="H50" s="217">
        <v>44</v>
      </c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5"/>
      <c r="T50" s="220" t="s">
        <v>248</v>
      </c>
      <c r="U50" s="189"/>
      <c r="V50" s="189"/>
      <c r="W50" s="189"/>
      <c r="X50" s="189"/>
      <c r="Y50" s="189"/>
      <c r="Z50" s="189"/>
    </row>
    <row r="51" spans="1:26">
      <c r="A51" s="215">
        <v>2</v>
      </c>
      <c r="B51" s="215">
        <v>3</v>
      </c>
      <c r="C51" s="215">
        <v>2</v>
      </c>
      <c r="D51" s="215" t="s">
        <v>81</v>
      </c>
      <c r="E51" s="215" t="s">
        <v>82</v>
      </c>
      <c r="F51" s="215" t="s">
        <v>34</v>
      </c>
      <c r="G51" s="216">
        <v>50518</v>
      </c>
      <c r="H51" s="217">
        <v>61</v>
      </c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5"/>
      <c r="T51" s="220" t="s">
        <v>248</v>
      </c>
      <c r="U51" s="189"/>
      <c r="V51" s="189"/>
      <c r="W51" s="189"/>
      <c r="X51" s="189"/>
      <c r="Y51" s="189"/>
      <c r="Z51" s="189"/>
    </row>
    <row r="52" spans="1:26">
      <c r="A52" s="206">
        <v>2</v>
      </c>
      <c r="B52" s="203">
        <v>3</v>
      </c>
      <c r="C52" s="203">
        <v>2</v>
      </c>
      <c r="D52" s="203" t="s">
        <v>85</v>
      </c>
      <c r="E52" s="203" t="s">
        <v>86</v>
      </c>
      <c r="F52" s="203" t="s">
        <v>68</v>
      </c>
      <c r="G52" s="204">
        <v>50832</v>
      </c>
      <c r="H52" s="205">
        <v>251</v>
      </c>
      <c r="I52" s="189"/>
      <c r="J52" s="189"/>
      <c r="K52" s="206">
        <v>85</v>
      </c>
      <c r="L52" s="189"/>
      <c r="M52" s="189"/>
      <c r="N52" s="189"/>
      <c r="O52" s="189"/>
      <c r="P52" s="189"/>
      <c r="Q52" s="189"/>
      <c r="R52" s="189"/>
      <c r="S52" s="207">
        <f>AVERAGE(I52:R52)</f>
        <v>85</v>
      </c>
      <c r="T52" s="192" t="s">
        <v>247</v>
      </c>
      <c r="U52" s="189"/>
      <c r="V52" s="189"/>
      <c r="W52" s="189"/>
      <c r="X52" s="189"/>
      <c r="Y52" s="189"/>
      <c r="Z52" s="189"/>
    </row>
    <row r="53" spans="1:26">
      <c r="A53" s="215">
        <v>2</v>
      </c>
      <c r="B53" s="215">
        <v>3</v>
      </c>
      <c r="C53" s="215">
        <v>2</v>
      </c>
      <c r="D53" s="215" t="s">
        <v>81</v>
      </c>
      <c r="E53" s="215" t="s">
        <v>82</v>
      </c>
      <c r="F53" s="215" t="s">
        <v>34</v>
      </c>
      <c r="G53" s="216">
        <v>50628</v>
      </c>
      <c r="H53" s="217">
        <v>28</v>
      </c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5"/>
      <c r="T53" s="220" t="s">
        <v>248</v>
      </c>
      <c r="U53" s="189"/>
      <c r="V53" s="189"/>
      <c r="W53" s="189"/>
      <c r="X53" s="189"/>
      <c r="Y53" s="189"/>
      <c r="Z53" s="189"/>
    </row>
    <row r="54" spans="1:26">
      <c r="A54" s="215">
        <v>2</v>
      </c>
      <c r="B54" s="215">
        <v>3</v>
      </c>
      <c r="C54" s="215">
        <v>2</v>
      </c>
      <c r="D54" s="215" t="s">
        <v>81</v>
      </c>
      <c r="E54" s="215" t="s">
        <v>82</v>
      </c>
      <c r="F54" s="215" t="s">
        <v>34</v>
      </c>
      <c r="G54" s="216">
        <v>50520</v>
      </c>
      <c r="H54" s="217">
        <v>142</v>
      </c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5"/>
      <c r="T54" s="220" t="s">
        <v>248</v>
      </c>
      <c r="U54" s="189"/>
      <c r="V54" s="189"/>
      <c r="W54" s="189"/>
      <c r="X54" s="189"/>
      <c r="Y54" s="189"/>
      <c r="Z54" s="189"/>
    </row>
    <row r="55" spans="1:26">
      <c r="A55" s="215">
        <v>2</v>
      </c>
      <c r="B55" s="215">
        <v>3</v>
      </c>
      <c r="C55" s="215">
        <v>2</v>
      </c>
      <c r="D55" s="215" t="s">
        <v>81</v>
      </c>
      <c r="E55" s="215" t="s">
        <v>82</v>
      </c>
      <c r="F55" s="215" t="s">
        <v>34</v>
      </c>
      <c r="G55" s="216">
        <v>50483</v>
      </c>
      <c r="H55" s="217">
        <v>3</v>
      </c>
      <c r="I55" s="215" t="s">
        <v>55</v>
      </c>
      <c r="J55" s="224"/>
      <c r="K55" s="224"/>
      <c r="L55" s="224"/>
      <c r="M55" s="224"/>
      <c r="N55" s="224"/>
      <c r="O55" s="224"/>
      <c r="P55" s="224"/>
      <c r="Q55" s="224"/>
      <c r="R55" s="224"/>
      <c r="S55" s="225"/>
      <c r="T55" s="220" t="s">
        <v>55</v>
      </c>
      <c r="U55" s="189"/>
      <c r="V55" s="189"/>
      <c r="W55" s="189"/>
      <c r="X55" s="189"/>
      <c r="Y55" s="189"/>
      <c r="Z55" s="189"/>
    </row>
    <row r="56" spans="1:26">
      <c r="A56" s="226">
        <v>2</v>
      </c>
      <c r="B56" s="226">
        <v>3</v>
      </c>
      <c r="C56" s="226">
        <v>3</v>
      </c>
      <c r="D56" s="226" t="s">
        <v>72</v>
      </c>
      <c r="E56" s="226" t="s">
        <v>73</v>
      </c>
      <c r="F56" s="226" t="s">
        <v>68</v>
      </c>
      <c r="G56" s="227">
        <v>50618</v>
      </c>
      <c r="H56" s="228">
        <v>96</v>
      </c>
      <c r="I56" s="227">
        <v>19</v>
      </c>
      <c r="J56" s="227">
        <v>25</v>
      </c>
      <c r="K56" s="227">
        <v>23</v>
      </c>
      <c r="L56" s="231"/>
      <c r="M56" s="231"/>
      <c r="N56" s="231"/>
      <c r="O56" s="231"/>
      <c r="P56" s="231"/>
      <c r="Q56" s="231"/>
      <c r="R56" s="231"/>
      <c r="S56" s="233">
        <f>AVERAGE(I56:R56)</f>
        <v>22.333333333333332</v>
      </c>
      <c r="T56" s="235" t="s">
        <v>87</v>
      </c>
      <c r="U56" s="189"/>
      <c r="V56" s="189"/>
      <c r="W56" s="189"/>
      <c r="X56" s="189"/>
      <c r="Y56" s="189"/>
      <c r="Z56" s="189"/>
    </row>
    <row r="57" spans="1:26">
      <c r="A57" s="203">
        <v>2</v>
      </c>
      <c r="B57" s="203">
        <v>3</v>
      </c>
      <c r="C57" s="203">
        <v>4</v>
      </c>
      <c r="D57" s="203" t="s">
        <v>72</v>
      </c>
      <c r="E57" s="203" t="s">
        <v>73</v>
      </c>
      <c r="F57" s="203" t="s">
        <v>31</v>
      </c>
      <c r="G57" s="204">
        <v>50803</v>
      </c>
      <c r="H57" s="205">
        <v>486</v>
      </c>
      <c r="I57" s="206">
        <v>34</v>
      </c>
      <c r="J57" s="206">
        <v>57</v>
      </c>
      <c r="K57" s="206">
        <v>35.5</v>
      </c>
      <c r="L57" s="189"/>
      <c r="M57" s="189"/>
      <c r="N57" s="206">
        <v>32</v>
      </c>
      <c r="O57" s="206">
        <v>48.9</v>
      </c>
      <c r="P57" s="206">
        <v>30</v>
      </c>
      <c r="Q57" s="189"/>
      <c r="R57" s="189"/>
      <c r="S57" s="207">
        <f>AVERAGE(I57:R57)</f>
        <v>39.56666666666667</v>
      </c>
      <c r="T57" s="208"/>
      <c r="U57" s="189"/>
      <c r="V57" s="189"/>
      <c r="W57" s="189"/>
      <c r="X57" s="189"/>
      <c r="Y57" s="189"/>
      <c r="Z57" s="189"/>
    </row>
    <row r="58" spans="1:26">
      <c r="A58" s="226">
        <v>2</v>
      </c>
      <c r="B58" s="226">
        <v>3</v>
      </c>
      <c r="C58" s="226">
        <v>4</v>
      </c>
      <c r="D58" s="226" t="s">
        <v>72</v>
      </c>
      <c r="E58" s="226" t="s">
        <v>73</v>
      </c>
      <c r="F58" s="226" t="s">
        <v>68</v>
      </c>
      <c r="G58" s="227">
        <v>50618</v>
      </c>
      <c r="H58" s="228">
        <v>49</v>
      </c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3"/>
      <c r="T58" s="235" t="s">
        <v>87</v>
      </c>
      <c r="U58" s="189"/>
      <c r="V58" s="189"/>
      <c r="W58" s="189"/>
      <c r="X58" s="189"/>
      <c r="Y58" s="189"/>
      <c r="Z58" s="189"/>
    </row>
    <row r="59" spans="1:26">
      <c r="A59" s="203">
        <v>2</v>
      </c>
      <c r="B59" s="203">
        <v>3</v>
      </c>
      <c r="C59" s="203">
        <v>5</v>
      </c>
      <c r="D59" s="203" t="s">
        <v>89</v>
      </c>
      <c r="E59" s="203" t="s">
        <v>90</v>
      </c>
      <c r="F59" s="203" t="s">
        <v>34</v>
      </c>
      <c r="G59" s="204">
        <v>50854</v>
      </c>
      <c r="H59" s="205">
        <v>179</v>
      </c>
      <c r="I59" s="206">
        <v>49</v>
      </c>
      <c r="J59" s="206">
        <v>54</v>
      </c>
      <c r="K59" s="206">
        <v>75</v>
      </c>
      <c r="L59" s="206">
        <v>73.5</v>
      </c>
      <c r="M59" s="206">
        <v>91</v>
      </c>
      <c r="N59" s="206">
        <v>47</v>
      </c>
      <c r="O59" s="206">
        <v>55</v>
      </c>
      <c r="P59" s="206">
        <v>70</v>
      </c>
      <c r="Q59" s="189"/>
      <c r="R59" s="189"/>
      <c r="S59" s="207">
        <f>AVERAGE(I59:R59)</f>
        <v>64.3125</v>
      </c>
      <c r="T59" s="208"/>
      <c r="U59" s="189"/>
      <c r="V59" s="189"/>
      <c r="W59" s="189"/>
      <c r="X59" s="189"/>
      <c r="Y59" s="189"/>
      <c r="Z59" s="189"/>
    </row>
    <row r="60" spans="1:26">
      <c r="A60" s="203">
        <v>2</v>
      </c>
      <c r="B60" s="203">
        <v>3</v>
      </c>
      <c r="C60" s="203">
        <v>5</v>
      </c>
      <c r="D60" s="203" t="s">
        <v>89</v>
      </c>
      <c r="E60" s="203" t="s">
        <v>90</v>
      </c>
      <c r="F60" s="203" t="s">
        <v>25</v>
      </c>
      <c r="G60" s="204">
        <v>50846</v>
      </c>
      <c r="H60" s="205">
        <v>114</v>
      </c>
      <c r="I60" s="206">
        <v>122</v>
      </c>
      <c r="J60" s="206">
        <v>61</v>
      </c>
      <c r="K60" s="206">
        <v>111.5</v>
      </c>
      <c r="L60" s="206">
        <v>96.5</v>
      </c>
      <c r="M60" s="206">
        <v>51.5</v>
      </c>
      <c r="N60" s="206">
        <v>106</v>
      </c>
      <c r="O60" s="189"/>
      <c r="P60" s="189"/>
      <c r="Q60" s="189"/>
      <c r="R60" s="189"/>
      <c r="S60" s="207">
        <f>AVERAGE(I60:R60)</f>
        <v>91.416666666666671</v>
      </c>
      <c r="T60" s="208"/>
      <c r="U60" s="189"/>
      <c r="V60" s="189"/>
      <c r="W60" s="189"/>
      <c r="X60" s="189"/>
      <c r="Y60" s="189"/>
      <c r="Z60" s="189"/>
    </row>
    <row r="61" spans="1:26">
      <c r="A61" s="203">
        <v>2</v>
      </c>
      <c r="B61" s="203">
        <v>3</v>
      </c>
      <c r="C61" s="203">
        <v>6</v>
      </c>
      <c r="D61" s="203" t="s">
        <v>58</v>
      </c>
      <c r="E61" s="203" t="s">
        <v>59</v>
      </c>
      <c r="F61" s="203" t="s">
        <v>68</v>
      </c>
      <c r="G61" s="204">
        <v>50816</v>
      </c>
      <c r="H61" s="205">
        <v>983</v>
      </c>
      <c r="I61" s="206">
        <v>36</v>
      </c>
      <c r="J61" s="206">
        <v>54</v>
      </c>
      <c r="K61" s="206">
        <v>76</v>
      </c>
      <c r="L61" s="206">
        <v>103</v>
      </c>
      <c r="M61" s="206">
        <v>105</v>
      </c>
      <c r="N61" s="206">
        <v>144</v>
      </c>
      <c r="O61" s="206">
        <v>128</v>
      </c>
      <c r="P61" s="206">
        <v>138</v>
      </c>
      <c r="Q61" s="206">
        <v>55</v>
      </c>
      <c r="R61" s="189"/>
      <c r="S61" s="207">
        <f>AVERAGE(I61:R61)</f>
        <v>93.222222222222229</v>
      </c>
      <c r="T61" s="208"/>
      <c r="U61" s="189"/>
      <c r="V61" s="189"/>
      <c r="W61" s="189"/>
      <c r="X61" s="189"/>
      <c r="Y61" s="189"/>
      <c r="Z61" s="189"/>
    </row>
    <row r="62" spans="1:26">
      <c r="A62" s="203">
        <v>2</v>
      </c>
      <c r="B62" s="203">
        <v>3</v>
      </c>
      <c r="C62" s="203">
        <v>6</v>
      </c>
      <c r="D62" s="203" t="s">
        <v>58</v>
      </c>
      <c r="E62" s="203" t="s">
        <v>59</v>
      </c>
      <c r="F62" s="203" t="s">
        <v>34</v>
      </c>
      <c r="G62" s="204">
        <v>50773</v>
      </c>
      <c r="H62" s="205">
        <v>13</v>
      </c>
      <c r="I62" s="206">
        <v>58</v>
      </c>
      <c r="J62" s="189"/>
      <c r="K62" s="189"/>
      <c r="L62" s="189"/>
      <c r="M62" s="189"/>
      <c r="N62" s="189"/>
      <c r="O62" s="189"/>
      <c r="P62" s="189"/>
      <c r="Q62" s="189"/>
      <c r="R62" s="189"/>
      <c r="S62" s="207">
        <f>AVERAGE(I62:R62)</f>
        <v>58</v>
      </c>
      <c r="T62" s="208"/>
      <c r="U62" s="189"/>
      <c r="V62" s="189"/>
      <c r="W62" s="189"/>
      <c r="X62" s="189"/>
      <c r="Y62" s="189"/>
      <c r="Z62" s="189"/>
    </row>
    <row r="63" spans="1:26">
      <c r="A63" s="215">
        <v>2</v>
      </c>
      <c r="B63" s="215">
        <v>3</v>
      </c>
      <c r="C63" s="215">
        <v>6</v>
      </c>
      <c r="D63" s="215" t="s">
        <v>91</v>
      </c>
      <c r="E63" s="215" t="s">
        <v>92</v>
      </c>
      <c r="F63" s="215" t="s">
        <v>31</v>
      </c>
      <c r="G63" s="216">
        <v>50784</v>
      </c>
      <c r="H63" s="217">
        <v>32</v>
      </c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5"/>
      <c r="T63" s="220" t="s">
        <v>248</v>
      </c>
      <c r="U63" s="189"/>
      <c r="V63" s="189"/>
      <c r="W63" s="189"/>
      <c r="X63" s="189"/>
      <c r="Y63" s="189"/>
      <c r="Z63" s="189"/>
    </row>
    <row r="64" spans="1:26">
      <c r="A64" s="203">
        <v>2</v>
      </c>
      <c r="B64" s="203">
        <v>3</v>
      </c>
      <c r="C64" s="203">
        <v>7</v>
      </c>
      <c r="D64" s="203" t="s">
        <v>93</v>
      </c>
      <c r="E64" s="203" t="s">
        <v>94</v>
      </c>
      <c r="F64" s="203" t="s">
        <v>34</v>
      </c>
      <c r="G64" s="204">
        <v>50604</v>
      </c>
      <c r="H64" s="205">
        <v>350</v>
      </c>
      <c r="I64" s="206">
        <v>85</v>
      </c>
      <c r="J64" s="206">
        <v>91</v>
      </c>
      <c r="K64" s="206">
        <v>88</v>
      </c>
      <c r="L64" s="206">
        <v>123</v>
      </c>
      <c r="M64" s="206">
        <v>139</v>
      </c>
      <c r="N64" s="206">
        <v>128</v>
      </c>
      <c r="O64" s="206">
        <v>100</v>
      </c>
      <c r="P64" s="206">
        <v>107</v>
      </c>
      <c r="Q64" s="206">
        <v>84</v>
      </c>
      <c r="R64" s="206">
        <v>125</v>
      </c>
      <c r="S64" s="207">
        <f>AVERAGE(I64:R64)</f>
        <v>107</v>
      </c>
      <c r="T64" s="208"/>
      <c r="U64" s="189"/>
      <c r="V64" s="189"/>
      <c r="W64" s="189"/>
      <c r="X64" s="189"/>
      <c r="Y64" s="189"/>
      <c r="Z64" s="189"/>
    </row>
    <row r="65" spans="1:26">
      <c r="A65" s="215">
        <v>2</v>
      </c>
      <c r="B65" s="215">
        <v>3</v>
      </c>
      <c r="C65" s="215">
        <v>7</v>
      </c>
      <c r="D65" s="215" t="s">
        <v>72</v>
      </c>
      <c r="E65" s="215" t="s">
        <v>73</v>
      </c>
      <c r="F65" s="215" t="s">
        <v>31</v>
      </c>
      <c r="G65" s="216">
        <v>50803</v>
      </c>
      <c r="H65" s="217">
        <v>132</v>
      </c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5"/>
      <c r="T65" s="220" t="s">
        <v>55</v>
      </c>
      <c r="U65" s="189"/>
      <c r="V65" s="189"/>
      <c r="W65" s="189"/>
      <c r="X65" s="189"/>
      <c r="Y65" s="189"/>
      <c r="Z65" s="189"/>
    </row>
    <row r="66" spans="1:26">
      <c r="A66" s="203">
        <v>2</v>
      </c>
      <c r="B66" s="203">
        <v>3</v>
      </c>
      <c r="C66" s="203">
        <v>8</v>
      </c>
      <c r="D66" s="203" t="s">
        <v>95</v>
      </c>
      <c r="E66" s="203" t="s">
        <v>96</v>
      </c>
      <c r="F66" s="203" t="s">
        <v>34</v>
      </c>
      <c r="G66" s="204">
        <v>50886</v>
      </c>
      <c r="H66" s="205">
        <v>289</v>
      </c>
      <c r="I66" s="206">
        <v>25</v>
      </c>
      <c r="J66" s="206">
        <v>28</v>
      </c>
      <c r="K66" s="206">
        <v>25</v>
      </c>
      <c r="L66" s="206">
        <v>20</v>
      </c>
      <c r="M66" s="206">
        <v>23</v>
      </c>
      <c r="N66" s="206">
        <v>27</v>
      </c>
      <c r="O66" s="206">
        <v>26.8</v>
      </c>
      <c r="P66" s="206">
        <v>25</v>
      </c>
      <c r="Q66" s="206">
        <v>34</v>
      </c>
      <c r="R66" s="206">
        <v>45</v>
      </c>
      <c r="S66" s="207">
        <f>AVERAGE(I66:R66)</f>
        <v>27.880000000000003</v>
      </c>
      <c r="T66" s="208"/>
      <c r="U66" s="189"/>
      <c r="V66" s="189"/>
      <c r="W66" s="189"/>
      <c r="X66" s="189"/>
      <c r="Y66" s="189"/>
      <c r="Z66" s="189"/>
    </row>
    <row r="67" spans="1:26">
      <c r="A67" s="203">
        <v>2</v>
      </c>
      <c r="B67" s="203">
        <v>3</v>
      </c>
      <c r="C67" s="203">
        <v>8</v>
      </c>
      <c r="D67" s="203" t="s">
        <v>74</v>
      </c>
      <c r="E67" s="203" t="s">
        <v>75</v>
      </c>
      <c r="F67" s="203" t="s">
        <v>34</v>
      </c>
      <c r="G67" s="204">
        <v>50887</v>
      </c>
      <c r="H67" s="205">
        <v>179</v>
      </c>
      <c r="I67" s="206">
        <v>33</v>
      </c>
      <c r="J67" s="206">
        <v>26</v>
      </c>
      <c r="K67" s="206">
        <v>21</v>
      </c>
      <c r="L67" s="206">
        <v>21</v>
      </c>
      <c r="M67" s="206">
        <v>23</v>
      </c>
      <c r="N67" s="206">
        <v>20</v>
      </c>
      <c r="O67" s="206">
        <v>7.5</v>
      </c>
      <c r="P67" s="206">
        <v>10</v>
      </c>
      <c r="Q67" s="206">
        <v>9</v>
      </c>
      <c r="R67" s="189"/>
      <c r="S67" s="207">
        <f>AVERAGE(I67:R67)</f>
        <v>18.944444444444443</v>
      </c>
      <c r="T67" s="208"/>
      <c r="U67" s="189"/>
      <c r="V67" s="189"/>
      <c r="W67" s="189"/>
      <c r="X67" s="189"/>
      <c r="Y67" s="189"/>
      <c r="Z67" s="189"/>
    </row>
    <row r="68" spans="1:26">
      <c r="A68" s="203">
        <v>2</v>
      </c>
      <c r="B68" s="203">
        <v>3</v>
      </c>
      <c r="C68" s="203">
        <v>9</v>
      </c>
      <c r="D68" s="203" t="s">
        <v>97</v>
      </c>
      <c r="E68" s="203" t="s">
        <v>98</v>
      </c>
      <c r="F68" s="203" t="s">
        <v>68</v>
      </c>
      <c r="G68" s="204">
        <v>50845</v>
      </c>
      <c r="H68" s="205">
        <v>459</v>
      </c>
      <c r="I68" s="206">
        <v>28.5</v>
      </c>
      <c r="J68" s="206">
        <v>24</v>
      </c>
      <c r="K68" s="206">
        <v>27</v>
      </c>
      <c r="L68" s="206">
        <v>30</v>
      </c>
      <c r="M68" s="206">
        <v>23</v>
      </c>
      <c r="N68" s="206">
        <v>22.5</v>
      </c>
      <c r="O68" s="206">
        <v>27.5</v>
      </c>
      <c r="P68" s="206">
        <v>20</v>
      </c>
      <c r="Q68" s="206">
        <v>23.5</v>
      </c>
      <c r="R68" s="206">
        <v>33</v>
      </c>
      <c r="S68" s="207">
        <f>AVERAGE(I68:R68)</f>
        <v>25.9</v>
      </c>
      <c r="T68" s="208"/>
      <c r="U68" s="189"/>
      <c r="V68" s="189"/>
      <c r="W68" s="189"/>
      <c r="X68" s="189"/>
      <c r="Y68" s="189"/>
      <c r="Z68" s="189"/>
    </row>
    <row r="69" spans="1:26">
      <c r="A69" s="209">
        <v>2</v>
      </c>
      <c r="B69" s="209">
        <v>3</v>
      </c>
      <c r="C69" s="209">
        <v>9</v>
      </c>
      <c r="D69" s="209" t="s">
        <v>97</v>
      </c>
      <c r="E69" s="209" t="s">
        <v>98</v>
      </c>
      <c r="F69" s="209" t="s">
        <v>34</v>
      </c>
      <c r="G69" s="210">
        <v>50590</v>
      </c>
      <c r="H69" s="211">
        <v>3</v>
      </c>
      <c r="I69" s="212"/>
      <c r="J69" s="212"/>
      <c r="K69" s="212"/>
      <c r="L69" s="212"/>
      <c r="M69" s="212"/>
      <c r="N69" s="212"/>
      <c r="O69" s="212"/>
      <c r="P69" s="212"/>
      <c r="Q69" s="212"/>
      <c r="R69" s="212"/>
      <c r="S69" s="213"/>
      <c r="T69" s="214" t="s">
        <v>43</v>
      </c>
      <c r="U69" s="189"/>
      <c r="V69" s="189"/>
      <c r="W69" s="189"/>
      <c r="X69" s="189"/>
      <c r="Y69" s="189"/>
      <c r="Z69" s="189"/>
    </row>
    <row r="70" spans="1:26">
      <c r="A70" s="203">
        <v>2</v>
      </c>
      <c r="B70" s="203">
        <v>3</v>
      </c>
      <c r="C70" s="203">
        <v>9</v>
      </c>
      <c r="D70" s="203" t="s">
        <v>99</v>
      </c>
      <c r="E70" s="245"/>
      <c r="F70" s="203" t="s">
        <v>25</v>
      </c>
      <c r="G70" s="204">
        <v>50848</v>
      </c>
      <c r="H70" s="205">
        <v>217</v>
      </c>
      <c r="I70" s="206">
        <v>39.700000000000003</v>
      </c>
      <c r="J70" s="206">
        <v>35</v>
      </c>
      <c r="K70" s="206">
        <v>44</v>
      </c>
      <c r="L70" s="206">
        <v>28</v>
      </c>
      <c r="M70" s="206">
        <v>42</v>
      </c>
      <c r="N70" s="206">
        <v>44</v>
      </c>
      <c r="O70" s="206">
        <v>36</v>
      </c>
      <c r="P70" s="206">
        <v>38</v>
      </c>
      <c r="Q70" s="189"/>
      <c r="R70" s="189"/>
      <c r="S70" s="207">
        <f>AVERAGE(I70:R70)</f>
        <v>38.337499999999999</v>
      </c>
      <c r="T70" s="208"/>
      <c r="U70" s="189"/>
      <c r="V70" s="189"/>
      <c r="W70" s="189"/>
      <c r="X70" s="189"/>
      <c r="Y70" s="189"/>
      <c r="Z70" s="189"/>
    </row>
    <row r="71" spans="1:26">
      <c r="A71" s="215">
        <v>2</v>
      </c>
      <c r="B71" s="215">
        <v>3</v>
      </c>
      <c r="C71" s="215">
        <v>9</v>
      </c>
      <c r="D71" s="215" t="s">
        <v>100</v>
      </c>
      <c r="E71" s="215" t="s">
        <v>101</v>
      </c>
      <c r="F71" s="215" t="s">
        <v>68</v>
      </c>
      <c r="G71" s="216">
        <v>50645</v>
      </c>
      <c r="H71" s="217">
        <v>102</v>
      </c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5"/>
      <c r="T71" s="220" t="s">
        <v>55</v>
      </c>
      <c r="U71" s="189"/>
      <c r="V71" s="189"/>
      <c r="W71" s="189"/>
      <c r="X71" s="189"/>
      <c r="Y71" s="189"/>
      <c r="Z71" s="189"/>
    </row>
    <row r="72" spans="1:26">
      <c r="A72" s="203">
        <v>2</v>
      </c>
      <c r="B72" s="203">
        <v>3</v>
      </c>
      <c r="C72" s="203">
        <v>9</v>
      </c>
      <c r="D72" s="203" t="s">
        <v>100</v>
      </c>
      <c r="E72" s="203" t="s">
        <v>101</v>
      </c>
      <c r="F72" s="203" t="s">
        <v>25</v>
      </c>
      <c r="G72" s="204">
        <v>50746</v>
      </c>
      <c r="H72" s="205">
        <v>53</v>
      </c>
      <c r="I72" s="206">
        <v>45</v>
      </c>
      <c r="J72" s="206">
        <v>35</v>
      </c>
      <c r="K72" s="206">
        <v>30</v>
      </c>
      <c r="L72" s="189"/>
      <c r="M72" s="189"/>
      <c r="N72" s="189"/>
      <c r="O72" s="189"/>
      <c r="P72" s="189"/>
      <c r="Q72" s="189"/>
      <c r="R72" s="189"/>
      <c r="S72" s="207">
        <f>AVERAGE(I72:R72)</f>
        <v>36.666666666666664</v>
      </c>
      <c r="T72" s="208"/>
      <c r="U72" s="189"/>
      <c r="V72" s="189"/>
      <c r="W72" s="189"/>
      <c r="X72" s="189"/>
      <c r="Y72" s="189"/>
      <c r="Z72" s="189"/>
    </row>
    <row r="73" spans="1:26">
      <c r="A73" s="203">
        <v>2</v>
      </c>
      <c r="B73" s="203">
        <v>3</v>
      </c>
      <c r="C73" s="203">
        <v>9</v>
      </c>
      <c r="D73" s="203" t="s">
        <v>100</v>
      </c>
      <c r="E73" s="203" t="s">
        <v>101</v>
      </c>
      <c r="F73" s="203" t="s">
        <v>31</v>
      </c>
      <c r="G73" s="204">
        <v>50804</v>
      </c>
      <c r="H73" s="205">
        <v>29</v>
      </c>
      <c r="I73" s="206">
        <v>55</v>
      </c>
      <c r="J73" s="189"/>
      <c r="K73" s="189"/>
      <c r="L73" s="189"/>
      <c r="M73" s="189"/>
      <c r="N73" s="189"/>
      <c r="O73" s="189"/>
      <c r="P73" s="189"/>
      <c r="Q73" s="189"/>
      <c r="R73" s="189"/>
      <c r="S73" s="207">
        <f>AVERAGE(I73:R73)</f>
        <v>55</v>
      </c>
      <c r="T73" s="208"/>
      <c r="U73" s="189"/>
      <c r="V73" s="189"/>
      <c r="W73" s="189"/>
      <c r="X73" s="189"/>
      <c r="Y73" s="189"/>
      <c r="Z73" s="189"/>
    </row>
    <row r="74" spans="1:26">
      <c r="A74" s="203">
        <v>2</v>
      </c>
      <c r="B74" s="203">
        <v>3</v>
      </c>
      <c r="C74" s="203">
        <v>11</v>
      </c>
      <c r="D74" s="203" t="s">
        <v>102</v>
      </c>
      <c r="E74" s="203" t="s">
        <v>103</v>
      </c>
      <c r="F74" s="203" t="s">
        <v>31</v>
      </c>
      <c r="G74" s="204">
        <v>50821</v>
      </c>
      <c r="H74" s="205">
        <v>369</v>
      </c>
      <c r="I74" s="206">
        <v>69</v>
      </c>
      <c r="J74" s="206">
        <v>75</v>
      </c>
      <c r="K74" s="189"/>
      <c r="L74" s="206">
        <v>47</v>
      </c>
      <c r="M74" s="189"/>
      <c r="N74" s="189"/>
      <c r="O74" s="206">
        <v>83.5</v>
      </c>
      <c r="P74" s="189"/>
      <c r="Q74" s="189"/>
      <c r="R74" s="189"/>
      <c r="S74" s="207">
        <f>AVERAGE(I74:R74)</f>
        <v>68.625</v>
      </c>
      <c r="T74" s="192" t="s">
        <v>247</v>
      </c>
      <c r="U74" s="189"/>
      <c r="V74" s="189"/>
      <c r="W74" s="189"/>
      <c r="X74" s="189"/>
      <c r="Y74" s="189"/>
      <c r="Z74" s="189"/>
    </row>
    <row r="75" spans="1:26">
      <c r="A75" s="215">
        <v>2</v>
      </c>
      <c r="B75" s="215">
        <v>3</v>
      </c>
      <c r="C75" s="215">
        <v>11</v>
      </c>
      <c r="D75" s="215" t="s">
        <v>102</v>
      </c>
      <c r="E75" s="215" t="s">
        <v>103</v>
      </c>
      <c r="F75" s="215" t="s">
        <v>34</v>
      </c>
      <c r="G75" s="216">
        <v>50415</v>
      </c>
      <c r="H75" s="217">
        <v>4</v>
      </c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5"/>
      <c r="T75" s="220" t="s">
        <v>55</v>
      </c>
      <c r="U75" s="189"/>
      <c r="V75" s="189"/>
      <c r="W75" s="189"/>
      <c r="X75" s="189"/>
      <c r="Y75" s="189"/>
      <c r="Z75" s="189"/>
    </row>
    <row r="76" spans="1:26">
      <c r="A76" s="203">
        <v>2</v>
      </c>
      <c r="B76" s="203">
        <v>3</v>
      </c>
      <c r="C76" s="203">
        <v>11</v>
      </c>
      <c r="D76" s="203" t="s">
        <v>102</v>
      </c>
      <c r="E76" s="203" t="s">
        <v>104</v>
      </c>
      <c r="F76" s="203" t="s">
        <v>68</v>
      </c>
      <c r="G76" s="204">
        <v>50658</v>
      </c>
      <c r="H76" s="205">
        <v>136</v>
      </c>
      <c r="I76" s="206">
        <v>83</v>
      </c>
      <c r="J76" s="206">
        <v>107</v>
      </c>
      <c r="K76" s="206">
        <v>69</v>
      </c>
      <c r="L76" s="206">
        <v>73</v>
      </c>
      <c r="M76" s="206">
        <v>109</v>
      </c>
      <c r="N76" s="189"/>
      <c r="O76" s="189"/>
      <c r="P76" s="189"/>
      <c r="Q76" s="189"/>
      <c r="R76" s="189"/>
      <c r="S76" s="207">
        <f t="shared" ref="S76:S86" si="4">AVERAGE(I76:R76)</f>
        <v>88.2</v>
      </c>
      <c r="T76" s="208"/>
      <c r="U76" s="189"/>
      <c r="V76" s="189"/>
      <c r="W76" s="189"/>
      <c r="X76" s="189"/>
      <c r="Y76" s="189"/>
      <c r="Z76" s="189"/>
    </row>
    <row r="77" spans="1:26">
      <c r="A77" s="203">
        <v>2</v>
      </c>
      <c r="B77" s="203">
        <v>3</v>
      </c>
      <c r="C77" s="203">
        <v>12</v>
      </c>
      <c r="D77" s="203" t="s">
        <v>102</v>
      </c>
      <c r="E77" s="203" t="s">
        <v>103</v>
      </c>
      <c r="F77" s="203" t="s">
        <v>68</v>
      </c>
      <c r="G77" s="204">
        <v>50817</v>
      </c>
      <c r="H77" s="205">
        <v>1429</v>
      </c>
      <c r="I77" s="206">
        <v>62</v>
      </c>
      <c r="J77" s="206">
        <v>74</v>
      </c>
      <c r="K77" s="206">
        <v>90</v>
      </c>
      <c r="L77" s="206">
        <v>78</v>
      </c>
      <c r="M77" s="206">
        <v>71.5</v>
      </c>
      <c r="N77" s="206">
        <v>129.5</v>
      </c>
      <c r="O77" s="206">
        <v>83.5</v>
      </c>
      <c r="P77" s="206">
        <v>74</v>
      </c>
      <c r="Q77" s="206">
        <v>91</v>
      </c>
      <c r="R77" s="206">
        <v>50</v>
      </c>
      <c r="S77" s="207">
        <f t="shared" si="4"/>
        <v>80.349999999999994</v>
      </c>
      <c r="T77" s="208"/>
      <c r="U77" s="189"/>
      <c r="V77" s="189"/>
      <c r="W77" s="189"/>
      <c r="X77" s="189"/>
      <c r="Y77" s="189"/>
      <c r="Z77" s="189"/>
    </row>
    <row r="78" spans="1:26">
      <c r="A78" s="203">
        <v>2</v>
      </c>
      <c r="B78" s="203">
        <v>3</v>
      </c>
      <c r="C78" s="203">
        <v>13</v>
      </c>
      <c r="D78" s="203" t="s">
        <v>105</v>
      </c>
      <c r="E78" s="203" t="s">
        <v>106</v>
      </c>
      <c r="F78" s="203" t="s">
        <v>25</v>
      </c>
      <c r="G78" s="204">
        <v>50859</v>
      </c>
      <c r="H78" s="205">
        <v>349</v>
      </c>
      <c r="I78" s="206">
        <v>154</v>
      </c>
      <c r="J78" s="206">
        <v>128</v>
      </c>
      <c r="K78" s="206">
        <v>138</v>
      </c>
      <c r="L78" s="206">
        <v>116</v>
      </c>
      <c r="M78" s="206">
        <v>79</v>
      </c>
      <c r="N78" s="206">
        <v>131</v>
      </c>
      <c r="O78" s="206">
        <v>165</v>
      </c>
      <c r="P78" s="206">
        <v>111</v>
      </c>
      <c r="Q78" s="206">
        <v>161</v>
      </c>
      <c r="R78" s="206">
        <v>177</v>
      </c>
      <c r="S78" s="207">
        <f t="shared" si="4"/>
        <v>136</v>
      </c>
      <c r="T78" s="208"/>
      <c r="U78" s="189"/>
      <c r="V78" s="189"/>
      <c r="W78" s="189"/>
      <c r="X78" s="189"/>
      <c r="Y78" s="189"/>
      <c r="Z78" s="189"/>
    </row>
    <row r="79" spans="1:26">
      <c r="A79" s="203">
        <v>2</v>
      </c>
      <c r="B79" s="203">
        <v>3</v>
      </c>
      <c r="C79" s="203">
        <v>13</v>
      </c>
      <c r="D79" s="203" t="s">
        <v>105</v>
      </c>
      <c r="E79" s="203" t="s">
        <v>106</v>
      </c>
      <c r="F79" s="203" t="s">
        <v>25</v>
      </c>
      <c r="G79" s="204">
        <v>50735</v>
      </c>
      <c r="H79" s="205">
        <v>22</v>
      </c>
      <c r="I79" s="206">
        <v>78</v>
      </c>
      <c r="J79" s="189"/>
      <c r="K79" s="189"/>
      <c r="L79" s="189"/>
      <c r="M79" s="189"/>
      <c r="N79" s="189"/>
      <c r="O79" s="189"/>
      <c r="P79" s="189"/>
      <c r="Q79" s="189"/>
      <c r="R79" s="189"/>
      <c r="S79" s="207">
        <f t="shared" si="4"/>
        <v>78</v>
      </c>
      <c r="T79" s="208"/>
      <c r="U79" s="189"/>
      <c r="V79" s="189"/>
      <c r="W79" s="189"/>
      <c r="X79" s="189"/>
      <c r="Y79" s="189"/>
      <c r="Z79" s="189"/>
    </row>
    <row r="80" spans="1:26">
      <c r="A80" s="203">
        <v>2</v>
      </c>
      <c r="B80" s="203">
        <v>3</v>
      </c>
      <c r="C80" s="203">
        <v>13</v>
      </c>
      <c r="D80" s="203" t="s">
        <v>105</v>
      </c>
      <c r="E80" s="203" t="s">
        <v>106</v>
      </c>
      <c r="F80" s="203" t="s">
        <v>25</v>
      </c>
      <c r="G80" s="204">
        <v>50756</v>
      </c>
      <c r="H80" s="205">
        <v>37</v>
      </c>
      <c r="I80" s="206">
        <v>130.5</v>
      </c>
      <c r="J80" s="189"/>
      <c r="K80" s="189"/>
      <c r="L80" s="189"/>
      <c r="M80" s="189"/>
      <c r="N80" s="189"/>
      <c r="O80" s="189"/>
      <c r="P80" s="189"/>
      <c r="Q80" s="189"/>
      <c r="R80" s="189"/>
      <c r="S80" s="207">
        <f t="shared" si="4"/>
        <v>130.5</v>
      </c>
      <c r="T80" s="208"/>
      <c r="U80" s="189"/>
      <c r="V80" s="189"/>
      <c r="W80" s="189"/>
      <c r="X80" s="189"/>
      <c r="Y80" s="189"/>
      <c r="Z80" s="189"/>
    </row>
    <row r="81" spans="1:26">
      <c r="A81" s="203">
        <v>2</v>
      </c>
      <c r="B81" s="203">
        <v>3</v>
      </c>
      <c r="C81" s="203">
        <v>13</v>
      </c>
      <c r="D81" s="203" t="s">
        <v>105</v>
      </c>
      <c r="E81" s="203" t="s">
        <v>106</v>
      </c>
      <c r="F81" s="203" t="s">
        <v>68</v>
      </c>
      <c r="G81" s="204">
        <v>50836</v>
      </c>
      <c r="H81" s="205">
        <v>172</v>
      </c>
      <c r="I81" s="206">
        <v>151.5</v>
      </c>
      <c r="J81" s="189"/>
      <c r="K81" s="189"/>
      <c r="L81" s="206">
        <v>125</v>
      </c>
      <c r="M81" s="206">
        <v>116.5</v>
      </c>
      <c r="N81" s="206">
        <v>166.5</v>
      </c>
      <c r="O81" s="189"/>
      <c r="P81" s="189"/>
      <c r="Q81" s="189"/>
      <c r="R81" s="189"/>
      <c r="S81" s="207">
        <f t="shared" si="4"/>
        <v>139.875</v>
      </c>
      <c r="T81" s="192" t="s">
        <v>247</v>
      </c>
      <c r="U81" s="189"/>
      <c r="V81" s="189"/>
      <c r="W81" s="189"/>
      <c r="X81" s="189"/>
      <c r="Y81" s="189"/>
      <c r="Z81" s="189"/>
    </row>
    <row r="82" spans="1:26">
      <c r="A82" s="203">
        <v>2</v>
      </c>
      <c r="B82" s="203">
        <v>3</v>
      </c>
      <c r="C82" s="203">
        <v>14</v>
      </c>
      <c r="D82" s="203" t="s">
        <v>107</v>
      </c>
      <c r="E82" s="203" t="s">
        <v>108</v>
      </c>
      <c r="F82" s="203" t="s">
        <v>25</v>
      </c>
      <c r="G82" s="204">
        <v>50847</v>
      </c>
      <c r="H82" s="205">
        <v>371</v>
      </c>
      <c r="I82" s="206">
        <v>60</v>
      </c>
      <c r="J82" s="206">
        <v>38</v>
      </c>
      <c r="K82" s="206">
        <v>44</v>
      </c>
      <c r="L82" s="206">
        <v>37</v>
      </c>
      <c r="M82" s="206">
        <v>38</v>
      </c>
      <c r="N82" s="206">
        <v>25</v>
      </c>
      <c r="O82" s="206">
        <v>58</v>
      </c>
      <c r="P82" s="206">
        <v>40</v>
      </c>
      <c r="Q82" s="206">
        <v>70</v>
      </c>
      <c r="R82" s="206">
        <v>56</v>
      </c>
      <c r="S82" s="207">
        <f t="shared" si="4"/>
        <v>46.6</v>
      </c>
      <c r="T82" s="208"/>
      <c r="U82" s="189"/>
      <c r="V82" s="189"/>
      <c r="W82" s="189"/>
      <c r="X82" s="189"/>
      <c r="Y82" s="189"/>
      <c r="Z82" s="189"/>
    </row>
    <row r="83" spans="1:26">
      <c r="A83" s="203">
        <v>2</v>
      </c>
      <c r="B83" s="203">
        <v>3</v>
      </c>
      <c r="C83" s="203">
        <v>14</v>
      </c>
      <c r="D83" s="203" t="s">
        <v>107</v>
      </c>
      <c r="E83" s="203" t="s">
        <v>108</v>
      </c>
      <c r="F83" s="203" t="s">
        <v>109</v>
      </c>
      <c r="G83" s="204">
        <v>50743</v>
      </c>
      <c r="H83" s="205">
        <v>88</v>
      </c>
      <c r="I83" s="206">
        <v>49</v>
      </c>
      <c r="J83" s="189"/>
      <c r="K83" s="189"/>
      <c r="L83" s="189"/>
      <c r="M83" s="189"/>
      <c r="N83" s="189"/>
      <c r="O83" s="189"/>
      <c r="P83" s="189"/>
      <c r="Q83" s="189"/>
      <c r="R83" s="189"/>
      <c r="S83" s="207">
        <f t="shared" si="4"/>
        <v>49</v>
      </c>
      <c r="T83" s="208"/>
      <c r="U83" s="189"/>
      <c r="V83" s="189"/>
      <c r="W83" s="189"/>
      <c r="X83" s="189"/>
      <c r="Y83" s="189"/>
      <c r="Z83" s="189"/>
    </row>
    <row r="84" spans="1:26">
      <c r="A84" s="203">
        <v>2</v>
      </c>
      <c r="B84" s="203">
        <v>3</v>
      </c>
      <c r="C84" s="203">
        <v>17</v>
      </c>
      <c r="D84" s="203" t="s">
        <v>60</v>
      </c>
      <c r="E84" s="203" t="s">
        <v>71</v>
      </c>
      <c r="F84" s="203" t="s">
        <v>25</v>
      </c>
      <c r="G84" s="204">
        <v>50747</v>
      </c>
      <c r="H84" s="205">
        <v>1</v>
      </c>
      <c r="I84" s="206">
        <v>211</v>
      </c>
      <c r="J84" s="189"/>
      <c r="K84" s="189"/>
      <c r="L84" s="189"/>
      <c r="M84" s="189"/>
      <c r="N84" s="189"/>
      <c r="O84" s="189"/>
      <c r="P84" s="189"/>
      <c r="Q84" s="189"/>
      <c r="R84" s="189"/>
      <c r="S84" s="207">
        <f t="shared" si="4"/>
        <v>211</v>
      </c>
      <c r="T84" s="208"/>
      <c r="U84" s="189"/>
      <c r="V84" s="189"/>
      <c r="W84" s="189"/>
      <c r="X84" s="189"/>
      <c r="Y84" s="189"/>
      <c r="Z84" s="189"/>
    </row>
    <row r="85" spans="1:26">
      <c r="A85" s="255">
        <v>2</v>
      </c>
      <c r="B85" s="255">
        <v>3</v>
      </c>
      <c r="C85" s="255">
        <v>17</v>
      </c>
      <c r="D85" s="255" t="s">
        <v>60</v>
      </c>
      <c r="E85" s="255" t="s">
        <v>61</v>
      </c>
      <c r="F85" s="255" t="s">
        <v>25</v>
      </c>
      <c r="G85" s="256">
        <v>50733</v>
      </c>
      <c r="H85" s="257">
        <v>114</v>
      </c>
      <c r="I85" s="256">
        <v>67.5</v>
      </c>
      <c r="J85" s="259"/>
      <c r="K85" s="259"/>
      <c r="L85" s="259"/>
      <c r="M85" s="259"/>
      <c r="N85" s="259"/>
      <c r="O85" s="259"/>
      <c r="P85" s="259"/>
      <c r="Q85" s="259"/>
      <c r="R85" s="259"/>
      <c r="S85" s="260">
        <f t="shared" si="4"/>
        <v>67.5</v>
      </c>
      <c r="T85" s="261" t="s">
        <v>111</v>
      </c>
      <c r="U85" s="189"/>
      <c r="V85" s="189"/>
      <c r="W85" s="189"/>
      <c r="X85" s="189"/>
      <c r="Y85" s="189"/>
      <c r="Z85" s="189"/>
    </row>
    <row r="86" spans="1:26">
      <c r="A86" s="203">
        <v>2</v>
      </c>
      <c r="B86" s="203">
        <v>3</v>
      </c>
      <c r="C86" s="203">
        <v>17</v>
      </c>
      <c r="D86" s="203" t="s">
        <v>60</v>
      </c>
      <c r="E86" s="203" t="s">
        <v>61</v>
      </c>
      <c r="F86" s="203" t="s">
        <v>68</v>
      </c>
      <c r="G86" s="204">
        <v>50636</v>
      </c>
      <c r="H86" s="205">
        <v>36</v>
      </c>
      <c r="I86" s="206">
        <v>73</v>
      </c>
      <c r="J86" s="206">
        <v>153</v>
      </c>
      <c r="K86" s="189"/>
      <c r="L86" s="189"/>
      <c r="M86" s="189"/>
      <c r="N86" s="189"/>
      <c r="O86" s="189"/>
      <c r="P86" s="189"/>
      <c r="Q86" s="189"/>
      <c r="R86" s="189"/>
      <c r="S86" s="207">
        <f t="shared" si="4"/>
        <v>113</v>
      </c>
      <c r="T86" s="208"/>
      <c r="U86" s="189"/>
      <c r="V86" s="189"/>
      <c r="W86" s="189"/>
      <c r="X86" s="189"/>
      <c r="Y86" s="189"/>
      <c r="Z86" s="189"/>
    </row>
    <row r="87" spans="1:26">
      <c r="A87" s="209">
        <v>2</v>
      </c>
      <c r="B87" s="209">
        <v>3</v>
      </c>
      <c r="C87" s="209">
        <v>17</v>
      </c>
      <c r="D87" s="209" t="s">
        <v>60</v>
      </c>
      <c r="E87" s="209" t="s">
        <v>61</v>
      </c>
      <c r="F87" s="209" t="s">
        <v>68</v>
      </c>
      <c r="G87" s="210">
        <v>50668</v>
      </c>
      <c r="H87" s="211">
        <v>34</v>
      </c>
      <c r="I87" s="212"/>
      <c r="J87" s="212"/>
      <c r="K87" s="212"/>
      <c r="L87" s="212"/>
      <c r="M87" s="212"/>
      <c r="N87" s="212"/>
      <c r="O87" s="212"/>
      <c r="P87" s="212"/>
      <c r="Q87" s="212"/>
      <c r="R87" s="212"/>
      <c r="S87" s="213"/>
      <c r="T87" s="214" t="s">
        <v>43</v>
      </c>
      <c r="U87" s="189"/>
      <c r="V87" s="189"/>
      <c r="W87" s="189"/>
      <c r="X87" s="189"/>
      <c r="Y87" s="189"/>
      <c r="Z87" s="189"/>
    </row>
    <row r="88" spans="1:26">
      <c r="A88" s="203">
        <v>2</v>
      </c>
      <c r="B88" s="203">
        <v>3</v>
      </c>
      <c r="C88" s="203">
        <v>17</v>
      </c>
      <c r="D88" s="203" t="s">
        <v>60</v>
      </c>
      <c r="E88" s="203" t="s">
        <v>61</v>
      </c>
      <c r="F88" s="203" t="s">
        <v>68</v>
      </c>
      <c r="G88" s="204">
        <v>50626</v>
      </c>
      <c r="H88" s="205">
        <v>8</v>
      </c>
      <c r="I88" s="206">
        <v>82</v>
      </c>
      <c r="J88" s="189"/>
      <c r="K88" s="189"/>
      <c r="L88" s="189"/>
      <c r="M88" s="189"/>
      <c r="N88" s="189"/>
      <c r="O88" s="189"/>
      <c r="P88" s="189"/>
      <c r="Q88" s="189"/>
      <c r="R88" s="189"/>
      <c r="S88" s="207">
        <f t="shared" ref="S88:S95" si="5">AVERAGE(I88:R88)</f>
        <v>82</v>
      </c>
      <c r="T88" s="208"/>
      <c r="U88" s="189"/>
      <c r="V88" s="189"/>
      <c r="W88" s="189"/>
      <c r="X88" s="189"/>
      <c r="Y88" s="189"/>
      <c r="Z88" s="189"/>
    </row>
    <row r="89" spans="1:26">
      <c r="A89" s="203">
        <v>2</v>
      </c>
      <c r="B89" s="203">
        <v>3</v>
      </c>
      <c r="C89" s="203">
        <v>17</v>
      </c>
      <c r="D89" s="203" t="s">
        <v>60</v>
      </c>
      <c r="E89" s="203" t="s">
        <v>61</v>
      </c>
      <c r="F89" s="203" t="s">
        <v>34</v>
      </c>
      <c r="G89" s="204">
        <v>50595</v>
      </c>
      <c r="H89" s="205">
        <v>45</v>
      </c>
      <c r="I89" s="206">
        <v>33.299999999999997</v>
      </c>
      <c r="J89" s="206">
        <v>144</v>
      </c>
      <c r="K89" s="206">
        <v>175</v>
      </c>
      <c r="L89" s="189"/>
      <c r="M89" s="189"/>
      <c r="N89" s="189"/>
      <c r="O89" s="189"/>
      <c r="P89" s="189"/>
      <c r="Q89" s="189"/>
      <c r="R89" s="189"/>
      <c r="S89" s="207">
        <f t="shared" si="5"/>
        <v>117.43333333333334</v>
      </c>
      <c r="T89" s="208"/>
      <c r="U89" s="189"/>
      <c r="V89" s="189"/>
      <c r="W89" s="189"/>
      <c r="X89" s="189"/>
      <c r="Y89" s="189"/>
      <c r="Z89" s="189"/>
    </row>
    <row r="90" spans="1:26">
      <c r="A90" s="203">
        <v>2</v>
      </c>
      <c r="B90" s="203">
        <v>3</v>
      </c>
      <c r="C90" s="203">
        <v>17</v>
      </c>
      <c r="D90" s="203" t="s">
        <v>60</v>
      </c>
      <c r="E90" s="203" t="s">
        <v>61</v>
      </c>
      <c r="F90" s="203" t="s">
        <v>68</v>
      </c>
      <c r="G90" s="204">
        <v>50818</v>
      </c>
      <c r="H90" s="205">
        <v>67</v>
      </c>
      <c r="I90" s="206">
        <v>79.5</v>
      </c>
      <c r="J90" s="206">
        <v>119</v>
      </c>
      <c r="K90" s="206">
        <v>131</v>
      </c>
      <c r="L90" s="189"/>
      <c r="M90" s="189"/>
      <c r="N90" s="189"/>
      <c r="O90" s="189"/>
      <c r="P90" s="189"/>
      <c r="Q90" s="189"/>
      <c r="R90" s="189"/>
      <c r="S90" s="207">
        <f t="shared" si="5"/>
        <v>109.83333333333333</v>
      </c>
      <c r="T90" s="208"/>
      <c r="U90" s="189"/>
      <c r="V90" s="189"/>
      <c r="W90" s="189"/>
      <c r="X90" s="189"/>
      <c r="Y90" s="189"/>
      <c r="Z90" s="189"/>
    </row>
    <row r="91" spans="1:26">
      <c r="A91" s="203">
        <v>2</v>
      </c>
      <c r="B91" s="203">
        <v>3</v>
      </c>
      <c r="C91" s="203">
        <v>17</v>
      </c>
      <c r="D91" s="203" t="s">
        <v>60</v>
      </c>
      <c r="E91" s="203" t="s">
        <v>61</v>
      </c>
      <c r="F91" s="203" t="s">
        <v>31</v>
      </c>
      <c r="G91" s="204">
        <v>50810</v>
      </c>
      <c r="H91" s="205">
        <v>127</v>
      </c>
      <c r="I91" s="206">
        <v>194</v>
      </c>
      <c r="J91" s="206">
        <v>194</v>
      </c>
      <c r="K91" s="206">
        <v>166.3</v>
      </c>
      <c r="L91" s="206">
        <v>194</v>
      </c>
      <c r="M91" s="206">
        <v>219</v>
      </c>
      <c r="N91" s="206">
        <v>217</v>
      </c>
      <c r="O91" s="189"/>
      <c r="P91" s="206">
        <v>217</v>
      </c>
      <c r="Q91" s="189"/>
      <c r="R91" s="189"/>
      <c r="S91" s="207">
        <f t="shared" si="5"/>
        <v>200.18571428571428</v>
      </c>
      <c r="T91" s="208"/>
      <c r="U91" s="189"/>
      <c r="V91" s="189"/>
      <c r="W91" s="189"/>
      <c r="X91" s="189"/>
      <c r="Y91" s="189"/>
      <c r="Z91" s="189"/>
    </row>
    <row r="92" spans="1:26">
      <c r="A92" s="203">
        <v>2</v>
      </c>
      <c r="B92" s="203">
        <v>3</v>
      </c>
      <c r="C92" s="203">
        <v>17</v>
      </c>
      <c r="D92" s="203" t="s">
        <v>60</v>
      </c>
      <c r="E92" s="203" t="s">
        <v>61</v>
      </c>
      <c r="F92" s="203" t="s">
        <v>25</v>
      </c>
      <c r="G92" s="204">
        <v>50749</v>
      </c>
      <c r="H92" s="205">
        <v>29</v>
      </c>
      <c r="I92" s="206">
        <v>95</v>
      </c>
      <c r="J92" s="189"/>
      <c r="K92" s="189"/>
      <c r="L92" s="189"/>
      <c r="M92" s="189"/>
      <c r="N92" s="189"/>
      <c r="O92" s="189"/>
      <c r="P92" s="189"/>
      <c r="Q92" s="189"/>
      <c r="R92" s="189"/>
      <c r="S92" s="207">
        <f t="shared" si="5"/>
        <v>95</v>
      </c>
      <c r="T92" s="208"/>
      <c r="U92" s="189"/>
      <c r="V92" s="189"/>
      <c r="W92" s="189"/>
      <c r="X92" s="189"/>
      <c r="Y92" s="189"/>
      <c r="Z92" s="189"/>
    </row>
    <row r="93" spans="1:26">
      <c r="A93" s="203">
        <v>2</v>
      </c>
      <c r="B93" s="203">
        <v>3</v>
      </c>
      <c r="C93" s="203">
        <v>18</v>
      </c>
      <c r="D93" s="203" t="s">
        <v>112</v>
      </c>
      <c r="E93" s="203" t="s">
        <v>113</v>
      </c>
      <c r="F93" s="203" t="s">
        <v>25</v>
      </c>
      <c r="G93" s="204">
        <v>50758</v>
      </c>
      <c r="H93" s="205">
        <v>246</v>
      </c>
      <c r="I93" s="206">
        <v>63</v>
      </c>
      <c r="J93" s="206">
        <v>111</v>
      </c>
      <c r="K93" s="206">
        <v>136</v>
      </c>
      <c r="L93" s="206">
        <v>87</v>
      </c>
      <c r="M93" s="189"/>
      <c r="N93" s="206">
        <v>136.5</v>
      </c>
      <c r="O93" s="189"/>
      <c r="P93" s="189"/>
      <c r="Q93" s="206">
        <v>97</v>
      </c>
      <c r="R93" s="206">
        <v>71</v>
      </c>
      <c r="S93" s="207">
        <f t="shared" si="5"/>
        <v>100.21428571428571</v>
      </c>
      <c r="T93" s="192" t="s">
        <v>247</v>
      </c>
      <c r="U93" s="189"/>
      <c r="V93" s="189"/>
      <c r="W93" s="189"/>
      <c r="X93" s="189"/>
      <c r="Y93" s="189"/>
      <c r="Z93" s="189"/>
    </row>
    <row r="94" spans="1:26">
      <c r="A94" s="203">
        <v>2</v>
      </c>
      <c r="B94" s="203">
        <v>3</v>
      </c>
      <c r="C94" s="203">
        <v>18</v>
      </c>
      <c r="D94" s="203" t="s">
        <v>114</v>
      </c>
      <c r="E94" s="203" t="s">
        <v>115</v>
      </c>
      <c r="F94" s="203" t="s">
        <v>25</v>
      </c>
      <c r="G94" s="204">
        <v>50858</v>
      </c>
      <c r="H94" s="205">
        <v>98</v>
      </c>
      <c r="I94" s="206">
        <v>21</v>
      </c>
      <c r="J94" s="206">
        <v>15</v>
      </c>
      <c r="K94" s="206">
        <v>19</v>
      </c>
      <c r="L94" s="189"/>
      <c r="M94" s="189"/>
      <c r="N94" s="189"/>
      <c r="O94" s="189"/>
      <c r="P94" s="189"/>
      <c r="Q94" s="189"/>
      <c r="R94" s="189"/>
      <c r="S94" s="207">
        <f t="shared" si="5"/>
        <v>18.333333333333332</v>
      </c>
      <c r="T94" s="208"/>
      <c r="U94" s="189"/>
      <c r="V94" s="189"/>
      <c r="W94" s="189"/>
      <c r="X94" s="189"/>
      <c r="Y94" s="189"/>
      <c r="Z94" s="189"/>
    </row>
    <row r="95" spans="1:26">
      <c r="A95" s="203">
        <v>2</v>
      </c>
      <c r="B95" s="203">
        <v>3</v>
      </c>
      <c r="C95" s="203">
        <v>18</v>
      </c>
      <c r="D95" s="203" t="s">
        <v>112</v>
      </c>
      <c r="E95" s="203" t="s">
        <v>113</v>
      </c>
      <c r="F95" s="203" t="s">
        <v>25</v>
      </c>
      <c r="G95" s="204">
        <v>50812</v>
      </c>
      <c r="H95" s="205">
        <v>29</v>
      </c>
      <c r="I95" s="206">
        <v>32.5</v>
      </c>
      <c r="J95" s="189"/>
      <c r="K95" s="189"/>
      <c r="L95" s="189"/>
      <c r="M95" s="189"/>
      <c r="N95" s="189"/>
      <c r="O95" s="189"/>
      <c r="P95" s="189"/>
      <c r="Q95" s="189"/>
      <c r="R95" s="189"/>
      <c r="S95" s="207">
        <f t="shared" si="5"/>
        <v>32.5</v>
      </c>
      <c r="T95" s="208"/>
      <c r="U95" s="189"/>
      <c r="V95" s="189"/>
      <c r="W95" s="189"/>
      <c r="X95" s="189"/>
      <c r="Y95" s="189"/>
      <c r="Z95" s="189"/>
    </row>
    <row r="96" spans="1:26">
      <c r="A96" s="209">
        <v>2</v>
      </c>
      <c r="B96" s="209">
        <v>3</v>
      </c>
      <c r="C96" s="209">
        <v>18</v>
      </c>
      <c r="D96" s="209" t="s">
        <v>112</v>
      </c>
      <c r="E96" s="209" t="s">
        <v>113</v>
      </c>
      <c r="F96" s="209" t="s">
        <v>116</v>
      </c>
      <c r="G96" s="210">
        <v>50065</v>
      </c>
      <c r="H96" s="211">
        <v>10</v>
      </c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3"/>
      <c r="T96" s="214" t="s">
        <v>43</v>
      </c>
      <c r="U96" s="189"/>
      <c r="V96" s="189"/>
      <c r="W96" s="189"/>
      <c r="X96" s="189"/>
      <c r="Y96" s="189"/>
      <c r="Z96" s="189"/>
    </row>
    <row r="97" spans="1:26">
      <c r="A97" s="203">
        <v>2</v>
      </c>
      <c r="B97" s="203">
        <v>3</v>
      </c>
      <c r="C97" s="203">
        <v>18</v>
      </c>
      <c r="D97" s="203" t="s">
        <v>114</v>
      </c>
      <c r="E97" s="203" t="s">
        <v>115</v>
      </c>
      <c r="F97" s="203" t="s">
        <v>117</v>
      </c>
      <c r="G97" s="204">
        <v>50535</v>
      </c>
      <c r="H97" s="205">
        <v>24</v>
      </c>
      <c r="I97" s="206">
        <v>12</v>
      </c>
      <c r="J97" s="189"/>
      <c r="K97" s="189"/>
      <c r="L97" s="189"/>
      <c r="M97" s="189"/>
      <c r="N97" s="189"/>
      <c r="O97" s="189"/>
      <c r="P97" s="189"/>
      <c r="Q97" s="189"/>
      <c r="R97" s="189"/>
      <c r="S97" s="207">
        <f>AVERAGE(I97:R97)</f>
        <v>12</v>
      </c>
      <c r="T97" s="208"/>
      <c r="U97" s="189"/>
      <c r="V97" s="189"/>
      <c r="W97" s="189"/>
      <c r="X97" s="189"/>
      <c r="Y97" s="189"/>
      <c r="Z97" s="189"/>
    </row>
    <row r="98" spans="1:26">
      <c r="A98" s="203">
        <v>2</v>
      </c>
      <c r="B98" s="203">
        <v>3</v>
      </c>
      <c r="C98" s="203">
        <v>19</v>
      </c>
      <c r="D98" s="203" t="s">
        <v>32</v>
      </c>
      <c r="E98" s="203" t="s">
        <v>33</v>
      </c>
      <c r="F98" s="203" t="s">
        <v>34</v>
      </c>
      <c r="G98" s="204">
        <v>50563</v>
      </c>
      <c r="H98" s="205">
        <v>338</v>
      </c>
      <c r="I98" s="206">
        <v>123</v>
      </c>
      <c r="J98" s="206">
        <v>133</v>
      </c>
      <c r="K98" s="206">
        <v>221</v>
      </c>
      <c r="L98" s="206">
        <v>13.3</v>
      </c>
      <c r="M98" s="206">
        <v>64.5</v>
      </c>
      <c r="N98" s="206">
        <v>63</v>
      </c>
      <c r="O98" s="206">
        <v>72</v>
      </c>
      <c r="P98" s="206">
        <v>61</v>
      </c>
      <c r="Q98" s="206">
        <v>77</v>
      </c>
      <c r="R98" s="206">
        <v>121</v>
      </c>
      <c r="S98" s="207">
        <f>AVERAGE(I98:R98)</f>
        <v>94.88</v>
      </c>
      <c r="T98" s="208"/>
      <c r="U98" s="189"/>
      <c r="V98" s="189"/>
      <c r="W98" s="189"/>
      <c r="X98" s="189"/>
      <c r="Y98" s="189"/>
      <c r="Z98" s="189"/>
    </row>
    <row r="99" spans="1:26">
      <c r="A99" s="263">
        <v>2</v>
      </c>
      <c r="B99" s="263">
        <v>3</v>
      </c>
      <c r="C99" s="263">
        <v>19</v>
      </c>
      <c r="D99" s="263" t="s">
        <v>112</v>
      </c>
      <c r="E99" s="263" t="s">
        <v>113</v>
      </c>
      <c r="F99" s="263" t="s">
        <v>34</v>
      </c>
      <c r="G99" s="264">
        <v>50688</v>
      </c>
      <c r="H99" s="265">
        <v>113</v>
      </c>
      <c r="I99" s="264">
        <v>106</v>
      </c>
      <c r="J99" s="264">
        <v>96</v>
      </c>
      <c r="K99" s="264" t="s">
        <v>80</v>
      </c>
      <c r="L99" s="264">
        <v>120</v>
      </c>
      <c r="M99" s="264" t="s">
        <v>80</v>
      </c>
      <c r="N99" s="264" t="s">
        <v>80</v>
      </c>
      <c r="O99" s="264" t="s">
        <v>80</v>
      </c>
      <c r="P99" s="264">
        <v>157</v>
      </c>
      <c r="Q99" s="266"/>
      <c r="R99" s="266"/>
      <c r="S99" s="267">
        <f>AVERAGE(I99:R99)</f>
        <v>119.75</v>
      </c>
      <c r="T99" s="268" t="s">
        <v>118</v>
      </c>
      <c r="U99" s="189"/>
      <c r="V99" s="189"/>
      <c r="W99" s="189"/>
      <c r="X99" s="189"/>
      <c r="Y99" s="189"/>
      <c r="Z99" s="189"/>
    </row>
    <row r="100" spans="1:26">
      <c r="A100" s="206">
        <v>2</v>
      </c>
      <c r="B100" s="203">
        <v>3</v>
      </c>
      <c r="C100" s="203">
        <v>19</v>
      </c>
      <c r="D100" s="203" t="s">
        <v>112</v>
      </c>
      <c r="E100" s="203" t="s">
        <v>113</v>
      </c>
      <c r="F100" s="203" t="s">
        <v>68</v>
      </c>
      <c r="G100" s="204">
        <v>50146</v>
      </c>
      <c r="H100" s="205">
        <v>9</v>
      </c>
      <c r="I100" s="206">
        <v>84</v>
      </c>
      <c r="J100" s="189"/>
      <c r="K100" s="189"/>
      <c r="L100" s="189"/>
      <c r="M100" s="189"/>
      <c r="N100" s="189"/>
      <c r="O100" s="189"/>
      <c r="P100" s="189"/>
      <c r="Q100" s="189"/>
      <c r="R100" s="189"/>
      <c r="S100" s="207">
        <f>AVERAGE(I100:R100)</f>
        <v>84</v>
      </c>
      <c r="T100" s="208"/>
      <c r="U100" s="189"/>
      <c r="V100" s="189"/>
      <c r="W100" s="189"/>
      <c r="X100" s="189"/>
      <c r="Y100" s="189"/>
      <c r="Z100" s="189"/>
    </row>
    <row r="101" spans="1:26">
      <c r="A101" s="263">
        <v>2</v>
      </c>
      <c r="B101" s="263">
        <v>3</v>
      </c>
      <c r="C101" s="263">
        <v>19</v>
      </c>
      <c r="D101" s="263" t="s">
        <v>112</v>
      </c>
      <c r="E101" s="263" t="s">
        <v>113</v>
      </c>
      <c r="F101" s="263" t="s">
        <v>25</v>
      </c>
      <c r="G101" s="264">
        <v>50758</v>
      </c>
      <c r="H101" s="265">
        <v>133</v>
      </c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7"/>
      <c r="T101" s="268" t="s">
        <v>119</v>
      </c>
      <c r="U101" s="189"/>
      <c r="V101" s="189"/>
      <c r="W101" s="189"/>
      <c r="X101" s="189"/>
      <c r="Y101" s="189"/>
      <c r="Z101" s="189"/>
    </row>
    <row r="102" spans="1:26">
      <c r="A102" s="203">
        <v>2</v>
      </c>
      <c r="B102" s="203">
        <v>3</v>
      </c>
      <c r="C102" s="203">
        <v>21</v>
      </c>
      <c r="D102" s="203" t="s">
        <v>120</v>
      </c>
      <c r="E102" s="203" t="s">
        <v>121</v>
      </c>
      <c r="F102" s="203" t="s">
        <v>25</v>
      </c>
      <c r="G102" s="204">
        <v>50745</v>
      </c>
      <c r="H102" s="205">
        <v>131</v>
      </c>
      <c r="I102" s="206">
        <v>69</v>
      </c>
      <c r="J102" s="206">
        <v>82</v>
      </c>
      <c r="K102" s="206">
        <v>136</v>
      </c>
      <c r="L102" s="206">
        <v>144</v>
      </c>
      <c r="M102" s="206">
        <v>127</v>
      </c>
      <c r="N102" s="206" t="s">
        <v>80</v>
      </c>
      <c r="O102" s="189"/>
      <c r="P102" s="189"/>
      <c r="Q102" s="189"/>
      <c r="R102" s="189"/>
      <c r="S102" s="207">
        <f t="shared" ref="S102:S110" si="6">AVERAGE(I102:R102)</f>
        <v>111.6</v>
      </c>
      <c r="T102" s="208"/>
      <c r="U102" s="189"/>
      <c r="V102" s="189"/>
      <c r="W102" s="189"/>
      <c r="X102" s="189"/>
      <c r="Y102" s="189"/>
      <c r="Z102" s="189"/>
    </row>
    <row r="103" spans="1:26">
      <c r="A103" s="203">
        <v>2</v>
      </c>
      <c r="B103" s="203">
        <v>3</v>
      </c>
      <c r="C103" s="203">
        <v>21</v>
      </c>
      <c r="D103" s="203" t="s">
        <v>120</v>
      </c>
      <c r="E103" s="203" t="s">
        <v>121</v>
      </c>
      <c r="F103" s="203" t="s">
        <v>31</v>
      </c>
      <c r="G103" s="204">
        <v>50718</v>
      </c>
      <c r="H103" s="205">
        <v>168</v>
      </c>
      <c r="I103" s="206">
        <v>10</v>
      </c>
      <c r="J103" s="206">
        <v>94</v>
      </c>
      <c r="K103" s="206">
        <v>102</v>
      </c>
      <c r="L103" s="206">
        <v>87</v>
      </c>
      <c r="M103" s="206" t="s">
        <v>80</v>
      </c>
      <c r="N103" s="206" t="s">
        <v>80</v>
      </c>
      <c r="O103" s="206">
        <v>80</v>
      </c>
      <c r="P103" s="206" t="s">
        <v>80</v>
      </c>
      <c r="Q103" s="189"/>
      <c r="R103" s="189"/>
      <c r="S103" s="207">
        <f t="shared" si="6"/>
        <v>74.599999999999994</v>
      </c>
      <c r="T103" s="208"/>
      <c r="U103" s="189"/>
      <c r="V103" s="189"/>
      <c r="W103" s="189"/>
      <c r="X103" s="189"/>
      <c r="Y103" s="189"/>
      <c r="Z103" s="189"/>
    </row>
    <row r="104" spans="1:26">
      <c r="A104" s="203">
        <v>2</v>
      </c>
      <c r="B104" s="203">
        <v>3</v>
      </c>
      <c r="C104" s="203">
        <v>21</v>
      </c>
      <c r="D104" s="203" t="s">
        <v>120</v>
      </c>
      <c r="E104" s="203" t="s">
        <v>121</v>
      </c>
      <c r="F104" s="203" t="s">
        <v>25</v>
      </c>
      <c r="G104" s="204">
        <v>50681</v>
      </c>
      <c r="H104" s="205">
        <v>9</v>
      </c>
      <c r="I104" s="206">
        <v>83</v>
      </c>
      <c r="J104" s="189"/>
      <c r="K104" s="189"/>
      <c r="L104" s="189"/>
      <c r="M104" s="189"/>
      <c r="N104" s="189"/>
      <c r="O104" s="189"/>
      <c r="P104" s="189"/>
      <c r="Q104" s="189"/>
      <c r="R104" s="189"/>
      <c r="S104" s="207">
        <f t="shared" si="6"/>
        <v>83</v>
      </c>
      <c r="T104" s="208"/>
      <c r="U104" s="189"/>
      <c r="V104" s="189"/>
      <c r="W104" s="189"/>
      <c r="X104" s="189"/>
      <c r="Y104" s="189"/>
      <c r="Z104" s="189"/>
    </row>
    <row r="105" spans="1:26">
      <c r="A105" s="203">
        <v>2</v>
      </c>
      <c r="B105" s="203">
        <v>3</v>
      </c>
      <c r="C105" s="203">
        <v>22</v>
      </c>
      <c r="D105" s="203" t="s">
        <v>122</v>
      </c>
      <c r="E105" s="203" t="s">
        <v>123</v>
      </c>
      <c r="F105" s="203" t="s">
        <v>34</v>
      </c>
      <c r="G105" s="204">
        <v>50732</v>
      </c>
      <c r="H105" s="205">
        <v>274</v>
      </c>
      <c r="I105" s="206">
        <v>100</v>
      </c>
      <c r="J105" s="206">
        <v>99</v>
      </c>
      <c r="K105" s="206">
        <v>114.5</v>
      </c>
      <c r="L105" s="206">
        <v>100</v>
      </c>
      <c r="M105" s="206">
        <v>156.5</v>
      </c>
      <c r="N105" s="206">
        <v>133</v>
      </c>
      <c r="O105" s="206">
        <v>164</v>
      </c>
      <c r="P105" s="206">
        <v>141</v>
      </c>
      <c r="Q105" s="206">
        <v>120</v>
      </c>
      <c r="R105" s="206">
        <v>120</v>
      </c>
      <c r="S105" s="207">
        <f t="shared" si="6"/>
        <v>124.8</v>
      </c>
      <c r="T105" s="208"/>
      <c r="U105" s="189"/>
      <c r="V105" s="189"/>
      <c r="W105" s="189"/>
      <c r="X105" s="189"/>
      <c r="Y105" s="189"/>
      <c r="Z105" s="189"/>
    </row>
    <row r="106" spans="1:26">
      <c r="A106" s="203">
        <v>2</v>
      </c>
      <c r="B106" s="203">
        <v>3</v>
      </c>
      <c r="C106" s="203">
        <v>22</v>
      </c>
      <c r="D106" s="203" t="s">
        <v>122</v>
      </c>
      <c r="E106" s="203" t="s">
        <v>123</v>
      </c>
      <c r="F106" s="203" t="s">
        <v>34</v>
      </c>
      <c r="G106" s="204">
        <v>50545</v>
      </c>
      <c r="H106" s="205">
        <v>13</v>
      </c>
      <c r="I106" s="206">
        <v>113</v>
      </c>
      <c r="J106" s="206">
        <v>73</v>
      </c>
      <c r="K106" s="206">
        <v>53</v>
      </c>
      <c r="L106" s="206">
        <v>78</v>
      </c>
      <c r="M106" s="206">
        <v>85</v>
      </c>
      <c r="N106" s="189"/>
      <c r="O106" s="189"/>
      <c r="P106" s="189"/>
      <c r="Q106" s="189"/>
      <c r="R106" s="189"/>
      <c r="S106" s="207">
        <f t="shared" si="6"/>
        <v>80.400000000000006</v>
      </c>
      <c r="T106" s="208"/>
      <c r="U106" s="189"/>
      <c r="V106" s="189"/>
      <c r="W106" s="189"/>
      <c r="X106" s="189"/>
      <c r="Y106" s="189"/>
      <c r="Z106" s="189"/>
    </row>
    <row r="107" spans="1:26">
      <c r="A107" s="203">
        <v>2</v>
      </c>
      <c r="B107" s="203">
        <v>3</v>
      </c>
      <c r="C107" s="203">
        <v>22</v>
      </c>
      <c r="D107" s="203" t="s">
        <v>122</v>
      </c>
      <c r="E107" s="203" t="s">
        <v>123</v>
      </c>
      <c r="F107" s="203" t="s">
        <v>25</v>
      </c>
      <c r="G107" s="204">
        <v>50833</v>
      </c>
      <c r="H107" s="205">
        <v>204</v>
      </c>
      <c r="I107" s="206">
        <v>33</v>
      </c>
      <c r="J107" s="206">
        <v>56</v>
      </c>
      <c r="K107" s="206">
        <v>72</v>
      </c>
      <c r="L107" s="206">
        <v>63</v>
      </c>
      <c r="M107" s="206">
        <v>132</v>
      </c>
      <c r="N107" s="206">
        <v>89</v>
      </c>
      <c r="O107" s="206">
        <v>84</v>
      </c>
      <c r="P107" s="206">
        <v>90</v>
      </c>
      <c r="Q107" s="189"/>
      <c r="R107" s="189"/>
      <c r="S107" s="207">
        <f t="shared" si="6"/>
        <v>77.375</v>
      </c>
      <c r="T107" s="208"/>
      <c r="U107" s="189"/>
      <c r="V107" s="189"/>
      <c r="W107" s="189"/>
      <c r="X107" s="189"/>
      <c r="Y107" s="189"/>
      <c r="Z107" s="189"/>
    </row>
    <row r="108" spans="1:26">
      <c r="A108" s="203">
        <v>2</v>
      </c>
      <c r="B108" s="203">
        <v>3</v>
      </c>
      <c r="C108" s="203">
        <v>22</v>
      </c>
      <c r="D108" s="203" t="s">
        <v>122</v>
      </c>
      <c r="E108" s="203" t="s">
        <v>123</v>
      </c>
      <c r="F108" s="203" t="s">
        <v>25</v>
      </c>
      <c r="G108" s="204">
        <v>50725</v>
      </c>
      <c r="H108" s="205">
        <v>62</v>
      </c>
      <c r="I108" s="206">
        <v>166</v>
      </c>
      <c r="J108" s="206">
        <v>156.9</v>
      </c>
      <c r="K108" s="206">
        <v>195</v>
      </c>
      <c r="L108" s="189"/>
      <c r="M108" s="189"/>
      <c r="N108" s="189"/>
      <c r="O108" s="189"/>
      <c r="P108" s="189"/>
      <c r="Q108" s="189"/>
      <c r="R108" s="189"/>
      <c r="S108" s="207">
        <f t="shared" si="6"/>
        <v>172.63333333333333</v>
      </c>
      <c r="T108" s="208"/>
      <c r="U108" s="189"/>
      <c r="V108" s="189"/>
      <c r="W108" s="189"/>
      <c r="X108" s="189"/>
      <c r="Y108" s="189"/>
      <c r="Z108" s="189"/>
    </row>
    <row r="109" spans="1:26">
      <c r="A109" s="203">
        <v>2</v>
      </c>
      <c r="B109" s="203">
        <v>4</v>
      </c>
      <c r="C109" s="203">
        <v>2</v>
      </c>
      <c r="D109" s="203" t="s">
        <v>124</v>
      </c>
      <c r="E109" s="203" t="s">
        <v>125</v>
      </c>
      <c r="F109" s="203" t="s">
        <v>31</v>
      </c>
      <c r="G109" s="204">
        <v>50761</v>
      </c>
      <c r="H109" s="205">
        <v>250</v>
      </c>
      <c r="I109" s="206">
        <v>81</v>
      </c>
      <c r="J109" s="206">
        <v>50</v>
      </c>
      <c r="K109" s="206">
        <v>77</v>
      </c>
      <c r="L109" s="206" t="s">
        <v>80</v>
      </c>
      <c r="M109" s="206">
        <v>50</v>
      </c>
      <c r="N109" s="206">
        <v>56.5</v>
      </c>
      <c r="O109" s="206">
        <v>40</v>
      </c>
      <c r="P109" s="206">
        <v>46</v>
      </c>
      <c r="Q109" s="206">
        <v>44.5</v>
      </c>
      <c r="R109" s="206">
        <v>24.5</v>
      </c>
      <c r="S109" s="207">
        <f t="shared" si="6"/>
        <v>52.166666666666664</v>
      </c>
      <c r="T109" s="192" t="s">
        <v>247</v>
      </c>
      <c r="U109" s="189"/>
      <c r="V109" s="189"/>
      <c r="W109" s="189"/>
      <c r="X109" s="189"/>
      <c r="Y109" s="189"/>
      <c r="Z109" s="189"/>
    </row>
    <row r="110" spans="1:26">
      <c r="A110" s="203">
        <v>2</v>
      </c>
      <c r="B110" s="203">
        <v>4</v>
      </c>
      <c r="C110" s="203">
        <v>2</v>
      </c>
      <c r="D110" s="203" t="s">
        <v>124</v>
      </c>
      <c r="E110" s="203" t="s">
        <v>125</v>
      </c>
      <c r="F110" s="203" t="s">
        <v>25</v>
      </c>
      <c r="G110" s="204">
        <v>50113</v>
      </c>
      <c r="H110" s="205">
        <v>172</v>
      </c>
      <c r="I110" s="206">
        <v>61</v>
      </c>
      <c r="J110" s="206">
        <v>89</v>
      </c>
      <c r="K110" s="206">
        <v>62</v>
      </c>
      <c r="L110" s="206">
        <v>75</v>
      </c>
      <c r="M110" s="206">
        <v>52</v>
      </c>
      <c r="N110" s="206">
        <v>64</v>
      </c>
      <c r="O110" s="206">
        <v>57</v>
      </c>
      <c r="P110" s="206">
        <v>33</v>
      </c>
      <c r="Q110" s="189"/>
      <c r="R110" s="189"/>
      <c r="S110" s="207">
        <f t="shared" si="6"/>
        <v>61.625</v>
      </c>
      <c r="T110" s="208"/>
      <c r="U110" s="189"/>
      <c r="V110" s="189"/>
      <c r="W110" s="189"/>
      <c r="X110" s="189"/>
      <c r="Y110" s="189"/>
      <c r="Z110" s="189"/>
    </row>
    <row r="111" spans="1:26">
      <c r="A111" s="209">
        <v>2</v>
      </c>
      <c r="B111" s="209">
        <v>4</v>
      </c>
      <c r="C111" s="209">
        <v>2</v>
      </c>
      <c r="D111" s="209" t="s">
        <v>124</v>
      </c>
      <c r="E111" s="209" t="s">
        <v>125</v>
      </c>
      <c r="F111" s="209" t="s">
        <v>25</v>
      </c>
      <c r="G111" s="210">
        <v>50659</v>
      </c>
      <c r="H111" s="211">
        <v>63</v>
      </c>
      <c r="I111" s="212"/>
      <c r="J111" s="212"/>
      <c r="K111" s="212"/>
      <c r="L111" s="212"/>
      <c r="M111" s="212"/>
      <c r="N111" s="212"/>
      <c r="O111" s="212"/>
      <c r="P111" s="212"/>
      <c r="Q111" s="212"/>
      <c r="R111" s="212"/>
      <c r="S111" s="213"/>
      <c r="T111" s="214" t="s">
        <v>43</v>
      </c>
      <c r="U111" s="189"/>
      <c r="V111" s="189"/>
      <c r="W111" s="189"/>
      <c r="X111" s="189"/>
      <c r="Y111" s="189"/>
      <c r="Z111" s="189"/>
    </row>
    <row r="112" spans="1:26">
      <c r="A112" s="273">
        <v>2</v>
      </c>
      <c r="B112" s="273">
        <v>4</v>
      </c>
      <c r="C112" s="273">
        <v>2</v>
      </c>
      <c r="D112" s="273" t="s">
        <v>126</v>
      </c>
      <c r="E112" s="273" t="s">
        <v>127</v>
      </c>
      <c r="F112" s="273" t="s">
        <v>25</v>
      </c>
      <c r="G112" s="274">
        <v>50767</v>
      </c>
      <c r="H112" s="275">
        <v>145</v>
      </c>
      <c r="I112" s="274">
        <v>43.5</v>
      </c>
      <c r="J112" s="276"/>
      <c r="K112" s="276"/>
      <c r="L112" s="276"/>
      <c r="M112" s="276"/>
      <c r="N112" s="276"/>
      <c r="O112" s="276"/>
      <c r="P112" s="276"/>
      <c r="Q112" s="276"/>
      <c r="R112" s="276"/>
      <c r="S112" s="278">
        <f t="shared" ref="S112:S120" si="7">AVERAGE(I112:R112)</f>
        <v>43.5</v>
      </c>
      <c r="T112" s="280" t="s">
        <v>128</v>
      </c>
      <c r="U112" s="189"/>
      <c r="V112" s="189"/>
      <c r="W112" s="189"/>
      <c r="X112" s="189"/>
      <c r="Y112" s="189"/>
      <c r="Z112" s="189"/>
    </row>
    <row r="113" spans="1:26">
      <c r="A113" s="203">
        <v>2</v>
      </c>
      <c r="B113" s="203">
        <v>4</v>
      </c>
      <c r="C113" s="203">
        <v>3</v>
      </c>
      <c r="D113" s="203" t="s">
        <v>60</v>
      </c>
      <c r="E113" s="203" t="s">
        <v>61</v>
      </c>
      <c r="F113" s="203" t="s">
        <v>31</v>
      </c>
      <c r="G113" s="204">
        <v>50810</v>
      </c>
      <c r="H113" s="205">
        <v>482</v>
      </c>
      <c r="I113" s="206">
        <v>162</v>
      </c>
      <c r="J113" s="206">
        <v>146</v>
      </c>
      <c r="K113" s="206">
        <v>148</v>
      </c>
      <c r="L113" s="206">
        <v>194</v>
      </c>
      <c r="M113" s="206">
        <v>186</v>
      </c>
      <c r="N113" s="206">
        <v>169</v>
      </c>
      <c r="O113" s="206">
        <v>150</v>
      </c>
      <c r="P113" s="206">
        <v>200</v>
      </c>
      <c r="Q113" s="206">
        <v>181</v>
      </c>
      <c r="R113" s="206" t="s">
        <v>80</v>
      </c>
      <c r="S113" s="207">
        <f t="shared" si="7"/>
        <v>170.66666666666666</v>
      </c>
      <c r="T113" s="192" t="s">
        <v>247</v>
      </c>
      <c r="U113" s="189"/>
      <c r="V113" s="189"/>
      <c r="W113" s="189"/>
      <c r="X113" s="189"/>
      <c r="Y113" s="189"/>
      <c r="Z113" s="189"/>
    </row>
    <row r="114" spans="1:26">
      <c r="A114" s="203">
        <v>2</v>
      </c>
      <c r="B114" s="203">
        <v>4</v>
      </c>
      <c r="C114" s="203">
        <v>4</v>
      </c>
      <c r="D114" s="203" t="s">
        <v>129</v>
      </c>
      <c r="E114" s="203" t="s">
        <v>130</v>
      </c>
      <c r="F114" s="203" t="s">
        <v>31</v>
      </c>
      <c r="G114" s="204">
        <v>50827</v>
      </c>
      <c r="H114" s="205">
        <v>654</v>
      </c>
      <c r="I114" s="206" t="s">
        <v>80</v>
      </c>
      <c r="J114" s="206" t="s">
        <v>80</v>
      </c>
      <c r="K114" s="206">
        <v>26</v>
      </c>
      <c r="L114" s="206">
        <v>19</v>
      </c>
      <c r="M114" s="206">
        <v>35</v>
      </c>
      <c r="N114" s="206">
        <v>35</v>
      </c>
      <c r="O114" s="177">
        <v>30</v>
      </c>
      <c r="P114" s="206">
        <v>38</v>
      </c>
      <c r="Q114" s="206">
        <v>39.5</v>
      </c>
      <c r="R114" s="206">
        <v>64.5</v>
      </c>
      <c r="S114" s="207">
        <f t="shared" si="7"/>
        <v>35.875</v>
      </c>
      <c r="T114" s="192" t="s">
        <v>247</v>
      </c>
      <c r="U114" s="189"/>
      <c r="V114" s="189"/>
      <c r="W114" s="189"/>
      <c r="X114" s="189"/>
      <c r="Y114" s="189"/>
      <c r="Z114" s="189"/>
    </row>
    <row r="115" spans="1:26">
      <c r="A115" s="177">
        <v>2</v>
      </c>
      <c r="B115" s="177">
        <v>4</v>
      </c>
      <c r="C115" s="177">
        <v>4</v>
      </c>
      <c r="D115" s="177" t="s">
        <v>60</v>
      </c>
      <c r="E115" s="177" t="s">
        <v>61</v>
      </c>
      <c r="F115" s="177" t="s">
        <v>31</v>
      </c>
      <c r="G115" s="206">
        <v>50860</v>
      </c>
      <c r="H115" s="282">
        <v>214</v>
      </c>
      <c r="I115" s="206">
        <v>98</v>
      </c>
      <c r="J115" s="206">
        <v>116</v>
      </c>
      <c r="K115" s="206">
        <v>95</v>
      </c>
      <c r="L115" s="206">
        <v>91</v>
      </c>
      <c r="M115" s="206">
        <v>99</v>
      </c>
      <c r="N115" s="206">
        <v>85.5</v>
      </c>
      <c r="O115" s="206" t="s">
        <v>80</v>
      </c>
      <c r="P115" s="206">
        <v>73</v>
      </c>
      <c r="Q115" s="206">
        <v>73</v>
      </c>
      <c r="R115" s="189"/>
      <c r="S115" s="207">
        <f t="shared" si="7"/>
        <v>91.3125</v>
      </c>
      <c r="T115" s="192" t="s">
        <v>247</v>
      </c>
      <c r="U115" s="189"/>
      <c r="V115" s="189"/>
      <c r="W115" s="189"/>
      <c r="X115" s="189"/>
      <c r="Y115" s="189"/>
      <c r="Z115" s="189"/>
    </row>
    <row r="116" spans="1:26">
      <c r="A116" s="203">
        <v>2</v>
      </c>
      <c r="B116" s="203">
        <v>4</v>
      </c>
      <c r="C116" s="203">
        <v>5</v>
      </c>
      <c r="D116" s="203" t="s">
        <v>56</v>
      </c>
      <c r="E116" s="203" t="s">
        <v>57</v>
      </c>
      <c r="F116" s="203" t="s">
        <v>31</v>
      </c>
      <c r="G116" s="204">
        <v>50712</v>
      </c>
      <c r="H116" s="205">
        <v>621</v>
      </c>
      <c r="I116" s="206">
        <v>105</v>
      </c>
      <c r="J116" s="206">
        <v>89</v>
      </c>
      <c r="K116" s="206">
        <v>123.5</v>
      </c>
      <c r="L116" s="206">
        <v>103.5</v>
      </c>
      <c r="M116" s="206">
        <v>120</v>
      </c>
      <c r="N116" s="206">
        <v>122.5</v>
      </c>
      <c r="O116" s="206">
        <v>140</v>
      </c>
      <c r="P116" s="206">
        <v>104</v>
      </c>
      <c r="Q116" s="206">
        <v>177.5</v>
      </c>
      <c r="R116" s="206">
        <v>132</v>
      </c>
      <c r="S116" s="207">
        <f t="shared" si="7"/>
        <v>121.7</v>
      </c>
      <c r="T116" s="208"/>
      <c r="U116" s="189"/>
      <c r="V116" s="189"/>
      <c r="W116" s="189"/>
      <c r="X116" s="189"/>
      <c r="Y116" s="189"/>
      <c r="Z116" s="189"/>
    </row>
    <row r="117" spans="1:26">
      <c r="A117" s="203">
        <v>2</v>
      </c>
      <c r="B117" s="203">
        <v>4</v>
      </c>
      <c r="C117" s="203">
        <v>6</v>
      </c>
      <c r="D117" s="203" t="s">
        <v>132</v>
      </c>
      <c r="E117" s="203" t="s">
        <v>133</v>
      </c>
      <c r="F117" s="203" t="s">
        <v>109</v>
      </c>
      <c r="G117" s="204">
        <v>50716</v>
      </c>
      <c r="H117" s="205">
        <v>82</v>
      </c>
      <c r="I117" s="206">
        <v>6</v>
      </c>
      <c r="J117" s="206">
        <v>9.9</v>
      </c>
      <c r="K117" s="206">
        <v>7</v>
      </c>
      <c r="L117" s="189"/>
      <c r="M117" s="189"/>
      <c r="N117" s="189"/>
      <c r="O117" s="189"/>
      <c r="P117" s="189"/>
      <c r="Q117" s="189"/>
      <c r="R117" s="189"/>
      <c r="S117" s="207">
        <f t="shared" si="7"/>
        <v>7.6333333333333329</v>
      </c>
      <c r="T117" s="208"/>
      <c r="U117" s="189"/>
      <c r="V117" s="189"/>
      <c r="W117" s="189"/>
      <c r="X117" s="189"/>
      <c r="Y117" s="189"/>
      <c r="Z117" s="189"/>
    </row>
    <row r="118" spans="1:26">
      <c r="A118" s="215">
        <v>2</v>
      </c>
      <c r="B118" s="215">
        <v>4</v>
      </c>
      <c r="C118" s="215">
        <v>6</v>
      </c>
      <c r="D118" s="215" t="s">
        <v>132</v>
      </c>
      <c r="E118" s="215" t="s">
        <v>133</v>
      </c>
      <c r="F118" s="215" t="s">
        <v>109</v>
      </c>
      <c r="G118" s="216">
        <v>50789</v>
      </c>
      <c r="H118" s="217">
        <v>327</v>
      </c>
      <c r="I118" s="216">
        <v>48</v>
      </c>
      <c r="J118" s="216">
        <v>54</v>
      </c>
      <c r="K118" s="216">
        <v>46</v>
      </c>
      <c r="L118" s="216">
        <v>37</v>
      </c>
      <c r="M118" s="216">
        <v>36</v>
      </c>
      <c r="N118" s="216">
        <v>35</v>
      </c>
      <c r="O118" s="216">
        <v>32</v>
      </c>
      <c r="P118" s="216">
        <v>37</v>
      </c>
      <c r="Q118" s="216">
        <v>28</v>
      </c>
      <c r="R118" s="216">
        <v>3</v>
      </c>
      <c r="S118" s="225">
        <f t="shared" si="7"/>
        <v>35.6</v>
      </c>
      <c r="T118" s="220" t="s">
        <v>248</v>
      </c>
      <c r="U118" s="189"/>
      <c r="V118" s="189"/>
      <c r="W118" s="189"/>
      <c r="X118" s="189"/>
      <c r="Y118" s="189"/>
      <c r="Z118" s="189"/>
    </row>
    <row r="119" spans="1:26">
      <c r="A119" s="203">
        <v>2</v>
      </c>
      <c r="B119" s="203">
        <v>4</v>
      </c>
      <c r="C119" s="203">
        <v>6</v>
      </c>
      <c r="D119" s="203" t="s">
        <v>132</v>
      </c>
      <c r="E119" s="203" t="s">
        <v>133</v>
      </c>
      <c r="F119" s="203" t="s">
        <v>34</v>
      </c>
      <c r="G119" s="204">
        <v>50710</v>
      </c>
      <c r="H119" s="205">
        <v>15</v>
      </c>
      <c r="I119" s="206">
        <v>49.5</v>
      </c>
      <c r="J119" s="206" t="s">
        <v>80</v>
      </c>
      <c r="K119" s="206">
        <v>22</v>
      </c>
      <c r="L119" s="189"/>
      <c r="M119" s="189"/>
      <c r="N119" s="189"/>
      <c r="O119" s="189"/>
      <c r="P119" s="189"/>
      <c r="Q119" s="189"/>
      <c r="R119" s="189"/>
      <c r="S119" s="207">
        <f t="shared" si="7"/>
        <v>35.75</v>
      </c>
      <c r="T119" s="192" t="s">
        <v>247</v>
      </c>
      <c r="U119" s="189"/>
      <c r="V119" s="189"/>
      <c r="W119" s="189"/>
      <c r="X119" s="189"/>
      <c r="Y119" s="189"/>
      <c r="Z119" s="189"/>
    </row>
    <row r="120" spans="1:26">
      <c r="A120" s="203">
        <v>2</v>
      </c>
      <c r="B120" s="203">
        <v>4</v>
      </c>
      <c r="C120" s="203">
        <v>7</v>
      </c>
      <c r="D120" s="203" t="s">
        <v>134</v>
      </c>
      <c r="E120" s="203" t="s">
        <v>135</v>
      </c>
      <c r="F120" s="203" t="s">
        <v>25</v>
      </c>
      <c r="G120" s="204">
        <v>50268</v>
      </c>
      <c r="H120" s="205">
        <v>411</v>
      </c>
      <c r="I120" s="206">
        <v>16</v>
      </c>
      <c r="J120" s="206">
        <v>18.5</v>
      </c>
      <c r="K120" s="206">
        <v>50</v>
      </c>
      <c r="L120" s="206" t="s">
        <v>80</v>
      </c>
      <c r="M120" s="206">
        <v>41</v>
      </c>
      <c r="N120" s="206">
        <v>21</v>
      </c>
      <c r="O120" s="206">
        <v>39</v>
      </c>
      <c r="P120" s="206">
        <v>41</v>
      </c>
      <c r="Q120" s="206">
        <v>36.5</v>
      </c>
      <c r="R120" s="206">
        <v>24</v>
      </c>
      <c r="S120" s="207">
        <f t="shared" si="7"/>
        <v>31.888888888888889</v>
      </c>
      <c r="T120" s="192" t="s">
        <v>247</v>
      </c>
      <c r="U120" s="189"/>
      <c r="V120" s="189"/>
      <c r="W120" s="189"/>
      <c r="X120" s="189"/>
      <c r="Y120" s="189"/>
      <c r="Z120" s="189"/>
    </row>
    <row r="121" spans="1:26">
      <c r="A121" s="215">
        <v>2</v>
      </c>
      <c r="B121" s="215">
        <v>4</v>
      </c>
      <c r="C121" s="215">
        <v>7</v>
      </c>
      <c r="D121" s="215" t="s">
        <v>134</v>
      </c>
      <c r="E121" s="215" t="s">
        <v>135</v>
      </c>
      <c r="F121" s="215" t="s">
        <v>68</v>
      </c>
      <c r="G121" s="216">
        <v>50169</v>
      </c>
      <c r="H121" s="217">
        <v>10</v>
      </c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5"/>
      <c r="T121" s="220" t="s">
        <v>55</v>
      </c>
      <c r="U121" s="189"/>
      <c r="V121" s="189"/>
      <c r="W121" s="189"/>
      <c r="X121" s="189"/>
      <c r="Y121" s="189"/>
      <c r="Z121" s="189"/>
    </row>
    <row r="122" spans="1:26">
      <c r="A122" s="203">
        <v>2</v>
      </c>
      <c r="B122" s="203">
        <v>4</v>
      </c>
      <c r="C122" s="203">
        <v>9</v>
      </c>
      <c r="D122" s="203" t="s">
        <v>136</v>
      </c>
      <c r="E122" s="203" t="s">
        <v>137</v>
      </c>
      <c r="F122" s="203" t="s">
        <v>68</v>
      </c>
      <c r="G122" s="204">
        <v>50830</v>
      </c>
      <c r="H122" s="205">
        <v>329</v>
      </c>
      <c r="I122" s="206">
        <v>137.5</v>
      </c>
      <c r="J122" s="206" t="s">
        <v>80</v>
      </c>
      <c r="K122" s="206">
        <v>151.5</v>
      </c>
      <c r="L122" s="206">
        <v>146.5</v>
      </c>
      <c r="M122" s="206">
        <v>153.5</v>
      </c>
      <c r="N122" s="206">
        <v>149</v>
      </c>
      <c r="O122" s="206">
        <v>174.5</v>
      </c>
      <c r="P122" s="206">
        <v>160.5</v>
      </c>
      <c r="Q122" s="206">
        <v>154</v>
      </c>
      <c r="R122" s="206">
        <v>156.5</v>
      </c>
      <c r="S122" s="207">
        <f t="shared" ref="S122:S128" si="8">AVERAGE(I122:R122)</f>
        <v>153.72222222222223</v>
      </c>
      <c r="T122" s="208"/>
      <c r="U122" s="189"/>
      <c r="V122" s="189"/>
      <c r="W122" s="189"/>
      <c r="X122" s="189"/>
      <c r="Y122" s="189"/>
      <c r="Z122" s="189"/>
    </row>
    <row r="123" spans="1:26">
      <c r="A123" s="203">
        <v>2</v>
      </c>
      <c r="B123" s="203">
        <v>4</v>
      </c>
      <c r="C123" s="203">
        <v>9</v>
      </c>
      <c r="D123" s="203" t="s">
        <v>136</v>
      </c>
      <c r="E123" s="203" t="s">
        <v>137</v>
      </c>
      <c r="F123" s="203" t="s">
        <v>25</v>
      </c>
      <c r="G123" s="204">
        <v>50757</v>
      </c>
      <c r="H123" s="205">
        <v>10</v>
      </c>
      <c r="I123" s="206">
        <v>41</v>
      </c>
      <c r="J123" s="189"/>
      <c r="K123" s="189"/>
      <c r="L123" s="189"/>
      <c r="M123" s="189"/>
      <c r="N123" s="189"/>
      <c r="O123" s="189"/>
      <c r="P123" s="189"/>
      <c r="Q123" s="189"/>
      <c r="R123" s="189"/>
      <c r="S123" s="207">
        <f t="shared" si="8"/>
        <v>41</v>
      </c>
      <c r="T123" s="208"/>
      <c r="U123" s="189"/>
      <c r="V123" s="189"/>
      <c r="W123" s="189"/>
      <c r="X123" s="189"/>
      <c r="Y123" s="189"/>
      <c r="Z123" s="189"/>
    </row>
    <row r="124" spans="1:26">
      <c r="A124" s="203">
        <v>2</v>
      </c>
      <c r="B124" s="203">
        <v>4</v>
      </c>
      <c r="C124" s="203">
        <v>10</v>
      </c>
      <c r="D124" s="203" t="s">
        <v>138</v>
      </c>
      <c r="E124" s="203" t="s">
        <v>139</v>
      </c>
      <c r="F124" s="203" t="s">
        <v>68</v>
      </c>
      <c r="G124" s="204">
        <v>50828</v>
      </c>
      <c r="H124" s="205">
        <v>954</v>
      </c>
      <c r="I124" s="206" t="s">
        <v>80</v>
      </c>
      <c r="J124" s="206">
        <v>51</v>
      </c>
      <c r="K124" s="206">
        <v>56</v>
      </c>
      <c r="L124" s="206">
        <v>55.5</v>
      </c>
      <c r="M124" s="206">
        <v>93</v>
      </c>
      <c r="N124" s="206">
        <v>120</v>
      </c>
      <c r="O124" s="206">
        <v>118</v>
      </c>
      <c r="P124" s="206">
        <v>66</v>
      </c>
      <c r="Q124" s="206">
        <v>97</v>
      </c>
      <c r="R124" s="206">
        <v>72</v>
      </c>
      <c r="S124" s="207">
        <f t="shared" si="8"/>
        <v>80.944444444444443</v>
      </c>
      <c r="T124" s="208"/>
      <c r="U124" s="189"/>
      <c r="V124" s="189"/>
      <c r="W124" s="189"/>
      <c r="X124" s="189"/>
      <c r="Y124" s="189"/>
      <c r="Z124" s="189"/>
    </row>
    <row r="125" spans="1:26">
      <c r="A125" s="203">
        <v>2</v>
      </c>
      <c r="B125" s="203">
        <v>4</v>
      </c>
      <c r="C125" s="203">
        <v>10</v>
      </c>
      <c r="D125" s="203" t="s">
        <v>140</v>
      </c>
      <c r="E125" s="203" t="s">
        <v>141</v>
      </c>
      <c r="F125" s="203" t="s">
        <v>25</v>
      </c>
      <c r="G125" s="204">
        <v>50763</v>
      </c>
      <c r="H125" s="205">
        <v>19</v>
      </c>
      <c r="I125" s="206">
        <v>50</v>
      </c>
      <c r="J125" s="189"/>
      <c r="K125" s="189"/>
      <c r="L125" s="189"/>
      <c r="M125" s="189"/>
      <c r="N125" s="189"/>
      <c r="O125" s="189"/>
      <c r="P125" s="189"/>
      <c r="Q125" s="189"/>
      <c r="R125" s="189"/>
      <c r="S125" s="207">
        <f t="shared" si="8"/>
        <v>50</v>
      </c>
      <c r="T125" s="208"/>
      <c r="U125" s="189"/>
      <c r="V125" s="189"/>
      <c r="W125" s="189"/>
      <c r="X125" s="189"/>
      <c r="Y125" s="189"/>
      <c r="Z125" s="189"/>
    </row>
    <row r="126" spans="1:26">
      <c r="A126" s="203">
        <v>2</v>
      </c>
      <c r="B126" s="203">
        <v>4</v>
      </c>
      <c r="C126" s="203">
        <v>10</v>
      </c>
      <c r="D126" s="203" t="s">
        <v>138</v>
      </c>
      <c r="E126" s="203" t="s">
        <v>139</v>
      </c>
      <c r="F126" s="203" t="s">
        <v>68</v>
      </c>
      <c r="G126" s="204">
        <v>50295</v>
      </c>
      <c r="H126" s="205">
        <v>11</v>
      </c>
      <c r="I126" s="206">
        <v>84</v>
      </c>
      <c r="J126" s="206">
        <v>74</v>
      </c>
      <c r="K126" s="189"/>
      <c r="L126" s="189"/>
      <c r="M126" s="189"/>
      <c r="N126" s="189"/>
      <c r="O126" s="189"/>
      <c r="P126" s="189"/>
      <c r="Q126" s="189"/>
      <c r="R126" s="189"/>
      <c r="S126" s="207">
        <f t="shared" si="8"/>
        <v>79</v>
      </c>
      <c r="T126" s="208"/>
      <c r="U126" s="189"/>
      <c r="V126" s="189"/>
      <c r="W126" s="189"/>
      <c r="X126" s="189"/>
      <c r="Y126" s="189"/>
      <c r="Z126" s="189"/>
    </row>
    <row r="127" spans="1:26">
      <c r="A127" s="203">
        <v>2</v>
      </c>
      <c r="B127" s="203">
        <v>4</v>
      </c>
      <c r="C127" s="203">
        <v>10</v>
      </c>
      <c r="D127" s="203" t="s">
        <v>140</v>
      </c>
      <c r="E127" s="203" t="s">
        <v>141</v>
      </c>
      <c r="F127" s="203" t="s">
        <v>68</v>
      </c>
      <c r="G127" s="204">
        <v>50638</v>
      </c>
      <c r="H127" s="205">
        <v>52</v>
      </c>
      <c r="I127" s="206">
        <v>81</v>
      </c>
      <c r="J127" s="206">
        <v>73</v>
      </c>
      <c r="K127" s="206">
        <v>84</v>
      </c>
      <c r="L127" s="189"/>
      <c r="M127" s="189"/>
      <c r="N127" s="189"/>
      <c r="O127" s="189"/>
      <c r="P127" s="189"/>
      <c r="Q127" s="189"/>
      <c r="R127" s="189"/>
      <c r="S127" s="207">
        <f t="shared" si="8"/>
        <v>79.333333333333329</v>
      </c>
      <c r="T127" s="208"/>
      <c r="U127" s="189"/>
      <c r="V127" s="189"/>
      <c r="W127" s="189"/>
      <c r="X127" s="189"/>
      <c r="Y127" s="189"/>
      <c r="Z127" s="189"/>
    </row>
    <row r="128" spans="1:26">
      <c r="A128" s="203">
        <v>2</v>
      </c>
      <c r="B128" s="203">
        <v>4</v>
      </c>
      <c r="C128" s="203">
        <v>10</v>
      </c>
      <c r="D128" s="203" t="s">
        <v>138</v>
      </c>
      <c r="E128" s="203" t="s">
        <v>139</v>
      </c>
      <c r="F128" s="203" t="s">
        <v>25</v>
      </c>
      <c r="G128" s="204">
        <v>50750</v>
      </c>
      <c r="H128" s="205">
        <v>82</v>
      </c>
      <c r="I128" s="206">
        <v>75</v>
      </c>
      <c r="J128" s="189"/>
      <c r="K128" s="189"/>
      <c r="L128" s="189"/>
      <c r="M128" s="189"/>
      <c r="N128" s="189"/>
      <c r="O128" s="189"/>
      <c r="P128" s="189"/>
      <c r="Q128" s="189"/>
      <c r="R128" s="189"/>
      <c r="S128" s="207">
        <f t="shared" si="8"/>
        <v>75</v>
      </c>
      <c r="T128" s="208"/>
      <c r="U128" s="189"/>
      <c r="V128" s="189"/>
      <c r="W128" s="189"/>
      <c r="X128" s="189"/>
      <c r="Y128" s="189"/>
      <c r="Z128" s="189"/>
    </row>
    <row r="129" spans="1:26">
      <c r="A129" s="209">
        <v>2</v>
      </c>
      <c r="B129" s="209">
        <v>4</v>
      </c>
      <c r="C129" s="209">
        <v>11</v>
      </c>
      <c r="D129" s="209" t="s">
        <v>142</v>
      </c>
      <c r="E129" s="209" t="s">
        <v>143</v>
      </c>
      <c r="F129" s="209" t="s">
        <v>144</v>
      </c>
      <c r="G129" s="210">
        <v>50769</v>
      </c>
      <c r="H129" s="211">
        <v>2</v>
      </c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3"/>
      <c r="T129" s="214" t="s">
        <v>43</v>
      </c>
      <c r="U129" s="189"/>
      <c r="V129" s="189"/>
      <c r="W129" s="189"/>
      <c r="X129" s="189"/>
      <c r="Y129" s="189"/>
      <c r="Z129" s="189"/>
    </row>
    <row r="130" spans="1:26">
      <c r="A130" s="203">
        <v>2</v>
      </c>
      <c r="B130" s="203">
        <v>4</v>
      </c>
      <c r="C130" s="203">
        <v>13</v>
      </c>
      <c r="D130" s="203" t="s">
        <v>32</v>
      </c>
      <c r="E130" s="203" t="s">
        <v>33</v>
      </c>
      <c r="F130" s="203" t="s">
        <v>68</v>
      </c>
      <c r="G130" s="204">
        <v>50819</v>
      </c>
      <c r="H130" s="205">
        <v>1285</v>
      </c>
      <c r="I130" s="206">
        <v>139</v>
      </c>
      <c r="J130" s="206">
        <v>179</v>
      </c>
      <c r="K130" s="206">
        <v>173</v>
      </c>
      <c r="L130" s="206">
        <v>37</v>
      </c>
      <c r="M130" s="206">
        <v>105</v>
      </c>
      <c r="N130" s="206">
        <v>135</v>
      </c>
      <c r="O130" s="206">
        <v>173</v>
      </c>
      <c r="P130" s="206">
        <v>124</v>
      </c>
      <c r="Q130" s="206">
        <v>114</v>
      </c>
      <c r="R130" s="206">
        <v>57</v>
      </c>
      <c r="S130" s="207">
        <f>AVERAGE(I130:R130)</f>
        <v>123.6</v>
      </c>
      <c r="T130" s="208"/>
      <c r="U130" s="189"/>
      <c r="V130" s="189"/>
      <c r="W130" s="189"/>
      <c r="X130" s="189"/>
      <c r="Y130" s="189"/>
      <c r="Z130" s="189"/>
    </row>
    <row r="131" spans="1:26">
      <c r="A131" s="203">
        <v>2</v>
      </c>
      <c r="B131" s="203">
        <v>4</v>
      </c>
      <c r="C131" s="203">
        <v>14</v>
      </c>
      <c r="D131" s="203" t="s">
        <v>145</v>
      </c>
      <c r="E131" s="203" t="s">
        <v>146</v>
      </c>
      <c r="F131" s="203" t="s">
        <v>31</v>
      </c>
      <c r="G131" s="204">
        <v>50809</v>
      </c>
      <c r="H131" s="205">
        <v>664</v>
      </c>
      <c r="I131" s="206">
        <v>106</v>
      </c>
      <c r="J131" s="206">
        <v>116</v>
      </c>
      <c r="K131" s="206">
        <v>107</v>
      </c>
      <c r="L131" s="206">
        <v>111.1</v>
      </c>
      <c r="M131" s="206">
        <v>100</v>
      </c>
      <c r="N131" s="206">
        <v>107.5</v>
      </c>
      <c r="O131" s="206">
        <v>118</v>
      </c>
      <c r="P131" s="206">
        <v>86</v>
      </c>
      <c r="Q131" s="206">
        <v>99.5</v>
      </c>
      <c r="R131" s="206">
        <v>64.5</v>
      </c>
      <c r="S131" s="207">
        <f>AVERAGE(I131:R131)</f>
        <v>101.56</v>
      </c>
      <c r="T131" s="208"/>
      <c r="U131" s="189"/>
      <c r="V131" s="189"/>
      <c r="W131" s="189"/>
      <c r="X131" s="189"/>
      <c r="Y131" s="189"/>
      <c r="Z131" s="189"/>
    </row>
    <row r="132" spans="1:26">
      <c r="A132" s="209">
        <v>2</v>
      </c>
      <c r="B132" s="209">
        <v>4</v>
      </c>
      <c r="C132" s="209">
        <v>15</v>
      </c>
      <c r="D132" s="209" t="s">
        <v>147</v>
      </c>
      <c r="E132" s="209" t="s">
        <v>148</v>
      </c>
      <c r="F132" s="209" t="s">
        <v>25</v>
      </c>
      <c r="G132" s="210">
        <v>50376</v>
      </c>
      <c r="H132" s="211">
        <v>6</v>
      </c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3"/>
      <c r="T132" s="214" t="s">
        <v>43</v>
      </c>
      <c r="U132" s="189"/>
      <c r="V132" s="189"/>
      <c r="W132" s="189"/>
      <c r="X132" s="189"/>
      <c r="Y132" s="189"/>
      <c r="Z132" s="189"/>
    </row>
    <row r="133" spans="1:26">
      <c r="A133" s="203">
        <v>2</v>
      </c>
      <c r="B133" s="203">
        <v>4</v>
      </c>
      <c r="C133" s="203">
        <v>15</v>
      </c>
      <c r="D133" s="203" t="s">
        <v>149</v>
      </c>
      <c r="E133" s="203" t="s">
        <v>150</v>
      </c>
      <c r="F133" s="203" t="s">
        <v>31</v>
      </c>
      <c r="G133" s="204">
        <v>50815</v>
      </c>
      <c r="H133" s="205">
        <v>81</v>
      </c>
      <c r="I133" s="206">
        <v>139</v>
      </c>
      <c r="J133" s="206">
        <v>157.5</v>
      </c>
      <c r="K133" s="206">
        <v>144</v>
      </c>
      <c r="L133" s="189"/>
      <c r="M133" s="189"/>
      <c r="N133" s="189"/>
      <c r="O133" s="189"/>
      <c r="P133" s="189"/>
      <c r="Q133" s="189"/>
      <c r="R133" s="189"/>
      <c r="S133" s="207">
        <f>AVERAGE(I133:R133)</f>
        <v>146.83333333333334</v>
      </c>
      <c r="T133" s="208"/>
      <c r="U133" s="189"/>
      <c r="V133" s="189"/>
      <c r="W133" s="189"/>
      <c r="X133" s="189"/>
      <c r="Y133" s="189"/>
      <c r="Z133" s="189"/>
    </row>
    <row r="134" spans="1:26">
      <c r="A134" s="215">
        <v>2</v>
      </c>
      <c r="B134" s="215">
        <v>4</v>
      </c>
      <c r="C134" s="215">
        <v>15</v>
      </c>
      <c r="D134" s="215" t="s">
        <v>145</v>
      </c>
      <c r="E134" s="215" t="s">
        <v>146</v>
      </c>
      <c r="F134" s="215" t="s">
        <v>31</v>
      </c>
      <c r="G134" s="216">
        <v>50711</v>
      </c>
      <c r="H134" s="217">
        <v>100</v>
      </c>
      <c r="I134" s="216" t="s">
        <v>80</v>
      </c>
      <c r="J134" s="216" t="s">
        <v>80</v>
      </c>
      <c r="K134" s="216" t="s">
        <v>80</v>
      </c>
      <c r="L134" s="224"/>
      <c r="M134" s="224"/>
      <c r="N134" s="224"/>
      <c r="O134" s="224"/>
      <c r="P134" s="224"/>
      <c r="Q134" s="224"/>
      <c r="R134" s="224"/>
      <c r="S134" s="225"/>
      <c r="T134" s="220" t="s">
        <v>248</v>
      </c>
      <c r="U134" s="189"/>
      <c r="V134" s="189"/>
      <c r="W134" s="189"/>
      <c r="X134" s="189"/>
      <c r="Y134" s="189"/>
      <c r="Z134" s="189"/>
    </row>
    <row r="135" spans="1:26">
      <c r="A135" s="203">
        <v>2</v>
      </c>
      <c r="B135" s="203">
        <v>4</v>
      </c>
      <c r="C135" s="203">
        <v>15</v>
      </c>
      <c r="D135" s="203" t="s">
        <v>145</v>
      </c>
      <c r="E135" s="203" t="s">
        <v>146</v>
      </c>
      <c r="F135" s="203" t="s">
        <v>68</v>
      </c>
      <c r="G135" s="204">
        <v>50701</v>
      </c>
      <c r="H135" s="205">
        <v>70</v>
      </c>
      <c r="I135" s="206">
        <v>25</v>
      </c>
      <c r="J135" s="206">
        <v>36</v>
      </c>
      <c r="K135" s="206">
        <v>23</v>
      </c>
      <c r="L135" s="189"/>
      <c r="M135" s="189"/>
      <c r="N135" s="189"/>
      <c r="O135" s="189"/>
      <c r="P135" s="189"/>
      <c r="Q135" s="189"/>
      <c r="R135" s="189"/>
      <c r="S135" s="207">
        <f>AVERAGE(I135:R135)</f>
        <v>28</v>
      </c>
      <c r="T135" s="208"/>
      <c r="U135" s="189"/>
      <c r="V135" s="189"/>
      <c r="W135" s="189"/>
      <c r="X135" s="189"/>
      <c r="Y135" s="189"/>
      <c r="Z135" s="189"/>
    </row>
    <row r="136" spans="1:26">
      <c r="A136" s="203">
        <v>2</v>
      </c>
      <c r="B136" s="203">
        <v>4</v>
      </c>
      <c r="C136" s="203">
        <v>15</v>
      </c>
      <c r="D136" s="203" t="s">
        <v>151</v>
      </c>
      <c r="E136" s="203" t="s">
        <v>152</v>
      </c>
      <c r="F136" s="203" t="s">
        <v>144</v>
      </c>
      <c r="G136" s="204">
        <v>50776</v>
      </c>
      <c r="H136" s="205">
        <v>28</v>
      </c>
      <c r="I136" s="206">
        <v>55.5</v>
      </c>
      <c r="J136" s="189"/>
      <c r="K136" s="189"/>
      <c r="L136" s="189"/>
      <c r="M136" s="189"/>
      <c r="N136" s="189"/>
      <c r="O136" s="189"/>
      <c r="P136" s="189"/>
      <c r="Q136" s="189"/>
      <c r="R136" s="189"/>
      <c r="S136" s="207">
        <f>AVERAGE(I136:R136)</f>
        <v>55.5</v>
      </c>
      <c r="T136" s="208"/>
      <c r="U136" s="189"/>
      <c r="V136" s="189"/>
      <c r="W136" s="189"/>
      <c r="X136" s="189"/>
      <c r="Y136" s="189"/>
      <c r="Z136" s="189"/>
    </row>
    <row r="137" spans="1:26">
      <c r="A137" s="209">
        <v>2</v>
      </c>
      <c r="B137" s="209">
        <v>4</v>
      </c>
      <c r="C137" s="209">
        <v>15</v>
      </c>
      <c r="D137" s="209" t="s">
        <v>151</v>
      </c>
      <c r="E137" s="209" t="s">
        <v>152</v>
      </c>
      <c r="F137" s="209" t="s">
        <v>31</v>
      </c>
      <c r="G137" s="210">
        <v>50811</v>
      </c>
      <c r="H137" s="211">
        <v>4</v>
      </c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3"/>
      <c r="T137" s="214" t="s">
        <v>43</v>
      </c>
      <c r="U137" s="189"/>
      <c r="V137" s="189"/>
      <c r="W137" s="189"/>
      <c r="X137" s="189"/>
      <c r="Y137" s="189"/>
      <c r="Z137" s="189"/>
    </row>
    <row r="138" spans="1:26">
      <c r="A138" s="203">
        <v>2</v>
      </c>
      <c r="B138" s="203">
        <v>4</v>
      </c>
      <c r="C138" s="203">
        <v>15</v>
      </c>
      <c r="D138" s="203" t="s">
        <v>153</v>
      </c>
      <c r="E138" s="203" t="s">
        <v>154</v>
      </c>
      <c r="F138" s="203" t="s">
        <v>155</v>
      </c>
      <c r="G138" s="204">
        <v>50851</v>
      </c>
      <c r="H138" s="205">
        <v>15</v>
      </c>
      <c r="I138" s="206">
        <v>41.6</v>
      </c>
      <c r="J138" s="189"/>
      <c r="K138" s="189"/>
      <c r="L138" s="189"/>
      <c r="M138" s="189"/>
      <c r="N138" s="189"/>
      <c r="O138" s="189"/>
      <c r="P138" s="189"/>
      <c r="Q138" s="189"/>
      <c r="R138" s="189"/>
      <c r="S138" s="207">
        <f>AVERAGE(I138:R138)</f>
        <v>41.6</v>
      </c>
      <c r="T138" s="208"/>
      <c r="U138" s="189"/>
      <c r="V138" s="189"/>
      <c r="W138" s="189"/>
      <c r="X138" s="189"/>
      <c r="Y138" s="189"/>
      <c r="Z138" s="189"/>
    </row>
    <row r="139" spans="1:26">
      <c r="A139" s="203">
        <v>2</v>
      </c>
      <c r="B139" s="203">
        <v>4</v>
      </c>
      <c r="C139" s="203">
        <v>15</v>
      </c>
      <c r="D139" s="203" t="s">
        <v>156</v>
      </c>
      <c r="E139" s="203" t="s">
        <v>157</v>
      </c>
      <c r="F139" s="203" t="s">
        <v>31</v>
      </c>
      <c r="G139" s="204">
        <v>50805</v>
      </c>
      <c r="H139" s="205">
        <v>15</v>
      </c>
      <c r="I139" s="206">
        <v>40</v>
      </c>
      <c r="J139" s="189"/>
      <c r="K139" s="189"/>
      <c r="L139" s="189"/>
      <c r="M139" s="189"/>
      <c r="N139" s="189"/>
      <c r="O139" s="189"/>
      <c r="P139" s="189"/>
      <c r="Q139" s="189"/>
      <c r="R139" s="189"/>
      <c r="S139" s="207">
        <f>AVERAGE(I139:R139)</f>
        <v>40</v>
      </c>
      <c r="T139" s="208"/>
      <c r="U139" s="189"/>
      <c r="V139" s="189"/>
      <c r="W139" s="189"/>
      <c r="X139" s="189"/>
      <c r="Y139" s="189"/>
      <c r="Z139" s="189"/>
    </row>
    <row r="140" spans="1:26">
      <c r="A140" s="203">
        <v>2</v>
      </c>
      <c r="B140" s="203">
        <v>4</v>
      </c>
      <c r="C140" s="203">
        <v>15</v>
      </c>
      <c r="D140" s="203" t="s">
        <v>158</v>
      </c>
      <c r="E140" s="203" t="s">
        <v>159</v>
      </c>
      <c r="F140" s="203" t="s">
        <v>31</v>
      </c>
      <c r="G140" s="204">
        <v>50849</v>
      </c>
      <c r="H140" s="205">
        <v>27</v>
      </c>
      <c r="I140" s="206">
        <v>51.5</v>
      </c>
      <c r="J140" s="189"/>
      <c r="K140" s="189"/>
      <c r="L140" s="189"/>
      <c r="M140" s="189"/>
      <c r="N140" s="189"/>
      <c r="O140" s="189"/>
      <c r="P140" s="189"/>
      <c r="Q140" s="189"/>
      <c r="R140" s="189"/>
      <c r="S140" s="207">
        <f>AVERAGE(I140:R140)</f>
        <v>51.5</v>
      </c>
      <c r="T140" s="208"/>
      <c r="U140" s="189"/>
      <c r="V140" s="189"/>
      <c r="W140" s="189"/>
      <c r="X140" s="189"/>
      <c r="Y140" s="189"/>
      <c r="Z140" s="189"/>
    </row>
    <row r="141" spans="1:26">
      <c r="A141" s="203">
        <v>2</v>
      </c>
      <c r="B141" s="203">
        <v>4</v>
      </c>
      <c r="C141" s="203">
        <v>15</v>
      </c>
      <c r="D141" s="203" t="s">
        <v>160</v>
      </c>
      <c r="E141" s="203" t="s">
        <v>161</v>
      </c>
      <c r="F141" s="203" t="s">
        <v>34</v>
      </c>
      <c r="G141" s="204">
        <v>50707</v>
      </c>
      <c r="H141" s="205">
        <v>30</v>
      </c>
      <c r="I141" s="206">
        <v>46</v>
      </c>
      <c r="J141" s="189"/>
      <c r="K141" s="189"/>
      <c r="L141" s="189"/>
      <c r="M141" s="189"/>
      <c r="N141" s="189"/>
      <c r="O141" s="189"/>
      <c r="P141" s="189"/>
      <c r="Q141" s="189"/>
      <c r="R141" s="189"/>
      <c r="S141" s="207">
        <f>AVERAGE(I141:R141)</f>
        <v>46</v>
      </c>
      <c r="T141" s="208"/>
      <c r="U141" s="189"/>
      <c r="V141" s="189"/>
      <c r="W141" s="189"/>
      <c r="X141" s="189"/>
      <c r="Y141" s="189"/>
      <c r="Z141" s="189"/>
    </row>
    <row r="142" spans="1:26">
      <c r="A142" s="203">
        <v>2</v>
      </c>
      <c r="B142" s="203">
        <v>4</v>
      </c>
      <c r="C142" s="203">
        <v>15</v>
      </c>
      <c r="D142" s="203" t="s">
        <v>162</v>
      </c>
      <c r="E142" s="203" t="s">
        <v>163</v>
      </c>
      <c r="F142" s="203" t="s">
        <v>34</v>
      </c>
      <c r="G142" s="204">
        <v>50840</v>
      </c>
      <c r="H142" s="205">
        <v>1</v>
      </c>
      <c r="I142" s="206">
        <v>40.5</v>
      </c>
      <c r="J142" s="189"/>
      <c r="K142" s="189"/>
      <c r="L142" s="189"/>
      <c r="M142" s="189"/>
      <c r="N142" s="189"/>
      <c r="O142" s="189"/>
      <c r="P142" s="189"/>
      <c r="Q142" s="189"/>
      <c r="R142" s="189"/>
      <c r="S142" s="207">
        <f>AVERAGE(I142:R142)</f>
        <v>40.5</v>
      </c>
      <c r="T142" s="208"/>
      <c r="U142" s="189"/>
      <c r="V142" s="189"/>
      <c r="W142" s="189"/>
      <c r="X142" s="189"/>
      <c r="Y142" s="189"/>
      <c r="Z142" s="189"/>
    </row>
    <row r="143" spans="1:26">
      <c r="A143" s="215">
        <v>2</v>
      </c>
      <c r="B143" s="215">
        <v>4</v>
      </c>
      <c r="C143" s="215">
        <v>15</v>
      </c>
      <c r="D143" s="215" t="s">
        <v>164</v>
      </c>
      <c r="E143" s="215" t="s">
        <v>165</v>
      </c>
      <c r="F143" s="215" t="s">
        <v>166</v>
      </c>
      <c r="G143" s="216">
        <v>50775</v>
      </c>
      <c r="H143" s="217">
        <v>1</v>
      </c>
      <c r="I143" s="218"/>
      <c r="J143" s="224"/>
      <c r="K143" s="224"/>
      <c r="L143" s="224"/>
      <c r="M143" s="224"/>
      <c r="N143" s="224"/>
      <c r="O143" s="224"/>
      <c r="P143" s="224"/>
      <c r="Q143" s="224"/>
      <c r="R143" s="224"/>
      <c r="S143" s="225"/>
      <c r="T143" s="220" t="s">
        <v>55</v>
      </c>
      <c r="U143" s="189"/>
      <c r="V143" s="189"/>
      <c r="W143" s="189"/>
      <c r="X143" s="189"/>
      <c r="Y143" s="189"/>
      <c r="Z143" s="189"/>
    </row>
    <row r="144" spans="1:26">
      <c r="A144" s="209">
        <v>2</v>
      </c>
      <c r="B144" s="209">
        <v>4</v>
      </c>
      <c r="C144" s="209">
        <v>15</v>
      </c>
      <c r="D144" s="209" t="s">
        <v>149</v>
      </c>
      <c r="E144" s="209" t="s">
        <v>150</v>
      </c>
      <c r="F144" s="209" t="s">
        <v>68</v>
      </c>
      <c r="G144" s="210">
        <v>50669</v>
      </c>
      <c r="H144" s="211">
        <v>4</v>
      </c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3"/>
      <c r="T144" s="214" t="s">
        <v>43</v>
      </c>
      <c r="U144" s="189"/>
      <c r="V144" s="189"/>
      <c r="W144" s="189"/>
      <c r="X144" s="189"/>
      <c r="Y144" s="189"/>
      <c r="Z144" s="189"/>
    </row>
    <row r="145" spans="1:26">
      <c r="A145" s="209">
        <v>2</v>
      </c>
      <c r="B145" s="209">
        <v>4</v>
      </c>
      <c r="C145" s="209">
        <v>15</v>
      </c>
      <c r="D145" s="209" t="s">
        <v>149</v>
      </c>
      <c r="E145" s="209" t="s">
        <v>150</v>
      </c>
      <c r="F145" s="209" t="s">
        <v>34</v>
      </c>
      <c r="G145" s="210">
        <v>50433</v>
      </c>
      <c r="H145" s="211">
        <v>3</v>
      </c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3"/>
      <c r="T145" s="214" t="s">
        <v>43</v>
      </c>
      <c r="U145" s="189"/>
      <c r="V145" s="189"/>
      <c r="W145" s="189"/>
      <c r="X145" s="189"/>
      <c r="Y145" s="189"/>
      <c r="Z145" s="189"/>
    </row>
    <row r="146" spans="1:26">
      <c r="A146" s="203">
        <v>2</v>
      </c>
      <c r="B146" s="203">
        <v>4</v>
      </c>
      <c r="C146" s="203">
        <v>16</v>
      </c>
      <c r="D146" s="203" t="s">
        <v>167</v>
      </c>
      <c r="E146" s="203" t="s">
        <v>168</v>
      </c>
      <c r="F146" s="203" t="s">
        <v>31</v>
      </c>
      <c r="G146" s="204">
        <v>50865</v>
      </c>
      <c r="H146" s="205">
        <v>628</v>
      </c>
      <c r="I146" s="206">
        <v>63</v>
      </c>
      <c r="J146" s="206">
        <v>80</v>
      </c>
      <c r="K146" s="206">
        <v>48</v>
      </c>
      <c r="L146" s="206">
        <v>50.5</v>
      </c>
      <c r="M146" s="206">
        <v>55</v>
      </c>
      <c r="N146" s="206">
        <v>64</v>
      </c>
      <c r="O146" s="206">
        <v>44.5</v>
      </c>
      <c r="P146" s="206">
        <v>46</v>
      </c>
      <c r="Q146" s="206">
        <v>49</v>
      </c>
      <c r="R146" s="206">
        <v>42</v>
      </c>
      <c r="S146" s="207">
        <f t="shared" ref="S146:S157" si="9">AVERAGE(I146:R146)</f>
        <v>54.2</v>
      </c>
      <c r="T146" s="208"/>
      <c r="U146" s="189"/>
      <c r="V146" s="189"/>
      <c r="W146" s="189"/>
      <c r="X146" s="189"/>
      <c r="Y146" s="189"/>
      <c r="Z146" s="189"/>
    </row>
    <row r="147" spans="1:26">
      <c r="A147" s="203">
        <v>2</v>
      </c>
      <c r="B147" s="203">
        <v>4</v>
      </c>
      <c r="C147" s="203">
        <v>16</v>
      </c>
      <c r="D147" s="203" t="s">
        <v>145</v>
      </c>
      <c r="E147" s="203" t="s">
        <v>146</v>
      </c>
      <c r="F147" s="203" t="s">
        <v>31</v>
      </c>
      <c r="G147" s="204">
        <v>50866</v>
      </c>
      <c r="H147" s="205">
        <v>86</v>
      </c>
      <c r="I147" s="206">
        <v>67</v>
      </c>
      <c r="J147" s="206">
        <v>66</v>
      </c>
      <c r="K147" s="189"/>
      <c r="L147" s="189"/>
      <c r="M147" s="189"/>
      <c r="N147" s="189"/>
      <c r="O147" s="189"/>
      <c r="P147" s="189"/>
      <c r="Q147" s="189"/>
      <c r="R147" s="189"/>
      <c r="S147" s="207">
        <f t="shared" si="9"/>
        <v>66.5</v>
      </c>
      <c r="T147" s="192" t="s">
        <v>247</v>
      </c>
      <c r="U147" s="189"/>
      <c r="V147" s="189"/>
      <c r="W147" s="189"/>
      <c r="X147" s="189"/>
      <c r="Y147" s="189"/>
      <c r="Z147" s="189"/>
    </row>
    <row r="148" spans="1:26">
      <c r="A148" s="206">
        <v>2</v>
      </c>
      <c r="B148" s="203">
        <v>4</v>
      </c>
      <c r="C148" s="203">
        <v>17</v>
      </c>
      <c r="D148" s="203" t="s">
        <v>169</v>
      </c>
      <c r="E148" s="203" t="s">
        <v>170</v>
      </c>
      <c r="F148" s="203" t="s">
        <v>34</v>
      </c>
      <c r="G148" s="204">
        <v>50596</v>
      </c>
      <c r="H148" s="205">
        <v>110</v>
      </c>
      <c r="I148" s="206">
        <v>128</v>
      </c>
      <c r="J148" s="206">
        <v>152</v>
      </c>
      <c r="K148" s="206">
        <v>122</v>
      </c>
      <c r="L148" s="206">
        <v>130</v>
      </c>
      <c r="M148" s="206">
        <v>92</v>
      </c>
      <c r="N148" s="206">
        <v>109.5</v>
      </c>
      <c r="O148" s="189"/>
      <c r="P148" s="189"/>
      <c r="Q148" s="189"/>
      <c r="R148" s="189"/>
      <c r="S148" s="207">
        <f t="shared" si="9"/>
        <v>122.25</v>
      </c>
      <c r="T148" s="208"/>
      <c r="U148" s="189"/>
      <c r="V148" s="189"/>
      <c r="W148" s="189"/>
      <c r="X148" s="189"/>
      <c r="Y148" s="189"/>
      <c r="Z148" s="189"/>
    </row>
    <row r="149" spans="1:26">
      <c r="A149" s="203">
        <v>2</v>
      </c>
      <c r="B149" s="203">
        <v>4</v>
      </c>
      <c r="C149" s="203">
        <v>17</v>
      </c>
      <c r="D149" s="203" t="s">
        <v>169</v>
      </c>
      <c r="E149" s="203" t="s">
        <v>170</v>
      </c>
      <c r="F149" s="203" t="s">
        <v>34</v>
      </c>
      <c r="G149" s="204">
        <v>50571</v>
      </c>
      <c r="H149" s="205">
        <v>223</v>
      </c>
      <c r="I149" s="206">
        <v>119</v>
      </c>
      <c r="J149" s="206">
        <v>130</v>
      </c>
      <c r="K149" s="206">
        <v>120</v>
      </c>
      <c r="L149" s="206">
        <v>145</v>
      </c>
      <c r="M149" s="206">
        <v>131</v>
      </c>
      <c r="N149" s="189"/>
      <c r="O149" s="206">
        <v>161.5</v>
      </c>
      <c r="P149" s="189"/>
      <c r="Q149" s="189"/>
      <c r="R149" s="189"/>
      <c r="S149" s="207">
        <f t="shared" si="9"/>
        <v>134.41666666666666</v>
      </c>
      <c r="T149" s="208"/>
      <c r="U149" s="189"/>
      <c r="V149" s="189"/>
      <c r="W149" s="189"/>
      <c r="X149" s="189"/>
      <c r="Y149" s="189"/>
      <c r="Z149" s="189"/>
    </row>
    <row r="150" spans="1:26">
      <c r="A150" s="203">
        <v>2</v>
      </c>
      <c r="B150" s="203">
        <v>4</v>
      </c>
      <c r="C150" s="203">
        <v>18</v>
      </c>
      <c r="D150" s="203" t="s">
        <v>171</v>
      </c>
      <c r="E150" s="203" t="s">
        <v>172</v>
      </c>
      <c r="F150" s="203" t="s">
        <v>25</v>
      </c>
      <c r="G150" s="204">
        <v>50831</v>
      </c>
      <c r="H150" s="205">
        <v>249</v>
      </c>
      <c r="I150" s="206">
        <v>53</v>
      </c>
      <c r="J150" s="206">
        <v>46</v>
      </c>
      <c r="K150" s="206">
        <v>69.5</v>
      </c>
      <c r="L150" s="206">
        <v>58</v>
      </c>
      <c r="M150" s="206">
        <v>80</v>
      </c>
      <c r="N150" s="206">
        <v>80</v>
      </c>
      <c r="O150" s="206">
        <v>69</v>
      </c>
      <c r="P150" s="189"/>
      <c r="Q150" s="206">
        <v>86</v>
      </c>
      <c r="R150" s="206">
        <v>54</v>
      </c>
      <c r="S150" s="207">
        <f t="shared" si="9"/>
        <v>66.166666666666671</v>
      </c>
      <c r="T150" s="192" t="s">
        <v>247</v>
      </c>
      <c r="U150" s="189"/>
      <c r="V150" s="189"/>
      <c r="W150" s="189"/>
      <c r="X150" s="189"/>
      <c r="Y150" s="189"/>
      <c r="Z150" s="189"/>
    </row>
    <row r="151" spans="1:26">
      <c r="A151" s="203">
        <v>2</v>
      </c>
      <c r="B151" s="203">
        <v>4</v>
      </c>
      <c r="C151" s="203">
        <v>19</v>
      </c>
      <c r="D151" s="203" t="s">
        <v>107</v>
      </c>
      <c r="E151" s="203" t="s">
        <v>108</v>
      </c>
      <c r="F151" s="203" t="s">
        <v>31</v>
      </c>
      <c r="G151" s="204">
        <v>50862</v>
      </c>
      <c r="H151" s="205">
        <v>714</v>
      </c>
      <c r="I151" s="206">
        <v>51</v>
      </c>
      <c r="J151" s="206">
        <v>96.5</v>
      </c>
      <c r="K151" s="206">
        <v>83</v>
      </c>
      <c r="L151" s="206">
        <v>56</v>
      </c>
      <c r="M151" s="206">
        <v>61</v>
      </c>
      <c r="N151" s="206">
        <v>62</v>
      </c>
      <c r="O151" s="206">
        <v>64</v>
      </c>
      <c r="P151" s="206">
        <v>62</v>
      </c>
      <c r="Q151" s="189"/>
      <c r="R151" s="189"/>
      <c r="S151" s="207">
        <f t="shared" si="9"/>
        <v>66.9375</v>
      </c>
      <c r="T151" s="208"/>
      <c r="U151" s="189"/>
      <c r="V151" s="189"/>
      <c r="W151" s="189"/>
      <c r="X151" s="189"/>
      <c r="Y151" s="189"/>
      <c r="Z151" s="189"/>
    </row>
    <row r="152" spans="1:26">
      <c r="A152" s="203">
        <v>2</v>
      </c>
      <c r="B152" s="203">
        <v>4</v>
      </c>
      <c r="C152" s="203">
        <v>20</v>
      </c>
      <c r="D152" s="203" t="s">
        <v>173</v>
      </c>
      <c r="E152" s="203" t="s">
        <v>174</v>
      </c>
      <c r="F152" s="203" t="s">
        <v>25</v>
      </c>
      <c r="G152" s="204">
        <v>50678</v>
      </c>
      <c r="H152" s="205">
        <v>4</v>
      </c>
      <c r="I152" s="206">
        <v>25</v>
      </c>
      <c r="J152" s="189"/>
      <c r="K152" s="189"/>
      <c r="L152" s="189"/>
      <c r="M152" s="189"/>
      <c r="N152" s="189"/>
      <c r="O152" s="189"/>
      <c r="P152" s="189"/>
      <c r="Q152" s="189"/>
      <c r="R152" s="189"/>
      <c r="S152" s="207">
        <f t="shared" si="9"/>
        <v>25</v>
      </c>
      <c r="T152" s="208"/>
      <c r="U152" s="189"/>
      <c r="V152" s="189"/>
      <c r="W152" s="189"/>
      <c r="X152" s="189"/>
      <c r="Y152" s="189"/>
      <c r="Z152" s="189"/>
    </row>
    <row r="153" spans="1:26">
      <c r="A153" s="203">
        <v>2</v>
      </c>
      <c r="B153" s="203">
        <v>4</v>
      </c>
      <c r="C153" s="203">
        <v>20</v>
      </c>
      <c r="D153" s="203" t="s">
        <v>175</v>
      </c>
      <c r="E153" s="203" t="s">
        <v>176</v>
      </c>
      <c r="F153" s="203" t="s">
        <v>31</v>
      </c>
      <c r="G153" s="204">
        <v>50867</v>
      </c>
      <c r="H153" s="205">
        <v>303</v>
      </c>
      <c r="I153" s="206">
        <v>14</v>
      </c>
      <c r="J153" s="206">
        <v>22</v>
      </c>
      <c r="K153" s="206">
        <v>26</v>
      </c>
      <c r="L153" s="206">
        <v>26</v>
      </c>
      <c r="M153" s="206">
        <v>24.5</v>
      </c>
      <c r="N153" s="206">
        <v>27.5</v>
      </c>
      <c r="O153" s="206">
        <v>19</v>
      </c>
      <c r="P153" s="206">
        <v>27</v>
      </c>
      <c r="Q153" s="189"/>
      <c r="R153" s="189"/>
      <c r="S153" s="207">
        <f t="shared" si="9"/>
        <v>23.25</v>
      </c>
      <c r="T153" s="208"/>
      <c r="U153" s="189"/>
      <c r="V153" s="189"/>
      <c r="W153" s="189"/>
      <c r="X153" s="189"/>
      <c r="Y153" s="189"/>
      <c r="Z153" s="189"/>
    </row>
    <row r="154" spans="1:26">
      <c r="A154" s="203">
        <v>2</v>
      </c>
      <c r="B154" s="203">
        <v>4</v>
      </c>
      <c r="C154" s="203">
        <v>21</v>
      </c>
      <c r="D154" s="203" t="s">
        <v>177</v>
      </c>
      <c r="E154" s="203" t="s">
        <v>178</v>
      </c>
      <c r="F154" s="203" t="s">
        <v>31</v>
      </c>
      <c r="G154" s="204">
        <v>50861</v>
      </c>
      <c r="H154" s="205">
        <v>714</v>
      </c>
      <c r="I154" s="189"/>
      <c r="J154" s="189"/>
      <c r="K154" s="189"/>
      <c r="L154" s="189"/>
      <c r="M154" s="206">
        <v>64.5</v>
      </c>
      <c r="N154" s="206">
        <v>53.5</v>
      </c>
      <c r="O154" s="206">
        <v>35</v>
      </c>
      <c r="P154" s="206">
        <v>67</v>
      </c>
      <c r="Q154" s="206">
        <v>68.5</v>
      </c>
      <c r="R154" s="189"/>
      <c r="S154" s="207">
        <f t="shared" si="9"/>
        <v>57.7</v>
      </c>
      <c r="T154" s="192" t="s">
        <v>247</v>
      </c>
      <c r="U154" s="189"/>
      <c r="V154" s="189"/>
      <c r="W154" s="189"/>
      <c r="X154" s="189"/>
      <c r="Y154" s="189"/>
      <c r="Z154" s="189"/>
    </row>
    <row r="155" spans="1:26">
      <c r="A155" s="203">
        <v>2</v>
      </c>
      <c r="B155" s="203">
        <v>4</v>
      </c>
      <c r="C155" s="203">
        <v>22</v>
      </c>
      <c r="D155" s="203" t="s">
        <v>179</v>
      </c>
      <c r="E155" s="203" t="s">
        <v>180</v>
      </c>
      <c r="F155" s="203" t="s">
        <v>31</v>
      </c>
      <c r="G155" s="204">
        <v>50843</v>
      </c>
      <c r="H155" s="205">
        <v>330</v>
      </c>
      <c r="I155" s="206">
        <v>54</v>
      </c>
      <c r="J155" s="206">
        <v>63</v>
      </c>
      <c r="K155" s="206">
        <v>49</v>
      </c>
      <c r="L155" s="206">
        <v>42</v>
      </c>
      <c r="M155" s="206">
        <v>51</v>
      </c>
      <c r="N155" s="206">
        <v>44</v>
      </c>
      <c r="O155" s="206">
        <v>34</v>
      </c>
      <c r="P155" s="206">
        <v>62</v>
      </c>
      <c r="Q155" s="206">
        <v>41</v>
      </c>
      <c r="R155" s="206">
        <v>46</v>
      </c>
      <c r="S155" s="207">
        <f t="shared" si="9"/>
        <v>48.6</v>
      </c>
      <c r="T155" s="208"/>
      <c r="U155" s="189"/>
      <c r="V155" s="189"/>
      <c r="W155" s="189"/>
      <c r="X155" s="189"/>
      <c r="Y155" s="189"/>
      <c r="Z155" s="189"/>
    </row>
    <row r="156" spans="1:26">
      <c r="A156" s="203">
        <v>2</v>
      </c>
      <c r="B156" s="203">
        <v>5</v>
      </c>
      <c r="C156" s="203">
        <v>1</v>
      </c>
      <c r="D156" s="203" t="s">
        <v>95</v>
      </c>
      <c r="E156" s="203" t="s">
        <v>96</v>
      </c>
      <c r="F156" s="203" t="s">
        <v>68</v>
      </c>
      <c r="G156" s="204">
        <v>50620</v>
      </c>
      <c r="H156" s="205">
        <v>260</v>
      </c>
      <c r="I156" s="206">
        <v>36</v>
      </c>
      <c r="J156" s="206">
        <v>63</v>
      </c>
      <c r="K156" s="206">
        <v>82</v>
      </c>
      <c r="L156" s="206">
        <v>68</v>
      </c>
      <c r="M156" s="206">
        <v>91</v>
      </c>
      <c r="N156" s="189"/>
      <c r="O156" s="189"/>
      <c r="P156" s="189"/>
      <c r="Q156" s="189"/>
      <c r="R156" s="189"/>
      <c r="S156" s="207">
        <f t="shared" si="9"/>
        <v>68</v>
      </c>
      <c r="T156" s="208"/>
      <c r="U156" s="189"/>
      <c r="V156" s="189"/>
      <c r="W156" s="189"/>
      <c r="X156" s="189"/>
      <c r="Y156" s="189"/>
      <c r="Z156" s="189"/>
    </row>
    <row r="157" spans="1:26">
      <c r="A157" s="203">
        <v>2</v>
      </c>
      <c r="B157" s="203">
        <v>5</v>
      </c>
      <c r="C157" s="203">
        <v>1</v>
      </c>
      <c r="D157" s="203" t="s">
        <v>181</v>
      </c>
      <c r="E157" s="203" t="s">
        <v>182</v>
      </c>
      <c r="F157" s="203" t="s">
        <v>31</v>
      </c>
      <c r="G157" s="204">
        <v>50782</v>
      </c>
      <c r="H157" s="205">
        <v>162</v>
      </c>
      <c r="I157" s="206">
        <v>31.5</v>
      </c>
      <c r="J157" s="206">
        <v>41</v>
      </c>
      <c r="K157" s="206">
        <v>41</v>
      </c>
      <c r="L157" s="206">
        <v>37</v>
      </c>
      <c r="M157" s="206">
        <v>59</v>
      </c>
      <c r="N157" s="189"/>
      <c r="O157" s="189"/>
      <c r="P157" s="189"/>
      <c r="Q157" s="189"/>
      <c r="R157" s="189"/>
      <c r="S157" s="207">
        <f t="shared" si="9"/>
        <v>41.9</v>
      </c>
      <c r="T157" s="208"/>
      <c r="U157" s="189"/>
      <c r="V157" s="189"/>
      <c r="W157" s="189"/>
      <c r="X157" s="189"/>
      <c r="Y157" s="189"/>
      <c r="Z157" s="189"/>
    </row>
    <row r="158" spans="1:26">
      <c r="A158" s="215">
        <v>2</v>
      </c>
      <c r="B158" s="215">
        <v>5</v>
      </c>
      <c r="C158" s="215">
        <v>2</v>
      </c>
      <c r="D158" s="215" t="s">
        <v>56</v>
      </c>
      <c r="E158" s="215" t="s">
        <v>57</v>
      </c>
      <c r="F158" s="215" t="s">
        <v>68</v>
      </c>
      <c r="G158" s="216">
        <v>50664</v>
      </c>
      <c r="H158" s="217">
        <v>125</v>
      </c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5"/>
      <c r="T158" s="220" t="s">
        <v>248</v>
      </c>
      <c r="U158" s="189"/>
      <c r="V158" s="189"/>
      <c r="W158" s="189"/>
      <c r="X158" s="189"/>
      <c r="Y158" s="189"/>
      <c r="Z158" s="189"/>
    </row>
    <row r="159" spans="1:26">
      <c r="A159" s="203">
        <v>2</v>
      </c>
      <c r="B159" s="203">
        <v>5</v>
      </c>
      <c r="C159" s="203">
        <v>3</v>
      </c>
      <c r="D159" s="203" t="s">
        <v>37</v>
      </c>
      <c r="E159" s="203" t="s">
        <v>38</v>
      </c>
      <c r="F159" s="203" t="s">
        <v>31</v>
      </c>
      <c r="G159" s="204">
        <v>50785</v>
      </c>
      <c r="H159" s="205">
        <v>128</v>
      </c>
      <c r="I159" s="206">
        <v>114.5</v>
      </c>
      <c r="J159" s="206">
        <v>101</v>
      </c>
      <c r="K159" s="206">
        <v>99.5</v>
      </c>
      <c r="L159" s="206">
        <v>146</v>
      </c>
      <c r="M159" s="206">
        <v>132.5</v>
      </c>
      <c r="N159" s="206">
        <v>145.5</v>
      </c>
      <c r="O159" s="206">
        <v>135.5</v>
      </c>
      <c r="P159" s="206">
        <v>121.5</v>
      </c>
      <c r="Q159" s="189"/>
      <c r="R159" s="189"/>
      <c r="S159" s="207">
        <f t="shared" ref="S159:S170" si="10">AVERAGE(I159:R159)</f>
        <v>124.5</v>
      </c>
      <c r="T159" s="208"/>
      <c r="U159" s="189"/>
      <c r="V159" s="189"/>
      <c r="W159" s="189"/>
      <c r="X159" s="189"/>
      <c r="Y159" s="189"/>
      <c r="Z159" s="189"/>
    </row>
    <row r="160" spans="1:26">
      <c r="A160" s="203">
        <v>2</v>
      </c>
      <c r="B160" s="203">
        <v>5</v>
      </c>
      <c r="C160" s="203">
        <v>4</v>
      </c>
      <c r="D160" s="203" t="s">
        <v>35</v>
      </c>
      <c r="E160" s="203" t="s">
        <v>36</v>
      </c>
      <c r="F160" s="203" t="s">
        <v>31</v>
      </c>
      <c r="G160" s="204">
        <v>50806</v>
      </c>
      <c r="H160" s="205">
        <v>284</v>
      </c>
      <c r="I160" s="206">
        <v>79</v>
      </c>
      <c r="J160" s="206">
        <v>147</v>
      </c>
      <c r="K160" s="189"/>
      <c r="L160" s="206">
        <v>124.5</v>
      </c>
      <c r="M160" s="206">
        <v>257</v>
      </c>
      <c r="N160" s="206">
        <v>180</v>
      </c>
      <c r="O160" s="206">
        <v>172.3</v>
      </c>
      <c r="P160" s="206">
        <v>190</v>
      </c>
      <c r="Q160" s="206">
        <v>232.5</v>
      </c>
      <c r="R160" s="206">
        <v>223</v>
      </c>
      <c r="S160" s="207">
        <f t="shared" si="10"/>
        <v>178.36666666666667</v>
      </c>
      <c r="T160" s="192" t="s">
        <v>247</v>
      </c>
      <c r="U160" s="189"/>
      <c r="V160" s="189"/>
      <c r="W160" s="189"/>
      <c r="X160" s="189"/>
      <c r="Y160" s="189"/>
      <c r="Z160" s="189"/>
    </row>
    <row r="161" spans="1:26">
      <c r="A161" s="203">
        <v>2</v>
      </c>
      <c r="B161" s="203">
        <v>5</v>
      </c>
      <c r="C161" s="203">
        <v>4</v>
      </c>
      <c r="D161" s="203" t="s">
        <v>35</v>
      </c>
      <c r="E161" s="203" t="s">
        <v>36</v>
      </c>
      <c r="F161" s="203" t="s">
        <v>68</v>
      </c>
      <c r="G161" s="204">
        <v>50829</v>
      </c>
      <c r="H161" s="205">
        <v>418</v>
      </c>
      <c r="I161" s="206">
        <v>188</v>
      </c>
      <c r="J161" s="206">
        <v>129</v>
      </c>
      <c r="K161" s="206">
        <v>209</v>
      </c>
      <c r="L161" s="206">
        <v>201</v>
      </c>
      <c r="M161" s="206">
        <v>154</v>
      </c>
      <c r="N161" s="206">
        <v>124</v>
      </c>
      <c r="O161" s="206">
        <v>172</v>
      </c>
      <c r="P161" s="206">
        <v>91.5</v>
      </c>
      <c r="Q161" s="189"/>
      <c r="R161" s="206">
        <v>131.6</v>
      </c>
      <c r="S161" s="207">
        <f t="shared" si="10"/>
        <v>155.56666666666666</v>
      </c>
      <c r="T161" s="192" t="s">
        <v>247</v>
      </c>
      <c r="U161" s="189"/>
      <c r="V161" s="189"/>
      <c r="W161" s="189"/>
      <c r="X161" s="189"/>
      <c r="Y161" s="189"/>
      <c r="Z161" s="189"/>
    </row>
    <row r="162" spans="1:26">
      <c r="A162" s="203">
        <v>2</v>
      </c>
      <c r="B162" s="203">
        <v>5</v>
      </c>
      <c r="C162" s="203">
        <v>5</v>
      </c>
      <c r="D162" s="203" t="s">
        <v>183</v>
      </c>
      <c r="E162" s="203" t="s">
        <v>184</v>
      </c>
      <c r="F162" s="203" t="s">
        <v>31</v>
      </c>
      <c r="G162" s="204">
        <v>50808</v>
      </c>
      <c r="H162" s="205">
        <v>363</v>
      </c>
      <c r="I162" s="206">
        <v>57</v>
      </c>
      <c r="J162" s="189"/>
      <c r="K162" s="206">
        <v>66</v>
      </c>
      <c r="L162" s="189"/>
      <c r="M162" s="206">
        <v>79</v>
      </c>
      <c r="N162" s="206">
        <v>93</v>
      </c>
      <c r="O162" s="206">
        <v>84</v>
      </c>
      <c r="P162" s="206">
        <v>97</v>
      </c>
      <c r="Q162" s="206">
        <v>94.3</v>
      </c>
      <c r="R162" s="206">
        <v>114</v>
      </c>
      <c r="S162" s="207">
        <f t="shared" si="10"/>
        <v>85.537499999999994</v>
      </c>
      <c r="T162" s="192" t="s">
        <v>247</v>
      </c>
      <c r="U162" s="189"/>
      <c r="V162" s="189"/>
      <c r="W162" s="189"/>
      <c r="X162" s="189"/>
      <c r="Y162" s="189"/>
      <c r="Z162" s="189"/>
    </row>
    <row r="163" spans="1:26">
      <c r="A163" s="203">
        <v>2</v>
      </c>
      <c r="B163" s="203">
        <v>5</v>
      </c>
      <c r="C163" s="203">
        <v>5</v>
      </c>
      <c r="D163" s="203" t="s">
        <v>183</v>
      </c>
      <c r="E163" s="203" t="s">
        <v>184</v>
      </c>
      <c r="F163" s="203" t="s">
        <v>25</v>
      </c>
      <c r="G163" s="204">
        <v>50774</v>
      </c>
      <c r="H163" s="205">
        <v>2</v>
      </c>
      <c r="I163" s="206">
        <v>133</v>
      </c>
      <c r="J163" s="206">
        <v>105.5</v>
      </c>
      <c r="K163" s="189"/>
      <c r="L163" s="189"/>
      <c r="M163" s="189"/>
      <c r="N163" s="189"/>
      <c r="O163" s="189"/>
      <c r="P163" s="189"/>
      <c r="Q163" s="189"/>
      <c r="R163" s="189"/>
      <c r="S163" s="207">
        <f t="shared" si="10"/>
        <v>119.25</v>
      </c>
      <c r="T163" s="208"/>
      <c r="U163" s="189"/>
      <c r="V163" s="189"/>
      <c r="W163" s="189"/>
      <c r="X163" s="189"/>
      <c r="Y163" s="189"/>
      <c r="Z163" s="189"/>
    </row>
    <row r="164" spans="1:26">
      <c r="A164" s="203">
        <v>2</v>
      </c>
      <c r="B164" s="203">
        <v>5</v>
      </c>
      <c r="C164" s="203">
        <v>6</v>
      </c>
      <c r="D164" s="203" t="s">
        <v>49</v>
      </c>
      <c r="E164" s="203" t="s">
        <v>50</v>
      </c>
      <c r="F164" s="203" t="s">
        <v>68</v>
      </c>
      <c r="G164" s="204">
        <v>50838</v>
      </c>
      <c r="H164" s="205">
        <v>1374</v>
      </c>
      <c r="I164" s="189"/>
      <c r="J164" s="189"/>
      <c r="K164" s="206">
        <v>19</v>
      </c>
      <c r="L164" s="206">
        <v>15</v>
      </c>
      <c r="M164" s="206">
        <v>14</v>
      </c>
      <c r="N164" s="206">
        <v>21</v>
      </c>
      <c r="O164" s="206">
        <v>13</v>
      </c>
      <c r="P164" s="206">
        <v>17</v>
      </c>
      <c r="Q164" s="206">
        <v>10</v>
      </c>
      <c r="R164" s="206">
        <v>16.5</v>
      </c>
      <c r="S164" s="207">
        <f t="shared" si="10"/>
        <v>15.6875</v>
      </c>
      <c r="T164" s="192" t="s">
        <v>247</v>
      </c>
      <c r="U164" s="189"/>
      <c r="V164" s="189"/>
      <c r="W164" s="189"/>
      <c r="X164" s="189"/>
      <c r="Y164" s="189"/>
      <c r="Z164" s="189"/>
    </row>
    <row r="165" spans="1:26">
      <c r="A165" s="203">
        <v>2</v>
      </c>
      <c r="B165" s="203">
        <v>5</v>
      </c>
      <c r="C165" s="203">
        <v>7</v>
      </c>
      <c r="D165" s="203" t="s">
        <v>185</v>
      </c>
      <c r="E165" s="203" t="s">
        <v>186</v>
      </c>
      <c r="F165" s="203" t="s">
        <v>31</v>
      </c>
      <c r="G165" s="204">
        <v>50844</v>
      </c>
      <c r="H165" s="205">
        <v>515</v>
      </c>
      <c r="I165" s="206">
        <v>47</v>
      </c>
      <c r="J165" s="206">
        <v>50.5</v>
      </c>
      <c r="K165" s="206">
        <v>60</v>
      </c>
      <c r="L165" s="206">
        <v>56.2</v>
      </c>
      <c r="M165" s="206">
        <v>60</v>
      </c>
      <c r="N165" s="206">
        <v>54</v>
      </c>
      <c r="O165" s="206">
        <v>48.5</v>
      </c>
      <c r="P165" s="206">
        <v>48</v>
      </c>
      <c r="Q165" s="206">
        <v>50</v>
      </c>
      <c r="R165" s="189"/>
      <c r="S165" s="207">
        <f t="shared" si="10"/>
        <v>52.68888888888889</v>
      </c>
      <c r="T165" s="208"/>
      <c r="U165" s="189"/>
      <c r="V165" s="189"/>
      <c r="W165" s="189"/>
      <c r="X165" s="189"/>
      <c r="Y165" s="189"/>
      <c r="Z165" s="189"/>
    </row>
    <row r="166" spans="1:26">
      <c r="A166" s="203">
        <v>2</v>
      </c>
      <c r="B166" s="203">
        <v>5</v>
      </c>
      <c r="C166" s="203">
        <v>8</v>
      </c>
      <c r="D166" s="203" t="s">
        <v>187</v>
      </c>
      <c r="E166" s="203" t="s">
        <v>188</v>
      </c>
      <c r="F166" s="203" t="s">
        <v>68</v>
      </c>
      <c r="G166" s="204">
        <v>50881</v>
      </c>
      <c r="H166" s="205">
        <v>738</v>
      </c>
      <c r="I166" s="206">
        <v>44</v>
      </c>
      <c r="J166" s="206">
        <v>47</v>
      </c>
      <c r="K166" s="206">
        <v>33.5</v>
      </c>
      <c r="L166" s="206">
        <v>17</v>
      </c>
      <c r="M166" s="206">
        <v>71</v>
      </c>
      <c r="N166" s="206">
        <v>53</v>
      </c>
      <c r="O166" s="189"/>
      <c r="P166" s="206">
        <v>12.4</v>
      </c>
      <c r="Q166" s="206">
        <v>29</v>
      </c>
      <c r="R166" s="206">
        <v>13</v>
      </c>
      <c r="S166" s="207">
        <f t="shared" si="10"/>
        <v>35.544444444444444</v>
      </c>
      <c r="T166" s="208"/>
      <c r="U166" s="189"/>
      <c r="V166" s="189"/>
      <c r="W166" s="189"/>
      <c r="X166" s="189"/>
      <c r="Y166" s="189"/>
      <c r="Z166" s="189"/>
    </row>
    <row r="167" spans="1:26">
      <c r="A167" s="203">
        <v>2</v>
      </c>
      <c r="B167" s="203">
        <v>5</v>
      </c>
      <c r="C167" s="203">
        <v>8</v>
      </c>
      <c r="D167" s="203" t="s">
        <v>102</v>
      </c>
      <c r="E167" s="203" t="s">
        <v>103</v>
      </c>
      <c r="F167" s="203" t="s">
        <v>68</v>
      </c>
      <c r="G167" s="204">
        <v>50882</v>
      </c>
      <c r="H167" s="205">
        <v>549</v>
      </c>
      <c r="I167" s="206">
        <v>27</v>
      </c>
      <c r="J167" s="206">
        <v>23</v>
      </c>
      <c r="K167" s="206">
        <v>13</v>
      </c>
      <c r="L167" s="206">
        <v>27</v>
      </c>
      <c r="M167" s="206">
        <v>44</v>
      </c>
      <c r="N167" s="206">
        <v>34</v>
      </c>
      <c r="O167" s="206">
        <v>23</v>
      </c>
      <c r="P167" s="206">
        <v>36</v>
      </c>
      <c r="Q167" s="206">
        <v>31</v>
      </c>
      <c r="R167" s="189"/>
      <c r="S167" s="207">
        <f t="shared" si="10"/>
        <v>28.666666666666668</v>
      </c>
      <c r="T167" s="208"/>
      <c r="U167" s="189"/>
      <c r="V167" s="189"/>
      <c r="W167" s="189"/>
      <c r="X167" s="189"/>
      <c r="Y167" s="189"/>
      <c r="Z167" s="189"/>
    </row>
    <row r="168" spans="1:26">
      <c r="A168" s="203">
        <v>2</v>
      </c>
      <c r="B168" s="203">
        <v>5</v>
      </c>
      <c r="C168" s="203">
        <v>9</v>
      </c>
      <c r="D168" s="203" t="s">
        <v>189</v>
      </c>
      <c r="E168" s="203" t="s">
        <v>190</v>
      </c>
      <c r="F168" s="203" t="s">
        <v>31</v>
      </c>
      <c r="G168" s="204">
        <v>50798</v>
      </c>
      <c r="H168" s="205">
        <v>182</v>
      </c>
      <c r="I168" s="189"/>
      <c r="J168" s="206">
        <v>107</v>
      </c>
      <c r="K168" s="189"/>
      <c r="L168" s="189"/>
      <c r="M168" s="206">
        <v>79</v>
      </c>
      <c r="N168" s="206">
        <v>84</v>
      </c>
      <c r="O168" s="189"/>
      <c r="P168" s="189"/>
      <c r="Q168" s="189"/>
      <c r="R168" s="189"/>
      <c r="S168" s="207">
        <f t="shared" si="10"/>
        <v>90</v>
      </c>
      <c r="T168" s="192" t="s">
        <v>247</v>
      </c>
      <c r="U168" s="189"/>
      <c r="V168" s="189"/>
      <c r="W168" s="189"/>
      <c r="X168" s="189"/>
      <c r="Y168" s="189"/>
      <c r="Z168" s="189"/>
    </row>
    <row r="169" spans="1:26">
      <c r="A169" s="203">
        <v>2</v>
      </c>
      <c r="B169" s="203">
        <v>5</v>
      </c>
      <c r="C169" s="203">
        <v>9</v>
      </c>
      <c r="D169" s="203" t="s">
        <v>189</v>
      </c>
      <c r="E169" s="203" t="s">
        <v>190</v>
      </c>
      <c r="F169" s="203" t="s">
        <v>31</v>
      </c>
      <c r="G169" s="204">
        <v>50856</v>
      </c>
      <c r="H169" s="205">
        <v>162</v>
      </c>
      <c r="I169" s="189"/>
      <c r="J169" s="189"/>
      <c r="K169" s="189"/>
      <c r="L169" s="189"/>
      <c r="M169" s="206">
        <v>55</v>
      </c>
      <c r="N169" s="206">
        <v>42</v>
      </c>
      <c r="O169" s="189"/>
      <c r="P169" s="189"/>
      <c r="Q169" s="189"/>
      <c r="R169" s="189"/>
      <c r="S169" s="207">
        <f t="shared" si="10"/>
        <v>48.5</v>
      </c>
      <c r="T169" s="192" t="s">
        <v>247</v>
      </c>
      <c r="U169" s="189"/>
      <c r="V169" s="189"/>
      <c r="W169" s="189"/>
      <c r="X169" s="189"/>
      <c r="Y169" s="189"/>
      <c r="Z169" s="189"/>
    </row>
    <row r="170" spans="1:26">
      <c r="A170" s="203">
        <v>2</v>
      </c>
      <c r="B170" s="203">
        <v>5</v>
      </c>
      <c r="C170" s="203">
        <v>9</v>
      </c>
      <c r="D170" s="203" t="s">
        <v>189</v>
      </c>
      <c r="E170" s="203" t="s">
        <v>190</v>
      </c>
      <c r="F170" s="203" t="s">
        <v>68</v>
      </c>
      <c r="G170" s="204">
        <v>50698</v>
      </c>
      <c r="H170" s="205">
        <v>87</v>
      </c>
      <c r="I170" s="206">
        <v>66</v>
      </c>
      <c r="J170" s="206">
        <v>43</v>
      </c>
      <c r="K170" s="206">
        <v>99</v>
      </c>
      <c r="L170" s="206">
        <v>103</v>
      </c>
      <c r="M170" s="189"/>
      <c r="N170" s="189"/>
      <c r="O170" s="189"/>
      <c r="P170" s="189"/>
      <c r="Q170" s="189"/>
      <c r="R170" s="189"/>
      <c r="S170" s="207">
        <f t="shared" si="10"/>
        <v>77.75</v>
      </c>
      <c r="T170" s="192" t="s">
        <v>247</v>
      </c>
      <c r="U170" s="189"/>
      <c r="V170" s="189"/>
      <c r="W170" s="189"/>
      <c r="X170" s="189"/>
      <c r="Y170" s="189"/>
      <c r="Z170" s="189"/>
    </row>
    <row r="171" spans="1:26">
      <c r="A171" s="209">
        <v>2</v>
      </c>
      <c r="B171" s="209">
        <v>5</v>
      </c>
      <c r="C171" s="209">
        <v>10</v>
      </c>
      <c r="D171" s="209" t="s">
        <v>112</v>
      </c>
      <c r="E171" s="209" t="s">
        <v>113</v>
      </c>
      <c r="F171" s="209" t="s">
        <v>31</v>
      </c>
      <c r="G171" s="210">
        <v>50538</v>
      </c>
      <c r="H171" s="284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3"/>
      <c r="T171" s="214" t="s">
        <v>43</v>
      </c>
      <c r="U171" s="189"/>
      <c r="V171" s="189"/>
      <c r="W171" s="189"/>
      <c r="X171" s="189"/>
      <c r="Y171" s="189"/>
      <c r="Z171" s="189"/>
    </row>
    <row r="172" spans="1:26">
      <c r="A172" s="203">
        <v>2</v>
      </c>
      <c r="B172" s="203">
        <v>5</v>
      </c>
      <c r="C172" s="203">
        <v>10</v>
      </c>
      <c r="D172" s="203" t="s">
        <v>191</v>
      </c>
      <c r="E172" s="203" t="s">
        <v>192</v>
      </c>
      <c r="F172" s="203" t="s">
        <v>68</v>
      </c>
      <c r="G172" s="204">
        <v>50837</v>
      </c>
      <c r="H172" s="205">
        <v>330</v>
      </c>
      <c r="I172" s="206">
        <v>173</v>
      </c>
      <c r="J172" s="206">
        <v>104</v>
      </c>
      <c r="K172" s="206">
        <v>136</v>
      </c>
      <c r="L172" s="206">
        <v>127</v>
      </c>
      <c r="M172" s="189"/>
      <c r="N172" s="189"/>
      <c r="O172" s="206">
        <v>127.5</v>
      </c>
      <c r="P172" s="189"/>
      <c r="Q172" s="189"/>
      <c r="R172" s="206">
        <v>79</v>
      </c>
      <c r="S172" s="207">
        <f>AVERAGE(I172:R172)</f>
        <v>124.41666666666667</v>
      </c>
      <c r="T172" s="192" t="s">
        <v>247</v>
      </c>
      <c r="U172" s="189"/>
      <c r="V172" s="189"/>
      <c r="W172" s="189"/>
      <c r="X172" s="189"/>
      <c r="Y172" s="189"/>
      <c r="Z172" s="189"/>
    </row>
    <row r="173" spans="1:26">
      <c r="A173" s="273">
        <v>2</v>
      </c>
      <c r="B173" s="273">
        <v>5</v>
      </c>
      <c r="C173" s="273">
        <v>12</v>
      </c>
      <c r="D173" s="273" t="s">
        <v>49</v>
      </c>
      <c r="E173" s="273" t="s">
        <v>50</v>
      </c>
      <c r="F173" s="273" t="s">
        <v>31</v>
      </c>
      <c r="G173" s="274">
        <v>50566</v>
      </c>
      <c r="H173" s="275">
        <v>90</v>
      </c>
      <c r="I173" s="274">
        <v>30</v>
      </c>
      <c r="J173" s="276"/>
      <c r="K173" s="276"/>
      <c r="L173" s="276"/>
      <c r="M173" s="276"/>
      <c r="N173" s="276"/>
      <c r="O173" s="276"/>
      <c r="P173" s="276"/>
      <c r="Q173" s="276"/>
      <c r="R173" s="276"/>
      <c r="S173" s="278">
        <f>AVERAGE(I173:R173)</f>
        <v>30</v>
      </c>
      <c r="T173" s="280" t="s">
        <v>193</v>
      </c>
      <c r="U173" s="189"/>
      <c r="V173" s="189"/>
      <c r="W173" s="189"/>
      <c r="X173" s="189"/>
      <c r="Y173" s="189"/>
      <c r="Z173" s="189"/>
    </row>
    <row r="174" spans="1:26">
      <c r="A174" s="203">
        <v>2</v>
      </c>
      <c r="B174" s="203">
        <v>5</v>
      </c>
      <c r="C174" s="203">
        <v>12</v>
      </c>
      <c r="D174" s="203" t="s">
        <v>49</v>
      </c>
      <c r="E174" s="203" t="s">
        <v>50</v>
      </c>
      <c r="F174" s="203" t="s">
        <v>34</v>
      </c>
      <c r="G174" s="204">
        <v>50476</v>
      </c>
      <c r="H174" s="205">
        <v>192</v>
      </c>
      <c r="I174" s="206">
        <v>27</v>
      </c>
      <c r="J174" s="206">
        <v>16</v>
      </c>
      <c r="K174" s="177">
        <v>18</v>
      </c>
      <c r="L174" s="206">
        <v>18</v>
      </c>
      <c r="M174" s="189"/>
      <c r="N174" s="189"/>
      <c r="O174" s="206">
        <v>21</v>
      </c>
      <c r="P174" s="189"/>
      <c r="Q174" s="189"/>
      <c r="R174" s="189"/>
      <c r="S174" s="207">
        <f>AVERAGE(I174:R174)</f>
        <v>20</v>
      </c>
      <c r="T174" s="208"/>
      <c r="U174" s="189"/>
      <c r="V174" s="189"/>
      <c r="W174" s="189"/>
      <c r="X174" s="189"/>
      <c r="Y174" s="189"/>
      <c r="Z174" s="189"/>
    </row>
    <row r="175" spans="1:26">
      <c r="A175" s="215">
        <v>2</v>
      </c>
      <c r="B175" s="215">
        <v>5</v>
      </c>
      <c r="C175" s="215">
        <v>12</v>
      </c>
      <c r="D175" s="215" t="s">
        <v>49</v>
      </c>
      <c r="E175" s="215" t="s">
        <v>194</v>
      </c>
      <c r="F175" s="215" t="s">
        <v>34</v>
      </c>
      <c r="G175" s="216">
        <v>50634</v>
      </c>
      <c r="H175" s="217">
        <v>74</v>
      </c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5"/>
      <c r="T175" s="220" t="s">
        <v>55</v>
      </c>
      <c r="U175" s="189"/>
      <c r="V175" s="189"/>
      <c r="W175" s="189"/>
      <c r="X175" s="189"/>
      <c r="Y175" s="189"/>
      <c r="Z175" s="189"/>
    </row>
    <row r="176" spans="1:26">
      <c r="A176" s="203">
        <v>2</v>
      </c>
      <c r="B176" s="203">
        <v>5</v>
      </c>
      <c r="C176" s="203">
        <v>12</v>
      </c>
      <c r="D176" s="203" t="s">
        <v>49</v>
      </c>
      <c r="E176" s="203" t="s">
        <v>50</v>
      </c>
      <c r="F176" s="203" t="s">
        <v>68</v>
      </c>
      <c r="G176" s="204">
        <v>50633</v>
      </c>
      <c r="H176" s="205">
        <v>158</v>
      </c>
      <c r="I176" s="206">
        <v>16</v>
      </c>
      <c r="J176" s="206">
        <v>21</v>
      </c>
      <c r="K176" s="206">
        <v>11</v>
      </c>
      <c r="L176" s="206">
        <v>11</v>
      </c>
      <c r="M176" s="206">
        <v>14</v>
      </c>
      <c r="N176" s="206">
        <v>29</v>
      </c>
      <c r="O176" s="189"/>
      <c r="P176" s="189"/>
      <c r="Q176" s="189"/>
      <c r="R176" s="189"/>
      <c r="S176" s="207">
        <f t="shared" ref="S176:S185" si="11">AVERAGE(I176:R176)</f>
        <v>17</v>
      </c>
      <c r="T176" s="208"/>
      <c r="U176" s="189"/>
      <c r="V176" s="189"/>
      <c r="W176" s="189"/>
      <c r="X176" s="189"/>
      <c r="Y176" s="189"/>
      <c r="Z176" s="189"/>
    </row>
    <row r="177" spans="1:26">
      <c r="A177" s="203">
        <v>2</v>
      </c>
      <c r="B177" s="203">
        <v>5</v>
      </c>
      <c r="C177" s="203">
        <v>13</v>
      </c>
      <c r="D177" s="203" t="s">
        <v>37</v>
      </c>
      <c r="E177" s="203" t="s">
        <v>38</v>
      </c>
      <c r="F177" s="203" t="s">
        <v>25</v>
      </c>
      <c r="G177" s="204">
        <v>50342</v>
      </c>
      <c r="H177" s="205">
        <v>3</v>
      </c>
      <c r="I177" s="206">
        <v>111</v>
      </c>
      <c r="J177" s="189"/>
      <c r="K177" s="189"/>
      <c r="L177" s="189"/>
      <c r="M177" s="189"/>
      <c r="N177" s="189"/>
      <c r="O177" s="189"/>
      <c r="P177" s="189"/>
      <c r="Q177" s="189"/>
      <c r="R177" s="189"/>
      <c r="S177" s="207">
        <f t="shared" si="11"/>
        <v>111</v>
      </c>
      <c r="T177" s="208"/>
      <c r="U177" s="189"/>
      <c r="V177" s="189"/>
      <c r="W177" s="189"/>
      <c r="X177" s="189"/>
      <c r="Y177" s="189"/>
      <c r="Z177" s="189"/>
    </row>
    <row r="178" spans="1:26">
      <c r="A178" s="203">
        <v>2</v>
      </c>
      <c r="B178" s="203">
        <v>5</v>
      </c>
      <c r="C178" s="203">
        <v>13</v>
      </c>
      <c r="D178" s="203" t="s">
        <v>37</v>
      </c>
      <c r="E178" s="203" t="s">
        <v>38</v>
      </c>
      <c r="F178" s="203" t="s">
        <v>31</v>
      </c>
      <c r="G178" s="204">
        <v>50785</v>
      </c>
      <c r="H178" s="205">
        <v>131</v>
      </c>
      <c r="I178" s="206">
        <v>96</v>
      </c>
      <c r="J178" s="206">
        <v>142.5</v>
      </c>
      <c r="K178" s="206">
        <v>132</v>
      </c>
      <c r="L178" s="206">
        <v>112</v>
      </c>
      <c r="M178" s="206">
        <v>116</v>
      </c>
      <c r="N178" s="189"/>
      <c r="O178" s="189"/>
      <c r="P178" s="189"/>
      <c r="Q178" s="189"/>
      <c r="R178" s="189"/>
      <c r="S178" s="207">
        <f t="shared" si="11"/>
        <v>119.7</v>
      </c>
      <c r="T178" s="208"/>
      <c r="U178" s="189"/>
      <c r="V178" s="189"/>
      <c r="W178" s="189"/>
      <c r="X178" s="189"/>
      <c r="Y178" s="189"/>
      <c r="Z178" s="189"/>
    </row>
    <row r="179" spans="1:26">
      <c r="A179" s="203">
        <v>2</v>
      </c>
      <c r="B179" s="203">
        <v>5</v>
      </c>
      <c r="C179" s="203">
        <v>13</v>
      </c>
      <c r="D179" s="203" t="s">
        <v>37</v>
      </c>
      <c r="E179" s="203" t="s">
        <v>38</v>
      </c>
      <c r="F179" s="203" t="s">
        <v>25</v>
      </c>
      <c r="G179" s="204">
        <v>50694</v>
      </c>
      <c r="H179" s="205">
        <v>161</v>
      </c>
      <c r="I179" s="206">
        <v>92.5</v>
      </c>
      <c r="J179" s="177" t="s">
        <v>55</v>
      </c>
      <c r="K179" s="206">
        <v>87</v>
      </c>
      <c r="L179" s="189"/>
      <c r="M179" s="189"/>
      <c r="N179" s="189"/>
      <c r="O179" s="189"/>
      <c r="P179" s="189"/>
      <c r="Q179" s="189"/>
      <c r="R179" s="189"/>
      <c r="S179" s="207">
        <f t="shared" si="11"/>
        <v>89.75</v>
      </c>
      <c r="T179" s="208"/>
      <c r="U179" s="189"/>
      <c r="V179" s="189"/>
      <c r="W179" s="189"/>
      <c r="X179" s="189"/>
      <c r="Y179" s="189"/>
      <c r="Z179" s="189"/>
    </row>
    <row r="180" spans="1:26">
      <c r="A180" s="203">
        <v>2</v>
      </c>
      <c r="B180" s="203">
        <v>5</v>
      </c>
      <c r="C180" s="203">
        <v>13</v>
      </c>
      <c r="D180" s="203" t="s">
        <v>37</v>
      </c>
      <c r="E180" s="203" t="s">
        <v>38</v>
      </c>
      <c r="F180" s="203" t="s">
        <v>68</v>
      </c>
      <c r="G180" s="204">
        <v>50600</v>
      </c>
      <c r="H180" s="205">
        <v>36</v>
      </c>
      <c r="I180" s="206">
        <v>75</v>
      </c>
      <c r="J180" s="189"/>
      <c r="K180" s="189"/>
      <c r="L180" s="189"/>
      <c r="M180" s="189"/>
      <c r="N180" s="189"/>
      <c r="O180" s="189"/>
      <c r="P180" s="189"/>
      <c r="Q180" s="189"/>
      <c r="R180" s="189"/>
      <c r="S180" s="207">
        <f t="shared" si="11"/>
        <v>75</v>
      </c>
      <c r="T180" s="208"/>
      <c r="U180" s="189"/>
      <c r="V180" s="189"/>
      <c r="W180" s="189"/>
      <c r="X180" s="189"/>
      <c r="Y180" s="189"/>
      <c r="Z180" s="189"/>
    </row>
    <row r="181" spans="1:26">
      <c r="A181" s="203">
        <v>2</v>
      </c>
      <c r="B181" s="203">
        <v>5</v>
      </c>
      <c r="C181" s="203">
        <v>13</v>
      </c>
      <c r="D181" s="203" t="s">
        <v>37</v>
      </c>
      <c r="E181" s="203" t="s">
        <v>38</v>
      </c>
      <c r="F181" s="203" t="s">
        <v>34</v>
      </c>
      <c r="G181" s="204">
        <v>50663</v>
      </c>
      <c r="H181" s="205">
        <v>14</v>
      </c>
      <c r="I181" s="206">
        <v>105.5</v>
      </c>
      <c r="J181" s="189"/>
      <c r="K181" s="189"/>
      <c r="L181" s="189"/>
      <c r="M181" s="189"/>
      <c r="N181" s="189"/>
      <c r="O181" s="189"/>
      <c r="P181" s="189"/>
      <c r="Q181" s="189"/>
      <c r="R181" s="189"/>
      <c r="S181" s="207">
        <f t="shared" si="11"/>
        <v>105.5</v>
      </c>
      <c r="T181" s="208"/>
      <c r="U181" s="189"/>
      <c r="V181" s="189"/>
      <c r="W181" s="189"/>
      <c r="X181" s="189"/>
      <c r="Y181" s="189"/>
      <c r="Z181" s="189"/>
    </row>
    <row r="182" spans="1:26">
      <c r="A182" s="203">
        <v>2</v>
      </c>
      <c r="B182" s="203">
        <v>5</v>
      </c>
      <c r="C182" s="203">
        <v>13</v>
      </c>
      <c r="D182" s="203" t="s">
        <v>37</v>
      </c>
      <c r="E182" s="203" t="s">
        <v>38</v>
      </c>
      <c r="F182" s="203" t="s">
        <v>68</v>
      </c>
      <c r="G182" s="204">
        <v>50696</v>
      </c>
      <c r="H182" s="205">
        <v>45</v>
      </c>
      <c r="I182" s="206">
        <v>101</v>
      </c>
      <c r="J182" s="189"/>
      <c r="K182" s="189"/>
      <c r="L182" s="189"/>
      <c r="M182" s="189"/>
      <c r="N182" s="189"/>
      <c r="O182" s="189"/>
      <c r="P182" s="189"/>
      <c r="Q182" s="189"/>
      <c r="R182" s="189"/>
      <c r="S182" s="207">
        <f t="shared" si="11"/>
        <v>101</v>
      </c>
      <c r="T182" s="208"/>
      <c r="U182" s="189"/>
      <c r="V182" s="189"/>
      <c r="W182" s="189"/>
      <c r="X182" s="189"/>
      <c r="Y182" s="189"/>
      <c r="Z182" s="189"/>
    </row>
    <row r="183" spans="1:26">
      <c r="A183" s="203">
        <v>2</v>
      </c>
      <c r="B183" s="203">
        <v>6</v>
      </c>
      <c r="C183" s="203">
        <v>1</v>
      </c>
      <c r="D183" s="203" t="s">
        <v>195</v>
      </c>
      <c r="E183" s="203" t="s">
        <v>196</v>
      </c>
      <c r="F183" s="203" t="s">
        <v>34</v>
      </c>
      <c r="G183" s="204">
        <v>50703</v>
      </c>
      <c r="H183" s="205">
        <v>190</v>
      </c>
      <c r="I183" s="206">
        <v>116</v>
      </c>
      <c r="J183" s="206">
        <v>155.5</v>
      </c>
      <c r="K183" s="206">
        <v>119</v>
      </c>
      <c r="L183" s="206">
        <v>152</v>
      </c>
      <c r="M183" s="206">
        <v>158</v>
      </c>
      <c r="N183" s="206">
        <v>134</v>
      </c>
      <c r="O183" s="206">
        <v>112</v>
      </c>
      <c r="P183" s="189"/>
      <c r="Q183" s="189"/>
      <c r="R183" s="189"/>
      <c r="S183" s="207">
        <f t="shared" si="11"/>
        <v>135.21428571428572</v>
      </c>
      <c r="T183" s="208"/>
      <c r="U183" s="189"/>
      <c r="V183" s="189"/>
      <c r="W183" s="189"/>
      <c r="X183" s="189"/>
      <c r="Y183" s="189"/>
      <c r="Z183" s="189"/>
    </row>
    <row r="184" spans="1:26">
      <c r="A184" s="203">
        <v>2</v>
      </c>
      <c r="B184" s="203">
        <v>6</v>
      </c>
      <c r="C184" s="203">
        <v>2</v>
      </c>
      <c r="D184" s="203" t="s">
        <v>197</v>
      </c>
      <c r="E184" s="203" t="s">
        <v>198</v>
      </c>
      <c r="F184" s="203" t="s">
        <v>25</v>
      </c>
      <c r="G184" s="204">
        <v>50771</v>
      </c>
      <c r="H184" s="205">
        <v>9</v>
      </c>
      <c r="I184" s="206">
        <v>84</v>
      </c>
      <c r="J184" s="189"/>
      <c r="K184" s="189"/>
      <c r="L184" s="189"/>
      <c r="M184" s="189"/>
      <c r="N184" s="189"/>
      <c r="O184" s="189"/>
      <c r="P184" s="189"/>
      <c r="Q184" s="189"/>
      <c r="R184" s="189"/>
      <c r="S184" s="207">
        <f t="shared" si="11"/>
        <v>84</v>
      </c>
      <c r="T184" s="208"/>
      <c r="U184" s="189"/>
      <c r="V184" s="189"/>
      <c r="W184" s="189"/>
      <c r="X184" s="189"/>
      <c r="Y184" s="189"/>
      <c r="Z184" s="189"/>
    </row>
    <row r="185" spans="1:26">
      <c r="A185" s="203">
        <v>2</v>
      </c>
      <c r="B185" s="203">
        <v>6</v>
      </c>
      <c r="C185" s="203">
        <v>2</v>
      </c>
      <c r="D185" s="203" t="s">
        <v>37</v>
      </c>
      <c r="E185" s="203" t="s">
        <v>38</v>
      </c>
      <c r="F185" s="203" t="s">
        <v>34</v>
      </c>
      <c r="G185" s="204">
        <v>50622</v>
      </c>
      <c r="H185" s="205">
        <v>47</v>
      </c>
      <c r="I185" s="206">
        <v>66</v>
      </c>
      <c r="J185" s="189"/>
      <c r="K185" s="189"/>
      <c r="L185" s="189"/>
      <c r="M185" s="189"/>
      <c r="N185" s="189"/>
      <c r="O185" s="189"/>
      <c r="P185" s="189"/>
      <c r="Q185" s="189"/>
      <c r="R185" s="189"/>
      <c r="S185" s="207">
        <f t="shared" si="11"/>
        <v>66</v>
      </c>
      <c r="T185" s="208"/>
      <c r="U185" s="189"/>
      <c r="V185" s="189"/>
      <c r="W185" s="189"/>
      <c r="X185" s="189"/>
      <c r="Y185" s="189"/>
      <c r="Z185" s="189"/>
    </row>
    <row r="186" spans="1:26">
      <c r="A186" s="215">
        <v>2</v>
      </c>
      <c r="B186" s="215">
        <v>6</v>
      </c>
      <c r="C186" s="215">
        <v>2</v>
      </c>
      <c r="D186" s="215" t="s">
        <v>37</v>
      </c>
      <c r="E186" s="215" t="s">
        <v>38</v>
      </c>
      <c r="F186" s="215" t="s">
        <v>25</v>
      </c>
      <c r="G186" s="216">
        <v>50694</v>
      </c>
      <c r="H186" s="217">
        <v>81</v>
      </c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5"/>
      <c r="T186" s="220" t="s">
        <v>55</v>
      </c>
      <c r="U186" s="189"/>
      <c r="V186" s="189"/>
      <c r="W186" s="189"/>
      <c r="X186" s="189"/>
      <c r="Y186" s="189"/>
      <c r="Z186" s="189"/>
    </row>
    <row r="187" spans="1:26">
      <c r="A187" s="215">
        <v>2</v>
      </c>
      <c r="B187" s="215">
        <v>6</v>
      </c>
      <c r="C187" s="215">
        <v>2</v>
      </c>
      <c r="D187" s="215" t="s">
        <v>199</v>
      </c>
      <c r="E187" s="215" t="s">
        <v>200</v>
      </c>
      <c r="F187" s="215" t="s">
        <v>34</v>
      </c>
      <c r="G187" s="216">
        <v>50603</v>
      </c>
      <c r="H187" s="217">
        <v>65</v>
      </c>
      <c r="I187" s="224"/>
      <c r="J187" s="224"/>
      <c r="K187" s="224"/>
      <c r="L187" s="224"/>
      <c r="M187" s="224"/>
      <c r="N187" s="224"/>
      <c r="O187" s="224"/>
      <c r="P187" s="224"/>
      <c r="Q187" s="224"/>
      <c r="R187" s="224"/>
      <c r="S187" s="225"/>
      <c r="T187" s="220" t="s">
        <v>55</v>
      </c>
      <c r="U187" s="189"/>
      <c r="V187" s="189"/>
      <c r="W187" s="189"/>
      <c r="X187" s="189"/>
      <c r="Y187" s="189"/>
      <c r="Z187" s="189"/>
    </row>
    <row r="188" spans="1:26">
      <c r="A188" s="215">
        <v>2</v>
      </c>
      <c r="B188" s="215">
        <v>6</v>
      </c>
      <c r="C188" s="215">
        <v>2</v>
      </c>
      <c r="D188" s="215" t="s">
        <v>199</v>
      </c>
      <c r="E188" s="215" t="s">
        <v>200</v>
      </c>
      <c r="F188" s="215" t="s">
        <v>34</v>
      </c>
      <c r="G188" s="216">
        <v>50656</v>
      </c>
      <c r="H188" s="217">
        <v>23</v>
      </c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5"/>
      <c r="T188" s="220" t="s">
        <v>55</v>
      </c>
      <c r="U188" s="189"/>
      <c r="V188" s="189"/>
      <c r="W188" s="189"/>
      <c r="X188" s="189"/>
      <c r="Y188" s="189"/>
      <c r="Z188" s="189"/>
    </row>
    <row r="189" spans="1:26">
      <c r="A189" s="203">
        <v>2</v>
      </c>
      <c r="B189" s="203">
        <v>6</v>
      </c>
      <c r="C189" s="203">
        <v>3</v>
      </c>
      <c r="D189" s="203" t="s">
        <v>201</v>
      </c>
      <c r="E189" s="203" t="s">
        <v>202</v>
      </c>
      <c r="F189" s="203" t="s">
        <v>34</v>
      </c>
      <c r="G189" s="204">
        <v>50601</v>
      </c>
      <c r="H189" s="205">
        <v>146</v>
      </c>
      <c r="I189" s="206">
        <v>70.5</v>
      </c>
      <c r="J189" s="206">
        <v>93</v>
      </c>
      <c r="K189" s="206">
        <v>81</v>
      </c>
      <c r="L189" s="206">
        <v>72</v>
      </c>
      <c r="M189" s="206">
        <v>66</v>
      </c>
      <c r="N189" s="206">
        <v>43</v>
      </c>
      <c r="O189" s="189"/>
      <c r="P189" s="189"/>
      <c r="Q189" s="189"/>
      <c r="R189" s="189"/>
      <c r="S189" s="207">
        <f t="shared" ref="S189:S196" si="12">AVERAGE(I189:R189)</f>
        <v>70.916666666666671</v>
      </c>
      <c r="T189" s="208"/>
      <c r="U189" s="189"/>
      <c r="V189" s="189"/>
      <c r="W189" s="189"/>
      <c r="X189" s="189"/>
      <c r="Y189" s="189"/>
      <c r="Z189" s="189"/>
    </row>
    <row r="190" spans="1:26">
      <c r="A190" s="203">
        <v>2</v>
      </c>
      <c r="B190" s="203">
        <v>6</v>
      </c>
      <c r="C190" s="203">
        <v>3</v>
      </c>
      <c r="D190" s="203" t="s">
        <v>201</v>
      </c>
      <c r="E190" s="203" t="s">
        <v>202</v>
      </c>
      <c r="F190" s="203" t="s">
        <v>25</v>
      </c>
      <c r="G190" s="204">
        <v>50525</v>
      </c>
      <c r="H190" s="205">
        <v>42</v>
      </c>
      <c r="I190" s="206">
        <v>76</v>
      </c>
      <c r="J190" s="206">
        <v>76</v>
      </c>
      <c r="K190" s="189"/>
      <c r="L190" s="189"/>
      <c r="M190" s="189"/>
      <c r="N190" s="189"/>
      <c r="O190" s="189"/>
      <c r="P190" s="189"/>
      <c r="Q190" s="189"/>
      <c r="R190" s="189"/>
      <c r="S190" s="207">
        <f t="shared" si="12"/>
        <v>76</v>
      </c>
      <c r="T190" s="208"/>
      <c r="U190" s="189"/>
      <c r="V190" s="189"/>
      <c r="W190" s="189"/>
      <c r="X190" s="189"/>
      <c r="Y190" s="189"/>
      <c r="Z190" s="189"/>
    </row>
    <row r="191" spans="1:26">
      <c r="A191" s="203">
        <v>2</v>
      </c>
      <c r="B191" s="203">
        <v>6</v>
      </c>
      <c r="C191" s="203">
        <v>3</v>
      </c>
      <c r="D191" s="203" t="s">
        <v>199</v>
      </c>
      <c r="E191" s="203" t="s">
        <v>200</v>
      </c>
      <c r="F191" s="203" t="s">
        <v>34</v>
      </c>
      <c r="G191" s="204">
        <v>50603</v>
      </c>
      <c r="H191" s="205">
        <v>32</v>
      </c>
      <c r="I191" s="206">
        <v>77</v>
      </c>
      <c r="J191" s="206">
        <v>54</v>
      </c>
      <c r="K191" s="189"/>
      <c r="L191" s="189"/>
      <c r="M191" s="189"/>
      <c r="N191" s="189"/>
      <c r="O191" s="189"/>
      <c r="P191" s="189"/>
      <c r="Q191" s="189"/>
      <c r="R191" s="189"/>
      <c r="S191" s="207">
        <f t="shared" si="12"/>
        <v>65.5</v>
      </c>
      <c r="T191" s="208"/>
      <c r="U191" s="189"/>
      <c r="V191" s="189"/>
      <c r="W191" s="189"/>
      <c r="X191" s="189"/>
      <c r="Y191" s="189"/>
      <c r="Z191" s="189"/>
    </row>
    <row r="192" spans="1:26">
      <c r="A192" s="203">
        <v>2</v>
      </c>
      <c r="B192" s="203">
        <v>6</v>
      </c>
      <c r="C192" s="203">
        <v>4</v>
      </c>
      <c r="D192" s="203" t="s">
        <v>203</v>
      </c>
      <c r="E192" s="203" t="s">
        <v>204</v>
      </c>
      <c r="F192" s="203" t="s">
        <v>68</v>
      </c>
      <c r="G192" s="204">
        <v>50835</v>
      </c>
      <c r="H192" s="205">
        <v>580</v>
      </c>
      <c r="I192" s="206">
        <v>139.5</v>
      </c>
      <c r="J192" s="206">
        <v>162</v>
      </c>
      <c r="K192" s="206">
        <v>163</v>
      </c>
      <c r="L192" s="206">
        <v>93</v>
      </c>
      <c r="M192" s="206">
        <v>81.5</v>
      </c>
      <c r="N192" s="206">
        <v>130.5</v>
      </c>
      <c r="O192" s="206">
        <v>156.5</v>
      </c>
      <c r="P192" s="206">
        <v>71</v>
      </c>
      <c r="Q192" s="206">
        <v>175</v>
      </c>
      <c r="R192" s="206">
        <v>103.5</v>
      </c>
      <c r="S192" s="207">
        <f t="shared" si="12"/>
        <v>127.55</v>
      </c>
      <c r="T192" s="208"/>
      <c r="U192" s="189"/>
      <c r="V192" s="189"/>
      <c r="W192" s="189"/>
      <c r="X192" s="189"/>
      <c r="Y192" s="189"/>
      <c r="Z192" s="189"/>
    </row>
    <row r="193" spans="1:26">
      <c r="A193" s="203">
        <v>2</v>
      </c>
      <c r="B193" s="203">
        <v>6</v>
      </c>
      <c r="C193" s="203">
        <v>5</v>
      </c>
      <c r="D193" s="203" t="s">
        <v>203</v>
      </c>
      <c r="E193" s="203" t="s">
        <v>204</v>
      </c>
      <c r="F193" s="203" t="s">
        <v>68</v>
      </c>
      <c r="G193" s="204">
        <v>50835</v>
      </c>
      <c r="H193" s="205">
        <v>308</v>
      </c>
      <c r="I193" s="206">
        <v>129</v>
      </c>
      <c r="J193" s="206">
        <v>138</v>
      </c>
      <c r="K193" s="206">
        <v>156.19999999999999</v>
      </c>
      <c r="L193" s="189"/>
      <c r="M193" s="206">
        <v>121</v>
      </c>
      <c r="N193" s="206">
        <v>141</v>
      </c>
      <c r="O193" s="206">
        <v>110</v>
      </c>
      <c r="P193" s="206">
        <v>136</v>
      </c>
      <c r="Q193" s="189"/>
      <c r="R193" s="189"/>
      <c r="S193" s="207">
        <f t="shared" si="12"/>
        <v>133.02857142857144</v>
      </c>
      <c r="T193" s="192" t="s">
        <v>253</v>
      </c>
      <c r="U193" s="189"/>
      <c r="V193" s="189"/>
      <c r="W193" s="189"/>
      <c r="X193" s="189"/>
      <c r="Y193" s="189"/>
      <c r="Z193" s="189"/>
    </row>
    <row r="194" spans="1:26">
      <c r="A194" s="203">
        <v>2</v>
      </c>
      <c r="B194" s="203">
        <v>6</v>
      </c>
      <c r="C194" s="203">
        <v>5</v>
      </c>
      <c r="D194" s="203" t="s">
        <v>167</v>
      </c>
      <c r="E194" s="203" t="s">
        <v>168</v>
      </c>
      <c r="F194" s="203" t="s">
        <v>25</v>
      </c>
      <c r="G194" s="204">
        <v>50744</v>
      </c>
      <c r="H194" s="205">
        <v>1</v>
      </c>
      <c r="I194" s="206">
        <v>52</v>
      </c>
      <c r="J194" s="189"/>
      <c r="K194" s="189"/>
      <c r="L194" s="189"/>
      <c r="M194" s="189"/>
      <c r="N194" s="189"/>
      <c r="O194" s="189"/>
      <c r="P194" s="189"/>
      <c r="Q194" s="189"/>
      <c r="R194" s="189"/>
      <c r="S194" s="207">
        <f t="shared" si="12"/>
        <v>52</v>
      </c>
      <c r="T194" s="208"/>
      <c r="U194" s="189"/>
      <c r="V194" s="189"/>
      <c r="W194" s="189"/>
      <c r="X194" s="189"/>
      <c r="Y194" s="189"/>
      <c r="Z194" s="189"/>
    </row>
    <row r="195" spans="1:26">
      <c r="A195" s="203">
        <v>2</v>
      </c>
      <c r="B195" s="203">
        <v>7</v>
      </c>
      <c r="C195" s="203">
        <v>1</v>
      </c>
      <c r="D195" s="203" t="s">
        <v>177</v>
      </c>
      <c r="E195" s="203" t="s">
        <v>178</v>
      </c>
      <c r="F195" s="203" t="s">
        <v>68</v>
      </c>
      <c r="G195" s="204">
        <v>50852</v>
      </c>
      <c r="H195" s="205">
        <v>256</v>
      </c>
      <c r="I195" s="206">
        <v>58</v>
      </c>
      <c r="J195" s="206">
        <v>81</v>
      </c>
      <c r="K195" s="206">
        <v>73</v>
      </c>
      <c r="L195" s="206">
        <v>79</v>
      </c>
      <c r="M195" s="206">
        <v>59</v>
      </c>
      <c r="N195" s="206">
        <v>59</v>
      </c>
      <c r="O195" s="206">
        <v>34</v>
      </c>
      <c r="P195" s="206">
        <v>30</v>
      </c>
      <c r="Q195" s="189"/>
      <c r="R195" s="189"/>
      <c r="S195" s="207">
        <f t="shared" si="12"/>
        <v>59.125</v>
      </c>
      <c r="T195" s="208"/>
      <c r="U195" s="189"/>
      <c r="V195" s="189"/>
      <c r="W195" s="189"/>
      <c r="X195" s="189"/>
      <c r="Y195" s="189"/>
      <c r="Z195" s="189"/>
    </row>
    <row r="196" spans="1:26">
      <c r="A196" s="206">
        <v>2</v>
      </c>
      <c r="B196" s="203">
        <v>7</v>
      </c>
      <c r="C196" s="203">
        <v>2</v>
      </c>
      <c r="D196" s="203" t="s">
        <v>205</v>
      </c>
      <c r="E196" s="203" t="s">
        <v>206</v>
      </c>
      <c r="F196" s="203" t="s">
        <v>34</v>
      </c>
      <c r="G196" s="204">
        <v>50853</v>
      </c>
      <c r="H196" s="205">
        <v>642</v>
      </c>
      <c r="I196" s="206">
        <v>65</v>
      </c>
      <c r="J196" s="206">
        <v>72</v>
      </c>
      <c r="K196" s="206">
        <v>64</v>
      </c>
      <c r="L196" s="206">
        <v>62.5</v>
      </c>
      <c r="M196" s="206">
        <v>59.5</v>
      </c>
      <c r="N196" s="206">
        <v>57</v>
      </c>
      <c r="O196" s="206">
        <v>50</v>
      </c>
      <c r="P196" s="206">
        <v>54</v>
      </c>
      <c r="Q196" s="206">
        <v>32</v>
      </c>
      <c r="R196" s="206">
        <v>27</v>
      </c>
      <c r="S196" s="207">
        <f t="shared" si="12"/>
        <v>54.3</v>
      </c>
      <c r="T196" s="208"/>
      <c r="U196" s="189"/>
      <c r="V196" s="189"/>
      <c r="W196" s="189"/>
      <c r="X196" s="189"/>
      <c r="Y196" s="189"/>
      <c r="Z196" s="189"/>
    </row>
    <row r="197" spans="1:26">
      <c r="A197" s="215">
        <v>2</v>
      </c>
      <c r="B197" s="215">
        <v>7</v>
      </c>
      <c r="C197" s="215">
        <v>3</v>
      </c>
      <c r="D197" s="215" t="s">
        <v>208</v>
      </c>
      <c r="E197" s="215" t="s">
        <v>209</v>
      </c>
      <c r="F197" s="215" t="s">
        <v>68</v>
      </c>
      <c r="G197" s="216">
        <v>50635</v>
      </c>
      <c r="H197" s="217">
        <v>311</v>
      </c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5"/>
      <c r="T197" s="220" t="s">
        <v>248</v>
      </c>
      <c r="U197" s="189"/>
      <c r="V197" s="189"/>
      <c r="W197" s="189"/>
      <c r="X197" s="189"/>
      <c r="Y197" s="189"/>
      <c r="Z197" s="189"/>
    </row>
    <row r="198" spans="1:26">
      <c r="A198" s="203">
        <v>2</v>
      </c>
      <c r="B198" s="203">
        <v>7</v>
      </c>
      <c r="C198" s="203">
        <v>3</v>
      </c>
      <c r="D198" s="203" t="s">
        <v>81</v>
      </c>
      <c r="E198" s="203" t="s">
        <v>82</v>
      </c>
      <c r="F198" s="203" t="s">
        <v>34</v>
      </c>
      <c r="G198" s="204">
        <v>50555</v>
      </c>
      <c r="H198" s="205">
        <v>5</v>
      </c>
      <c r="I198" s="206">
        <v>53</v>
      </c>
      <c r="J198" s="189"/>
      <c r="K198" s="189"/>
      <c r="L198" s="189"/>
      <c r="M198" s="189"/>
      <c r="N198" s="189"/>
      <c r="O198" s="189"/>
      <c r="P198" s="189"/>
      <c r="Q198" s="189"/>
      <c r="R198" s="189"/>
      <c r="S198" s="207">
        <f>AVERAGE(I198:R198)</f>
        <v>53</v>
      </c>
      <c r="T198" s="208"/>
      <c r="U198" s="189"/>
      <c r="V198" s="189"/>
      <c r="W198" s="189"/>
      <c r="X198" s="189"/>
      <c r="Y198" s="189"/>
      <c r="Z198" s="189"/>
    </row>
    <row r="199" spans="1:26">
      <c r="A199" s="215">
        <v>2</v>
      </c>
      <c r="B199" s="215">
        <v>7</v>
      </c>
      <c r="C199" s="215">
        <v>3</v>
      </c>
      <c r="D199" s="215" t="s">
        <v>208</v>
      </c>
      <c r="E199" s="215" t="s">
        <v>209</v>
      </c>
      <c r="F199" s="215" t="s">
        <v>34</v>
      </c>
      <c r="G199" s="216">
        <v>50617</v>
      </c>
      <c r="H199" s="217">
        <v>75</v>
      </c>
      <c r="I199" s="224"/>
      <c r="J199" s="224"/>
      <c r="K199" s="224"/>
      <c r="L199" s="224"/>
      <c r="M199" s="224"/>
      <c r="N199" s="224"/>
      <c r="O199" s="224"/>
      <c r="P199" s="224"/>
      <c r="Q199" s="224"/>
      <c r="R199" s="224"/>
      <c r="S199" s="225"/>
      <c r="T199" s="220" t="s">
        <v>248</v>
      </c>
      <c r="U199" s="189"/>
      <c r="V199" s="189"/>
      <c r="W199" s="189"/>
      <c r="X199" s="189"/>
      <c r="Y199" s="189"/>
      <c r="Z199" s="189"/>
    </row>
    <row r="200" spans="1:26">
      <c r="A200" s="215">
        <v>2</v>
      </c>
      <c r="B200" s="215">
        <v>7</v>
      </c>
      <c r="C200" s="215">
        <v>4</v>
      </c>
      <c r="D200" s="215" t="s">
        <v>210</v>
      </c>
      <c r="E200" s="215" t="s">
        <v>211</v>
      </c>
      <c r="F200" s="215" t="s">
        <v>34</v>
      </c>
      <c r="G200" s="216">
        <v>50578</v>
      </c>
      <c r="H200" s="217">
        <v>4</v>
      </c>
      <c r="I200" s="224"/>
      <c r="J200" s="224"/>
      <c r="K200" s="224"/>
      <c r="L200" s="224"/>
      <c r="M200" s="224"/>
      <c r="N200" s="224"/>
      <c r="O200" s="224"/>
      <c r="P200" s="224"/>
      <c r="Q200" s="224"/>
      <c r="R200" s="224"/>
      <c r="S200" s="225"/>
      <c r="T200" s="220" t="s">
        <v>55</v>
      </c>
      <c r="U200" s="189"/>
      <c r="V200" s="189"/>
      <c r="W200" s="189"/>
      <c r="X200" s="189"/>
      <c r="Y200" s="189"/>
      <c r="Z200" s="189"/>
    </row>
    <row r="201" spans="1:26">
      <c r="A201" s="215">
        <v>2</v>
      </c>
      <c r="B201" s="215">
        <v>7</v>
      </c>
      <c r="C201" s="215">
        <v>4</v>
      </c>
      <c r="D201" s="215" t="s">
        <v>212</v>
      </c>
      <c r="E201" s="215" t="s">
        <v>213</v>
      </c>
      <c r="F201" s="215" t="s">
        <v>34</v>
      </c>
      <c r="G201" s="216">
        <v>50579</v>
      </c>
      <c r="H201" s="217">
        <v>1</v>
      </c>
      <c r="I201" s="224"/>
      <c r="J201" s="224"/>
      <c r="K201" s="224"/>
      <c r="L201" s="224"/>
      <c r="M201" s="224"/>
      <c r="N201" s="224"/>
      <c r="O201" s="224"/>
      <c r="P201" s="224"/>
      <c r="Q201" s="224"/>
      <c r="R201" s="224"/>
      <c r="S201" s="225"/>
      <c r="T201" s="220" t="s">
        <v>55</v>
      </c>
      <c r="U201" s="189"/>
      <c r="V201" s="189"/>
      <c r="W201" s="189"/>
      <c r="X201" s="189"/>
      <c r="Y201" s="189"/>
      <c r="Z201" s="189"/>
    </row>
    <row r="202" spans="1:26">
      <c r="A202" s="215">
        <v>2</v>
      </c>
      <c r="B202" s="215">
        <v>7</v>
      </c>
      <c r="C202" s="215">
        <v>4</v>
      </c>
      <c r="D202" s="215" t="s">
        <v>214</v>
      </c>
      <c r="E202" s="215" t="s">
        <v>215</v>
      </c>
      <c r="F202" s="215" t="s">
        <v>34</v>
      </c>
      <c r="G202" s="216">
        <v>50580</v>
      </c>
      <c r="H202" s="217">
        <v>25</v>
      </c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5"/>
      <c r="T202" s="220" t="s">
        <v>248</v>
      </c>
      <c r="U202" s="189"/>
      <c r="V202" s="189"/>
      <c r="W202" s="189"/>
      <c r="X202" s="189"/>
      <c r="Y202" s="189"/>
      <c r="Z202" s="189"/>
    </row>
    <row r="203" spans="1:26">
      <c r="A203" s="203">
        <v>2</v>
      </c>
      <c r="B203" s="203">
        <v>7</v>
      </c>
      <c r="C203" s="203">
        <v>4</v>
      </c>
      <c r="D203" s="203" t="s">
        <v>216</v>
      </c>
      <c r="E203" s="203" t="s">
        <v>217</v>
      </c>
      <c r="F203" s="203" t="s">
        <v>34</v>
      </c>
      <c r="G203" s="204">
        <v>50584</v>
      </c>
      <c r="H203" s="205">
        <v>92</v>
      </c>
      <c r="I203" s="206">
        <v>75</v>
      </c>
      <c r="J203" s="206">
        <v>63</v>
      </c>
      <c r="K203" s="206">
        <v>59.5</v>
      </c>
      <c r="L203" s="189"/>
      <c r="M203" s="189"/>
      <c r="N203" s="189"/>
      <c r="O203" s="189"/>
      <c r="P203" s="189"/>
      <c r="Q203" s="189"/>
      <c r="R203" s="189"/>
      <c r="S203" s="207">
        <f>AVERAGE(I203:R203)</f>
        <v>65.833333333333329</v>
      </c>
      <c r="T203" s="208"/>
      <c r="U203" s="189"/>
      <c r="V203" s="189"/>
      <c r="W203" s="189"/>
      <c r="X203" s="189"/>
      <c r="Y203" s="189"/>
      <c r="Z203" s="189"/>
    </row>
    <row r="204" spans="1:26">
      <c r="A204" s="203">
        <v>2</v>
      </c>
      <c r="B204" s="203">
        <v>7</v>
      </c>
      <c r="C204" s="203">
        <v>4</v>
      </c>
      <c r="D204" s="203" t="s">
        <v>218</v>
      </c>
      <c r="E204" s="203" t="s">
        <v>219</v>
      </c>
      <c r="F204" s="203" t="s">
        <v>34</v>
      </c>
      <c r="G204" s="204">
        <v>50547</v>
      </c>
      <c r="H204" s="205">
        <v>73</v>
      </c>
      <c r="I204" s="206">
        <v>94</v>
      </c>
      <c r="J204" s="206">
        <v>45.5</v>
      </c>
      <c r="K204" s="206">
        <v>80</v>
      </c>
      <c r="L204" s="189"/>
      <c r="M204" s="189"/>
      <c r="N204" s="189"/>
      <c r="O204" s="189"/>
      <c r="P204" s="189"/>
      <c r="Q204" s="189"/>
      <c r="R204" s="189"/>
      <c r="S204" s="207">
        <f>AVERAGE(I204:R204)</f>
        <v>73.166666666666671</v>
      </c>
      <c r="T204" s="208"/>
      <c r="U204" s="189"/>
      <c r="V204" s="189"/>
      <c r="W204" s="189"/>
      <c r="X204" s="189"/>
      <c r="Y204" s="189"/>
      <c r="Z204" s="189"/>
    </row>
    <row r="205" spans="1:26">
      <c r="A205" s="203">
        <v>2</v>
      </c>
      <c r="B205" s="203">
        <v>7</v>
      </c>
      <c r="C205" s="203">
        <v>4</v>
      </c>
      <c r="D205" s="203" t="s">
        <v>218</v>
      </c>
      <c r="E205" s="203" t="s">
        <v>219</v>
      </c>
      <c r="F205" s="203" t="s">
        <v>25</v>
      </c>
      <c r="G205" s="204">
        <v>50389</v>
      </c>
      <c r="H205" s="205">
        <v>14</v>
      </c>
      <c r="I205" s="206">
        <v>183</v>
      </c>
      <c r="J205" s="189"/>
      <c r="K205" s="189"/>
      <c r="L205" s="189"/>
      <c r="M205" s="189"/>
      <c r="N205" s="189"/>
      <c r="O205" s="189"/>
      <c r="P205" s="189"/>
      <c r="Q205" s="189"/>
      <c r="R205" s="189"/>
      <c r="S205" s="207">
        <f>AVERAGE(I205:R205)</f>
        <v>183</v>
      </c>
      <c r="T205" s="208"/>
      <c r="U205" s="189"/>
      <c r="V205" s="189"/>
      <c r="W205" s="189"/>
      <c r="X205" s="189"/>
      <c r="Y205" s="189"/>
      <c r="Z205" s="189"/>
    </row>
    <row r="206" spans="1:26">
      <c r="A206" s="203">
        <v>2</v>
      </c>
      <c r="B206" s="203">
        <v>7</v>
      </c>
      <c r="C206" s="203">
        <v>4</v>
      </c>
      <c r="D206" s="203" t="s">
        <v>218</v>
      </c>
      <c r="E206" s="203" t="s">
        <v>219</v>
      </c>
      <c r="F206" s="203" t="s">
        <v>25</v>
      </c>
      <c r="G206" s="204">
        <v>50676</v>
      </c>
      <c r="H206" s="205">
        <v>3</v>
      </c>
      <c r="I206" s="206">
        <v>268</v>
      </c>
      <c r="J206" s="189"/>
      <c r="K206" s="189"/>
      <c r="L206" s="189"/>
      <c r="M206" s="189"/>
      <c r="N206" s="189"/>
      <c r="O206" s="189"/>
      <c r="P206" s="189"/>
      <c r="Q206" s="189"/>
      <c r="R206" s="189"/>
      <c r="S206" s="207">
        <f>AVERAGE(I206:R206)</f>
        <v>268</v>
      </c>
      <c r="T206" s="208"/>
      <c r="U206" s="189"/>
      <c r="V206" s="189"/>
      <c r="W206" s="189"/>
      <c r="X206" s="189"/>
      <c r="Y206" s="189"/>
      <c r="Z206" s="189"/>
    </row>
    <row r="207" spans="1:26">
      <c r="A207" s="215">
        <v>2</v>
      </c>
      <c r="B207" s="215">
        <v>7</v>
      </c>
      <c r="C207" s="215">
        <v>5</v>
      </c>
      <c r="D207" s="215" t="s">
        <v>160</v>
      </c>
      <c r="E207" s="215" t="s">
        <v>161</v>
      </c>
      <c r="F207" s="215" t="s">
        <v>25</v>
      </c>
      <c r="G207" s="216">
        <v>50863</v>
      </c>
      <c r="H207" s="217">
        <v>168</v>
      </c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5"/>
      <c r="T207" s="220" t="s">
        <v>248</v>
      </c>
      <c r="U207" s="189"/>
      <c r="V207" s="189"/>
      <c r="W207" s="189"/>
      <c r="X207" s="189"/>
      <c r="Y207" s="189"/>
      <c r="Z207" s="189"/>
    </row>
    <row r="208" spans="1:26">
      <c r="A208" s="203">
        <v>2</v>
      </c>
      <c r="B208" s="203">
        <v>7</v>
      </c>
      <c r="C208" s="203">
        <v>5</v>
      </c>
      <c r="D208" s="203" t="s">
        <v>189</v>
      </c>
      <c r="E208" s="203" t="s">
        <v>190</v>
      </c>
      <c r="F208" s="203" t="s">
        <v>25</v>
      </c>
      <c r="G208" s="204">
        <v>50864</v>
      </c>
      <c r="H208" s="205">
        <v>279</v>
      </c>
      <c r="I208" s="206">
        <v>120</v>
      </c>
      <c r="J208" s="206">
        <v>117</v>
      </c>
      <c r="K208" s="206">
        <v>118</v>
      </c>
      <c r="L208" s="206">
        <v>108</v>
      </c>
      <c r="M208" s="206">
        <v>148.5</v>
      </c>
      <c r="N208" s="206">
        <v>131</v>
      </c>
      <c r="O208" s="206">
        <v>118</v>
      </c>
      <c r="P208" s="206">
        <v>114.5</v>
      </c>
      <c r="Q208" s="189"/>
      <c r="R208" s="189"/>
      <c r="S208" s="207">
        <f t="shared" ref="S208:S213" si="13">AVERAGE(I208:R208)</f>
        <v>121.875</v>
      </c>
      <c r="T208" s="208"/>
      <c r="U208" s="189"/>
      <c r="V208" s="189"/>
      <c r="W208" s="189"/>
      <c r="X208" s="189"/>
      <c r="Y208" s="189"/>
      <c r="Z208" s="189"/>
    </row>
    <row r="209" spans="1:26">
      <c r="A209" s="203">
        <v>2</v>
      </c>
      <c r="B209" s="203">
        <v>7</v>
      </c>
      <c r="C209" s="203">
        <v>6</v>
      </c>
      <c r="D209" s="203" t="s">
        <v>100</v>
      </c>
      <c r="E209" s="203" t="s">
        <v>101</v>
      </c>
      <c r="F209" s="203" t="s">
        <v>31</v>
      </c>
      <c r="G209" s="204">
        <v>50692</v>
      </c>
      <c r="H209" s="205">
        <v>462</v>
      </c>
      <c r="I209" s="206">
        <v>33</v>
      </c>
      <c r="J209" s="206">
        <v>43</v>
      </c>
      <c r="K209" s="206">
        <v>9</v>
      </c>
      <c r="L209" s="206">
        <v>22</v>
      </c>
      <c r="M209" s="206">
        <v>12</v>
      </c>
      <c r="N209" s="177" t="s">
        <v>207</v>
      </c>
      <c r="O209" s="206">
        <v>24</v>
      </c>
      <c r="P209" s="206">
        <v>23</v>
      </c>
      <c r="Q209" s="206">
        <v>6</v>
      </c>
      <c r="R209" s="206">
        <v>12</v>
      </c>
      <c r="S209" s="207">
        <f t="shared" si="13"/>
        <v>20.444444444444443</v>
      </c>
      <c r="T209" s="208"/>
      <c r="U209" s="189"/>
      <c r="V209" s="189"/>
      <c r="W209" s="189"/>
      <c r="X209" s="189"/>
      <c r="Y209" s="189"/>
      <c r="Z209" s="189"/>
    </row>
    <row r="210" spans="1:26">
      <c r="A210" s="203">
        <v>2</v>
      </c>
      <c r="B210" s="203">
        <v>7</v>
      </c>
      <c r="C210" s="203">
        <v>7</v>
      </c>
      <c r="D210" s="203" t="s">
        <v>58</v>
      </c>
      <c r="E210" s="203" t="s">
        <v>59</v>
      </c>
      <c r="F210" s="203" t="s">
        <v>25</v>
      </c>
      <c r="G210" s="204">
        <v>50868</v>
      </c>
      <c r="H210" s="205">
        <v>416</v>
      </c>
      <c r="I210" s="206">
        <v>180</v>
      </c>
      <c r="J210" s="206">
        <v>130</v>
      </c>
      <c r="K210" s="206">
        <v>143</v>
      </c>
      <c r="L210" s="189"/>
      <c r="M210" s="206">
        <v>157</v>
      </c>
      <c r="N210" s="189"/>
      <c r="O210" s="189"/>
      <c r="P210" s="189"/>
      <c r="Q210" s="189"/>
      <c r="R210" s="206">
        <v>29</v>
      </c>
      <c r="S210" s="207">
        <f t="shared" si="13"/>
        <v>127.8</v>
      </c>
      <c r="T210" s="208"/>
      <c r="U210" s="189"/>
      <c r="V210" s="189"/>
      <c r="W210" s="189"/>
      <c r="X210" s="189"/>
      <c r="Y210" s="189"/>
      <c r="Z210" s="189"/>
    </row>
    <row r="211" spans="1:26">
      <c r="A211" s="274">
        <v>2</v>
      </c>
      <c r="B211" s="274">
        <v>7</v>
      </c>
      <c r="C211" s="274">
        <v>7</v>
      </c>
      <c r="D211" s="273" t="s">
        <v>97</v>
      </c>
      <c r="E211" s="273" t="s">
        <v>220</v>
      </c>
      <c r="F211" s="273" t="s">
        <v>25</v>
      </c>
      <c r="G211" s="274">
        <v>50869</v>
      </c>
      <c r="H211" s="275">
        <v>214</v>
      </c>
      <c r="I211" s="274">
        <v>24.5</v>
      </c>
      <c r="J211" s="274">
        <v>19.5</v>
      </c>
      <c r="K211" s="274">
        <v>18.5</v>
      </c>
      <c r="L211" s="274">
        <v>22</v>
      </c>
      <c r="M211" s="276"/>
      <c r="N211" s="276"/>
      <c r="O211" s="276"/>
      <c r="P211" s="276"/>
      <c r="Q211" s="276"/>
      <c r="R211" s="276"/>
      <c r="S211" s="278">
        <f t="shared" si="13"/>
        <v>21.125</v>
      </c>
      <c r="T211" s="280" t="s">
        <v>221</v>
      </c>
      <c r="U211" s="189"/>
      <c r="V211" s="189"/>
      <c r="W211" s="189"/>
      <c r="X211" s="189"/>
      <c r="Y211" s="189"/>
      <c r="Z211" s="189"/>
    </row>
    <row r="212" spans="1:26">
      <c r="A212" s="203">
        <v>2</v>
      </c>
      <c r="B212" s="203">
        <v>7</v>
      </c>
      <c r="C212" s="203">
        <v>9</v>
      </c>
      <c r="D212" s="203" t="s">
        <v>222</v>
      </c>
      <c r="E212" s="203" t="s">
        <v>223</v>
      </c>
      <c r="F212" s="203" t="s">
        <v>25</v>
      </c>
      <c r="G212" s="204">
        <v>50870</v>
      </c>
      <c r="H212" s="205">
        <v>93</v>
      </c>
      <c r="I212" s="206">
        <v>39</v>
      </c>
      <c r="J212" s="206">
        <v>46.5</v>
      </c>
      <c r="K212" s="206">
        <v>14</v>
      </c>
      <c r="L212" s="206">
        <v>36.5</v>
      </c>
      <c r="M212" s="189"/>
      <c r="N212" s="189"/>
      <c r="O212" s="189"/>
      <c r="P212" s="189"/>
      <c r="Q212" s="189"/>
      <c r="R212" s="189"/>
      <c r="S212" s="207">
        <f t="shared" si="13"/>
        <v>34</v>
      </c>
      <c r="T212" s="208"/>
      <c r="U212" s="189"/>
      <c r="V212" s="189"/>
      <c r="W212" s="189"/>
      <c r="X212" s="189"/>
      <c r="Y212" s="189"/>
      <c r="Z212" s="189"/>
    </row>
    <row r="213" spans="1:26">
      <c r="A213" s="203">
        <v>2</v>
      </c>
      <c r="B213" s="203">
        <v>7</v>
      </c>
      <c r="C213" s="203">
        <v>9</v>
      </c>
      <c r="D213" s="203" t="s">
        <v>138</v>
      </c>
      <c r="E213" s="203" t="s">
        <v>139</v>
      </c>
      <c r="F213" s="203" t="s">
        <v>25</v>
      </c>
      <c r="G213" s="204">
        <v>50871</v>
      </c>
      <c r="H213" s="205">
        <v>433</v>
      </c>
      <c r="I213" s="206">
        <v>131</v>
      </c>
      <c r="J213" s="206">
        <v>81</v>
      </c>
      <c r="K213" s="206">
        <v>45</v>
      </c>
      <c r="L213" s="206">
        <v>60.5</v>
      </c>
      <c r="M213" s="206">
        <v>93</v>
      </c>
      <c r="N213" s="206">
        <v>65</v>
      </c>
      <c r="O213" s="206">
        <v>73</v>
      </c>
      <c r="P213" s="206">
        <v>19</v>
      </c>
      <c r="Q213" s="206">
        <v>64</v>
      </c>
      <c r="R213" s="206">
        <v>62</v>
      </c>
      <c r="S213" s="207">
        <f t="shared" si="13"/>
        <v>69.349999999999994</v>
      </c>
      <c r="T213" s="208"/>
      <c r="U213" s="189"/>
      <c r="V213" s="189"/>
      <c r="W213" s="189"/>
      <c r="X213" s="189"/>
      <c r="Y213" s="189"/>
      <c r="Z213" s="189"/>
    </row>
    <row r="214" spans="1:26">
      <c r="A214" s="216">
        <v>2</v>
      </c>
      <c r="B214" s="216">
        <v>7</v>
      </c>
      <c r="C214" s="216">
        <v>11</v>
      </c>
      <c r="D214" s="215" t="s">
        <v>224</v>
      </c>
      <c r="E214" s="215" t="s">
        <v>225</v>
      </c>
      <c r="F214" s="215" t="s">
        <v>25</v>
      </c>
      <c r="G214" s="216">
        <v>50872</v>
      </c>
      <c r="H214" s="217">
        <v>200</v>
      </c>
      <c r="I214" s="224"/>
      <c r="J214" s="224"/>
      <c r="K214" s="224"/>
      <c r="L214" s="224"/>
      <c r="M214" s="224"/>
      <c r="N214" s="224"/>
      <c r="O214" s="224"/>
      <c r="P214" s="224"/>
      <c r="Q214" s="224"/>
      <c r="R214" s="224"/>
      <c r="S214" s="225"/>
      <c r="T214" s="220" t="s">
        <v>55</v>
      </c>
      <c r="U214" s="189"/>
      <c r="V214" s="189"/>
      <c r="W214" s="189"/>
      <c r="X214" s="189"/>
      <c r="Y214" s="189"/>
      <c r="Z214" s="189"/>
    </row>
    <row r="215" spans="1:26">
      <c r="A215" s="215">
        <v>2</v>
      </c>
      <c r="B215" s="215">
        <v>7</v>
      </c>
      <c r="C215" s="215">
        <v>11</v>
      </c>
      <c r="D215" s="215" t="s">
        <v>212</v>
      </c>
      <c r="E215" s="215" t="s">
        <v>213</v>
      </c>
      <c r="F215" s="215" t="s">
        <v>25</v>
      </c>
      <c r="G215" s="216">
        <v>50873</v>
      </c>
      <c r="H215" s="217">
        <v>186</v>
      </c>
      <c r="I215" s="224"/>
      <c r="J215" s="224"/>
      <c r="K215" s="224"/>
      <c r="L215" s="224"/>
      <c r="M215" s="224"/>
      <c r="N215" s="224"/>
      <c r="O215" s="224"/>
      <c r="P215" s="224"/>
      <c r="Q215" s="224"/>
      <c r="R215" s="224"/>
      <c r="S215" s="225"/>
      <c r="T215" s="220" t="s">
        <v>55</v>
      </c>
      <c r="U215" s="189"/>
      <c r="V215" s="189"/>
      <c r="W215" s="189"/>
      <c r="X215" s="189"/>
      <c r="Y215" s="189"/>
      <c r="Z215" s="189"/>
    </row>
    <row r="216" spans="1:26">
      <c r="A216" s="203">
        <v>2</v>
      </c>
      <c r="B216" s="203">
        <v>7</v>
      </c>
      <c r="C216" s="203">
        <v>11</v>
      </c>
      <c r="D216" s="203" t="s">
        <v>74</v>
      </c>
      <c r="E216" s="203" t="s">
        <v>75</v>
      </c>
      <c r="F216" s="203" t="s">
        <v>25</v>
      </c>
      <c r="G216" s="204">
        <v>50885</v>
      </c>
      <c r="H216" s="205">
        <v>222</v>
      </c>
      <c r="I216" s="206">
        <v>33</v>
      </c>
      <c r="J216" s="206">
        <v>18</v>
      </c>
      <c r="K216" s="206">
        <v>25.5</v>
      </c>
      <c r="L216" s="206">
        <v>21</v>
      </c>
      <c r="M216" s="206">
        <v>37</v>
      </c>
      <c r="N216" s="206">
        <v>38</v>
      </c>
      <c r="O216" s="206">
        <v>14</v>
      </c>
      <c r="P216" s="206">
        <v>12</v>
      </c>
      <c r="Q216" s="206">
        <v>25.5</v>
      </c>
      <c r="R216" s="206">
        <v>10</v>
      </c>
      <c r="S216" s="207">
        <f t="shared" ref="S216:S222" si="14">AVERAGE(I216:R216)</f>
        <v>23.4</v>
      </c>
      <c r="T216" s="208"/>
      <c r="U216" s="189"/>
      <c r="V216" s="189"/>
      <c r="W216" s="189"/>
      <c r="X216" s="189"/>
      <c r="Y216" s="189"/>
      <c r="Z216" s="189"/>
    </row>
    <row r="217" spans="1:26">
      <c r="A217" s="203">
        <v>2</v>
      </c>
      <c r="B217" s="203">
        <v>7</v>
      </c>
      <c r="C217" s="203">
        <v>12</v>
      </c>
      <c r="D217" s="203" t="s">
        <v>226</v>
      </c>
      <c r="E217" s="203" t="s">
        <v>227</v>
      </c>
      <c r="F217" s="203" t="s">
        <v>34</v>
      </c>
      <c r="G217" s="204">
        <v>50662</v>
      </c>
      <c r="H217" s="205">
        <v>31</v>
      </c>
      <c r="I217" s="206">
        <v>78</v>
      </c>
      <c r="J217" s="189"/>
      <c r="K217" s="189"/>
      <c r="L217" s="189"/>
      <c r="M217" s="189"/>
      <c r="N217" s="189"/>
      <c r="O217" s="189"/>
      <c r="P217" s="189"/>
      <c r="Q217" s="189"/>
      <c r="R217" s="189"/>
      <c r="S217" s="207">
        <f t="shared" si="14"/>
        <v>78</v>
      </c>
      <c r="T217" s="208"/>
      <c r="U217" s="189"/>
      <c r="V217" s="189"/>
      <c r="W217" s="189"/>
      <c r="X217" s="189"/>
      <c r="Y217" s="189"/>
      <c r="Z217" s="189"/>
    </row>
    <row r="218" spans="1:26">
      <c r="A218" s="203">
        <v>2</v>
      </c>
      <c r="B218" s="203">
        <v>7</v>
      </c>
      <c r="C218" s="203">
        <v>12</v>
      </c>
      <c r="D218" s="203" t="s">
        <v>212</v>
      </c>
      <c r="E218" s="203" t="s">
        <v>213</v>
      </c>
      <c r="F218" s="203" t="s">
        <v>48</v>
      </c>
      <c r="G218" s="204">
        <v>10995</v>
      </c>
      <c r="H218" s="205">
        <v>170</v>
      </c>
      <c r="I218" s="206">
        <v>118</v>
      </c>
      <c r="J218" s="206">
        <v>80.5</v>
      </c>
      <c r="K218" s="206">
        <v>39</v>
      </c>
      <c r="L218" s="206">
        <v>38</v>
      </c>
      <c r="M218" s="206">
        <v>52.5</v>
      </c>
      <c r="N218" s="206">
        <v>73.5</v>
      </c>
      <c r="O218" s="189"/>
      <c r="P218" s="189"/>
      <c r="Q218" s="189"/>
      <c r="R218" s="189"/>
      <c r="S218" s="207">
        <f t="shared" si="14"/>
        <v>66.916666666666671</v>
      </c>
      <c r="T218" s="208"/>
      <c r="U218" s="189"/>
      <c r="V218" s="189"/>
      <c r="W218" s="189"/>
      <c r="X218" s="189"/>
      <c r="Y218" s="189"/>
      <c r="Z218" s="189"/>
    </row>
    <row r="219" spans="1:26">
      <c r="A219" s="203">
        <v>2</v>
      </c>
      <c r="B219" s="203">
        <v>7</v>
      </c>
      <c r="C219" s="203">
        <v>13</v>
      </c>
      <c r="D219" s="203" t="s">
        <v>66</v>
      </c>
      <c r="E219" s="203" t="s">
        <v>67</v>
      </c>
      <c r="F219" s="203" t="s">
        <v>31</v>
      </c>
      <c r="G219" s="204">
        <v>50323</v>
      </c>
      <c r="H219" s="205">
        <v>143</v>
      </c>
      <c r="I219" s="206">
        <v>24</v>
      </c>
      <c r="J219" s="206">
        <v>19</v>
      </c>
      <c r="K219" s="206">
        <v>25</v>
      </c>
      <c r="L219" s="206">
        <v>38</v>
      </c>
      <c r="M219" s="206">
        <v>39</v>
      </c>
      <c r="N219" s="206">
        <v>29</v>
      </c>
      <c r="O219" s="189"/>
      <c r="P219" s="189"/>
      <c r="Q219" s="189"/>
      <c r="R219" s="189"/>
      <c r="S219" s="207">
        <f t="shared" si="14"/>
        <v>29</v>
      </c>
      <c r="T219" s="208"/>
      <c r="U219" s="189"/>
      <c r="V219" s="189"/>
      <c r="W219" s="189"/>
      <c r="X219" s="189"/>
      <c r="Y219" s="189"/>
      <c r="Z219" s="189"/>
    </row>
    <row r="220" spans="1:26">
      <c r="A220" s="203">
        <v>2</v>
      </c>
      <c r="B220" s="203">
        <v>7</v>
      </c>
      <c r="C220" s="203">
        <v>13</v>
      </c>
      <c r="D220" s="203" t="s">
        <v>66</v>
      </c>
      <c r="E220" s="203" t="s">
        <v>67</v>
      </c>
      <c r="F220" s="203" t="s">
        <v>31</v>
      </c>
      <c r="G220" s="204">
        <v>50726</v>
      </c>
      <c r="H220" s="205">
        <v>166</v>
      </c>
      <c r="I220" s="206">
        <v>37</v>
      </c>
      <c r="J220" s="206">
        <v>30</v>
      </c>
      <c r="K220" s="206">
        <v>50</v>
      </c>
      <c r="L220" s="206">
        <v>29</v>
      </c>
      <c r="M220" s="206">
        <v>16.5</v>
      </c>
      <c r="N220" s="206">
        <v>10.5</v>
      </c>
      <c r="O220" s="206">
        <v>16</v>
      </c>
      <c r="P220" s="206">
        <v>46</v>
      </c>
      <c r="Q220" s="189"/>
      <c r="R220" s="189"/>
      <c r="S220" s="207">
        <f t="shared" si="14"/>
        <v>29.375</v>
      </c>
      <c r="T220" s="208"/>
      <c r="U220" s="189"/>
      <c r="V220" s="189"/>
      <c r="W220" s="189"/>
      <c r="X220" s="189"/>
      <c r="Y220" s="189"/>
      <c r="Z220" s="189"/>
    </row>
    <row r="221" spans="1:26">
      <c r="A221" s="203">
        <v>2</v>
      </c>
      <c r="B221" s="203">
        <v>7</v>
      </c>
      <c r="C221" s="203">
        <v>13</v>
      </c>
      <c r="D221" s="203" t="s">
        <v>66</v>
      </c>
      <c r="E221" s="203" t="s">
        <v>67</v>
      </c>
      <c r="F221" s="203" t="s">
        <v>34</v>
      </c>
      <c r="G221" s="204">
        <v>50087</v>
      </c>
      <c r="H221" s="205">
        <v>132</v>
      </c>
      <c r="I221" s="206">
        <v>40</v>
      </c>
      <c r="J221" s="206">
        <v>46.3</v>
      </c>
      <c r="K221" s="189"/>
      <c r="L221" s="189"/>
      <c r="M221" s="206">
        <v>39</v>
      </c>
      <c r="N221" s="206">
        <v>46</v>
      </c>
      <c r="O221" s="206">
        <v>55</v>
      </c>
      <c r="P221" s="206">
        <v>47</v>
      </c>
      <c r="Q221" s="189"/>
      <c r="R221" s="189"/>
      <c r="S221" s="207">
        <f t="shared" si="14"/>
        <v>45.550000000000004</v>
      </c>
      <c r="T221" s="192" t="s">
        <v>247</v>
      </c>
      <c r="U221" s="189"/>
      <c r="V221" s="189"/>
      <c r="W221" s="189"/>
      <c r="X221" s="189"/>
      <c r="Y221" s="189"/>
      <c r="Z221" s="189"/>
    </row>
    <row r="222" spans="1:26">
      <c r="A222" s="203">
        <v>2</v>
      </c>
      <c r="B222" s="203">
        <v>7</v>
      </c>
      <c r="C222" s="203">
        <v>13</v>
      </c>
      <c r="D222" s="203" t="s">
        <v>66</v>
      </c>
      <c r="E222" s="203" t="s">
        <v>67</v>
      </c>
      <c r="F222" s="203" t="s">
        <v>31</v>
      </c>
      <c r="G222" s="204">
        <v>50724</v>
      </c>
      <c r="H222" s="205">
        <v>224</v>
      </c>
      <c r="I222" s="206">
        <v>21</v>
      </c>
      <c r="J222" s="206">
        <v>26</v>
      </c>
      <c r="K222" s="206">
        <v>26</v>
      </c>
      <c r="L222" s="206">
        <v>43</v>
      </c>
      <c r="M222" s="189"/>
      <c r="N222" s="189"/>
      <c r="O222" s="206">
        <v>56</v>
      </c>
      <c r="P222" s="189"/>
      <c r="Q222" s="206">
        <v>20</v>
      </c>
      <c r="R222" s="206">
        <v>23</v>
      </c>
      <c r="S222" s="207">
        <f t="shared" si="14"/>
        <v>30.714285714285715</v>
      </c>
      <c r="T222" s="192" t="s">
        <v>247</v>
      </c>
      <c r="U222" s="189"/>
      <c r="V222" s="189"/>
      <c r="W222" s="189"/>
      <c r="X222" s="189"/>
      <c r="Y222" s="189"/>
      <c r="Z222" s="189"/>
    </row>
    <row r="223" spans="1:26">
      <c r="A223" s="215">
        <v>2</v>
      </c>
      <c r="B223" s="215">
        <v>7</v>
      </c>
      <c r="C223" s="215">
        <v>14</v>
      </c>
      <c r="D223" s="215" t="s">
        <v>228</v>
      </c>
      <c r="E223" s="215" t="s">
        <v>229</v>
      </c>
      <c r="F223" s="215" t="s">
        <v>25</v>
      </c>
      <c r="G223" s="216">
        <v>50855</v>
      </c>
      <c r="H223" s="217">
        <v>26</v>
      </c>
      <c r="I223" s="224"/>
      <c r="J223" s="224"/>
      <c r="K223" s="224"/>
      <c r="L223" s="224"/>
      <c r="M223" s="224"/>
      <c r="N223" s="224"/>
      <c r="O223" s="224"/>
      <c r="P223" s="224"/>
      <c r="Q223" s="224"/>
      <c r="R223" s="224"/>
      <c r="S223" s="225"/>
      <c r="T223" s="220" t="s">
        <v>55</v>
      </c>
      <c r="U223" s="189"/>
      <c r="V223" s="189"/>
      <c r="W223" s="189"/>
      <c r="X223" s="189"/>
      <c r="Y223" s="189"/>
      <c r="Z223" s="189"/>
    </row>
    <row r="224" spans="1:26">
      <c r="A224" s="203">
        <v>2</v>
      </c>
      <c r="B224" s="203">
        <v>7</v>
      </c>
      <c r="C224" s="203">
        <v>16</v>
      </c>
      <c r="D224" s="203" t="s">
        <v>138</v>
      </c>
      <c r="E224" s="203" t="s">
        <v>139</v>
      </c>
      <c r="F224" s="203" t="s">
        <v>25</v>
      </c>
      <c r="G224" s="204">
        <v>50879</v>
      </c>
      <c r="H224" s="205">
        <v>477</v>
      </c>
      <c r="I224" s="206">
        <v>13.5</v>
      </c>
      <c r="J224" s="206">
        <v>27.5</v>
      </c>
      <c r="K224" s="206">
        <v>27</v>
      </c>
      <c r="L224" s="206">
        <v>34</v>
      </c>
      <c r="M224" s="206">
        <v>31.5</v>
      </c>
      <c r="N224" s="206">
        <v>69</v>
      </c>
      <c r="O224" s="206">
        <v>41</v>
      </c>
      <c r="P224" s="206">
        <v>115</v>
      </c>
      <c r="Q224" s="206">
        <v>73</v>
      </c>
      <c r="R224" s="206">
        <v>59</v>
      </c>
      <c r="S224" s="207">
        <f t="shared" ref="S224:S230" si="15">AVERAGE(I224:R224)</f>
        <v>49.05</v>
      </c>
      <c r="T224" s="208"/>
      <c r="U224" s="189"/>
      <c r="V224" s="189"/>
      <c r="W224" s="189"/>
      <c r="X224" s="189"/>
      <c r="Y224" s="189"/>
      <c r="Z224" s="189"/>
    </row>
    <row r="225" spans="1:26">
      <c r="A225" s="203">
        <v>2</v>
      </c>
      <c r="B225" s="203">
        <v>7</v>
      </c>
      <c r="C225" s="203">
        <v>16</v>
      </c>
      <c r="D225" s="203" t="s">
        <v>122</v>
      </c>
      <c r="E225" s="203" t="s">
        <v>123</v>
      </c>
      <c r="F225" s="203" t="s">
        <v>25</v>
      </c>
      <c r="G225" s="204">
        <v>50888</v>
      </c>
      <c r="H225" s="205">
        <v>135</v>
      </c>
      <c r="I225" s="206">
        <v>16</v>
      </c>
      <c r="J225" s="206">
        <v>26</v>
      </c>
      <c r="K225" s="206">
        <v>28</v>
      </c>
      <c r="L225" s="206">
        <v>27</v>
      </c>
      <c r="M225" s="206">
        <v>20</v>
      </c>
      <c r="N225" s="206">
        <v>22</v>
      </c>
      <c r="O225" s="189"/>
      <c r="P225" s="189"/>
      <c r="Q225" s="189"/>
      <c r="R225" s="189"/>
      <c r="S225" s="207">
        <f t="shared" si="15"/>
        <v>23.166666666666668</v>
      </c>
      <c r="T225" s="208"/>
      <c r="U225" s="189"/>
      <c r="V225" s="189"/>
      <c r="W225" s="189"/>
      <c r="X225" s="189"/>
      <c r="Y225" s="189"/>
      <c r="Z225" s="189"/>
    </row>
    <row r="226" spans="1:26">
      <c r="A226" s="203">
        <v>2</v>
      </c>
      <c r="B226" s="203">
        <v>7</v>
      </c>
      <c r="C226" s="203">
        <v>17</v>
      </c>
      <c r="D226" s="203" t="s">
        <v>66</v>
      </c>
      <c r="E226" s="203" t="s">
        <v>67</v>
      </c>
      <c r="F226" s="203" t="s">
        <v>34</v>
      </c>
      <c r="G226" s="204">
        <v>50459</v>
      </c>
      <c r="H226" s="205">
        <v>126</v>
      </c>
      <c r="I226" s="206">
        <v>46</v>
      </c>
      <c r="J226" s="206">
        <v>33</v>
      </c>
      <c r="K226" s="189"/>
      <c r="L226" s="189"/>
      <c r="M226" s="189"/>
      <c r="N226" s="206">
        <v>61.2</v>
      </c>
      <c r="O226" s="189"/>
      <c r="P226" s="189"/>
      <c r="Q226" s="189"/>
      <c r="R226" s="189"/>
      <c r="S226" s="207">
        <f t="shared" si="15"/>
        <v>46.733333333333327</v>
      </c>
      <c r="T226" s="192" t="s">
        <v>247</v>
      </c>
      <c r="U226" s="189"/>
      <c r="V226" s="189"/>
      <c r="W226" s="189"/>
      <c r="X226" s="189"/>
      <c r="Y226" s="189"/>
      <c r="Z226" s="189"/>
    </row>
    <row r="227" spans="1:26">
      <c r="A227" s="203">
        <v>2</v>
      </c>
      <c r="B227" s="203">
        <v>7</v>
      </c>
      <c r="C227" s="203">
        <v>17</v>
      </c>
      <c r="D227" s="203" t="s">
        <v>66</v>
      </c>
      <c r="E227" s="203" t="s">
        <v>67</v>
      </c>
      <c r="F227" s="203" t="s">
        <v>34</v>
      </c>
      <c r="G227" s="204">
        <v>50602</v>
      </c>
      <c r="H227" s="205">
        <v>42</v>
      </c>
      <c r="I227" s="206">
        <v>47</v>
      </c>
      <c r="J227" s="206">
        <v>18</v>
      </c>
      <c r="K227" s="189"/>
      <c r="L227" s="189"/>
      <c r="M227" s="189"/>
      <c r="N227" s="189"/>
      <c r="O227" s="189"/>
      <c r="P227" s="189"/>
      <c r="Q227" s="189"/>
      <c r="R227" s="189"/>
      <c r="S227" s="207">
        <f t="shared" si="15"/>
        <v>32.5</v>
      </c>
      <c r="T227" s="208"/>
      <c r="U227" s="189"/>
      <c r="V227" s="189"/>
      <c r="W227" s="189"/>
      <c r="X227" s="189"/>
      <c r="Y227" s="189"/>
      <c r="Z227" s="189"/>
    </row>
    <row r="228" spans="1:26">
      <c r="A228" s="203">
        <v>2</v>
      </c>
      <c r="B228" s="203">
        <v>7</v>
      </c>
      <c r="C228" s="203">
        <v>18</v>
      </c>
      <c r="D228" s="203" t="s">
        <v>230</v>
      </c>
      <c r="E228" s="203" t="s">
        <v>231</v>
      </c>
      <c r="F228" s="203" t="s">
        <v>48</v>
      </c>
      <c r="G228" s="204">
        <v>50206</v>
      </c>
      <c r="H228" s="205">
        <v>73</v>
      </c>
      <c r="I228" s="206">
        <v>83</v>
      </c>
      <c r="J228" s="206">
        <v>97</v>
      </c>
      <c r="K228" s="206">
        <v>59</v>
      </c>
      <c r="L228" s="206">
        <v>54</v>
      </c>
      <c r="M228" s="189"/>
      <c r="N228" s="189"/>
      <c r="O228" s="189"/>
      <c r="P228" s="189"/>
      <c r="Q228" s="189"/>
      <c r="R228" s="189"/>
      <c r="S228" s="207">
        <f t="shared" si="15"/>
        <v>73.25</v>
      </c>
      <c r="T228" s="208"/>
      <c r="U228" s="189"/>
      <c r="V228" s="189"/>
      <c r="W228" s="189"/>
      <c r="X228" s="189"/>
      <c r="Y228" s="189"/>
      <c r="Z228" s="189"/>
    </row>
    <row r="229" spans="1:26">
      <c r="A229" s="203">
        <v>2</v>
      </c>
      <c r="B229" s="203">
        <v>7</v>
      </c>
      <c r="C229" s="203">
        <v>18</v>
      </c>
      <c r="D229" s="203" t="s">
        <v>232</v>
      </c>
      <c r="E229" s="245"/>
      <c r="F229" s="203" t="s">
        <v>68</v>
      </c>
      <c r="G229" s="204">
        <v>50779</v>
      </c>
      <c r="H229" s="205">
        <v>91</v>
      </c>
      <c r="I229" s="206">
        <v>40.5</v>
      </c>
      <c r="J229" s="206">
        <v>45</v>
      </c>
      <c r="K229" s="206">
        <v>43</v>
      </c>
      <c r="L229" s="189"/>
      <c r="M229" s="189"/>
      <c r="N229" s="189"/>
      <c r="O229" s="189"/>
      <c r="P229" s="189"/>
      <c r="Q229" s="189"/>
      <c r="R229" s="189"/>
      <c r="S229" s="207">
        <f t="shared" si="15"/>
        <v>42.833333333333336</v>
      </c>
      <c r="T229" s="208"/>
      <c r="U229" s="189"/>
      <c r="V229" s="189"/>
      <c r="W229" s="189"/>
      <c r="X229" s="189"/>
      <c r="Y229" s="189"/>
      <c r="Z229" s="189"/>
    </row>
    <row r="230" spans="1:26">
      <c r="A230" s="203">
        <v>2</v>
      </c>
      <c r="B230" s="203">
        <v>8</v>
      </c>
      <c r="C230" s="203">
        <v>2</v>
      </c>
      <c r="D230" s="203" t="s">
        <v>233</v>
      </c>
      <c r="E230" s="203" t="s">
        <v>234</v>
      </c>
      <c r="F230" s="203" t="s">
        <v>48</v>
      </c>
      <c r="G230" s="204">
        <v>50778</v>
      </c>
      <c r="H230" s="205">
        <v>118</v>
      </c>
      <c r="I230" s="206">
        <v>40</v>
      </c>
      <c r="J230" s="206">
        <v>81</v>
      </c>
      <c r="K230" s="189"/>
      <c r="L230" s="189"/>
      <c r="M230" s="189"/>
      <c r="N230" s="189"/>
      <c r="O230" s="189"/>
      <c r="P230" s="189"/>
      <c r="Q230" s="189"/>
      <c r="R230" s="189"/>
      <c r="S230" s="207">
        <f t="shared" si="15"/>
        <v>60.5</v>
      </c>
      <c r="T230" s="208"/>
      <c r="U230" s="189"/>
      <c r="V230" s="189"/>
      <c r="W230" s="189"/>
      <c r="X230" s="189"/>
      <c r="Y230" s="189"/>
      <c r="Z230" s="189"/>
    </row>
    <row r="231" spans="1:26">
      <c r="A231" s="215">
        <v>2</v>
      </c>
      <c r="B231" s="215">
        <v>8</v>
      </c>
      <c r="C231" s="215">
        <v>2</v>
      </c>
      <c r="D231" s="215" t="s">
        <v>233</v>
      </c>
      <c r="E231" s="215" t="s">
        <v>234</v>
      </c>
      <c r="F231" s="215" t="s">
        <v>34</v>
      </c>
      <c r="G231" s="216">
        <v>50587</v>
      </c>
      <c r="H231" s="217">
        <v>47</v>
      </c>
      <c r="I231" s="224"/>
      <c r="J231" s="224"/>
      <c r="K231" s="224"/>
      <c r="L231" s="224"/>
      <c r="M231" s="224"/>
      <c r="N231" s="224"/>
      <c r="O231" s="224"/>
      <c r="P231" s="224"/>
      <c r="Q231" s="224"/>
      <c r="R231" s="224"/>
      <c r="S231" s="225"/>
      <c r="T231" s="220" t="s">
        <v>248</v>
      </c>
      <c r="U231" s="189"/>
      <c r="V231" s="189"/>
      <c r="W231" s="189"/>
      <c r="X231" s="189"/>
      <c r="Y231" s="189"/>
      <c r="Z231" s="189"/>
    </row>
    <row r="232" spans="1:26">
      <c r="A232" s="215">
        <v>2</v>
      </c>
      <c r="B232" s="215">
        <v>8</v>
      </c>
      <c r="C232" s="215">
        <v>3</v>
      </c>
      <c r="D232" s="215" t="s">
        <v>134</v>
      </c>
      <c r="E232" s="215" t="s">
        <v>135</v>
      </c>
      <c r="F232" s="215" t="s">
        <v>25</v>
      </c>
      <c r="G232" s="216">
        <v>50268</v>
      </c>
      <c r="H232" s="217">
        <v>210</v>
      </c>
      <c r="I232" s="224"/>
      <c r="J232" s="224"/>
      <c r="K232" s="224"/>
      <c r="L232" s="224"/>
      <c r="M232" s="224"/>
      <c r="N232" s="224"/>
      <c r="O232" s="224"/>
      <c r="P232" s="224"/>
      <c r="Q232" s="224"/>
      <c r="R232" s="224"/>
      <c r="S232" s="225"/>
      <c r="T232" s="220" t="s">
        <v>248</v>
      </c>
      <c r="U232" s="189"/>
      <c r="V232" s="189"/>
      <c r="W232" s="189"/>
      <c r="X232" s="189"/>
      <c r="Y232" s="189"/>
      <c r="Z232" s="189"/>
    </row>
    <row r="233" spans="1:26">
      <c r="A233" s="203">
        <v>2</v>
      </c>
      <c r="B233" s="203">
        <v>8</v>
      </c>
      <c r="C233" s="203">
        <v>4</v>
      </c>
      <c r="D233" s="203" t="s">
        <v>132</v>
      </c>
      <c r="E233" s="203" t="s">
        <v>133</v>
      </c>
      <c r="F233" s="203" t="s">
        <v>68</v>
      </c>
      <c r="G233" s="204">
        <v>50454</v>
      </c>
      <c r="H233" s="205">
        <v>273</v>
      </c>
      <c r="I233" s="206">
        <v>11.5</v>
      </c>
      <c r="J233" s="206">
        <v>10.5</v>
      </c>
      <c r="K233" s="206">
        <v>19</v>
      </c>
      <c r="L233" s="206">
        <v>17</v>
      </c>
      <c r="M233" s="206">
        <v>17.5</v>
      </c>
      <c r="N233" s="206">
        <v>13</v>
      </c>
      <c r="O233" s="189"/>
      <c r="P233" s="189"/>
      <c r="Q233" s="189"/>
      <c r="R233" s="189"/>
      <c r="S233" s="207">
        <f>AVERAGE(I233:R233)</f>
        <v>14.75</v>
      </c>
      <c r="T233" s="208"/>
      <c r="U233" s="189"/>
      <c r="V233" s="189"/>
      <c r="W233" s="189"/>
      <c r="X233" s="189"/>
      <c r="Y233" s="189"/>
      <c r="Z233" s="189"/>
    </row>
    <row r="234" spans="1:26">
      <c r="A234" s="203">
        <v>2</v>
      </c>
      <c r="B234" s="203">
        <v>8</v>
      </c>
      <c r="C234" s="203">
        <v>4</v>
      </c>
      <c r="D234" s="203" t="s">
        <v>132</v>
      </c>
      <c r="E234" s="203" t="s">
        <v>133</v>
      </c>
      <c r="F234" s="203" t="s">
        <v>34</v>
      </c>
      <c r="G234" s="204">
        <v>50570</v>
      </c>
      <c r="H234" s="205">
        <v>226</v>
      </c>
      <c r="I234" s="206">
        <v>8</v>
      </c>
      <c r="J234" s="206">
        <v>9.5</v>
      </c>
      <c r="K234" s="206">
        <v>4</v>
      </c>
      <c r="L234" s="206">
        <v>16.5</v>
      </c>
      <c r="M234" s="206">
        <v>6.5</v>
      </c>
      <c r="N234" s="206">
        <v>7.5</v>
      </c>
      <c r="O234" s="206">
        <v>5.5</v>
      </c>
      <c r="P234" s="206">
        <v>17</v>
      </c>
      <c r="Q234" s="189"/>
      <c r="R234" s="189"/>
      <c r="S234" s="207">
        <f>AVERAGE(I234:R234)</f>
        <v>9.3125</v>
      </c>
      <c r="T234" s="208"/>
      <c r="U234" s="189"/>
      <c r="V234" s="189"/>
      <c r="W234" s="189"/>
      <c r="X234" s="189"/>
      <c r="Y234" s="189"/>
      <c r="Z234" s="189"/>
    </row>
    <row r="235" spans="1:26">
      <c r="A235" s="203">
        <v>2</v>
      </c>
      <c r="B235" s="203">
        <v>8</v>
      </c>
      <c r="C235" s="203">
        <v>5</v>
      </c>
      <c r="D235" s="203" t="s">
        <v>142</v>
      </c>
      <c r="E235" s="203" t="s">
        <v>143</v>
      </c>
      <c r="F235" s="203" t="s">
        <v>31</v>
      </c>
      <c r="G235" s="204">
        <v>50824</v>
      </c>
      <c r="H235" s="205">
        <v>67</v>
      </c>
      <c r="I235" s="206">
        <v>62</v>
      </c>
      <c r="J235" s="189"/>
      <c r="K235" s="189"/>
      <c r="L235" s="189"/>
      <c r="M235" s="189"/>
      <c r="N235" s="189"/>
      <c r="O235" s="189"/>
      <c r="P235" s="189"/>
      <c r="Q235" s="189"/>
      <c r="R235" s="189"/>
      <c r="S235" s="207">
        <f>AVERAGE(I235:R235)</f>
        <v>62</v>
      </c>
      <c r="T235" s="208"/>
      <c r="U235" s="189"/>
      <c r="V235" s="189"/>
      <c r="W235" s="189"/>
      <c r="X235" s="189"/>
      <c r="Y235" s="189"/>
      <c r="Z235" s="189"/>
    </row>
    <row r="236" spans="1:26">
      <c r="A236" s="215">
        <v>2</v>
      </c>
      <c r="B236" s="215">
        <v>8</v>
      </c>
      <c r="C236" s="215">
        <v>5</v>
      </c>
      <c r="D236" s="215" t="s">
        <v>142</v>
      </c>
      <c r="E236" s="215" t="s">
        <v>143</v>
      </c>
      <c r="F236" s="215" t="s">
        <v>25</v>
      </c>
      <c r="G236" s="216">
        <v>50766</v>
      </c>
      <c r="H236" s="217">
        <v>26</v>
      </c>
      <c r="I236" s="224"/>
      <c r="J236" s="224"/>
      <c r="K236" s="224"/>
      <c r="L236" s="224"/>
      <c r="M236" s="224"/>
      <c r="N236" s="224"/>
      <c r="O236" s="224"/>
      <c r="P236" s="224"/>
      <c r="Q236" s="224"/>
      <c r="R236" s="224"/>
      <c r="S236" s="225"/>
      <c r="T236" s="220" t="s">
        <v>55</v>
      </c>
      <c r="U236" s="189"/>
      <c r="V236" s="189"/>
      <c r="W236" s="189"/>
      <c r="X236" s="189"/>
      <c r="Y236" s="189"/>
      <c r="Z236" s="189"/>
    </row>
    <row r="237" spans="1:26">
      <c r="A237" s="203">
        <v>2</v>
      </c>
      <c r="B237" s="203">
        <v>8</v>
      </c>
      <c r="C237" s="203">
        <v>6</v>
      </c>
      <c r="D237" s="203" t="s">
        <v>37</v>
      </c>
      <c r="E237" s="203" t="s">
        <v>38</v>
      </c>
      <c r="F237" s="203" t="s">
        <v>31</v>
      </c>
      <c r="G237" s="204">
        <v>50826</v>
      </c>
      <c r="H237" s="205">
        <v>185</v>
      </c>
      <c r="I237" s="206">
        <v>121.5</v>
      </c>
      <c r="J237" s="206">
        <v>110</v>
      </c>
      <c r="K237" s="206">
        <v>107.5</v>
      </c>
      <c r="L237" s="206">
        <v>89</v>
      </c>
      <c r="M237" s="206">
        <v>75</v>
      </c>
      <c r="N237" s="206">
        <v>82</v>
      </c>
      <c r="O237" s="189"/>
      <c r="P237" s="189"/>
      <c r="Q237" s="189"/>
      <c r="R237" s="189"/>
      <c r="S237" s="207">
        <f>AVERAGE(I237:R237)</f>
        <v>97.5</v>
      </c>
      <c r="T237" s="208"/>
      <c r="U237" s="189"/>
      <c r="V237" s="189"/>
      <c r="W237" s="189"/>
      <c r="X237" s="189"/>
      <c r="Y237" s="189"/>
      <c r="Z237" s="189"/>
    </row>
    <row r="238" spans="1:26">
      <c r="A238" s="203">
        <v>2</v>
      </c>
      <c r="B238" s="203">
        <v>8</v>
      </c>
      <c r="C238" s="203">
        <v>6</v>
      </c>
      <c r="D238" s="203" t="s">
        <v>58</v>
      </c>
      <c r="E238" s="203" t="s">
        <v>59</v>
      </c>
      <c r="F238" s="203" t="s">
        <v>31</v>
      </c>
      <c r="G238" s="204">
        <v>50839</v>
      </c>
      <c r="H238" s="205">
        <v>215</v>
      </c>
      <c r="I238" s="206">
        <v>159</v>
      </c>
      <c r="J238" s="206">
        <v>111</v>
      </c>
      <c r="K238" s="206">
        <v>99</v>
      </c>
      <c r="L238" s="206">
        <v>90</v>
      </c>
      <c r="M238" s="206">
        <v>56</v>
      </c>
      <c r="N238" s="206">
        <v>48</v>
      </c>
      <c r="O238" s="189"/>
      <c r="P238" s="189"/>
      <c r="Q238" s="189"/>
      <c r="R238" s="189"/>
      <c r="S238" s="207">
        <f>AVERAGE(I238:R238)</f>
        <v>93.833333333333329</v>
      </c>
      <c r="T238" s="208"/>
      <c r="U238" s="189"/>
      <c r="V238" s="189"/>
      <c r="W238" s="189"/>
      <c r="X238" s="189"/>
      <c r="Y238" s="189"/>
      <c r="Z238" s="189"/>
    </row>
    <row r="239" spans="1:26">
      <c r="A239" s="203">
        <v>2</v>
      </c>
      <c r="B239" s="203">
        <v>8</v>
      </c>
      <c r="C239" s="203">
        <v>6</v>
      </c>
      <c r="D239" s="203" t="s">
        <v>173</v>
      </c>
      <c r="E239" s="203" t="s">
        <v>174</v>
      </c>
      <c r="F239" s="203" t="s">
        <v>31</v>
      </c>
      <c r="G239" s="204">
        <v>50825</v>
      </c>
      <c r="H239" s="205">
        <v>132</v>
      </c>
      <c r="I239" s="206">
        <v>80</v>
      </c>
      <c r="J239" s="206">
        <v>71</v>
      </c>
      <c r="K239" s="206">
        <v>64</v>
      </c>
      <c r="L239" s="206">
        <v>51.5</v>
      </c>
      <c r="M239" s="206">
        <v>49</v>
      </c>
      <c r="N239" s="206">
        <v>38.5</v>
      </c>
      <c r="O239" s="189"/>
      <c r="P239" s="189"/>
      <c r="Q239" s="189"/>
      <c r="R239" s="189"/>
      <c r="S239" s="207">
        <f>AVERAGE(I239:R239)</f>
        <v>59</v>
      </c>
      <c r="T239" s="208"/>
      <c r="U239" s="189"/>
      <c r="V239" s="189"/>
      <c r="W239" s="189"/>
      <c r="X239" s="189"/>
      <c r="Y239" s="189"/>
      <c r="Z239" s="189"/>
    </row>
    <row r="240" spans="1:26">
      <c r="A240" s="203">
        <v>2</v>
      </c>
      <c r="B240" s="203">
        <v>8</v>
      </c>
      <c r="C240" s="203">
        <v>7</v>
      </c>
      <c r="D240" s="203" t="s">
        <v>171</v>
      </c>
      <c r="E240" s="203" t="s">
        <v>172</v>
      </c>
      <c r="F240" s="203" t="s">
        <v>25</v>
      </c>
      <c r="G240" s="204">
        <v>50878</v>
      </c>
      <c r="H240" s="205">
        <v>396</v>
      </c>
      <c r="I240" s="206">
        <v>28</v>
      </c>
      <c r="J240" s="206">
        <v>23</v>
      </c>
      <c r="K240" s="206">
        <v>44</v>
      </c>
      <c r="L240" s="206">
        <v>65</v>
      </c>
      <c r="M240" s="206">
        <v>37</v>
      </c>
      <c r="N240" s="206">
        <v>65</v>
      </c>
      <c r="O240" s="189"/>
      <c r="P240" s="189"/>
      <c r="Q240" s="189"/>
      <c r="R240" s="189"/>
      <c r="S240" s="207">
        <f>AVERAGE(I240:R240)</f>
        <v>43.666666666666664</v>
      </c>
      <c r="T240" s="208"/>
      <c r="U240" s="189"/>
      <c r="V240" s="189"/>
      <c r="W240" s="189"/>
      <c r="X240" s="189"/>
      <c r="Y240" s="189"/>
      <c r="Z240" s="189"/>
    </row>
    <row r="241" spans="1:26">
      <c r="A241" s="209">
        <v>2</v>
      </c>
      <c r="B241" s="209">
        <v>8</v>
      </c>
      <c r="C241" s="209">
        <v>8</v>
      </c>
      <c r="D241" s="209" t="s">
        <v>235</v>
      </c>
      <c r="E241" s="209" t="s">
        <v>236</v>
      </c>
      <c r="F241" s="209" t="s">
        <v>34</v>
      </c>
      <c r="G241" s="210">
        <v>50569</v>
      </c>
      <c r="H241" s="211">
        <v>7</v>
      </c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S241" s="213"/>
      <c r="T241" s="214" t="s">
        <v>43</v>
      </c>
      <c r="U241" s="189"/>
      <c r="V241" s="189"/>
      <c r="W241" s="189"/>
      <c r="X241" s="189"/>
      <c r="Y241" s="189"/>
      <c r="Z241" s="189"/>
    </row>
    <row r="242" spans="1:26">
      <c r="A242" s="203">
        <v>2</v>
      </c>
      <c r="B242" s="203">
        <v>8</v>
      </c>
      <c r="C242" s="203">
        <v>8</v>
      </c>
      <c r="D242" s="203" t="s">
        <v>85</v>
      </c>
      <c r="E242" s="203" t="s">
        <v>86</v>
      </c>
      <c r="F242" s="203" t="s">
        <v>31</v>
      </c>
      <c r="G242" s="204">
        <v>50796</v>
      </c>
      <c r="H242" s="205">
        <v>256</v>
      </c>
      <c r="I242" s="206">
        <v>98</v>
      </c>
      <c r="J242" s="206">
        <v>112</v>
      </c>
      <c r="K242" s="189"/>
      <c r="L242" s="189"/>
      <c r="M242" s="189"/>
      <c r="N242" s="189"/>
      <c r="O242" s="189"/>
      <c r="P242" s="189"/>
      <c r="Q242" s="189"/>
      <c r="R242" s="189"/>
      <c r="S242" s="207">
        <f>AVERAGE(I242:R242)</f>
        <v>105</v>
      </c>
      <c r="T242" s="208"/>
      <c r="U242" s="189"/>
      <c r="V242" s="189"/>
      <c r="W242" s="189"/>
      <c r="X242" s="189"/>
      <c r="Y242" s="189"/>
      <c r="Z242" s="189"/>
    </row>
    <row r="243" spans="1:26">
      <c r="A243" s="203">
        <v>2</v>
      </c>
      <c r="B243" s="203">
        <v>8</v>
      </c>
      <c r="C243" s="203">
        <v>10</v>
      </c>
      <c r="D243" s="203" t="s">
        <v>169</v>
      </c>
      <c r="E243" s="203" t="s">
        <v>170</v>
      </c>
      <c r="F243" s="203" t="s">
        <v>25</v>
      </c>
      <c r="G243" s="204">
        <v>50883</v>
      </c>
      <c r="H243" s="205">
        <v>158</v>
      </c>
      <c r="I243" s="206">
        <v>26</v>
      </c>
      <c r="J243" s="206">
        <v>44</v>
      </c>
      <c r="K243" s="206">
        <v>64</v>
      </c>
      <c r="L243" s="206">
        <v>39</v>
      </c>
      <c r="M243" s="206">
        <v>31</v>
      </c>
      <c r="N243" s="206">
        <v>55</v>
      </c>
      <c r="O243" s="206">
        <v>66</v>
      </c>
      <c r="P243" s="206">
        <v>58.5</v>
      </c>
      <c r="Q243" s="189"/>
      <c r="R243" s="189"/>
      <c r="S243" s="207">
        <f>AVERAGE(I243:R243)</f>
        <v>47.9375</v>
      </c>
      <c r="T243" s="208"/>
      <c r="U243" s="189"/>
      <c r="V243" s="189"/>
      <c r="W243" s="189"/>
      <c r="X243" s="189"/>
      <c r="Y243" s="189"/>
      <c r="Z243" s="189"/>
    </row>
    <row r="244" spans="1:26">
      <c r="A244" s="206">
        <v>2</v>
      </c>
      <c r="B244" s="203">
        <v>8</v>
      </c>
      <c r="C244" s="203">
        <v>10</v>
      </c>
      <c r="D244" s="203" t="s">
        <v>218</v>
      </c>
      <c r="E244" s="203" t="s">
        <v>219</v>
      </c>
      <c r="F244" s="203" t="s">
        <v>25</v>
      </c>
      <c r="G244" s="204">
        <v>50884</v>
      </c>
      <c r="H244" s="205">
        <v>262</v>
      </c>
      <c r="I244" s="206">
        <v>25</v>
      </c>
      <c r="J244" s="206">
        <v>29.5</v>
      </c>
      <c r="K244" s="206">
        <v>18</v>
      </c>
      <c r="L244" s="206">
        <v>14.5</v>
      </c>
      <c r="M244" s="206">
        <v>16</v>
      </c>
      <c r="N244" s="206">
        <v>25.5</v>
      </c>
      <c r="O244" s="206">
        <v>18.5</v>
      </c>
      <c r="P244" s="206">
        <v>28</v>
      </c>
      <c r="Q244" s="189"/>
      <c r="R244" s="189"/>
      <c r="S244" s="207">
        <f>AVERAGE(I244:R244)</f>
        <v>21.875</v>
      </c>
      <c r="T244" s="208"/>
      <c r="U244" s="189"/>
      <c r="V244" s="189"/>
      <c r="W244" s="189"/>
      <c r="X244" s="189"/>
      <c r="Y244" s="189"/>
      <c r="Z244" s="189"/>
    </row>
    <row r="245" spans="1:26">
      <c r="A245" s="273">
        <v>2</v>
      </c>
      <c r="B245" s="273">
        <v>8</v>
      </c>
      <c r="C245" s="273">
        <v>11</v>
      </c>
      <c r="D245" s="273" t="s">
        <v>237</v>
      </c>
      <c r="E245" s="273" t="s">
        <v>238</v>
      </c>
      <c r="F245" s="273" t="s">
        <v>25</v>
      </c>
      <c r="G245" s="274">
        <v>50751</v>
      </c>
      <c r="H245" s="275">
        <v>239</v>
      </c>
      <c r="I245" s="274">
        <v>91</v>
      </c>
      <c r="J245" s="276"/>
      <c r="K245" s="276"/>
      <c r="L245" s="276"/>
      <c r="M245" s="276"/>
      <c r="N245" s="276"/>
      <c r="O245" s="276"/>
      <c r="P245" s="276"/>
      <c r="Q245" s="276"/>
      <c r="R245" s="276"/>
      <c r="S245" s="278">
        <f>AVERAGE(I245:R245)</f>
        <v>91</v>
      </c>
      <c r="T245" s="280" t="s">
        <v>254</v>
      </c>
      <c r="U245" s="189"/>
      <c r="V245" s="189"/>
      <c r="W245" s="189"/>
      <c r="X245" s="189"/>
      <c r="Y245" s="189"/>
      <c r="Z245" s="189"/>
    </row>
    <row r="246" spans="1:26">
      <c r="A246" s="203">
        <v>2</v>
      </c>
      <c r="B246" s="203">
        <v>8</v>
      </c>
      <c r="C246" s="203">
        <v>11</v>
      </c>
      <c r="D246" s="203" t="s">
        <v>237</v>
      </c>
      <c r="E246" s="203" t="s">
        <v>238</v>
      </c>
      <c r="F246" s="203" t="s">
        <v>68</v>
      </c>
      <c r="G246" s="204">
        <v>50737</v>
      </c>
      <c r="H246" s="205">
        <v>31</v>
      </c>
      <c r="I246" s="206">
        <v>33</v>
      </c>
      <c r="J246" s="189"/>
      <c r="K246" s="189"/>
      <c r="L246" s="189"/>
      <c r="M246" s="189"/>
      <c r="N246" s="189"/>
      <c r="O246" s="189"/>
      <c r="P246" s="189"/>
      <c r="Q246" s="189"/>
      <c r="R246" s="189"/>
      <c r="S246" s="207">
        <f>AVERAGE(I246:R246)</f>
        <v>33</v>
      </c>
      <c r="T246" s="208"/>
      <c r="U246" s="189"/>
      <c r="V246" s="189"/>
      <c r="W246" s="189"/>
      <c r="X246" s="189"/>
      <c r="Y246" s="189"/>
      <c r="Z246" s="189"/>
    </row>
    <row r="247" spans="1:26">
      <c r="A247" s="215">
        <v>2</v>
      </c>
      <c r="B247" s="215">
        <v>8</v>
      </c>
      <c r="C247" s="215">
        <v>11</v>
      </c>
      <c r="D247" s="215" t="s">
        <v>237</v>
      </c>
      <c r="E247" s="215" t="s">
        <v>238</v>
      </c>
      <c r="F247" s="215" t="s">
        <v>34</v>
      </c>
      <c r="G247" s="216">
        <v>50543</v>
      </c>
      <c r="H247" s="217">
        <v>38</v>
      </c>
      <c r="I247" s="224"/>
      <c r="J247" s="224"/>
      <c r="K247" s="224"/>
      <c r="L247" s="224"/>
      <c r="M247" s="224"/>
      <c r="N247" s="224"/>
      <c r="O247" s="224"/>
      <c r="P247" s="224"/>
      <c r="Q247" s="224"/>
      <c r="R247" s="224"/>
      <c r="S247" s="225"/>
      <c r="T247" s="220" t="s">
        <v>55</v>
      </c>
      <c r="U247" s="189"/>
      <c r="V247" s="189"/>
      <c r="W247" s="189"/>
      <c r="X247" s="189"/>
      <c r="Y247" s="189"/>
      <c r="Z247" s="189"/>
    </row>
    <row r="248" spans="1:26">
      <c r="A248" s="215">
        <v>2</v>
      </c>
      <c r="B248" s="215">
        <v>8</v>
      </c>
      <c r="C248" s="215">
        <v>11</v>
      </c>
      <c r="D248" s="215" t="s">
        <v>237</v>
      </c>
      <c r="E248" s="215" t="s">
        <v>238</v>
      </c>
      <c r="F248" s="215" t="s">
        <v>34</v>
      </c>
      <c r="G248" s="216">
        <v>50738</v>
      </c>
      <c r="H248" s="217">
        <v>54</v>
      </c>
      <c r="I248" s="224"/>
      <c r="J248" s="224"/>
      <c r="K248" s="224"/>
      <c r="L248" s="224"/>
      <c r="M248" s="224"/>
      <c r="N248" s="224"/>
      <c r="O248" s="224"/>
      <c r="P248" s="224"/>
      <c r="Q248" s="224"/>
      <c r="R248" s="224"/>
      <c r="S248" s="225"/>
      <c r="T248" s="220" t="s">
        <v>248</v>
      </c>
      <c r="U248" s="189"/>
      <c r="V248" s="189"/>
      <c r="W248" s="189"/>
      <c r="X248" s="189"/>
      <c r="Y248" s="189"/>
      <c r="Z248" s="189"/>
    </row>
    <row r="249" spans="1:26">
      <c r="A249" s="215">
        <v>2</v>
      </c>
      <c r="B249" s="215">
        <v>8</v>
      </c>
      <c r="C249" s="215">
        <v>11</v>
      </c>
      <c r="D249" s="215" t="s">
        <v>237</v>
      </c>
      <c r="E249" s="215" t="s">
        <v>238</v>
      </c>
      <c r="F249" s="215" t="s">
        <v>68</v>
      </c>
      <c r="G249" s="216">
        <v>50644</v>
      </c>
      <c r="H249" s="217">
        <v>14</v>
      </c>
      <c r="I249" s="224"/>
      <c r="J249" s="224"/>
      <c r="K249" s="224"/>
      <c r="L249" s="224"/>
      <c r="M249" s="224"/>
      <c r="N249" s="224"/>
      <c r="O249" s="224"/>
      <c r="P249" s="224"/>
      <c r="Q249" s="224"/>
      <c r="R249" s="224"/>
      <c r="S249" s="225"/>
      <c r="T249" s="220" t="s">
        <v>248</v>
      </c>
      <c r="U249" s="189"/>
      <c r="V249" s="189"/>
      <c r="W249" s="189"/>
      <c r="X249" s="189"/>
      <c r="Y249" s="189"/>
      <c r="Z249" s="189"/>
    </row>
    <row r="250" spans="1:26">
      <c r="A250" s="209">
        <v>2</v>
      </c>
      <c r="B250" s="209">
        <v>8</v>
      </c>
      <c r="C250" s="209">
        <v>11</v>
      </c>
      <c r="D250" s="209" t="s">
        <v>237</v>
      </c>
      <c r="E250" s="209" t="s">
        <v>238</v>
      </c>
      <c r="F250" s="209" t="s">
        <v>25</v>
      </c>
      <c r="G250" s="210">
        <v>50275</v>
      </c>
      <c r="H250" s="211">
        <v>24</v>
      </c>
      <c r="I250" s="212"/>
      <c r="J250" s="212"/>
      <c r="K250" s="212"/>
      <c r="L250" s="212"/>
      <c r="M250" s="212"/>
      <c r="N250" s="212"/>
      <c r="O250" s="212"/>
      <c r="P250" s="212"/>
      <c r="Q250" s="212"/>
      <c r="R250" s="212"/>
      <c r="S250" s="213"/>
      <c r="T250" s="214" t="s">
        <v>43</v>
      </c>
      <c r="U250" s="189"/>
      <c r="V250" s="189"/>
      <c r="W250" s="189"/>
      <c r="X250" s="189"/>
      <c r="Y250" s="189"/>
      <c r="Z250" s="189"/>
    </row>
    <row r="251" spans="1:26">
      <c r="A251" s="209">
        <v>2</v>
      </c>
      <c r="B251" s="209">
        <v>8</v>
      </c>
      <c r="C251" s="209">
        <v>11</v>
      </c>
      <c r="D251" s="209" t="s">
        <v>237</v>
      </c>
      <c r="E251" s="209" t="s">
        <v>238</v>
      </c>
      <c r="F251" s="209" t="s">
        <v>34</v>
      </c>
      <c r="G251" s="210">
        <v>50709</v>
      </c>
      <c r="H251" s="211">
        <v>31</v>
      </c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S251" s="213"/>
      <c r="T251" s="214" t="s">
        <v>43</v>
      </c>
      <c r="U251" s="189"/>
      <c r="V251" s="189"/>
      <c r="W251" s="189"/>
      <c r="X251" s="189"/>
      <c r="Y251" s="189"/>
      <c r="Z251" s="189"/>
    </row>
    <row r="252" spans="1:26">
      <c r="A252" s="197">
        <v>2</v>
      </c>
      <c r="B252" s="197">
        <v>8</v>
      </c>
      <c r="C252" s="197">
        <v>12</v>
      </c>
      <c r="D252" s="197" t="s">
        <v>239</v>
      </c>
      <c r="E252" s="197" t="s">
        <v>240</v>
      </c>
      <c r="F252" s="197" t="s">
        <v>25</v>
      </c>
      <c r="G252" s="198">
        <v>30885</v>
      </c>
      <c r="H252" s="199">
        <v>408</v>
      </c>
      <c r="I252" s="200"/>
      <c r="J252" s="200"/>
      <c r="K252" s="200"/>
      <c r="L252" s="200"/>
      <c r="M252" s="200"/>
      <c r="N252" s="200"/>
      <c r="O252" s="200"/>
      <c r="P252" s="200"/>
      <c r="Q252" s="200"/>
      <c r="R252" s="200"/>
      <c r="S252" s="285"/>
      <c r="T252" s="202" t="s">
        <v>26</v>
      </c>
      <c r="U252" s="189"/>
      <c r="V252" s="189"/>
      <c r="W252" s="189"/>
      <c r="X252" s="189"/>
      <c r="Y252" s="189"/>
      <c r="Z252" s="189"/>
    </row>
    <row r="253" spans="1:26">
      <c r="A253" s="203">
        <v>2</v>
      </c>
      <c r="B253" s="203">
        <v>8</v>
      </c>
      <c r="C253" s="203">
        <v>13</v>
      </c>
      <c r="D253" s="203" t="s">
        <v>134</v>
      </c>
      <c r="E253" s="203" t="s">
        <v>135</v>
      </c>
      <c r="F253" s="203" t="s">
        <v>25</v>
      </c>
      <c r="G253" s="204">
        <v>50142</v>
      </c>
      <c r="H253" s="205">
        <v>224</v>
      </c>
      <c r="I253" s="189"/>
      <c r="J253" s="189"/>
      <c r="K253" s="189"/>
      <c r="L253" s="189"/>
      <c r="M253" s="189"/>
      <c r="N253" s="189"/>
      <c r="O253" s="189"/>
      <c r="P253" s="206">
        <v>62</v>
      </c>
      <c r="Q253" s="189"/>
      <c r="R253" s="189"/>
      <c r="S253" s="207">
        <f>AVERAGE(I253:R253)</f>
        <v>62</v>
      </c>
      <c r="T253" s="192" t="s">
        <v>247</v>
      </c>
      <c r="U253" s="189"/>
      <c r="V253" s="189"/>
      <c r="W253" s="189"/>
      <c r="X253" s="189"/>
      <c r="Y253" s="189"/>
      <c r="Z253" s="189"/>
    </row>
    <row r="254" spans="1:26">
      <c r="A254" s="203">
        <v>2</v>
      </c>
      <c r="B254" s="203">
        <v>8</v>
      </c>
      <c r="C254" s="203">
        <v>13</v>
      </c>
      <c r="D254" s="203" t="s">
        <v>136</v>
      </c>
      <c r="E254" s="203" t="s">
        <v>137</v>
      </c>
      <c r="F254" s="203" t="s">
        <v>25</v>
      </c>
      <c r="G254" s="204">
        <v>50857</v>
      </c>
      <c r="H254" s="205">
        <v>106</v>
      </c>
      <c r="I254" s="206">
        <v>99</v>
      </c>
      <c r="J254" s="206">
        <v>164</v>
      </c>
      <c r="K254" s="206">
        <v>166</v>
      </c>
      <c r="L254" s="206">
        <v>123</v>
      </c>
      <c r="M254" s="189"/>
      <c r="N254" s="189"/>
      <c r="O254" s="189"/>
      <c r="P254" s="189"/>
      <c r="Q254" s="189"/>
      <c r="R254" s="189"/>
      <c r="S254" s="207">
        <f>AVERAGE(I254:R254)</f>
        <v>138</v>
      </c>
      <c r="T254" s="208"/>
      <c r="U254" s="189"/>
      <c r="V254" s="189"/>
      <c r="W254" s="189"/>
      <c r="X254" s="189"/>
      <c r="Y254" s="189"/>
      <c r="Z254" s="189"/>
    </row>
    <row r="255" spans="1:26">
      <c r="A255" s="203">
        <v>2</v>
      </c>
      <c r="B255" s="203">
        <v>8</v>
      </c>
      <c r="C255" s="203">
        <v>14</v>
      </c>
      <c r="D255" s="203" t="s">
        <v>241</v>
      </c>
      <c r="E255" s="203" t="s">
        <v>242</v>
      </c>
      <c r="F255" s="203" t="s">
        <v>25</v>
      </c>
      <c r="G255" s="204">
        <v>50876</v>
      </c>
      <c r="H255" s="205">
        <v>420</v>
      </c>
      <c r="I255" s="206">
        <v>26.7</v>
      </c>
      <c r="J255" s="206">
        <v>26.7</v>
      </c>
      <c r="K255" s="206">
        <v>48</v>
      </c>
      <c r="L255" s="206">
        <v>41</v>
      </c>
      <c r="M255" s="206">
        <v>36.5</v>
      </c>
      <c r="N255" s="206">
        <v>46</v>
      </c>
      <c r="O255" s="206">
        <v>38</v>
      </c>
      <c r="P255" s="206">
        <v>50</v>
      </c>
      <c r="Q255" s="206">
        <v>50</v>
      </c>
      <c r="R255" s="177" t="s">
        <v>207</v>
      </c>
      <c r="S255" s="207">
        <f>AVERAGE(I255:R255)</f>
        <v>40.322222222222223</v>
      </c>
      <c r="T255" s="208"/>
      <c r="U255" s="189"/>
      <c r="V255" s="189"/>
      <c r="W255" s="189"/>
      <c r="X255" s="189"/>
      <c r="Y255" s="189"/>
      <c r="Z255" s="189"/>
    </row>
    <row r="256" spans="1:26">
      <c r="A256" s="203">
        <v>2</v>
      </c>
      <c r="B256" s="203">
        <v>8</v>
      </c>
      <c r="C256" s="203">
        <v>15</v>
      </c>
      <c r="D256" s="203" t="s">
        <v>203</v>
      </c>
      <c r="E256" s="203" t="s">
        <v>204</v>
      </c>
      <c r="F256" s="203" t="s">
        <v>31</v>
      </c>
      <c r="G256" s="204">
        <v>50841</v>
      </c>
      <c r="H256" s="205">
        <v>390</v>
      </c>
      <c r="I256" s="189"/>
      <c r="J256" s="189"/>
      <c r="K256" s="206">
        <v>175</v>
      </c>
      <c r="L256" s="206">
        <v>135</v>
      </c>
      <c r="M256" s="206">
        <v>121</v>
      </c>
      <c r="N256" s="206">
        <v>149</v>
      </c>
      <c r="O256" s="206">
        <v>81</v>
      </c>
      <c r="P256" s="206">
        <v>77</v>
      </c>
      <c r="Q256" s="206">
        <v>66</v>
      </c>
      <c r="R256" s="206">
        <v>45</v>
      </c>
      <c r="S256" s="207">
        <f>AVERAGE(I256:R256)</f>
        <v>106.125</v>
      </c>
      <c r="T256" s="192" t="s">
        <v>247</v>
      </c>
      <c r="U256" s="189"/>
      <c r="V256" s="189"/>
      <c r="W256" s="189"/>
      <c r="X256" s="189"/>
      <c r="Y256" s="189"/>
      <c r="Z256" s="189"/>
    </row>
    <row r="257" spans="1:26">
      <c r="A257" s="215">
        <v>2</v>
      </c>
      <c r="B257" s="215">
        <v>8</v>
      </c>
      <c r="C257" s="215">
        <v>15</v>
      </c>
      <c r="D257" s="215" t="s">
        <v>203</v>
      </c>
      <c r="E257" s="215" t="s">
        <v>204</v>
      </c>
      <c r="F257" s="215" t="s">
        <v>25</v>
      </c>
      <c r="G257" s="216">
        <v>50657</v>
      </c>
      <c r="H257" s="217">
        <v>8</v>
      </c>
      <c r="I257" s="216"/>
      <c r="J257" s="224"/>
      <c r="K257" s="224"/>
      <c r="L257" s="224"/>
      <c r="M257" s="224"/>
      <c r="N257" s="224"/>
      <c r="O257" s="224"/>
      <c r="P257" s="224"/>
      <c r="Q257" s="224"/>
      <c r="R257" s="224"/>
      <c r="S257" s="216"/>
      <c r="T257" s="220" t="s">
        <v>248</v>
      </c>
      <c r="U257" s="189"/>
      <c r="V257" s="189"/>
      <c r="W257" s="189"/>
      <c r="X257" s="189"/>
      <c r="Y257" s="189"/>
      <c r="Z257" s="189"/>
    </row>
    <row r="258" spans="1:26">
      <c r="A258" s="215">
        <v>2</v>
      </c>
      <c r="B258" s="215">
        <v>8</v>
      </c>
      <c r="C258" s="215">
        <v>15</v>
      </c>
      <c r="D258" s="215" t="s">
        <v>203</v>
      </c>
      <c r="E258" s="215" t="s">
        <v>204</v>
      </c>
      <c r="F258" s="215" t="s">
        <v>31</v>
      </c>
      <c r="G258" s="216">
        <v>50777</v>
      </c>
      <c r="H258" s="217">
        <v>9</v>
      </c>
      <c r="I258" s="216"/>
      <c r="J258" s="224"/>
      <c r="K258" s="224"/>
      <c r="L258" s="224"/>
      <c r="M258" s="224"/>
      <c r="N258" s="224"/>
      <c r="O258" s="224"/>
      <c r="P258" s="224"/>
      <c r="Q258" s="224"/>
      <c r="R258" s="224"/>
      <c r="S258" s="216"/>
      <c r="T258" s="220" t="s">
        <v>248</v>
      </c>
      <c r="U258" s="189"/>
      <c r="V258" s="189"/>
      <c r="W258" s="189"/>
      <c r="X258" s="189"/>
      <c r="Y258" s="189"/>
      <c r="Z258" s="189"/>
    </row>
    <row r="259" spans="1:26">
      <c r="A259" s="215">
        <v>2</v>
      </c>
      <c r="B259" s="215">
        <v>8</v>
      </c>
      <c r="C259" s="215">
        <v>15</v>
      </c>
      <c r="D259" s="215" t="s">
        <v>203</v>
      </c>
      <c r="E259" s="215" t="s">
        <v>204</v>
      </c>
      <c r="F259" s="215" t="s">
        <v>31</v>
      </c>
      <c r="G259" s="216">
        <v>50799</v>
      </c>
      <c r="H259" s="217">
        <v>7</v>
      </c>
      <c r="I259" s="216"/>
      <c r="J259" s="224"/>
      <c r="K259" s="224"/>
      <c r="L259" s="224"/>
      <c r="M259" s="224"/>
      <c r="N259" s="224"/>
      <c r="O259" s="224"/>
      <c r="P259" s="224"/>
      <c r="Q259" s="224"/>
      <c r="R259" s="224"/>
      <c r="S259" s="216"/>
      <c r="T259" s="220" t="s">
        <v>248</v>
      </c>
      <c r="U259" s="189"/>
      <c r="V259" s="189"/>
      <c r="W259" s="189"/>
      <c r="X259" s="189"/>
      <c r="Y259" s="189"/>
      <c r="Z259" s="189"/>
    </row>
    <row r="260" spans="1:26">
      <c r="A260" s="209">
        <v>2</v>
      </c>
      <c r="B260" s="209">
        <v>12</v>
      </c>
      <c r="C260" s="209">
        <v>22</v>
      </c>
      <c r="D260" s="209" t="s">
        <v>243</v>
      </c>
      <c r="E260" s="209" t="s">
        <v>244</v>
      </c>
      <c r="F260" s="209" t="s">
        <v>109</v>
      </c>
      <c r="G260" s="210">
        <v>30655</v>
      </c>
      <c r="H260" s="211">
        <v>6</v>
      </c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89"/>
      <c r="T260" s="214" t="s">
        <v>43</v>
      </c>
      <c r="U260" s="189"/>
      <c r="V260" s="189"/>
      <c r="W260" s="189"/>
      <c r="X260" s="189"/>
      <c r="Y260" s="189"/>
      <c r="Z260" s="189"/>
    </row>
    <row r="261" spans="1:26">
      <c r="A261" s="189"/>
      <c r="B261" s="189"/>
      <c r="C261" s="189"/>
      <c r="D261" s="189"/>
      <c r="E261" s="189"/>
      <c r="F261" s="189"/>
      <c r="G261" s="189"/>
      <c r="H261" s="190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91"/>
      <c r="T261" s="208"/>
      <c r="U261" s="189"/>
      <c r="V261" s="189"/>
      <c r="W261" s="189"/>
      <c r="X261" s="189"/>
      <c r="Y261" s="189"/>
      <c r="Z261" s="189"/>
    </row>
    <row r="262" spans="1:26">
      <c r="A262" s="189"/>
      <c r="B262" s="189"/>
      <c r="C262" s="189"/>
      <c r="D262" s="189"/>
      <c r="E262" s="189"/>
      <c r="F262" s="189"/>
      <c r="G262" s="189"/>
      <c r="H262" s="190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91"/>
      <c r="T262" s="208"/>
      <c r="U262" s="189"/>
      <c r="V262" s="189"/>
      <c r="W262" s="189"/>
      <c r="X262" s="189"/>
      <c r="Y262" s="189"/>
      <c r="Z262" s="189"/>
    </row>
    <row r="263" spans="1:26">
      <c r="A263" s="672" t="s">
        <v>245</v>
      </c>
      <c r="B263" s="672"/>
      <c r="C263" s="672"/>
      <c r="D263" s="672"/>
      <c r="E263" s="672"/>
      <c r="F263" s="672"/>
      <c r="G263" s="672"/>
      <c r="H263" s="672"/>
      <c r="I263" s="672"/>
      <c r="J263" s="672"/>
      <c r="K263" s="672"/>
      <c r="L263" s="672"/>
      <c r="M263" s="189"/>
      <c r="N263" s="189"/>
      <c r="O263" s="189"/>
      <c r="P263" s="189"/>
      <c r="Q263" s="189"/>
      <c r="R263" s="189"/>
      <c r="S263" s="191"/>
      <c r="T263" s="208"/>
      <c r="U263" s="189"/>
      <c r="V263" s="189"/>
      <c r="W263" s="189"/>
      <c r="X263" s="189"/>
      <c r="Y263" s="189"/>
      <c r="Z263" s="189"/>
    </row>
    <row r="264" spans="1:26">
      <c r="A264" s="189"/>
      <c r="B264" s="189"/>
      <c r="C264" s="189"/>
      <c r="D264" s="189"/>
      <c r="E264" s="189"/>
      <c r="F264" s="189"/>
      <c r="G264" s="189"/>
      <c r="H264" s="190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91"/>
      <c r="T264" s="208"/>
      <c r="U264" s="189"/>
      <c r="V264" s="189"/>
      <c r="W264" s="189"/>
      <c r="X264" s="189"/>
      <c r="Y264" s="189"/>
      <c r="Z264" s="189"/>
    </row>
    <row r="265" spans="1:26">
      <c r="A265" s="189"/>
      <c r="B265" s="189"/>
      <c r="C265" s="189"/>
      <c r="D265" s="189"/>
      <c r="E265" s="189"/>
      <c r="F265" s="189"/>
      <c r="G265" s="189"/>
      <c r="H265" s="190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91"/>
      <c r="T265" s="208"/>
      <c r="U265" s="189"/>
      <c r="V265" s="189"/>
      <c r="W265" s="189"/>
      <c r="X265" s="189"/>
      <c r="Y265" s="189"/>
      <c r="Z265" s="189"/>
    </row>
    <row r="266" spans="1:26">
      <c r="A266" s="189"/>
      <c r="B266" s="189"/>
      <c r="C266" s="189"/>
      <c r="D266" s="189"/>
      <c r="E266" s="189"/>
      <c r="F266" s="189"/>
      <c r="G266" s="189"/>
      <c r="H266" s="190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91"/>
      <c r="T266" s="208"/>
      <c r="U266" s="189"/>
      <c r="V266" s="189"/>
      <c r="W266" s="189"/>
      <c r="X266" s="189"/>
      <c r="Y266" s="189"/>
      <c r="Z266" s="189"/>
    </row>
    <row r="267" spans="1:26">
      <c r="A267" s="189"/>
      <c r="B267" s="189"/>
      <c r="C267" s="189"/>
      <c r="D267" s="189"/>
      <c r="E267" s="189"/>
      <c r="F267" s="189"/>
      <c r="G267" s="189"/>
      <c r="H267" s="190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91"/>
      <c r="T267" s="208"/>
      <c r="U267" s="189"/>
      <c r="V267" s="189"/>
      <c r="W267" s="189"/>
      <c r="X267" s="189"/>
      <c r="Y267" s="189"/>
      <c r="Z267" s="189"/>
    </row>
    <row r="268" spans="1:26">
      <c r="A268" s="189"/>
      <c r="B268" s="189"/>
      <c r="C268" s="189"/>
      <c r="D268" s="189"/>
      <c r="E268" s="189"/>
      <c r="F268" s="189"/>
      <c r="G268" s="189"/>
      <c r="H268" s="190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91"/>
      <c r="T268" s="208"/>
      <c r="U268" s="189"/>
      <c r="V268" s="189"/>
      <c r="W268" s="189"/>
      <c r="X268" s="189"/>
      <c r="Y268" s="189"/>
      <c r="Z268" s="189"/>
    </row>
    <row r="269" spans="1:26">
      <c r="A269" s="189"/>
      <c r="B269" s="189"/>
      <c r="C269" s="189"/>
      <c r="D269" s="189"/>
      <c r="E269" s="189"/>
      <c r="F269" s="189"/>
      <c r="G269" s="189"/>
      <c r="H269" s="190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91"/>
      <c r="T269" s="208"/>
      <c r="U269" s="189"/>
      <c r="V269" s="189"/>
      <c r="W269" s="189"/>
      <c r="X269" s="189"/>
      <c r="Y269" s="189"/>
      <c r="Z269" s="189"/>
    </row>
    <row r="270" spans="1:26">
      <c r="A270" s="189"/>
      <c r="B270" s="189"/>
      <c r="C270" s="189"/>
      <c r="D270" s="189"/>
      <c r="E270" s="189"/>
      <c r="F270" s="189"/>
      <c r="G270" s="189"/>
      <c r="H270" s="190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91"/>
      <c r="T270" s="208"/>
      <c r="U270" s="189"/>
      <c r="V270" s="189"/>
      <c r="W270" s="189"/>
      <c r="X270" s="189"/>
      <c r="Y270" s="189"/>
      <c r="Z270" s="189"/>
    </row>
    <row r="271" spans="1:26">
      <c r="A271" s="189"/>
      <c r="B271" s="189"/>
      <c r="C271" s="189"/>
      <c r="D271" s="189"/>
      <c r="E271" s="189"/>
      <c r="F271" s="189"/>
      <c r="G271" s="189"/>
      <c r="H271" s="190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91"/>
      <c r="T271" s="208"/>
      <c r="U271" s="189"/>
      <c r="V271" s="189"/>
      <c r="W271" s="189"/>
      <c r="X271" s="189"/>
      <c r="Y271" s="189"/>
      <c r="Z271" s="189"/>
    </row>
    <row r="272" spans="1:26">
      <c r="A272" s="189"/>
      <c r="B272" s="189"/>
      <c r="C272" s="189"/>
      <c r="D272" s="189"/>
      <c r="E272" s="189"/>
      <c r="F272" s="189"/>
      <c r="G272" s="189"/>
      <c r="H272" s="190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91"/>
      <c r="T272" s="208"/>
      <c r="U272" s="189"/>
      <c r="V272" s="189"/>
      <c r="W272" s="189"/>
      <c r="X272" s="189"/>
      <c r="Y272" s="189"/>
      <c r="Z272" s="189"/>
    </row>
    <row r="273" spans="1:26">
      <c r="A273" s="189"/>
      <c r="B273" s="189"/>
      <c r="C273" s="189"/>
      <c r="D273" s="189"/>
      <c r="E273" s="189"/>
      <c r="F273" s="189"/>
      <c r="G273" s="189"/>
      <c r="H273" s="190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91"/>
      <c r="T273" s="208"/>
      <c r="U273" s="189"/>
      <c r="V273" s="189"/>
      <c r="W273" s="189"/>
      <c r="X273" s="189"/>
      <c r="Y273" s="189"/>
      <c r="Z273" s="189"/>
    </row>
    <row r="274" spans="1:26">
      <c r="A274" s="189"/>
      <c r="B274" s="189"/>
      <c r="C274" s="189"/>
      <c r="D274" s="189"/>
      <c r="E274" s="189"/>
      <c r="F274" s="189"/>
      <c r="G274" s="189"/>
      <c r="H274" s="190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91"/>
      <c r="T274" s="208"/>
      <c r="U274" s="189"/>
      <c r="V274" s="189"/>
      <c r="W274" s="189"/>
      <c r="X274" s="189"/>
      <c r="Y274" s="189"/>
      <c r="Z274" s="189"/>
    </row>
    <row r="275" spans="1:26">
      <c r="A275" s="189"/>
      <c r="B275" s="189"/>
      <c r="C275" s="189"/>
      <c r="D275" s="189"/>
      <c r="E275" s="189"/>
      <c r="F275" s="189"/>
      <c r="G275" s="189"/>
      <c r="H275" s="190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91"/>
      <c r="T275" s="208"/>
      <c r="U275" s="189"/>
      <c r="V275" s="189"/>
      <c r="W275" s="189"/>
      <c r="X275" s="189"/>
      <c r="Y275" s="189"/>
      <c r="Z275" s="189"/>
    </row>
    <row r="276" spans="1:26">
      <c r="A276" s="189"/>
      <c r="B276" s="189"/>
      <c r="C276" s="189"/>
      <c r="D276" s="189"/>
      <c r="E276" s="189"/>
      <c r="F276" s="189"/>
      <c r="G276" s="189"/>
      <c r="H276" s="190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91"/>
      <c r="T276" s="208"/>
      <c r="U276" s="189"/>
      <c r="V276" s="189"/>
      <c r="W276" s="189"/>
      <c r="X276" s="189"/>
      <c r="Y276" s="189"/>
      <c r="Z276" s="189"/>
    </row>
    <row r="277" spans="1:26">
      <c r="A277" s="189"/>
      <c r="B277" s="189"/>
      <c r="C277" s="189"/>
      <c r="D277" s="189"/>
      <c r="E277" s="189"/>
      <c r="F277" s="189"/>
      <c r="G277" s="189"/>
      <c r="H277" s="190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91"/>
      <c r="T277" s="208"/>
      <c r="U277" s="189"/>
      <c r="V277" s="189"/>
      <c r="W277" s="189"/>
      <c r="X277" s="189"/>
      <c r="Y277" s="189"/>
      <c r="Z277" s="189"/>
    </row>
    <row r="278" spans="1:26">
      <c r="A278" s="189"/>
      <c r="B278" s="189"/>
      <c r="C278" s="189"/>
      <c r="D278" s="189"/>
      <c r="E278" s="189"/>
      <c r="F278" s="189"/>
      <c r="G278" s="189"/>
      <c r="H278" s="190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91"/>
      <c r="T278" s="208"/>
      <c r="U278" s="189"/>
      <c r="V278" s="189"/>
      <c r="W278" s="189"/>
      <c r="X278" s="189"/>
      <c r="Y278" s="189"/>
      <c r="Z278" s="189"/>
    </row>
    <row r="279" spans="1:26">
      <c r="A279" s="189"/>
      <c r="B279" s="189"/>
      <c r="C279" s="189"/>
      <c r="D279" s="189"/>
      <c r="E279" s="189"/>
      <c r="F279" s="189"/>
      <c r="G279" s="189"/>
      <c r="H279" s="190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91"/>
      <c r="T279" s="208"/>
      <c r="U279" s="189"/>
      <c r="V279" s="189"/>
      <c r="W279" s="189"/>
      <c r="X279" s="189"/>
      <c r="Y279" s="189"/>
      <c r="Z279" s="189"/>
    </row>
    <row r="280" spans="1:26">
      <c r="A280" s="189"/>
      <c r="B280" s="189"/>
      <c r="C280" s="189"/>
      <c r="D280" s="189"/>
      <c r="E280" s="189"/>
      <c r="F280" s="189"/>
      <c r="G280" s="189"/>
      <c r="H280" s="190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91"/>
      <c r="T280" s="208"/>
      <c r="U280" s="189"/>
      <c r="V280" s="189"/>
      <c r="W280" s="189"/>
      <c r="X280" s="189"/>
      <c r="Y280" s="189"/>
      <c r="Z280" s="189"/>
    </row>
    <row r="281" spans="1:26">
      <c r="A281" s="189"/>
      <c r="B281" s="189"/>
      <c r="C281" s="189"/>
      <c r="D281" s="189"/>
      <c r="E281" s="189"/>
      <c r="F281" s="189"/>
      <c r="G281" s="189"/>
      <c r="H281" s="190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91"/>
      <c r="T281" s="208"/>
      <c r="U281" s="189"/>
      <c r="V281" s="189"/>
      <c r="W281" s="189"/>
      <c r="X281" s="189"/>
      <c r="Y281" s="189"/>
      <c r="Z281" s="189"/>
    </row>
    <row r="282" spans="1:26">
      <c r="A282" s="189"/>
      <c r="B282" s="189"/>
      <c r="C282" s="189"/>
      <c r="D282" s="189"/>
      <c r="E282" s="189"/>
      <c r="F282" s="189"/>
      <c r="G282" s="189"/>
      <c r="H282" s="190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91"/>
      <c r="T282" s="208"/>
      <c r="U282" s="189"/>
      <c r="V282" s="189"/>
      <c r="W282" s="189"/>
      <c r="X282" s="189"/>
      <c r="Y282" s="189"/>
      <c r="Z282" s="189"/>
    </row>
    <row r="283" spans="1:26">
      <c r="A283" s="189"/>
      <c r="B283" s="189"/>
      <c r="C283" s="189"/>
      <c r="D283" s="189"/>
      <c r="E283" s="189"/>
      <c r="F283" s="189"/>
      <c r="G283" s="189"/>
      <c r="H283" s="190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91"/>
      <c r="T283" s="208"/>
      <c r="U283" s="189"/>
      <c r="V283" s="189"/>
      <c r="W283" s="189"/>
      <c r="X283" s="189"/>
      <c r="Y283" s="189"/>
      <c r="Z283" s="189"/>
    </row>
    <row r="284" spans="1:26">
      <c r="A284" s="189"/>
      <c r="B284" s="189"/>
      <c r="C284" s="189"/>
      <c r="D284" s="189"/>
      <c r="E284" s="189"/>
      <c r="F284" s="189"/>
      <c r="G284" s="189"/>
      <c r="H284" s="190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91"/>
      <c r="T284" s="208"/>
      <c r="U284" s="189"/>
      <c r="V284" s="189"/>
      <c r="W284" s="189"/>
      <c r="X284" s="189"/>
      <c r="Y284" s="189"/>
      <c r="Z284" s="189"/>
    </row>
    <row r="285" spans="1:26">
      <c r="A285" s="189"/>
      <c r="B285" s="189"/>
      <c r="C285" s="189"/>
      <c r="D285" s="189"/>
      <c r="E285" s="189"/>
      <c r="F285" s="189"/>
      <c r="G285" s="189"/>
      <c r="H285" s="190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91"/>
      <c r="T285" s="208"/>
      <c r="U285" s="189"/>
      <c r="V285" s="189"/>
      <c r="W285" s="189"/>
      <c r="X285" s="189"/>
      <c r="Y285" s="189"/>
      <c r="Z285" s="189"/>
    </row>
    <row r="286" spans="1:26">
      <c r="A286" s="189"/>
      <c r="B286" s="189"/>
      <c r="C286" s="189"/>
      <c r="D286" s="189"/>
      <c r="E286" s="189"/>
      <c r="F286" s="189"/>
      <c r="G286" s="189"/>
      <c r="H286" s="190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91"/>
      <c r="T286" s="208"/>
      <c r="U286" s="189"/>
      <c r="V286" s="189"/>
      <c r="W286" s="189"/>
      <c r="X286" s="189"/>
      <c r="Y286" s="189"/>
      <c r="Z286" s="189"/>
    </row>
    <row r="287" spans="1:26">
      <c r="A287" s="189"/>
      <c r="B287" s="189"/>
      <c r="C287" s="189"/>
      <c r="D287" s="189"/>
      <c r="E287" s="189"/>
      <c r="F287" s="189"/>
      <c r="G287" s="189"/>
      <c r="H287" s="190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91"/>
      <c r="T287" s="208"/>
      <c r="U287" s="189"/>
      <c r="V287" s="189"/>
      <c r="W287" s="189"/>
      <c r="X287" s="189"/>
      <c r="Y287" s="189"/>
      <c r="Z287" s="189"/>
    </row>
    <row r="288" spans="1:26">
      <c r="A288" s="189"/>
      <c r="B288" s="189"/>
      <c r="C288" s="189"/>
      <c r="D288" s="189"/>
      <c r="E288" s="189"/>
      <c r="F288" s="189"/>
      <c r="G288" s="189"/>
      <c r="H288" s="190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91"/>
      <c r="T288" s="208"/>
      <c r="U288" s="189"/>
      <c r="V288" s="189"/>
      <c r="W288" s="189"/>
      <c r="X288" s="189"/>
      <c r="Y288" s="189"/>
      <c r="Z288" s="189"/>
    </row>
    <row r="289" spans="1:26">
      <c r="A289" s="189"/>
      <c r="B289" s="189"/>
      <c r="C289" s="189"/>
      <c r="D289" s="189"/>
      <c r="E289" s="189"/>
      <c r="F289" s="189"/>
      <c r="G289" s="189"/>
      <c r="H289" s="190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91"/>
      <c r="T289" s="208"/>
      <c r="U289" s="189"/>
      <c r="V289" s="189"/>
      <c r="W289" s="189"/>
      <c r="X289" s="189"/>
      <c r="Y289" s="189"/>
      <c r="Z289" s="189"/>
    </row>
    <row r="290" spans="1:26">
      <c r="A290" s="189"/>
      <c r="B290" s="189"/>
      <c r="C290" s="189"/>
      <c r="D290" s="189"/>
      <c r="E290" s="189"/>
      <c r="F290" s="189"/>
      <c r="G290" s="189"/>
      <c r="H290" s="190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91"/>
      <c r="T290" s="208"/>
      <c r="U290" s="189"/>
      <c r="V290" s="189"/>
      <c r="W290" s="189"/>
      <c r="X290" s="189"/>
      <c r="Y290" s="189"/>
      <c r="Z290" s="189"/>
    </row>
    <row r="291" spans="1:26">
      <c r="A291" s="189"/>
      <c r="B291" s="189"/>
      <c r="C291" s="189"/>
      <c r="D291" s="189"/>
      <c r="E291" s="189"/>
      <c r="F291" s="189"/>
      <c r="G291" s="189"/>
      <c r="H291" s="190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91"/>
      <c r="T291" s="208"/>
      <c r="U291" s="189"/>
      <c r="V291" s="189"/>
      <c r="W291" s="189"/>
      <c r="X291" s="189"/>
      <c r="Y291" s="189"/>
      <c r="Z291" s="189"/>
    </row>
    <row r="292" spans="1:26">
      <c r="A292" s="189"/>
      <c r="B292" s="189"/>
      <c r="C292" s="189"/>
      <c r="D292" s="189"/>
      <c r="E292" s="189"/>
      <c r="F292" s="189"/>
      <c r="G292" s="189"/>
      <c r="H292" s="190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91"/>
      <c r="T292" s="208"/>
      <c r="U292" s="189"/>
      <c r="V292" s="189"/>
      <c r="W292" s="189"/>
      <c r="X292" s="189"/>
      <c r="Y292" s="189"/>
      <c r="Z292" s="189"/>
    </row>
    <row r="293" spans="1:26">
      <c r="A293" s="189"/>
      <c r="B293" s="189"/>
      <c r="C293" s="189"/>
      <c r="D293" s="189"/>
      <c r="E293" s="189"/>
      <c r="F293" s="189"/>
      <c r="G293" s="189"/>
      <c r="H293" s="190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91"/>
      <c r="T293" s="208"/>
      <c r="U293" s="189"/>
      <c r="V293" s="189"/>
      <c r="W293" s="189"/>
      <c r="X293" s="189"/>
      <c r="Y293" s="189"/>
      <c r="Z293" s="189"/>
    </row>
    <row r="294" spans="1:26">
      <c r="A294" s="189"/>
      <c r="B294" s="189"/>
      <c r="C294" s="189"/>
      <c r="D294" s="189"/>
      <c r="E294" s="189"/>
      <c r="F294" s="189"/>
      <c r="G294" s="189"/>
      <c r="H294" s="190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91"/>
      <c r="T294" s="208"/>
      <c r="U294" s="189"/>
      <c r="V294" s="189"/>
      <c r="W294" s="189"/>
      <c r="X294" s="189"/>
      <c r="Y294" s="189"/>
      <c r="Z294" s="189"/>
    </row>
    <row r="295" spans="1:26">
      <c r="A295" s="189"/>
      <c r="B295" s="189"/>
      <c r="C295" s="189"/>
      <c r="D295" s="189"/>
      <c r="E295" s="189"/>
      <c r="F295" s="189"/>
      <c r="G295" s="189"/>
      <c r="H295" s="190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91"/>
      <c r="T295" s="208"/>
      <c r="U295" s="189"/>
      <c r="V295" s="189"/>
      <c r="W295" s="189"/>
      <c r="X295" s="189"/>
      <c r="Y295" s="189"/>
      <c r="Z295" s="189"/>
    </row>
    <row r="296" spans="1:26">
      <c r="A296" s="189"/>
      <c r="B296" s="189"/>
      <c r="C296" s="189"/>
      <c r="D296" s="189"/>
      <c r="E296" s="189"/>
      <c r="F296" s="189"/>
      <c r="G296" s="189"/>
      <c r="H296" s="190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91"/>
      <c r="T296" s="208"/>
      <c r="U296" s="189"/>
      <c r="V296" s="189"/>
      <c r="W296" s="189"/>
      <c r="X296" s="189"/>
      <c r="Y296" s="189"/>
      <c r="Z296" s="189"/>
    </row>
    <row r="297" spans="1:26">
      <c r="A297" s="189"/>
      <c r="B297" s="189"/>
      <c r="C297" s="189"/>
      <c r="D297" s="189"/>
      <c r="E297" s="189"/>
      <c r="F297" s="189"/>
      <c r="G297" s="189"/>
      <c r="H297" s="190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91"/>
      <c r="T297" s="208"/>
      <c r="U297" s="189"/>
      <c r="V297" s="189"/>
      <c r="W297" s="189"/>
      <c r="X297" s="189"/>
      <c r="Y297" s="189"/>
      <c r="Z297" s="189"/>
    </row>
    <row r="298" spans="1:26">
      <c r="A298" s="189"/>
      <c r="B298" s="189"/>
      <c r="C298" s="189"/>
      <c r="D298" s="189"/>
      <c r="E298" s="189"/>
      <c r="F298" s="189"/>
      <c r="G298" s="189"/>
      <c r="H298" s="190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91"/>
      <c r="T298" s="208"/>
      <c r="U298" s="189"/>
      <c r="V298" s="189"/>
      <c r="W298" s="189"/>
      <c r="X298" s="189"/>
      <c r="Y298" s="189"/>
      <c r="Z298" s="189"/>
    </row>
    <row r="299" spans="1:26">
      <c r="A299" s="189"/>
      <c r="B299" s="189"/>
      <c r="C299" s="189"/>
      <c r="D299" s="189"/>
      <c r="E299" s="189"/>
      <c r="F299" s="189"/>
      <c r="G299" s="189"/>
      <c r="H299" s="190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91"/>
      <c r="T299" s="208"/>
      <c r="U299" s="189"/>
      <c r="V299" s="189"/>
      <c r="W299" s="189"/>
      <c r="X299" s="189"/>
      <c r="Y299" s="189"/>
      <c r="Z299" s="189"/>
    </row>
    <row r="300" spans="1:26">
      <c r="A300" s="189"/>
      <c r="B300" s="189"/>
      <c r="C300" s="189"/>
      <c r="D300" s="189"/>
      <c r="E300" s="189"/>
      <c r="F300" s="189"/>
      <c r="G300" s="189"/>
      <c r="H300" s="190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91"/>
      <c r="T300" s="208"/>
      <c r="U300" s="189"/>
      <c r="V300" s="189"/>
      <c r="W300" s="189"/>
      <c r="X300" s="189"/>
      <c r="Y300" s="189"/>
      <c r="Z300" s="189"/>
    </row>
    <row r="301" spans="1:26">
      <c r="A301" s="189"/>
      <c r="B301" s="189"/>
      <c r="C301" s="189"/>
      <c r="D301" s="189"/>
      <c r="E301" s="189"/>
      <c r="F301" s="189"/>
      <c r="G301" s="189"/>
      <c r="H301" s="190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91"/>
      <c r="T301" s="208"/>
      <c r="U301" s="189"/>
      <c r="V301" s="189"/>
      <c r="W301" s="189"/>
      <c r="X301" s="189"/>
      <c r="Y301" s="189"/>
      <c r="Z301" s="189"/>
    </row>
    <row r="302" spans="1:26">
      <c r="A302" s="189"/>
      <c r="B302" s="189"/>
      <c r="C302" s="189"/>
      <c r="D302" s="189"/>
      <c r="E302" s="189"/>
      <c r="F302" s="189"/>
      <c r="G302" s="189"/>
      <c r="H302" s="190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91"/>
      <c r="T302" s="208"/>
      <c r="U302" s="189"/>
      <c r="V302" s="189"/>
      <c r="W302" s="189"/>
      <c r="X302" s="189"/>
      <c r="Y302" s="189"/>
      <c r="Z302" s="189"/>
    </row>
    <row r="303" spans="1:26">
      <c r="A303" s="189"/>
      <c r="B303" s="189"/>
      <c r="C303" s="189"/>
      <c r="D303" s="189"/>
      <c r="E303" s="189"/>
      <c r="F303" s="189"/>
      <c r="G303" s="189"/>
      <c r="H303" s="190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91"/>
      <c r="T303" s="208"/>
      <c r="U303" s="189"/>
      <c r="V303" s="189"/>
      <c r="W303" s="189"/>
      <c r="X303" s="189"/>
      <c r="Y303" s="189"/>
      <c r="Z303" s="189"/>
    </row>
    <row r="304" spans="1:26">
      <c r="A304" s="189"/>
      <c r="B304" s="189"/>
      <c r="C304" s="189"/>
      <c r="D304" s="189"/>
      <c r="E304" s="189"/>
      <c r="F304" s="189"/>
      <c r="G304" s="189"/>
      <c r="H304" s="190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91"/>
      <c r="T304" s="208"/>
      <c r="U304" s="189"/>
      <c r="V304" s="189"/>
      <c r="W304" s="189"/>
      <c r="X304" s="189"/>
      <c r="Y304" s="189"/>
      <c r="Z304" s="189"/>
    </row>
    <row r="305" spans="1:26">
      <c r="A305" s="189"/>
      <c r="B305" s="189"/>
      <c r="C305" s="189"/>
      <c r="D305" s="189"/>
      <c r="E305" s="189"/>
      <c r="F305" s="189"/>
      <c r="G305" s="189"/>
      <c r="H305" s="190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91"/>
      <c r="T305" s="208"/>
      <c r="U305" s="189"/>
      <c r="V305" s="189"/>
      <c r="W305" s="189"/>
      <c r="X305" s="189"/>
      <c r="Y305" s="189"/>
      <c r="Z305" s="189"/>
    </row>
    <row r="306" spans="1:26">
      <c r="A306" s="189"/>
      <c r="B306" s="189"/>
      <c r="C306" s="189"/>
      <c r="D306" s="189"/>
      <c r="E306" s="189"/>
      <c r="F306" s="189"/>
      <c r="G306" s="189"/>
      <c r="H306" s="190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91"/>
      <c r="T306" s="208"/>
      <c r="U306" s="189"/>
      <c r="V306" s="189"/>
      <c r="W306" s="189"/>
      <c r="X306" s="189"/>
      <c r="Y306" s="189"/>
      <c r="Z306" s="189"/>
    </row>
    <row r="307" spans="1:26">
      <c r="A307" s="189"/>
      <c r="B307" s="189"/>
      <c r="C307" s="189"/>
      <c r="D307" s="189"/>
      <c r="E307" s="189"/>
      <c r="F307" s="189"/>
      <c r="G307" s="189"/>
      <c r="H307" s="190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91"/>
      <c r="T307" s="208"/>
      <c r="U307" s="189"/>
      <c r="V307" s="189"/>
      <c r="W307" s="189"/>
      <c r="X307" s="189"/>
      <c r="Y307" s="189"/>
      <c r="Z307" s="189"/>
    </row>
    <row r="308" spans="1:26">
      <c r="A308" s="189"/>
      <c r="B308" s="189"/>
      <c r="C308" s="189"/>
      <c r="D308" s="189"/>
      <c r="E308" s="189"/>
      <c r="F308" s="189"/>
      <c r="G308" s="189"/>
      <c r="H308" s="190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91"/>
      <c r="T308" s="208"/>
      <c r="U308" s="189"/>
      <c r="V308" s="189"/>
      <c r="W308" s="189"/>
      <c r="X308" s="189"/>
      <c r="Y308" s="189"/>
      <c r="Z308" s="189"/>
    </row>
    <row r="309" spans="1:26">
      <c r="A309" s="189"/>
      <c r="B309" s="189"/>
      <c r="C309" s="189"/>
      <c r="D309" s="189"/>
      <c r="E309" s="189"/>
      <c r="F309" s="189"/>
      <c r="G309" s="189"/>
      <c r="H309" s="190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91"/>
      <c r="T309" s="208"/>
      <c r="U309" s="189"/>
      <c r="V309" s="189"/>
      <c r="W309" s="189"/>
      <c r="X309" s="189"/>
      <c r="Y309" s="189"/>
      <c r="Z309" s="189"/>
    </row>
    <row r="310" spans="1:26">
      <c r="A310" s="189"/>
      <c r="B310" s="189"/>
      <c r="C310" s="189"/>
      <c r="D310" s="189"/>
      <c r="E310" s="189"/>
      <c r="F310" s="189"/>
      <c r="G310" s="189"/>
      <c r="H310" s="190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91"/>
      <c r="T310" s="208"/>
      <c r="U310" s="189"/>
      <c r="V310" s="189"/>
      <c r="W310" s="189"/>
      <c r="X310" s="189"/>
      <c r="Y310" s="189"/>
      <c r="Z310" s="189"/>
    </row>
    <row r="311" spans="1:26">
      <c r="A311" s="189"/>
      <c r="B311" s="189"/>
      <c r="C311" s="189"/>
      <c r="D311" s="189"/>
      <c r="E311" s="189"/>
      <c r="F311" s="189"/>
      <c r="G311" s="189"/>
      <c r="H311" s="190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91"/>
      <c r="T311" s="208"/>
      <c r="U311" s="189"/>
      <c r="V311" s="189"/>
      <c r="W311" s="189"/>
      <c r="X311" s="189"/>
      <c r="Y311" s="189"/>
      <c r="Z311" s="189"/>
    </row>
    <row r="312" spans="1:26">
      <c r="A312" s="189"/>
      <c r="B312" s="189"/>
      <c r="C312" s="189"/>
      <c r="D312" s="189"/>
      <c r="E312" s="189"/>
      <c r="F312" s="189"/>
      <c r="G312" s="189"/>
      <c r="H312" s="190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91"/>
      <c r="T312" s="208"/>
      <c r="U312" s="189"/>
      <c r="V312" s="189"/>
      <c r="W312" s="189"/>
      <c r="X312" s="189"/>
      <c r="Y312" s="189"/>
      <c r="Z312" s="189"/>
    </row>
    <row r="313" spans="1:26">
      <c r="A313" s="189"/>
      <c r="B313" s="189"/>
      <c r="C313" s="189"/>
      <c r="D313" s="189"/>
      <c r="E313" s="189"/>
      <c r="F313" s="189"/>
      <c r="G313" s="189"/>
      <c r="H313" s="190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91"/>
      <c r="T313" s="208"/>
      <c r="U313" s="189"/>
      <c r="V313" s="189"/>
      <c r="W313" s="189"/>
      <c r="X313" s="189"/>
      <c r="Y313" s="189"/>
      <c r="Z313" s="189"/>
    </row>
    <row r="314" spans="1:26">
      <c r="A314" s="189"/>
      <c r="B314" s="189"/>
      <c r="C314" s="189"/>
      <c r="D314" s="189"/>
      <c r="E314" s="189"/>
      <c r="F314" s="189"/>
      <c r="G314" s="189"/>
      <c r="H314" s="190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91"/>
      <c r="T314" s="208"/>
      <c r="U314" s="189"/>
      <c r="V314" s="189"/>
      <c r="W314" s="189"/>
      <c r="X314" s="189"/>
      <c r="Y314" s="189"/>
      <c r="Z314" s="189"/>
    </row>
    <row r="315" spans="1:26">
      <c r="A315" s="189"/>
      <c r="B315" s="189"/>
      <c r="C315" s="189"/>
      <c r="D315" s="189"/>
      <c r="E315" s="189"/>
      <c r="F315" s="189"/>
      <c r="G315" s="189"/>
      <c r="H315" s="190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91"/>
      <c r="T315" s="208"/>
      <c r="U315" s="189"/>
      <c r="V315" s="189"/>
      <c r="W315" s="189"/>
      <c r="X315" s="189"/>
      <c r="Y315" s="189"/>
      <c r="Z315" s="189"/>
    </row>
    <row r="316" spans="1:26">
      <c r="A316" s="189"/>
      <c r="B316" s="189"/>
      <c r="C316" s="189"/>
      <c r="D316" s="189"/>
      <c r="E316" s="189"/>
      <c r="F316" s="189"/>
      <c r="G316" s="189"/>
      <c r="H316" s="190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91"/>
      <c r="T316" s="208"/>
      <c r="U316" s="189"/>
      <c r="V316" s="189"/>
      <c r="W316" s="189"/>
      <c r="X316" s="189"/>
      <c r="Y316" s="189"/>
      <c r="Z316" s="189"/>
    </row>
    <row r="317" spans="1:26">
      <c r="A317" s="189"/>
      <c r="B317" s="189"/>
      <c r="C317" s="189"/>
      <c r="D317" s="189"/>
      <c r="E317" s="189"/>
      <c r="F317" s="189"/>
      <c r="G317" s="189"/>
      <c r="H317" s="190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91"/>
      <c r="T317" s="208"/>
      <c r="U317" s="189"/>
      <c r="V317" s="189"/>
      <c r="W317" s="189"/>
      <c r="X317" s="189"/>
      <c r="Y317" s="189"/>
      <c r="Z317" s="189"/>
    </row>
    <row r="318" spans="1:26">
      <c r="A318" s="189"/>
      <c r="B318" s="189"/>
      <c r="C318" s="189"/>
      <c r="D318" s="189"/>
      <c r="E318" s="189"/>
      <c r="F318" s="189"/>
      <c r="G318" s="189"/>
      <c r="H318" s="190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91"/>
      <c r="T318" s="208"/>
      <c r="U318" s="189"/>
      <c r="V318" s="189"/>
      <c r="W318" s="189"/>
      <c r="X318" s="189"/>
      <c r="Y318" s="189"/>
      <c r="Z318" s="189"/>
    </row>
    <row r="319" spans="1:26">
      <c r="A319" s="189"/>
      <c r="B319" s="189"/>
      <c r="C319" s="189"/>
      <c r="D319" s="189"/>
      <c r="E319" s="189"/>
      <c r="F319" s="189"/>
      <c r="G319" s="189"/>
      <c r="H319" s="190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91"/>
      <c r="T319" s="208"/>
      <c r="U319" s="189"/>
      <c r="V319" s="189"/>
      <c r="W319" s="189"/>
      <c r="X319" s="189"/>
      <c r="Y319" s="189"/>
      <c r="Z319" s="189"/>
    </row>
    <row r="320" spans="1:26">
      <c r="A320" s="189"/>
      <c r="B320" s="189"/>
      <c r="C320" s="189"/>
      <c r="D320" s="189"/>
      <c r="E320" s="189"/>
      <c r="F320" s="189"/>
      <c r="G320" s="189"/>
      <c r="H320" s="190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91"/>
      <c r="T320" s="208"/>
      <c r="U320" s="189"/>
      <c r="V320" s="189"/>
      <c r="W320" s="189"/>
      <c r="X320" s="189"/>
      <c r="Y320" s="189"/>
      <c r="Z320" s="189"/>
    </row>
    <row r="321" spans="1:26">
      <c r="A321" s="189"/>
      <c r="B321" s="189"/>
      <c r="C321" s="189"/>
      <c r="D321" s="189"/>
      <c r="E321" s="189"/>
      <c r="F321" s="189"/>
      <c r="G321" s="189"/>
      <c r="H321" s="190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91"/>
      <c r="T321" s="208"/>
      <c r="U321" s="189"/>
      <c r="V321" s="189"/>
      <c r="W321" s="189"/>
      <c r="X321" s="189"/>
      <c r="Y321" s="189"/>
      <c r="Z321" s="189"/>
    </row>
    <row r="322" spans="1:26">
      <c r="A322" s="189"/>
      <c r="B322" s="189"/>
      <c r="C322" s="189"/>
      <c r="D322" s="189"/>
      <c r="E322" s="189"/>
      <c r="F322" s="189"/>
      <c r="G322" s="189"/>
      <c r="H322" s="190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91"/>
      <c r="T322" s="208"/>
      <c r="U322" s="189"/>
      <c r="V322" s="189"/>
      <c r="W322" s="189"/>
      <c r="X322" s="189"/>
      <c r="Y322" s="189"/>
      <c r="Z322" s="189"/>
    </row>
    <row r="323" spans="1:26">
      <c r="A323" s="189"/>
      <c r="B323" s="189"/>
      <c r="C323" s="189"/>
      <c r="D323" s="189"/>
      <c r="E323" s="189"/>
      <c r="F323" s="189"/>
      <c r="G323" s="189"/>
      <c r="H323" s="190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91"/>
      <c r="T323" s="208"/>
      <c r="U323" s="189"/>
      <c r="V323" s="189"/>
      <c r="W323" s="189"/>
      <c r="X323" s="189"/>
      <c r="Y323" s="189"/>
      <c r="Z323" s="189"/>
    </row>
    <row r="324" spans="1:26">
      <c r="A324" s="189"/>
      <c r="B324" s="189"/>
      <c r="C324" s="189"/>
      <c r="D324" s="189"/>
      <c r="E324" s="189"/>
      <c r="F324" s="189"/>
      <c r="G324" s="189"/>
      <c r="H324" s="190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91"/>
      <c r="T324" s="208"/>
      <c r="U324" s="189"/>
      <c r="V324" s="189"/>
      <c r="W324" s="189"/>
      <c r="X324" s="189"/>
      <c r="Y324" s="189"/>
      <c r="Z324" s="189"/>
    </row>
    <row r="325" spans="1:26">
      <c r="A325" s="189"/>
      <c r="B325" s="189"/>
      <c r="C325" s="189"/>
      <c r="D325" s="189"/>
      <c r="E325" s="189"/>
      <c r="F325" s="189"/>
      <c r="G325" s="189"/>
      <c r="H325" s="190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91"/>
      <c r="T325" s="208"/>
      <c r="U325" s="189"/>
      <c r="V325" s="189"/>
      <c r="W325" s="189"/>
      <c r="X325" s="189"/>
      <c r="Y325" s="189"/>
      <c r="Z325" s="189"/>
    </row>
    <row r="326" spans="1:26">
      <c r="A326" s="189"/>
      <c r="B326" s="189"/>
      <c r="C326" s="189"/>
      <c r="D326" s="189"/>
      <c r="E326" s="189"/>
      <c r="F326" s="189"/>
      <c r="G326" s="189"/>
      <c r="H326" s="190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91"/>
      <c r="T326" s="208"/>
      <c r="U326" s="189"/>
      <c r="V326" s="189"/>
      <c r="W326" s="189"/>
      <c r="X326" s="189"/>
      <c r="Y326" s="189"/>
      <c r="Z326" s="189"/>
    </row>
    <row r="327" spans="1:26">
      <c r="A327" s="189"/>
      <c r="B327" s="189"/>
      <c r="C327" s="189"/>
      <c r="D327" s="189"/>
      <c r="E327" s="189"/>
      <c r="F327" s="189"/>
      <c r="G327" s="189"/>
      <c r="H327" s="190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91"/>
      <c r="T327" s="208"/>
      <c r="U327" s="189"/>
      <c r="V327" s="189"/>
      <c r="W327" s="189"/>
      <c r="X327" s="189"/>
      <c r="Y327" s="189"/>
      <c r="Z327" s="189"/>
    </row>
    <row r="328" spans="1:26">
      <c r="A328" s="189"/>
      <c r="B328" s="189"/>
      <c r="C328" s="189"/>
      <c r="D328" s="189"/>
      <c r="E328" s="189"/>
      <c r="F328" s="189"/>
      <c r="G328" s="189"/>
      <c r="H328" s="190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91"/>
      <c r="T328" s="208"/>
      <c r="U328" s="189"/>
      <c r="V328" s="189"/>
      <c r="W328" s="189"/>
      <c r="X328" s="189"/>
      <c r="Y328" s="189"/>
      <c r="Z328" s="189"/>
    </row>
    <row r="329" spans="1:26">
      <c r="A329" s="189"/>
      <c r="B329" s="189"/>
      <c r="C329" s="189"/>
      <c r="D329" s="189"/>
      <c r="E329" s="189"/>
      <c r="F329" s="189"/>
      <c r="G329" s="189"/>
      <c r="H329" s="190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91"/>
      <c r="T329" s="208"/>
      <c r="U329" s="189"/>
      <c r="V329" s="189"/>
      <c r="W329" s="189"/>
      <c r="X329" s="189"/>
      <c r="Y329" s="189"/>
      <c r="Z329" s="189"/>
    </row>
    <row r="330" spans="1:26">
      <c r="A330" s="189"/>
      <c r="B330" s="189"/>
      <c r="C330" s="189"/>
      <c r="D330" s="189"/>
      <c r="E330" s="189"/>
      <c r="F330" s="189"/>
      <c r="G330" s="189"/>
      <c r="H330" s="190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91"/>
      <c r="T330" s="208"/>
      <c r="U330" s="189"/>
      <c r="V330" s="189"/>
      <c r="W330" s="189"/>
      <c r="X330" s="189"/>
      <c r="Y330" s="189"/>
      <c r="Z330" s="189"/>
    </row>
    <row r="331" spans="1:26">
      <c r="A331" s="189"/>
      <c r="B331" s="189"/>
      <c r="C331" s="189"/>
      <c r="D331" s="189"/>
      <c r="E331" s="189"/>
      <c r="F331" s="189"/>
      <c r="G331" s="189"/>
      <c r="H331" s="190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91"/>
      <c r="T331" s="208"/>
      <c r="U331" s="189"/>
      <c r="V331" s="189"/>
      <c r="W331" s="189"/>
      <c r="X331" s="189"/>
      <c r="Y331" s="189"/>
      <c r="Z331" s="189"/>
    </row>
    <row r="332" spans="1:26">
      <c r="A332" s="189"/>
      <c r="B332" s="189"/>
      <c r="C332" s="189"/>
      <c r="D332" s="189"/>
      <c r="E332" s="189"/>
      <c r="F332" s="189"/>
      <c r="G332" s="189"/>
      <c r="H332" s="190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91"/>
      <c r="T332" s="208"/>
      <c r="U332" s="189"/>
      <c r="V332" s="189"/>
      <c r="W332" s="189"/>
      <c r="X332" s="189"/>
      <c r="Y332" s="189"/>
      <c r="Z332" s="189"/>
    </row>
    <row r="333" spans="1:26">
      <c r="A333" s="189"/>
      <c r="B333" s="189"/>
      <c r="C333" s="189"/>
      <c r="D333" s="189"/>
      <c r="E333" s="189"/>
      <c r="F333" s="189"/>
      <c r="G333" s="189"/>
      <c r="H333" s="190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91"/>
      <c r="T333" s="208"/>
      <c r="U333" s="189"/>
      <c r="V333" s="189"/>
      <c r="W333" s="189"/>
      <c r="X333" s="189"/>
      <c r="Y333" s="189"/>
      <c r="Z333" s="189"/>
    </row>
    <row r="334" spans="1:26">
      <c r="A334" s="189"/>
      <c r="B334" s="189"/>
      <c r="C334" s="189"/>
      <c r="D334" s="189"/>
      <c r="E334" s="189"/>
      <c r="F334" s="189"/>
      <c r="G334" s="189"/>
      <c r="H334" s="190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91"/>
      <c r="T334" s="208"/>
      <c r="U334" s="189"/>
      <c r="V334" s="189"/>
      <c r="W334" s="189"/>
      <c r="X334" s="189"/>
      <c r="Y334" s="189"/>
      <c r="Z334" s="189"/>
    </row>
    <row r="335" spans="1:26">
      <c r="A335" s="189"/>
      <c r="B335" s="189"/>
      <c r="C335" s="189"/>
      <c r="D335" s="189"/>
      <c r="E335" s="189"/>
      <c r="F335" s="189"/>
      <c r="G335" s="189"/>
      <c r="H335" s="190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91"/>
      <c r="T335" s="208"/>
      <c r="U335" s="189"/>
      <c r="V335" s="189"/>
      <c r="W335" s="189"/>
      <c r="X335" s="189"/>
      <c r="Y335" s="189"/>
      <c r="Z335" s="189"/>
    </row>
    <row r="336" spans="1:26">
      <c r="A336" s="189"/>
      <c r="B336" s="189"/>
      <c r="C336" s="189"/>
      <c r="D336" s="189"/>
      <c r="E336" s="189"/>
      <c r="F336" s="189"/>
      <c r="G336" s="189"/>
      <c r="H336" s="190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91"/>
      <c r="T336" s="208"/>
      <c r="U336" s="189"/>
      <c r="V336" s="189"/>
      <c r="W336" s="189"/>
      <c r="X336" s="189"/>
      <c r="Y336" s="189"/>
      <c r="Z336" s="189"/>
    </row>
    <row r="337" spans="1:26">
      <c r="A337" s="189"/>
      <c r="B337" s="189"/>
      <c r="C337" s="189"/>
      <c r="D337" s="189"/>
      <c r="E337" s="189"/>
      <c r="F337" s="189"/>
      <c r="G337" s="189"/>
      <c r="H337" s="190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91"/>
      <c r="T337" s="208"/>
      <c r="U337" s="189"/>
      <c r="V337" s="189"/>
      <c r="W337" s="189"/>
      <c r="X337" s="189"/>
      <c r="Y337" s="189"/>
      <c r="Z337" s="189"/>
    </row>
    <row r="338" spans="1:26">
      <c r="A338" s="189"/>
      <c r="B338" s="189"/>
      <c r="C338" s="189"/>
      <c r="D338" s="189"/>
      <c r="E338" s="189"/>
      <c r="F338" s="189"/>
      <c r="G338" s="189"/>
      <c r="H338" s="190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91"/>
      <c r="T338" s="208"/>
      <c r="U338" s="189"/>
      <c r="V338" s="189"/>
      <c r="W338" s="189"/>
      <c r="X338" s="189"/>
      <c r="Y338" s="189"/>
      <c r="Z338" s="189"/>
    </row>
    <row r="339" spans="1:26">
      <c r="A339" s="189"/>
      <c r="B339" s="189"/>
      <c r="C339" s="189"/>
      <c r="D339" s="189"/>
      <c r="E339" s="189"/>
      <c r="F339" s="189"/>
      <c r="G339" s="189"/>
      <c r="H339" s="190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91"/>
      <c r="T339" s="208"/>
      <c r="U339" s="189"/>
      <c r="V339" s="189"/>
      <c r="W339" s="189"/>
      <c r="X339" s="189"/>
      <c r="Y339" s="189"/>
      <c r="Z339" s="189"/>
    </row>
    <row r="340" spans="1:26">
      <c r="A340" s="189"/>
      <c r="B340" s="189"/>
      <c r="C340" s="189"/>
      <c r="D340" s="189"/>
      <c r="E340" s="189"/>
      <c r="F340" s="189"/>
      <c r="G340" s="189"/>
      <c r="H340" s="190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91"/>
      <c r="T340" s="208"/>
      <c r="U340" s="189"/>
      <c r="V340" s="189"/>
      <c r="W340" s="189"/>
      <c r="X340" s="189"/>
      <c r="Y340" s="189"/>
      <c r="Z340" s="189"/>
    </row>
    <row r="341" spans="1:26">
      <c r="A341" s="189"/>
      <c r="B341" s="189"/>
      <c r="C341" s="189"/>
      <c r="D341" s="189"/>
      <c r="E341" s="189"/>
      <c r="F341" s="189"/>
      <c r="G341" s="189"/>
      <c r="H341" s="190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91"/>
      <c r="T341" s="208"/>
      <c r="U341" s="189"/>
      <c r="V341" s="189"/>
      <c r="W341" s="189"/>
      <c r="X341" s="189"/>
      <c r="Y341" s="189"/>
      <c r="Z341" s="189"/>
    </row>
    <row r="342" spans="1:26">
      <c r="A342" s="189"/>
      <c r="B342" s="189"/>
      <c r="C342" s="189"/>
      <c r="D342" s="189"/>
      <c r="E342" s="189"/>
      <c r="F342" s="189"/>
      <c r="G342" s="189"/>
      <c r="H342" s="190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91"/>
      <c r="T342" s="208"/>
      <c r="U342" s="189"/>
      <c r="V342" s="189"/>
      <c r="W342" s="189"/>
      <c r="X342" s="189"/>
      <c r="Y342" s="189"/>
      <c r="Z342" s="189"/>
    </row>
    <row r="343" spans="1:26">
      <c r="A343" s="189"/>
      <c r="B343" s="189"/>
      <c r="C343" s="189"/>
      <c r="D343" s="189"/>
      <c r="E343" s="189"/>
      <c r="F343" s="189"/>
      <c r="G343" s="189"/>
      <c r="H343" s="190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91"/>
      <c r="T343" s="208"/>
      <c r="U343" s="189"/>
      <c r="V343" s="189"/>
      <c r="W343" s="189"/>
      <c r="X343" s="189"/>
      <c r="Y343" s="189"/>
      <c r="Z343" s="189"/>
    </row>
    <row r="344" spans="1:26">
      <c r="A344" s="189"/>
      <c r="B344" s="189"/>
      <c r="C344" s="189"/>
      <c r="D344" s="189"/>
      <c r="E344" s="189"/>
      <c r="F344" s="189"/>
      <c r="G344" s="189"/>
      <c r="H344" s="190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91"/>
      <c r="T344" s="208"/>
      <c r="U344" s="189"/>
      <c r="V344" s="189"/>
      <c r="W344" s="189"/>
      <c r="X344" s="189"/>
      <c r="Y344" s="189"/>
      <c r="Z344" s="189"/>
    </row>
    <row r="345" spans="1:26">
      <c r="A345" s="189"/>
      <c r="B345" s="189"/>
      <c r="C345" s="189"/>
      <c r="D345" s="189"/>
      <c r="E345" s="189"/>
      <c r="F345" s="189"/>
      <c r="G345" s="189"/>
      <c r="H345" s="190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91"/>
      <c r="T345" s="208"/>
      <c r="U345" s="189"/>
      <c r="V345" s="189"/>
      <c r="W345" s="189"/>
      <c r="X345" s="189"/>
      <c r="Y345" s="189"/>
      <c r="Z345" s="189"/>
    </row>
    <row r="346" spans="1:26">
      <c r="A346" s="189"/>
      <c r="B346" s="189"/>
      <c r="C346" s="189"/>
      <c r="D346" s="189"/>
      <c r="E346" s="189"/>
      <c r="F346" s="189"/>
      <c r="G346" s="189"/>
      <c r="H346" s="190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91"/>
      <c r="T346" s="208"/>
      <c r="U346" s="189"/>
      <c r="V346" s="189"/>
      <c r="W346" s="189"/>
      <c r="X346" s="189"/>
      <c r="Y346" s="189"/>
      <c r="Z346" s="189"/>
    </row>
    <row r="347" spans="1:26">
      <c r="A347" s="189"/>
      <c r="B347" s="189"/>
      <c r="C347" s="189"/>
      <c r="D347" s="189"/>
      <c r="E347" s="189"/>
      <c r="F347" s="189"/>
      <c r="G347" s="189"/>
      <c r="H347" s="190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91"/>
      <c r="T347" s="208"/>
      <c r="U347" s="189"/>
      <c r="V347" s="189"/>
      <c r="W347" s="189"/>
      <c r="X347" s="189"/>
      <c r="Y347" s="189"/>
      <c r="Z347" s="189"/>
    </row>
    <row r="348" spans="1:26">
      <c r="A348" s="189"/>
      <c r="B348" s="189"/>
      <c r="C348" s="189"/>
      <c r="D348" s="189"/>
      <c r="E348" s="189"/>
      <c r="F348" s="189"/>
      <c r="G348" s="189"/>
      <c r="H348" s="190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91"/>
      <c r="T348" s="208"/>
      <c r="U348" s="189"/>
      <c r="V348" s="189"/>
      <c r="W348" s="189"/>
      <c r="X348" s="189"/>
      <c r="Y348" s="189"/>
      <c r="Z348" s="189"/>
    </row>
    <row r="349" spans="1:26">
      <c r="A349" s="189"/>
      <c r="B349" s="189"/>
      <c r="C349" s="189"/>
      <c r="D349" s="189"/>
      <c r="E349" s="189"/>
      <c r="F349" s="189"/>
      <c r="G349" s="189"/>
      <c r="H349" s="190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91"/>
      <c r="T349" s="208"/>
      <c r="U349" s="189"/>
      <c r="V349" s="189"/>
      <c r="W349" s="189"/>
      <c r="X349" s="189"/>
      <c r="Y349" s="189"/>
      <c r="Z349" s="189"/>
    </row>
    <row r="350" spans="1:26">
      <c r="A350" s="189"/>
      <c r="B350" s="189"/>
      <c r="C350" s="189"/>
      <c r="D350" s="189"/>
      <c r="E350" s="189"/>
      <c r="F350" s="189"/>
      <c r="G350" s="189"/>
      <c r="H350" s="190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91"/>
      <c r="T350" s="208"/>
      <c r="U350" s="189"/>
      <c r="V350" s="189"/>
      <c r="W350" s="189"/>
      <c r="X350" s="189"/>
      <c r="Y350" s="189"/>
      <c r="Z350" s="189"/>
    </row>
    <row r="351" spans="1:26">
      <c r="A351" s="189"/>
      <c r="B351" s="189"/>
      <c r="C351" s="189"/>
      <c r="D351" s="189"/>
      <c r="E351" s="189"/>
      <c r="F351" s="189"/>
      <c r="G351" s="189"/>
      <c r="H351" s="190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91"/>
      <c r="T351" s="208"/>
      <c r="U351" s="189"/>
      <c r="V351" s="189"/>
      <c r="W351" s="189"/>
      <c r="X351" s="189"/>
      <c r="Y351" s="189"/>
      <c r="Z351" s="189"/>
    </row>
    <row r="352" spans="1:26">
      <c r="A352" s="189"/>
      <c r="B352" s="189"/>
      <c r="C352" s="189"/>
      <c r="D352" s="189"/>
      <c r="E352" s="189"/>
      <c r="F352" s="189"/>
      <c r="G352" s="189"/>
      <c r="H352" s="190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91"/>
      <c r="T352" s="208"/>
      <c r="U352" s="189"/>
      <c r="V352" s="189"/>
      <c r="W352" s="189"/>
      <c r="X352" s="189"/>
      <c r="Y352" s="189"/>
      <c r="Z352" s="189"/>
    </row>
    <row r="353" spans="1:26">
      <c r="A353" s="189"/>
      <c r="B353" s="189"/>
      <c r="C353" s="189"/>
      <c r="D353" s="189"/>
      <c r="E353" s="189"/>
      <c r="F353" s="189"/>
      <c r="G353" s="189"/>
      <c r="H353" s="190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91"/>
      <c r="T353" s="208"/>
      <c r="U353" s="189"/>
      <c r="V353" s="189"/>
      <c r="W353" s="189"/>
      <c r="X353" s="189"/>
      <c r="Y353" s="189"/>
      <c r="Z353" s="189"/>
    </row>
    <row r="354" spans="1:26">
      <c r="A354" s="189"/>
      <c r="B354" s="189"/>
      <c r="C354" s="189"/>
      <c r="D354" s="189"/>
      <c r="E354" s="189"/>
      <c r="F354" s="189"/>
      <c r="G354" s="189"/>
      <c r="H354" s="190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91"/>
      <c r="T354" s="208"/>
      <c r="U354" s="189"/>
      <c r="V354" s="189"/>
      <c r="W354" s="189"/>
      <c r="X354" s="189"/>
      <c r="Y354" s="189"/>
      <c r="Z354" s="189"/>
    </row>
    <row r="355" spans="1:26">
      <c r="A355" s="189"/>
      <c r="B355" s="189"/>
      <c r="C355" s="189"/>
      <c r="D355" s="189"/>
      <c r="E355" s="189"/>
      <c r="F355" s="189"/>
      <c r="G355" s="189"/>
      <c r="H355" s="190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91"/>
      <c r="T355" s="208"/>
      <c r="U355" s="189"/>
      <c r="V355" s="189"/>
      <c r="W355" s="189"/>
      <c r="X355" s="189"/>
      <c r="Y355" s="189"/>
      <c r="Z355" s="189"/>
    </row>
    <row r="356" spans="1:26">
      <c r="A356" s="189"/>
      <c r="B356" s="189"/>
      <c r="C356" s="189"/>
      <c r="D356" s="189"/>
      <c r="E356" s="189"/>
      <c r="F356" s="189"/>
      <c r="G356" s="189"/>
      <c r="H356" s="190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91"/>
      <c r="T356" s="208"/>
      <c r="U356" s="189"/>
      <c r="V356" s="189"/>
      <c r="W356" s="189"/>
      <c r="X356" s="189"/>
      <c r="Y356" s="189"/>
      <c r="Z356" s="189"/>
    </row>
    <row r="357" spans="1:26">
      <c r="A357" s="189"/>
      <c r="B357" s="189"/>
      <c r="C357" s="189"/>
      <c r="D357" s="189"/>
      <c r="E357" s="189"/>
      <c r="F357" s="189"/>
      <c r="G357" s="189"/>
      <c r="H357" s="190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91"/>
      <c r="T357" s="208"/>
      <c r="U357" s="189"/>
      <c r="V357" s="189"/>
      <c r="W357" s="189"/>
      <c r="X357" s="189"/>
      <c r="Y357" s="189"/>
      <c r="Z357" s="189"/>
    </row>
    <row r="358" spans="1:26">
      <c r="A358" s="189"/>
      <c r="B358" s="189"/>
      <c r="C358" s="189"/>
      <c r="D358" s="189"/>
      <c r="E358" s="189"/>
      <c r="F358" s="189"/>
      <c r="G358" s="189"/>
      <c r="H358" s="190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91"/>
      <c r="T358" s="208"/>
      <c r="U358" s="189"/>
      <c r="V358" s="189"/>
      <c r="W358" s="189"/>
      <c r="X358" s="189"/>
      <c r="Y358" s="189"/>
      <c r="Z358" s="189"/>
    </row>
    <row r="359" spans="1:26">
      <c r="A359" s="189"/>
      <c r="B359" s="189"/>
      <c r="C359" s="189"/>
      <c r="D359" s="189"/>
      <c r="E359" s="189"/>
      <c r="F359" s="189"/>
      <c r="G359" s="189"/>
      <c r="H359" s="190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91"/>
      <c r="T359" s="208"/>
      <c r="U359" s="189"/>
      <c r="V359" s="189"/>
      <c r="W359" s="189"/>
      <c r="X359" s="189"/>
      <c r="Y359" s="189"/>
      <c r="Z359" s="189"/>
    </row>
    <row r="360" spans="1:26">
      <c r="A360" s="189"/>
      <c r="B360" s="189"/>
      <c r="C360" s="189"/>
      <c r="D360" s="189"/>
      <c r="E360" s="189"/>
      <c r="F360" s="189"/>
      <c r="G360" s="189"/>
      <c r="H360" s="190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91"/>
      <c r="T360" s="208"/>
      <c r="U360" s="189"/>
      <c r="V360" s="189"/>
      <c r="W360" s="189"/>
      <c r="X360" s="189"/>
      <c r="Y360" s="189"/>
      <c r="Z360" s="189"/>
    </row>
    <row r="361" spans="1:26">
      <c r="A361" s="189"/>
      <c r="B361" s="189"/>
      <c r="C361" s="189"/>
      <c r="D361" s="189"/>
      <c r="E361" s="189"/>
      <c r="F361" s="189"/>
      <c r="G361" s="189"/>
      <c r="H361" s="190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91"/>
      <c r="T361" s="208"/>
      <c r="U361" s="189"/>
      <c r="V361" s="189"/>
      <c r="W361" s="189"/>
      <c r="X361" s="189"/>
      <c r="Y361" s="189"/>
      <c r="Z361" s="189"/>
    </row>
    <row r="362" spans="1:26">
      <c r="A362" s="189"/>
      <c r="B362" s="189"/>
      <c r="C362" s="189"/>
      <c r="D362" s="189"/>
      <c r="E362" s="189"/>
      <c r="F362" s="189"/>
      <c r="G362" s="189"/>
      <c r="H362" s="190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91"/>
      <c r="T362" s="208"/>
      <c r="U362" s="189"/>
      <c r="V362" s="189"/>
      <c r="W362" s="189"/>
      <c r="X362" s="189"/>
      <c r="Y362" s="189"/>
      <c r="Z362" s="189"/>
    </row>
    <row r="363" spans="1:26">
      <c r="A363" s="189"/>
      <c r="B363" s="189"/>
      <c r="C363" s="189"/>
      <c r="D363" s="189"/>
      <c r="E363" s="189"/>
      <c r="F363" s="189"/>
      <c r="G363" s="189"/>
      <c r="H363" s="190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91"/>
      <c r="T363" s="208"/>
      <c r="U363" s="189"/>
      <c r="V363" s="189"/>
      <c r="W363" s="189"/>
      <c r="X363" s="189"/>
      <c r="Y363" s="189"/>
      <c r="Z363" s="189"/>
    </row>
    <row r="364" spans="1:26">
      <c r="A364" s="189"/>
      <c r="B364" s="189"/>
      <c r="C364" s="189"/>
      <c r="D364" s="189"/>
      <c r="E364" s="189"/>
      <c r="F364" s="189"/>
      <c r="G364" s="189"/>
      <c r="H364" s="190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91"/>
      <c r="T364" s="208"/>
      <c r="U364" s="189"/>
      <c r="V364" s="189"/>
      <c r="W364" s="189"/>
      <c r="X364" s="189"/>
      <c r="Y364" s="189"/>
      <c r="Z364" s="189"/>
    </row>
    <row r="365" spans="1:26">
      <c r="A365" s="189"/>
      <c r="B365" s="189"/>
      <c r="C365" s="189"/>
      <c r="D365" s="189"/>
      <c r="E365" s="189"/>
      <c r="F365" s="189"/>
      <c r="G365" s="189"/>
      <c r="H365" s="190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91"/>
      <c r="T365" s="208"/>
      <c r="U365" s="189"/>
      <c r="V365" s="189"/>
      <c r="W365" s="189"/>
      <c r="X365" s="189"/>
      <c r="Y365" s="189"/>
      <c r="Z365" s="189"/>
    </row>
    <row r="366" spans="1:26">
      <c r="A366" s="189"/>
      <c r="B366" s="189"/>
      <c r="C366" s="189"/>
      <c r="D366" s="189"/>
      <c r="E366" s="189"/>
      <c r="F366" s="189"/>
      <c r="G366" s="189"/>
      <c r="H366" s="190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91"/>
      <c r="T366" s="208"/>
      <c r="U366" s="189"/>
      <c r="V366" s="189"/>
      <c r="W366" s="189"/>
      <c r="X366" s="189"/>
      <c r="Y366" s="189"/>
      <c r="Z366" s="189"/>
    </row>
    <row r="367" spans="1:26">
      <c r="A367" s="189"/>
      <c r="B367" s="189"/>
      <c r="C367" s="189"/>
      <c r="D367" s="189"/>
      <c r="E367" s="189"/>
      <c r="F367" s="189"/>
      <c r="G367" s="189"/>
      <c r="H367" s="190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91"/>
      <c r="T367" s="208"/>
      <c r="U367" s="189"/>
      <c r="V367" s="189"/>
      <c r="W367" s="189"/>
      <c r="X367" s="189"/>
      <c r="Y367" s="189"/>
      <c r="Z367" s="189"/>
    </row>
    <row r="368" spans="1:26">
      <c r="A368" s="189"/>
      <c r="B368" s="189"/>
      <c r="C368" s="189"/>
      <c r="D368" s="189"/>
      <c r="E368" s="189"/>
      <c r="F368" s="189"/>
      <c r="G368" s="189"/>
      <c r="H368" s="190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91"/>
      <c r="T368" s="208"/>
      <c r="U368" s="189"/>
      <c r="V368" s="189"/>
      <c r="W368" s="189"/>
      <c r="X368" s="189"/>
      <c r="Y368" s="189"/>
      <c r="Z368" s="189"/>
    </row>
    <row r="369" spans="1:26">
      <c r="A369" s="189"/>
      <c r="B369" s="189"/>
      <c r="C369" s="189"/>
      <c r="D369" s="189"/>
      <c r="E369" s="189"/>
      <c r="F369" s="189"/>
      <c r="G369" s="189"/>
      <c r="H369" s="190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91"/>
      <c r="T369" s="208"/>
      <c r="U369" s="189"/>
      <c r="V369" s="189"/>
      <c r="W369" s="189"/>
      <c r="X369" s="189"/>
      <c r="Y369" s="189"/>
      <c r="Z369" s="189"/>
    </row>
    <row r="370" spans="1:26">
      <c r="A370" s="189"/>
      <c r="B370" s="189"/>
      <c r="C370" s="189"/>
      <c r="D370" s="189"/>
      <c r="E370" s="189"/>
      <c r="F370" s="189"/>
      <c r="G370" s="189"/>
      <c r="H370" s="190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91"/>
      <c r="T370" s="208"/>
      <c r="U370" s="189"/>
      <c r="V370" s="189"/>
      <c r="W370" s="189"/>
      <c r="X370" s="189"/>
      <c r="Y370" s="189"/>
      <c r="Z370" s="189"/>
    </row>
    <row r="371" spans="1:26">
      <c r="A371" s="189"/>
      <c r="B371" s="189"/>
      <c r="C371" s="189"/>
      <c r="D371" s="189"/>
      <c r="E371" s="189"/>
      <c r="F371" s="189"/>
      <c r="G371" s="189"/>
      <c r="H371" s="190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91"/>
      <c r="T371" s="208"/>
      <c r="U371" s="189"/>
      <c r="V371" s="189"/>
      <c r="W371" s="189"/>
      <c r="X371" s="189"/>
      <c r="Y371" s="189"/>
      <c r="Z371" s="189"/>
    </row>
    <row r="372" spans="1:26">
      <c r="A372" s="189"/>
      <c r="B372" s="189"/>
      <c r="C372" s="189"/>
      <c r="D372" s="189"/>
      <c r="E372" s="189"/>
      <c r="F372" s="189"/>
      <c r="G372" s="189"/>
      <c r="H372" s="190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91"/>
      <c r="T372" s="208"/>
      <c r="U372" s="189"/>
      <c r="V372" s="189"/>
      <c r="W372" s="189"/>
      <c r="X372" s="189"/>
      <c r="Y372" s="189"/>
      <c r="Z372" s="189"/>
    </row>
    <row r="373" spans="1:26">
      <c r="A373" s="189"/>
      <c r="B373" s="189"/>
      <c r="C373" s="189"/>
      <c r="D373" s="189"/>
      <c r="E373" s="189"/>
      <c r="F373" s="189"/>
      <c r="G373" s="189"/>
      <c r="H373" s="190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91"/>
      <c r="T373" s="208"/>
      <c r="U373" s="189"/>
      <c r="V373" s="189"/>
      <c r="W373" s="189"/>
      <c r="X373" s="189"/>
      <c r="Y373" s="189"/>
      <c r="Z373" s="189"/>
    </row>
    <row r="374" spans="1:26">
      <c r="A374" s="189"/>
      <c r="B374" s="189"/>
      <c r="C374" s="189"/>
      <c r="D374" s="189"/>
      <c r="E374" s="189"/>
      <c r="F374" s="189"/>
      <c r="G374" s="189"/>
      <c r="H374" s="190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91"/>
      <c r="T374" s="208"/>
      <c r="U374" s="189"/>
      <c r="V374" s="189"/>
      <c r="W374" s="189"/>
      <c r="X374" s="189"/>
      <c r="Y374" s="189"/>
      <c r="Z374" s="189"/>
    </row>
    <row r="375" spans="1:26">
      <c r="A375" s="189"/>
      <c r="B375" s="189"/>
      <c r="C375" s="189"/>
      <c r="D375" s="189"/>
      <c r="E375" s="189"/>
      <c r="F375" s="189"/>
      <c r="G375" s="189"/>
      <c r="H375" s="190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91"/>
      <c r="T375" s="208"/>
      <c r="U375" s="189"/>
      <c r="V375" s="189"/>
      <c r="W375" s="189"/>
      <c r="X375" s="189"/>
      <c r="Y375" s="189"/>
      <c r="Z375" s="189"/>
    </row>
    <row r="376" spans="1:26">
      <c r="A376" s="189"/>
      <c r="B376" s="189"/>
      <c r="C376" s="189"/>
      <c r="D376" s="189"/>
      <c r="E376" s="189"/>
      <c r="F376" s="189"/>
      <c r="G376" s="189"/>
      <c r="H376" s="190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91"/>
      <c r="T376" s="208"/>
      <c r="U376" s="189"/>
      <c r="V376" s="189"/>
      <c r="W376" s="189"/>
      <c r="X376" s="189"/>
      <c r="Y376" s="189"/>
      <c r="Z376" s="189"/>
    </row>
    <row r="377" spans="1:26">
      <c r="A377" s="189"/>
      <c r="B377" s="189"/>
      <c r="C377" s="189"/>
      <c r="D377" s="189"/>
      <c r="E377" s="189"/>
      <c r="F377" s="189"/>
      <c r="G377" s="189"/>
      <c r="H377" s="190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91"/>
      <c r="T377" s="208"/>
      <c r="U377" s="189"/>
      <c r="V377" s="189"/>
      <c r="W377" s="189"/>
      <c r="X377" s="189"/>
      <c r="Y377" s="189"/>
      <c r="Z377" s="189"/>
    </row>
    <row r="378" spans="1:26">
      <c r="A378" s="189"/>
      <c r="B378" s="189"/>
      <c r="C378" s="189"/>
      <c r="D378" s="189"/>
      <c r="E378" s="189"/>
      <c r="F378" s="189"/>
      <c r="G378" s="189"/>
      <c r="H378" s="190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91"/>
      <c r="T378" s="208"/>
      <c r="U378" s="189"/>
      <c r="V378" s="189"/>
      <c r="W378" s="189"/>
      <c r="X378" s="189"/>
      <c r="Y378" s="189"/>
      <c r="Z378" s="189"/>
    </row>
    <row r="379" spans="1:26">
      <c r="A379" s="189"/>
      <c r="B379" s="189"/>
      <c r="C379" s="189"/>
      <c r="D379" s="189"/>
      <c r="E379" s="189"/>
      <c r="F379" s="189"/>
      <c r="G379" s="189"/>
      <c r="H379" s="190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91"/>
      <c r="T379" s="208"/>
      <c r="U379" s="189"/>
      <c r="V379" s="189"/>
      <c r="W379" s="189"/>
      <c r="X379" s="189"/>
      <c r="Y379" s="189"/>
      <c r="Z379" s="189"/>
    </row>
    <row r="380" spans="1:26">
      <c r="A380" s="189"/>
      <c r="B380" s="189"/>
      <c r="C380" s="189"/>
      <c r="D380" s="189"/>
      <c r="E380" s="189"/>
      <c r="F380" s="189"/>
      <c r="G380" s="189"/>
      <c r="H380" s="190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91"/>
      <c r="T380" s="208"/>
      <c r="U380" s="189"/>
      <c r="V380" s="189"/>
      <c r="W380" s="189"/>
      <c r="X380" s="189"/>
      <c r="Y380" s="189"/>
      <c r="Z380" s="189"/>
    </row>
    <row r="381" spans="1:26">
      <c r="A381" s="189"/>
      <c r="B381" s="189"/>
      <c r="C381" s="189"/>
      <c r="D381" s="189"/>
      <c r="E381" s="189"/>
      <c r="F381" s="189"/>
      <c r="G381" s="189"/>
      <c r="H381" s="190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91"/>
      <c r="T381" s="208"/>
      <c r="U381" s="189"/>
      <c r="V381" s="189"/>
      <c r="W381" s="189"/>
      <c r="X381" s="189"/>
      <c r="Y381" s="189"/>
      <c r="Z381" s="189"/>
    </row>
    <row r="382" spans="1:26">
      <c r="A382" s="189"/>
      <c r="B382" s="189"/>
      <c r="C382" s="189"/>
      <c r="D382" s="189"/>
      <c r="E382" s="189"/>
      <c r="F382" s="189"/>
      <c r="G382" s="189"/>
      <c r="H382" s="190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91"/>
      <c r="T382" s="208"/>
      <c r="U382" s="189"/>
      <c r="V382" s="189"/>
      <c r="W382" s="189"/>
      <c r="X382" s="189"/>
      <c r="Y382" s="189"/>
      <c r="Z382" s="189"/>
    </row>
    <row r="383" spans="1:26">
      <c r="A383" s="189"/>
      <c r="B383" s="189"/>
      <c r="C383" s="189"/>
      <c r="D383" s="189"/>
      <c r="E383" s="189"/>
      <c r="F383" s="189"/>
      <c r="G383" s="189"/>
      <c r="H383" s="190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91"/>
      <c r="T383" s="208"/>
      <c r="U383" s="189"/>
      <c r="V383" s="189"/>
      <c r="W383" s="189"/>
      <c r="X383" s="189"/>
      <c r="Y383" s="189"/>
      <c r="Z383" s="189"/>
    </row>
    <row r="384" spans="1:26">
      <c r="A384" s="189"/>
      <c r="B384" s="189"/>
      <c r="C384" s="189"/>
      <c r="D384" s="189"/>
      <c r="E384" s="189"/>
      <c r="F384" s="189"/>
      <c r="G384" s="189"/>
      <c r="H384" s="190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91"/>
      <c r="T384" s="208"/>
      <c r="U384" s="189"/>
      <c r="V384" s="189"/>
      <c r="W384" s="189"/>
      <c r="X384" s="189"/>
      <c r="Y384" s="189"/>
      <c r="Z384" s="189"/>
    </row>
    <row r="385" spans="1:26">
      <c r="A385" s="189"/>
      <c r="B385" s="189"/>
      <c r="C385" s="189"/>
      <c r="D385" s="189"/>
      <c r="E385" s="189"/>
      <c r="F385" s="189"/>
      <c r="G385" s="189"/>
      <c r="H385" s="190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91"/>
      <c r="T385" s="208"/>
      <c r="U385" s="189"/>
      <c r="V385" s="189"/>
      <c r="W385" s="189"/>
      <c r="X385" s="189"/>
      <c r="Y385" s="189"/>
      <c r="Z385" s="189"/>
    </row>
    <row r="386" spans="1:26">
      <c r="A386" s="189"/>
      <c r="B386" s="189"/>
      <c r="C386" s="189"/>
      <c r="D386" s="189"/>
      <c r="E386" s="189"/>
      <c r="F386" s="189"/>
      <c r="G386" s="189"/>
      <c r="H386" s="190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91"/>
      <c r="T386" s="208"/>
      <c r="U386" s="189"/>
      <c r="V386" s="189"/>
      <c r="W386" s="189"/>
      <c r="X386" s="189"/>
      <c r="Y386" s="189"/>
      <c r="Z386" s="189"/>
    </row>
    <row r="387" spans="1:26">
      <c r="A387" s="189"/>
      <c r="B387" s="189"/>
      <c r="C387" s="189"/>
      <c r="D387" s="189"/>
      <c r="E387" s="189"/>
      <c r="F387" s="189"/>
      <c r="G387" s="189"/>
      <c r="H387" s="190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91"/>
      <c r="T387" s="208"/>
      <c r="U387" s="189"/>
      <c r="V387" s="189"/>
      <c r="W387" s="189"/>
      <c r="X387" s="189"/>
      <c r="Y387" s="189"/>
      <c r="Z387" s="189"/>
    </row>
    <row r="388" spans="1:26">
      <c r="A388" s="189"/>
      <c r="B388" s="189"/>
      <c r="C388" s="189"/>
      <c r="D388" s="189"/>
      <c r="E388" s="189"/>
      <c r="F388" s="189"/>
      <c r="G388" s="189"/>
      <c r="H388" s="190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91"/>
      <c r="T388" s="208"/>
      <c r="U388" s="189"/>
      <c r="V388" s="189"/>
      <c r="W388" s="189"/>
      <c r="X388" s="189"/>
      <c r="Y388" s="189"/>
      <c r="Z388" s="189"/>
    </row>
    <row r="389" spans="1:26">
      <c r="A389" s="189"/>
      <c r="B389" s="189"/>
      <c r="C389" s="189"/>
      <c r="D389" s="189"/>
      <c r="E389" s="189"/>
      <c r="F389" s="189"/>
      <c r="G389" s="189"/>
      <c r="H389" s="190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91"/>
      <c r="T389" s="208"/>
      <c r="U389" s="189"/>
      <c r="V389" s="189"/>
      <c r="W389" s="189"/>
      <c r="X389" s="189"/>
      <c r="Y389" s="189"/>
      <c r="Z389" s="189"/>
    </row>
    <row r="390" spans="1:26">
      <c r="A390" s="189"/>
      <c r="B390" s="189"/>
      <c r="C390" s="189"/>
      <c r="D390" s="189"/>
      <c r="E390" s="189"/>
      <c r="F390" s="189"/>
      <c r="G390" s="189"/>
      <c r="H390" s="190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91"/>
      <c r="T390" s="208"/>
      <c r="U390" s="189"/>
      <c r="V390" s="189"/>
      <c r="W390" s="189"/>
      <c r="X390" s="189"/>
      <c r="Y390" s="189"/>
      <c r="Z390" s="189"/>
    </row>
    <row r="391" spans="1:26">
      <c r="A391" s="189"/>
      <c r="B391" s="189"/>
      <c r="C391" s="189"/>
      <c r="D391" s="189"/>
      <c r="E391" s="189"/>
      <c r="F391" s="189"/>
      <c r="G391" s="189"/>
      <c r="H391" s="190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91"/>
      <c r="T391" s="208"/>
      <c r="U391" s="189"/>
      <c r="V391" s="189"/>
      <c r="W391" s="189"/>
      <c r="X391" s="189"/>
      <c r="Y391" s="189"/>
      <c r="Z391" s="189"/>
    </row>
    <row r="392" spans="1:26">
      <c r="A392" s="189"/>
      <c r="B392" s="189"/>
      <c r="C392" s="189"/>
      <c r="D392" s="189"/>
      <c r="E392" s="189"/>
      <c r="F392" s="189"/>
      <c r="G392" s="189"/>
      <c r="H392" s="190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91"/>
      <c r="T392" s="208"/>
      <c r="U392" s="189"/>
      <c r="V392" s="189"/>
      <c r="W392" s="189"/>
      <c r="X392" s="189"/>
      <c r="Y392" s="189"/>
      <c r="Z392" s="189"/>
    </row>
    <row r="393" spans="1:26">
      <c r="A393" s="189"/>
      <c r="B393" s="189"/>
      <c r="C393" s="189"/>
      <c r="D393" s="189"/>
      <c r="E393" s="189"/>
      <c r="F393" s="189"/>
      <c r="G393" s="189"/>
      <c r="H393" s="190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91"/>
      <c r="T393" s="208"/>
      <c r="U393" s="189"/>
      <c r="V393" s="189"/>
      <c r="W393" s="189"/>
      <c r="X393" s="189"/>
      <c r="Y393" s="189"/>
      <c r="Z393" s="189"/>
    </row>
    <row r="394" spans="1:26">
      <c r="A394" s="189"/>
      <c r="B394" s="189"/>
      <c r="C394" s="189"/>
      <c r="D394" s="189"/>
      <c r="E394" s="189"/>
      <c r="F394" s="189"/>
      <c r="G394" s="189"/>
      <c r="H394" s="190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91"/>
      <c r="T394" s="208"/>
      <c r="U394" s="189"/>
      <c r="V394" s="189"/>
      <c r="W394" s="189"/>
      <c r="X394" s="189"/>
      <c r="Y394" s="189"/>
      <c r="Z394" s="189"/>
    </row>
    <row r="395" spans="1:26">
      <c r="A395" s="189"/>
      <c r="B395" s="189"/>
      <c r="C395" s="189"/>
      <c r="D395" s="189"/>
      <c r="E395" s="189"/>
      <c r="F395" s="189"/>
      <c r="G395" s="189"/>
      <c r="H395" s="190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91"/>
      <c r="T395" s="208"/>
      <c r="U395" s="189"/>
      <c r="V395" s="189"/>
      <c r="W395" s="189"/>
      <c r="X395" s="189"/>
      <c r="Y395" s="189"/>
      <c r="Z395" s="189"/>
    </row>
    <row r="396" spans="1:26">
      <c r="A396" s="189"/>
      <c r="B396" s="189"/>
      <c r="C396" s="189"/>
      <c r="D396" s="189"/>
      <c r="E396" s="189"/>
      <c r="F396" s="189"/>
      <c r="G396" s="189"/>
      <c r="H396" s="190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91"/>
      <c r="T396" s="208"/>
      <c r="U396" s="189"/>
      <c r="V396" s="189"/>
      <c r="W396" s="189"/>
      <c r="X396" s="189"/>
      <c r="Y396" s="189"/>
      <c r="Z396" s="189"/>
    </row>
    <row r="397" spans="1:26">
      <c r="A397" s="189"/>
      <c r="B397" s="189"/>
      <c r="C397" s="189"/>
      <c r="D397" s="189"/>
      <c r="E397" s="189"/>
      <c r="F397" s="189"/>
      <c r="G397" s="189"/>
      <c r="H397" s="190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91"/>
      <c r="T397" s="208"/>
      <c r="U397" s="189"/>
      <c r="V397" s="189"/>
      <c r="W397" s="189"/>
      <c r="X397" s="189"/>
      <c r="Y397" s="189"/>
      <c r="Z397" s="189"/>
    </row>
    <row r="398" spans="1:26">
      <c r="A398" s="189"/>
      <c r="B398" s="189"/>
      <c r="C398" s="189"/>
      <c r="D398" s="189"/>
      <c r="E398" s="189"/>
      <c r="F398" s="189"/>
      <c r="G398" s="189"/>
      <c r="H398" s="190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91"/>
      <c r="T398" s="208"/>
      <c r="U398" s="189"/>
      <c r="V398" s="189"/>
      <c r="W398" s="189"/>
      <c r="X398" s="189"/>
      <c r="Y398" s="189"/>
      <c r="Z398" s="189"/>
    </row>
    <row r="399" spans="1:26">
      <c r="A399" s="189"/>
      <c r="B399" s="189"/>
      <c r="C399" s="189"/>
      <c r="D399" s="189"/>
      <c r="E399" s="189"/>
      <c r="F399" s="189"/>
      <c r="G399" s="189"/>
      <c r="H399" s="190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91"/>
      <c r="T399" s="208"/>
      <c r="U399" s="189"/>
      <c r="V399" s="189"/>
      <c r="W399" s="189"/>
      <c r="X399" s="189"/>
      <c r="Y399" s="189"/>
      <c r="Z399" s="189"/>
    </row>
    <row r="400" spans="1:26">
      <c r="A400" s="189"/>
      <c r="B400" s="189"/>
      <c r="C400" s="189"/>
      <c r="D400" s="189"/>
      <c r="E400" s="189"/>
      <c r="F400" s="189"/>
      <c r="G400" s="189"/>
      <c r="H400" s="190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91"/>
      <c r="T400" s="208"/>
      <c r="U400" s="189"/>
      <c r="V400" s="189"/>
      <c r="W400" s="189"/>
      <c r="X400" s="189"/>
      <c r="Y400" s="189"/>
      <c r="Z400" s="189"/>
    </row>
    <row r="401" spans="1:26">
      <c r="A401" s="189"/>
      <c r="B401" s="189"/>
      <c r="C401" s="189"/>
      <c r="D401" s="189"/>
      <c r="E401" s="189"/>
      <c r="F401" s="189"/>
      <c r="G401" s="189"/>
      <c r="H401" s="190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91"/>
      <c r="T401" s="208"/>
      <c r="U401" s="189"/>
      <c r="V401" s="189"/>
      <c r="W401" s="189"/>
      <c r="X401" s="189"/>
      <c r="Y401" s="189"/>
      <c r="Z401" s="189"/>
    </row>
    <row r="402" spans="1:26">
      <c r="A402" s="189"/>
      <c r="B402" s="189"/>
      <c r="C402" s="189"/>
      <c r="D402" s="189"/>
      <c r="E402" s="189"/>
      <c r="F402" s="189"/>
      <c r="G402" s="189"/>
      <c r="H402" s="190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91"/>
      <c r="T402" s="208"/>
      <c r="U402" s="189"/>
      <c r="V402" s="189"/>
      <c r="W402" s="189"/>
      <c r="X402" s="189"/>
      <c r="Y402" s="189"/>
      <c r="Z402" s="189"/>
    </row>
    <row r="403" spans="1:26">
      <c r="A403" s="189"/>
      <c r="B403" s="189"/>
      <c r="C403" s="189"/>
      <c r="D403" s="189"/>
      <c r="E403" s="189"/>
      <c r="F403" s="189"/>
      <c r="G403" s="189"/>
      <c r="H403" s="190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91"/>
      <c r="T403" s="208"/>
      <c r="U403" s="189"/>
      <c r="V403" s="189"/>
      <c r="W403" s="189"/>
      <c r="X403" s="189"/>
      <c r="Y403" s="189"/>
      <c r="Z403" s="189"/>
    </row>
    <row r="404" spans="1:26">
      <c r="A404" s="189"/>
      <c r="B404" s="189"/>
      <c r="C404" s="189"/>
      <c r="D404" s="189"/>
      <c r="E404" s="189"/>
      <c r="F404" s="189"/>
      <c r="G404" s="189"/>
      <c r="H404" s="190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91"/>
      <c r="T404" s="208"/>
      <c r="U404" s="189"/>
      <c r="V404" s="189"/>
      <c r="W404" s="189"/>
      <c r="X404" s="189"/>
      <c r="Y404" s="189"/>
      <c r="Z404" s="189"/>
    </row>
    <row r="405" spans="1:26">
      <c r="A405" s="189"/>
      <c r="B405" s="189"/>
      <c r="C405" s="189"/>
      <c r="D405" s="189"/>
      <c r="E405" s="189"/>
      <c r="F405" s="189"/>
      <c r="G405" s="189"/>
      <c r="H405" s="190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91"/>
      <c r="T405" s="208"/>
      <c r="U405" s="189"/>
      <c r="V405" s="189"/>
      <c r="W405" s="189"/>
      <c r="X405" s="189"/>
      <c r="Y405" s="189"/>
      <c r="Z405" s="189"/>
    </row>
    <row r="406" spans="1:26">
      <c r="A406" s="189"/>
      <c r="B406" s="189"/>
      <c r="C406" s="189"/>
      <c r="D406" s="189"/>
      <c r="E406" s="189"/>
      <c r="F406" s="189"/>
      <c r="G406" s="189"/>
      <c r="H406" s="190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91"/>
      <c r="T406" s="208"/>
      <c r="U406" s="189"/>
      <c r="V406" s="189"/>
      <c r="W406" s="189"/>
      <c r="X406" s="189"/>
      <c r="Y406" s="189"/>
      <c r="Z406" s="189"/>
    </row>
    <row r="407" spans="1:26">
      <c r="A407" s="189"/>
      <c r="B407" s="189"/>
      <c r="C407" s="189"/>
      <c r="D407" s="189"/>
      <c r="E407" s="189"/>
      <c r="F407" s="189"/>
      <c r="G407" s="189"/>
      <c r="H407" s="190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91"/>
      <c r="T407" s="208"/>
      <c r="U407" s="189"/>
      <c r="V407" s="189"/>
      <c r="W407" s="189"/>
      <c r="X407" s="189"/>
      <c r="Y407" s="189"/>
      <c r="Z407" s="189"/>
    </row>
    <row r="408" spans="1:26">
      <c r="A408" s="189"/>
      <c r="B408" s="189"/>
      <c r="C408" s="189"/>
      <c r="D408" s="189"/>
      <c r="E408" s="189"/>
      <c r="F408" s="189"/>
      <c r="G408" s="189"/>
      <c r="H408" s="190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91"/>
      <c r="T408" s="208"/>
      <c r="U408" s="189"/>
      <c r="V408" s="189"/>
      <c r="W408" s="189"/>
      <c r="X408" s="189"/>
      <c r="Y408" s="189"/>
      <c r="Z408" s="189"/>
    </row>
    <row r="409" spans="1:26">
      <c r="A409" s="189"/>
      <c r="B409" s="189"/>
      <c r="C409" s="189"/>
      <c r="D409" s="189"/>
      <c r="E409" s="189"/>
      <c r="F409" s="189"/>
      <c r="G409" s="189"/>
      <c r="H409" s="190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91"/>
      <c r="T409" s="208"/>
      <c r="U409" s="189"/>
      <c r="V409" s="189"/>
      <c r="W409" s="189"/>
      <c r="X409" s="189"/>
      <c r="Y409" s="189"/>
      <c r="Z409" s="189"/>
    </row>
    <row r="410" spans="1:26">
      <c r="A410" s="189"/>
      <c r="B410" s="189"/>
      <c r="C410" s="189"/>
      <c r="D410" s="189"/>
      <c r="E410" s="189"/>
      <c r="F410" s="189"/>
      <c r="G410" s="189"/>
      <c r="H410" s="190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91"/>
      <c r="T410" s="208"/>
      <c r="U410" s="189"/>
      <c r="V410" s="189"/>
      <c r="W410" s="189"/>
      <c r="X410" s="189"/>
      <c r="Y410" s="189"/>
      <c r="Z410" s="189"/>
    </row>
    <row r="411" spans="1:26">
      <c r="A411" s="189"/>
      <c r="B411" s="189"/>
      <c r="C411" s="189"/>
      <c r="D411" s="189"/>
      <c r="E411" s="189"/>
      <c r="F411" s="189"/>
      <c r="G411" s="189"/>
      <c r="H411" s="190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91"/>
      <c r="T411" s="208"/>
      <c r="U411" s="189"/>
      <c r="V411" s="189"/>
      <c r="W411" s="189"/>
      <c r="X411" s="189"/>
      <c r="Y411" s="189"/>
      <c r="Z411" s="189"/>
    </row>
    <row r="412" spans="1:26">
      <c r="A412" s="189"/>
      <c r="B412" s="189"/>
      <c r="C412" s="189"/>
      <c r="D412" s="189"/>
      <c r="E412" s="189"/>
      <c r="F412" s="189"/>
      <c r="G412" s="189"/>
      <c r="H412" s="190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91"/>
      <c r="T412" s="208"/>
      <c r="U412" s="189"/>
      <c r="V412" s="189"/>
      <c r="W412" s="189"/>
      <c r="X412" s="189"/>
      <c r="Y412" s="189"/>
      <c r="Z412" s="189"/>
    </row>
    <row r="413" spans="1:26">
      <c r="A413" s="189"/>
      <c r="B413" s="189"/>
      <c r="C413" s="189"/>
      <c r="D413" s="189"/>
      <c r="E413" s="189"/>
      <c r="F413" s="189"/>
      <c r="G413" s="189"/>
      <c r="H413" s="190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91"/>
      <c r="T413" s="208"/>
      <c r="U413" s="189"/>
      <c r="V413" s="189"/>
      <c r="W413" s="189"/>
      <c r="X413" s="189"/>
      <c r="Y413" s="189"/>
      <c r="Z413" s="189"/>
    </row>
    <row r="414" spans="1:26">
      <c r="A414" s="189"/>
      <c r="B414" s="189"/>
      <c r="C414" s="189"/>
      <c r="D414" s="189"/>
      <c r="E414" s="189"/>
      <c r="F414" s="189"/>
      <c r="G414" s="189"/>
      <c r="H414" s="190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91"/>
      <c r="T414" s="208"/>
      <c r="U414" s="189"/>
      <c r="V414" s="189"/>
      <c r="W414" s="189"/>
      <c r="X414" s="189"/>
      <c r="Y414" s="189"/>
      <c r="Z414" s="189"/>
    </row>
    <row r="415" spans="1:26">
      <c r="A415" s="189"/>
      <c r="B415" s="189"/>
      <c r="C415" s="189"/>
      <c r="D415" s="189"/>
      <c r="E415" s="189"/>
      <c r="F415" s="189"/>
      <c r="G415" s="189"/>
      <c r="H415" s="190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91"/>
      <c r="T415" s="208"/>
      <c r="U415" s="189"/>
      <c r="V415" s="189"/>
      <c r="W415" s="189"/>
      <c r="X415" s="189"/>
      <c r="Y415" s="189"/>
      <c r="Z415" s="189"/>
    </row>
    <row r="416" spans="1:26">
      <c r="A416" s="189"/>
      <c r="B416" s="189"/>
      <c r="C416" s="189"/>
      <c r="D416" s="189"/>
      <c r="E416" s="189"/>
      <c r="F416" s="189"/>
      <c r="G416" s="189"/>
      <c r="H416" s="190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91"/>
      <c r="T416" s="208"/>
      <c r="U416" s="189"/>
      <c r="V416" s="189"/>
      <c r="W416" s="189"/>
      <c r="X416" s="189"/>
      <c r="Y416" s="189"/>
      <c r="Z416" s="189"/>
    </row>
    <row r="417" spans="1:26">
      <c r="A417" s="189"/>
      <c r="B417" s="189"/>
      <c r="C417" s="189"/>
      <c r="D417" s="189"/>
      <c r="E417" s="189"/>
      <c r="F417" s="189"/>
      <c r="G417" s="189"/>
      <c r="H417" s="190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91"/>
      <c r="T417" s="208"/>
      <c r="U417" s="189"/>
      <c r="V417" s="189"/>
      <c r="W417" s="189"/>
      <c r="X417" s="189"/>
      <c r="Y417" s="189"/>
      <c r="Z417" s="189"/>
    </row>
    <row r="418" spans="1:26">
      <c r="A418" s="189"/>
      <c r="B418" s="189"/>
      <c r="C418" s="189"/>
      <c r="D418" s="189"/>
      <c r="E418" s="189"/>
      <c r="F418" s="189"/>
      <c r="G418" s="189"/>
      <c r="H418" s="190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91"/>
      <c r="T418" s="208"/>
      <c r="U418" s="189"/>
      <c r="V418" s="189"/>
      <c r="W418" s="189"/>
      <c r="X418" s="189"/>
      <c r="Y418" s="189"/>
      <c r="Z418" s="189"/>
    </row>
    <row r="419" spans="1:26">
      <c r="A419" s="189"/>
      <c r="B419" s="189"/>
      <c r="C419" s="189"/>
      <c r="D419" s="189"/>
      <c r="E419" s="189"/>
      <c r="F419" s="189"/>
      <c r="G419" s="189"/>
      <c r="H419" s="190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91"/>
      <c r="T419" s="208"/>
      <c r="U419" s="189"/>
      <c r="V419" s="189"/>
      <c r="W419" s="189"/>
      <c r="X419" s="189"/>
      <c r="Y419" s="189"/>
      <c r="Z419" s="189"/>
    </row>
    <row r="420" spans="1:26">
      <c r="A420" s="189"/>
      <c r="B420" s="189"/>
      <c r="C420" s="189"/>
      <c r="D420" s="189"/>
      <c r="E420" s="189"/>
      <c r="F420" s="189"/>
      <c r="G420" s="189"/>
      <c r="H420" s="190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91"/>
      <c r="T420" s="208"/>
      <c r="U420" s="189"/>
      <c r="V420" s="189"/>
      <c r="W420" s="189"/>
      <c r="X420" s="189"/>
      <c r="Y420" s="189"/>
      <c r="Z420" s="189"/>
    </row>
    <row r="421" spans="1:26">
      <c r="A421" s="189"/>
      <c r="B421" s="189"/>
      <c r="C421" s="189"/>
      <c r="D421" s="189"/>
      <c r="E421" s="189"/>
      <c r="F421" s="189"/>
      <c r="G421" s="189"/>
      <c r="H421" s="190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91"/>
      <c r="T421" s="208"/>
      <c r="U421" s="189"/>
      <c r="V421" s="189"/>
      <c r="W421" s="189"/>
      <c r="X421" s="189"/>
      <c r="Y421" s="189"/>
      <c r="Z421" s="189"/>
    </row>
    <row r="422" spans="1:26">
      <c r="A422" s="189"/>
      <c r="B422" s="189"/>
      <c r="C422" s="189"/>
      <c r="D422" s="189"/>
      <c r="E422" s="189"/>
      <c r="F422" s="189"/>
      <c r="G422" s="189"/>
      <c r="H422" s="190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91"/>
      <c r="T422" s="208"/>
      <c r="U422" s="189"/>
      <c r="V422" s="189"/>
      <c r="W422" s="189"/>
      <c r="X422" s="189"/>
      <c r="Y422" s="189"/>
      <c r="Z422" s="189"/>
    </row>
    <row r="423" spans="1:26">
      <c r="A423" s="189"/>
      <c r="B423" s="189"/>
      <c r="C423" s="189"/>
      <c r="D423" s="189"/>
      <c r="E423" s="189"/>
      <c r="F423" s="189"/>
      <c r="G423" s="189"/>
      <c r="H423" s="190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91"/>
      <c r="T423" s="208"/>
      <c r="U423" s="189"/>
      <c r="V423" s="189"/>
      <c r="W423" s="189"/>
      <c r="X423" s="189"/>
      <c r="Y423" s="189"/>
      <c r="Z423" s="189"/>
    </row>
    <row r="424" spans="1:26">
      <c r="A424" s="189"/>
      <c r="B424" s="189"/>
      <c r="C424" s="189"/>
      <c r="D424" s="189"/>
      <c r="E424" s="189"/>
      <c r="F424" s="189"/>
      <c r="G424" s="189"/>
      <c r="H424" s="190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91"/>
      <c r="T424" s="208"/>
      <c r="U424" s="189"/>
      <c r="V424" s="189"/>
      <c r="W424" s="189"/>
      <c r="X424" s="189"/>
      <c r="Y424" s="189"/>
      <c r="Z424" s="189"/>
    </row>
    <row r="425" spans="1:26">
      <c r="A425" s="189"/>
      <c r="B425" s="189"/>
      <c r="C425" s="189"/>
      <c r="D425" s="189"/>
      <c r="E425" s="189"/>
      <c r="F425" s="189"/>
      <c r="G425" s="189"/>
      <c r="H425" s="190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91"/>
      <c r="T425" s="208"/>
      <c r="U425" s="189"/>
      <c r="V425" s="189"/>
      <c r="W425" s="189"/>
      <c r="X425" s="189"/>
      <c r="Y425" s="189"/>
      <c r="Z425" s="189"/>
    </row>
    <row r="426" spans="1:26">
      <c r="A426" s="189"/>
      <c r="B426" s="189"/>
      <c r="C426" s="189"/>
      <c r="D426" s="189"/>
      <c r="E426" s="189"/>
      <c r="F426" s="189"/>
      <c r="G426" s="189"/>
      <c r="H426" s="190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91"/>
      <c r="T426" s="208"/>
      <c r="U426" s="189"/>
      <c r="V426" s="189"/>
      <c r="W426" s="189"/>
      <c r="X426" s="189"/>
      <c r="Y426" s="189"/>
      <c r="Z426" s="189"/>
    </row>
    <row r="427" spans="1:26">
      <c r="A427" s="189"/>
      <c r="B427" s="189"/>
      <c r="C427" s="189"/>
      <c r="D427" s="189"/>
      <c r="E427" s="189"/>
      <c r="F427" s="189"/>
      <c r="G427" s="189"/>
      <c r="H427" s="190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91"/>
      <c r="T427" s="208"/>
      <c r="U427" s="189"/>
      <c r="V427" s="189"/>
      <c r="W427" s="189"/>
      <c r="X427" s="189"/>
      <c r="Y427" s="189"/>
      <c r="Z427" s="189"/>
    </row>
    <row r="428" spans="1:26">
      <c r="A428" s="189"/>
      <c r="B428" s="189"/>
      <c r="C428" s="189"/>
      <c r="D428" s="189"/>
      <c r="E428" s="189"/>
      <c r="F428" s="189"/>
      <c r="G428" s="189"/>
      <c r="H428" s="190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91"/>
      <c r="T428" s="208"/>
      <c r="U428" s="189"/>
      <c r="V428" s="189"/>
      <c r="W428" s="189"/>
      <c r="X428" s="189"/>
      <c r="Y428" s="189"/>
      <c r="Z428" s="189"/>
    </row>
    <row r="429" spans="1:26">
      <c r="A429" s="189"/>
      <c r="B429" s="189"/>
      <c r="C429" s="189"/>
      <c r="D429" s="189"/>
      <c r="E429" s="189"/>
      <c r="F429" s="189"/>
      <c r="G429" s="189"/>
      <c r="H429" s="190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91"/>
      <c r="T429" s="208"/>
      <c r="U429" s="189"/>
      <c r="V429" s="189"/>
      <c r="W429" s="189"/>
      <c r="X429" s="189"/>
      <c r="Y429" s="189"/>
      <c r="Z429" s="189"/>
    </row>
    <row r="430" spans="1:26">
      <c r="A430" s="189"/>
      <c r="B430" s="189"/>
      <c r="C430" s="189"/>
      <c r="D430" s="189"/>
      <c r="E430" s="189"/>
      <c r="F430" s="189"/>
      <c r="G430" s="189"/>
      <c r="H430" s="190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91"/>
      <c r="T430" s="208"/>
      <c r="U430" s="189"/>
      <c r="V430" s="189"/>
      <c r="W430" s="189"/>
      <c r="X430" s="189"/>
      <c r="Y430" s="189"/>
      <c r="Z430" s="189"/>
    </row>
    <row r="431" spans="1:26">
      <c r="A431" s="189"/>
      <c r="B431" s="189"/>
      <c r="C431" s="189"/>
      <c r="D431" s="189"/>
      <c r="E431" s="189"/>
      <c r="F431" s="189"/>
      <c r="G431" s="189"/>
      <c r="H431" s="190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91"/>
      <c r="T431" s="208"/>
      <c r="U431" s="189"/>
      <c r="V431" s="189"/>
      <c r="W431" s="189"/>
      <c r="X431" s="189"/>
      <c r="Y431" s="189"/>
      <c r="Z431" s="189"/>
    </row>
    <row r="432" spans="1:26">
      <c r="A432" s="189"/>
      <c r="B432" s="189"/>
      <c r="C432" s="189"/>
      <c r="D432" s="189"/>
      <c r="E432" s="189"/>
      <c r="F432" s="189"/>
      <c r="G432" s="189"/>
      <c r="H432" s="190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91"/>
      <c r="T432" s="208"/>
      <c r="U432" s="189"/>
      <c r="V432" s="189"/>
      <c r="W432" s="189"/>
      <c r="X432" s="189"/>
      <c r="Y432" s="189"/>
      <c r="Z432" s="189"/>
    </row>
    <row r="433" spans="1:26">
      <c r="A433" s="189"/>
      <c r="B433" s="189"/>
      <c r="C433" s="189"/>
      <c r="D433" s="189"/>
      <c r="E433" s="189"/>
      <c r="F433" s="189"/>
      <c r="G433" s="189"/>
      <c r="H433" s="190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91"/>
      <c r="T433" s="208"/>
      <c r="U433" s="189"/>
      <c r="V433" s="189"/>
      <c r="W433" s="189"/>
      <c r="X433" s="189"/>
      <c r="Y433" s="189"/>
      <c r="Z433" s="189"/>
    </row>
    <row r="434" spans="1:26">
      <c r="A434" s="189"/>
      <c r="B434" s="189"/>
      <c r="C434" s="189"/>
      <c r="D434" s="189"/>
      <c r="E434" s="189"/>
      <c r="F434" s="189"/>
      <c r="G434" s="189"/>
      <c r="H434" s="190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91"/>
      <c r="T434" s="208"/>
      <c r="U434" s="189"/>
      <c r="V434" s="189"/>
      <c r="W434" s="189"/>
      <c r="X434" s="189"/>
      <c r="Y434" s="189"/>
      <c r="Z434" s="189"/>
    </row>
    <row r="435" spans="1:26">
      <c r="A435" s="189"/>
      <c r="B435" s="189"/>
      <c r="C435" s="189"/>
      <c r="D435" s="189"/>
      <c r="E435" s="189"/>
      <c r="F435" s="189"/>
      <c r="G435" s="189"/>
      <c r="H435" s="190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91"/>
      <c r="T435" s="208"/>
      <c r="U435" s="189"/>
      <c r="V435" s="189"/>
      <c r="W435" s="189"/>
      <c r="X435" s="189"/>
      <c r="Y435" s="189"/>
      <c r="Z435" s="189"/>
    </row>
    <row r="436" spans="1:26">
      <c r="A436" s="189"/>
      <c r="B436" s="189"/>
      <c r="C436" s="189"/>
      <c r="D436" s="189"/>
      <c r="E436" s="189"/>
      <c r="F436" s="189"/>
      <c r="G436" s="189"/>
      <c r="H436" s="190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91"/>
      <c r="T436" s="208"/>
      <c r="U436" s="189"/>
      <c r="V436" s="189"/>
      <c r="W436" s="189"/>
      <c r="X436" s="189"/>
      <c r="Y436" s="189"/>
      <c r="Z436" s="189"/>
    </row>
    <row r="437" spans="1:26">
      <c r="A437" s="189"/>
      <c r="B437" s="189"/>
      <c r="C437" s="189"/>
      <c r="D437" s="189"/>
      <c r="E437" s="189"/>
      <c r="F437" s="189"/>
      <c r="G437" s="189"/>
      <c r="H437" s="190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91"/>
      <c r="T437" s="208"/>
      <c r="U437" s="189"/>
      <c r="V437" s="189"/>
      <c r="W437" s="189"/>
      <c r="X437" s="189"/>
      <c r="Y437" s="189"/>
      <c r="Z437" s="189"/>
    </row>
    <row r="438" spans="1:26">
      <c r="A438" s="189"/>
      <c r="B438" s="189"/>
      <c r="C438" s="189"/>
      <c r="D438" s="189"/>
      <c r="E438" s="189"/>
      <c r="F438" s="189"/>
      <c r="G438" s="189"/>
      <c r="H438" s="190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91"/>
      <c r="T438" s="208"/>
      <c r="U438" s="189"/>
      <c r="V438" s="189"/>
      <c r="W438" s="189"/>
      <c r="X438" s="189"/>
      <c r="Y438" s="189"/>
      <c r="Z438" s="189"/>
    </row>
    <row r="439" spans="1:26">
      <c r="A439" s="189"/>
      <c r="B439" s="189"/>
      <c r="C439" s="189"/>
      <c r="D439" s="189"/>
      <c r="E439" s="189"/>
      <c r="F439" s="189"/>
      <c r="G439" s="189"/>
      <c r="H439" s="190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91"/>
      <c r="T439" s="208"/>
      <c r="U439" s="189"/>
      <c r="V439" s="189"/>
      <c r="W439" s="189"/>
      <c r="X439" s="189"/>
      <c r="Y439" s="189"/>
      <c r="Z439" s="189"/>
    </row>
    <row r="440" spans="1:26">
      <c r="A440" s="189"/>
      <c r="B440" s="189"/>
      <c r="C440" s="189"/>
      <c r="D440" s="189"/>
      <c r="E440" s="189"/>
      <c r="F440" s="189"/>
      <c r="G440" s="189"/>
      <c r="H440" s="190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91"/>
      <c r="T440" s="208"/>
      <c r="U440" s="189"/>
      <c r="V440" s="189"/>
      <c r="W440" s="189"/>
      <c r="X440" s="189"/>
      <c r="Y440" s="189"/>
      <c r="Z440" s="189"/>
    </row>
    <row r="441" spans="1:26">
      <c r="A441" s="189"/>
      <c r="B441" s="189"/>
      <c r="C441" s="189"/>
      <c r="D441" s="189"/>
      <c r="E441" s="189"/>
      <c r="F441" s="189"/>
      <c r="G441" s="189"/>
      <c r="H441" s="190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91"/>
      <c r="T441" s="208"/>
      <c r="U441" s="189"/>
      <c r="V441" s="189"/>
      <c r="W441" s="189"/>
      <c r="X441" s="189"/>
      <c r="Y441" s="189"/>
      <c r="Z441" s="189"/>
    </row>
    <row r="442" spans="1:26">
      <c r="A442" s="189"/>
      <c r="B442" s="189"/>
      <c r="C442" s="189"/>
      <c r="D442" s="189"/>
      <c r="E442" s="189"/>
      <c r="F442" s="189"/>
      <c r="G442" s="189"/>
      <c r="H442" s="190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91"/>
      <c r="T442" s="208"/>
      <c r="U442" s="189"/>
      <c r="V442" s="189"/>
      <c r="W442" s="189"/>
      <c r="X442" s="189"/>
      <c r="Y442" s="189"/>
      <c r="Z442" s="189"/>
    </row>
    <row r="443" spans="1:26">
      <c r="A443" s="189"/>
      <c r="B443" s="189"/>
      <c r="C443" s="189"/>
      <c r="D443" s="189"/>
      <c r="E443" s="189"/>
      <c r="F443" s="189"/>
      <c r="G443" s="189"/>
      <c r="H443" s="190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91"/>
      <c r="T443" s="208"/>
      <c r="U443" s="189"/>
      <c r="V443" s="189"/>
      <c r="W443" s="189"/>
      <c r="X443" s="189"/>
      <c r="Y443" s="189"/>
      <c r="Z443" s="189"/>
    </row>
    <row r="444" spans="1:26">
      <c r="A444" s="189"/>
      <c r="B444" s="189"/>
      <c r="C444" s="189"/>
      <c r="D444" s="189"/>
      <c r="E444" s="189"/>
      <c r="F444" s="189"/>
      <c r="G444" s="189"/>
      <c r="H444" s="190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91"/>
      <c r="T444" s="208"/>
      <c r="U444" s="189"/>
      <c r="V444" s="189"/>
      <c r="W444" s="189"/>
      <c r="X444" s="189"/>
      <c r="Y444" s="189"/>
      <c r="Z444" s="189"/>
    </row>
    <row r="445" spans="1:26">
      <c r="A445" s="189"/>
      <c r="B445" s="189"/>
      <c r="C445" s="189"/>
      <c r="D445" s="189"/>
      <c r="E445" s="189"/>
      <c r="F445" s="189"/>
      <c r="G445" s="189"/>
      <c r="H445" s="190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91"/>
      <c r="T445" s="208"/>
      <c r="U445" s="189"/>
      <c r="V445" s="189"/>
      <c r="W445" s="189"/>
      <c r="X445" s="189"/>
      <c r="Y445" s="189"/>
      <c r="Z445" s="189"/>
    </row>
    <row r="446" spans="1:26">
      <c r="A446" s="189"/>
      <c r="B446" s="189"/>
      <c r="C446" s="189"/>
      <c r="D446" s="189"/>
      <c r="E446" s="189"/>
      <c r="F446" s="189"/>
      <c r="G446" s="189"/>
      <c r="H446" s="190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91"/>
      <c r="T446" s="208"/>
      <c r="U446" s="189"/>
      <c r="V446" s="189"/>
      <c r="W446" s="189"/>
      <c r="X446" s="189"/>
      <c r="Y446" s="189"/>
      <c r="Z446" s="189"/>
    </row>
    <row r="447" spans="1:26">
      <c r="A447" s="189"/>
      <c r="B447" s="189"/>
      <c r="C447" s="189"/>
      <c r="D447" s="189"/>
      <c r="E447" s="189"/>
      <c r="F447" s="189"/>
      <c r="G447" s="189"/>
      <c r="H447" s="190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91"/>
      <c r="T447" s="208"/>
      <c r="U447" s="189"/>
      <c r="V447" s="189"/>
      <c r="W447" s="189"/>
      <c r="X447" s="189"/>
      <c r="Y447" s="189"/>
      <c r="Z447" s="189"/>
    </row>
    <row r="448" spans="1:26">
      <c r="A448" s="189"/>
      <c r="B448" s="189"/>
      <c r="C448" s="189"/>
      <c r="D448" s="189"/>
      <c r="E448" s="189"/>
      <c r="F448" s="189"/>
      <c r="G448" s="189"/>
      <c r="H448" s="190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91"/>
      <c r="T448" s="208"/>
      <c r="U448" s="189"/>
      <c r="V448" s="189"/>
      <c r="W448" s="189"/>
      <c r="X448" s="189"/>
      <c r="Y448" s="189"/>
      <c r="Z448" s="189"/>
    </row>
    <row r="449" spans="1:26">
      <c r="A449" s="189"/>
      <c r="B449" s="189"/>
      <c r="C449" s="189"/>
      <c r="D449" s="189"/>
      <c r="E449" s="189"/>
      <c r="F449" s="189"/>
      <c r="G449" s="189"/>
      <c r="H449" s="190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91"/>
      <c r="T449" s="208"/>
      <c r="U449" s="189"/>
      <c r="V449" s="189"/>
      <c r="W449" s="189"/>
      <c r="X449" s="189"/>
      <c r="Y449" s="189"/>
      <c r="Z449" s="189"/>
    </row>
    <row r="450" spans="1:26">
      <c r="A450" s="189"/>
      <c r="B450" s="189"/>
      <c r="C450" s="189"/>
      <c r="D450" s="189"/>
      <c r="E450" s="189"/>
      <c r="F450" s="189"/>
      <c r="G450" s="189"/>
      <c r="H450" s="190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91"/>
      <c r="T450" s="208"/>
      <c r="U450" s="189"/>
      <c r="V450" s="189"/>
      <c r="W450" s="189"/>
      <c r="X450" s="189"/>
      <c r="Y450" s="189"/>
      <c r="Z450" s="189"/>
    </row>
    <row r="451" spans="1:26">
      <c r="A451" s="189"/>
      <c r="B451" s="189"/>
      <c r="C451" s="189"/>
      <c r="D451" s="189"/>
      <c r="E451" s="189"/>
      <c r="F451" s="189"/>
      <c r="G451" s="189"/>
      <c r="H451" s="190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91"/>
      <c r="T451" s="208"/>
      <c r="U451" s="189"/>
      <c r="V451" s="189"/>
      <c r="W451" s="189"/>
      <c r="X451" s="189"/>
      <c r="Y451" s="189"/>
      <c r="Z451" s="189"/>
    </row>
    <row r="452" spans="1:26">
      <c r="A452" s="189"/>
      <c r="B452" s="189"/>
      <c r="C452" s="189"/>
      <c r="D452" s="189"/>
      <c r="E452" s="189"/>
      <c r="F452" s="189"/>
      <c r="G452" s="189"/>
      <c r="H452" s="190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91"/>
      <c r="T452" s="208"/>
      <c r="U452" s="189"/>
      <c r="V452" s="189"/>
      <c r="W452" s="189"/>
      <c r="X452" s="189"/>
      <c r="Y452" s="189"/>
      <c r="Z452" s="189"/>
    </row>
    <row r="453" spans="1:26">
      <c r="A453" s="189"/>
      <c r="B453" s="189"/>
      <c r="C453" s="189"/>
      <c r="D453" s="189"/>
      <c r="E453" s="189"/>
      <c r="F453" s="189"/>
      <c r="G453" s="189"/>
      <c r="H453" s="190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91"/>
      <c r="T453" s="208"/>
      <c r="U453" s="189"/>
      <c r="V453" s="189"/>
      <c r="W453" s="189"/>
      <c r="X453" s="189"/>
      <c r="Y453" s="189"/>
      <c r="Z453" s="189"/>
    </row>
    <row r="454" spans="1:26">
      <c r="A454" s="189"/>
      <c r="B454" s="189"/>
      <c r="C454" s="189"/>
      <c r="D454" s="189"/>
      <c r="E454" s="189"/>
      <c r="F454" s="189"/>
      <c r="G454" s="189"/>
      <c r="H454" s="190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91"/>
      <c r="T454" s="208"/>
      <c r="U454" s="189"/>
      <c r="V454" s="189"/>
      <c r="W454" s="189"/>
      <c r="X454" s="189"/>
      <c r="Y454" s="189"/>
      <c r="Z454" s="189"/>
    </row>
    <row r="455" spans="1:26">
      <c r="A455" s="189"/>
      <c r="B455" s="189"/>
      <c r="C455" s="189"/>
      <c r="D455" s="189"/>
      <c r="E455" s="189"/>
      <c r="F455" s="189"/>
      <c r="G455" s="189"/>
      <c r="H455" s="190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91"/>
      <c r="T455" s="208"/>
      <c r="U455" s="189"/>
      <c r="V455" s="189"/>
      <c r="W455" s="189"/>
      <c r="X455" s="189"/>
      <c r="Y455" s="189"/>
      <c r="Z455" s="189"/>
    </row>
    <row r="456" spans="1:26">
      <c r="A456" s="189"/>
      <c r="B456" s="189"/>
      <c r="C456" s="189"/>
      <c r="D456" s="189"/>
      <c r="E456" s="189"/>
      <c r="F456" s="189"/>
      <c r="G456" s="189"/>
      <c r="H456" s="190"/>
      <c r="I456" s="189"/>
      <c r="J456" s="189"/>
      <c r="K456" s="189"/>
      <c r="L456" s="189"/>
      <c r="M456" s="189"/>
      <c r="N456" s="189"/>
      <c r="O456" s="189"/>
      <c r="P456" s="189"/>
      <c r="Q456" s="189"/>
      <c r="R456" s="189"/>
      <c r="S456" s="191"/>
      <c r="T456" s="208"/>
      <c r="U456" s="189"/>
      <c r="V456" s="189"/>
      <c r="W456" s="189"/>
      <c r="X456" s="189"/>
      <c r="Y456" s="189"/>
      <c r="Z456" s="189"/>
    </row>
    <row r="457" spans="1:26">
      <c r="A457" s="189"/>
      <c r="B457" s="189"/>
      <c r="C457" s="189"/>
      <c r="D457" s="189"/>
      <c r="E457" s="189"/>
      <c r="F457" s="189"/>
      <c r="G457" s="189"/>
      <c r="H457" s="190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91"/>
      <c r="T457" s="208"/>
      <c r="U457" s="189"/>
      <c r="V457" s="189"/>
      <c r="W457" s="189"/>
      <c r="X457" s="189"/>
      <c r="Y457" s="189"/>
      <c r="Z457" s="189"/>
    </row>
    <row r="458" spans="1:26">
      <c r="A458" s="189"/>
      <c r="B458" s="189"/>
      <c r="C458" s="189"/>
      <c r="D458" s="189"/>
      <c r="E458" s="189"/>
      <c r="F458" s="189"/>
      <c r="G458" s="189"/>
      <c r="H458" s="190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91"/>
      <c r="T458" s="208"/>
      <c r="U458" s="189"/>
      <c r="V458" s="189"/>
      <c r="W458" s="189"/>
      <c r="X458" s="189"/>
      <c r="Y458" s="189"/>
      <c r="Z458" s="189"/>
    </row>
    <row r="459" spans="1:26">
      <c r="A459" s="189"/>
      <c r="B459" s="189"/>
      <c r="C459" s="189"/>
      <c r="D459" s="189"/>
      <c r="E459" s="189"/>
      <c r="F459" s="189"/>
      <c r="G459" s="189"/>
      <c r="H459" s="190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91"/>
      <c r="T459" s="208"/>
      <c r="U459" s="189"/>
      <c r="V459" s="189"/>
      <c r="W459" s="189"/>
      <c r="X459" s="189"/>
      <c r="Y459" s="189"/>
      <c r="Z459" s="189"/>
    </row>
    <row r="460" spans="1:26">
      <c r="A460" s="189"/>
      <c r="B460" s="189"/>
      <c r="C460" s="189"/>
      <c r="D460" s="189"/>
      <c r="E460" s="189"/>
      <c r="F460" s="189"/>
      <c r="G460" s="189"/>
      <c r="H460" s="190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91"/>
      <c r="T460" s="208"/>
      <c r="U460" s="189"/>
      <c r="V460" s="189"/>
      <c r="W460" s="189"/>
      <c r="X460" s="189"/>
      <c r="Y460" s="189"/>
      <c r="Z460" s="189"/>
    </row>
    <row r="461" spans="1:26">
      <c r="A461" s="189"/>
      <c r="B461" s="189"/>
      <c r="C461" s="189"/>
      <c r="D461" s="189"/>
      <c r="E461" s="189"/>
      <c r="F461" s="189"/>
      <c r="G461" s="189"/>
      <c r="H461" s="190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91"/>
      <c r="T461" s="208"/>
      <c r="U461" s="189"/>
      <c r="V461" s="189"/>
      <c r="W461" s="189"/>
      <c r="X461" s="189"/>
      <c r="Y461" s="189"/>
      <c r="Z461" s="189"/>
    </row>
    <row r="462" spans="1:26">
      <c r="A462" s="189"/>
      <c r="B462" s="189"/>
      <c r="C462" s="189"/>
      <c r="D462" s="189"/>
      <c r="E462" s="189"/>
      <c r="F462" s="189"/>
      <c r="G462" s="189"/>
      <c r="H462" s="190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91"/>
      <c r="T462" s="208"/>
      <c r="U462" s="189"/>
      <c r="V462" s="189"/>
      <c r="W462" s="189"/>
      <c r="X462" s="189"/>
      <c r="Y462" s="189"/>
      <c r="Z462" s="189"/>
    </row>
    <row r="463" spans="1:26">
      <c r="A463" s="189"/>
      <c r="B463" s="189"/>
      <c r="C463" s="189"/>
      <c r="D463" s="189"/>
      <c r="E463" s="189"/>
      <c r="F463" s="189"/>
      <c r="G463" s="189"/>
      <c r="H463" s="190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91"/>
      <c r="T463" s="208"/>
      <c r="U463" s="189"/>
      <c r="V463" s="189"/>
      <c r="W463" s="189"/>
      <c r="X463" s="189"/>
      <c r="Y463" s="189"/>
      <c r="Z463" s="189"/>
    </row>
    <row r="464" spans="1:26">
      <c r="A464" s="189"/>
      <c r="B464" s="189"/>
      <c r="C464" s="189"/>
      <c r="D464" s="189"/>
      <c r="E464" s="189"/>
      <c r="F464" s="189"/>
      <c r="G464" s="189"/>
      <c r="H464" s="190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91"/>
      <c r="T464" s="208"/>
      <c r="U464" s="189"/>
      <c r="V464" s="189"/>
      <c r="W464" s="189"/>
      <c r="X464" s="189"/>
      <c r="Y464" s="189"/>
      <c r="Z464" s="189"/>
    </row>
    <row r="465" spans="1:26">
      <c r="A465" s="189"/>
      <c r="B465" s="189"/>
      <c r="C465" s="189"/>
      <c r="D465" s="189"/>
      <c r="E465" s="189"/>
      <c r="F465" s="189"/>
      <c r="G465" s="189"/>
      <c r="H465" s="190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91"/>
      <c r="T465" s="208"/>
      <c r="U465" s="189"/>
      <c r="V465" s="189"/>
      <c r="W465" s="189"/>
      <c r="X465" s="189"/>
      <c r="Y465" s="189"/>
      <c r="Z465" s="189"/>
    </row>
    <row r="466" spans="1:26">
      <c r="A466" s="189"/>
      <c r="B466" s="189"/>
      <c r="C466" s="189"/>
      <c r="D466" s="189"/>
      <c r="E466" s="189"/>
      <c r="F466" s="189"/>
      <c r="G466" s="189"/>
      <c r="H466" s="190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91"/>
      <c r="T466" s="208"/>
      <c r="U466" s="189"/>
      <c r="V466" s="189"/>
      <c r="W466" s="189"/>
      <c r="X466" s="189"/>
      <c r="Y466" s="189"/>
      <c r="Z466" s="189"/>
    </row>
    <row r="467" spans="1:26">
      <c r="A467" s="189"/>
      <c r="B467" s="189"/>
      <c r="C467" s="189"/>
      <c r="D467" s="189"/>
      <c r="E467" s="189"/>
      <c r="F467" s="189"/>
      <c r="G467" s="189"/>
      <c r="H467" s="190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91"/>
      <c r="T467" s="208"/>
      <c r="U467" s="189"/>
      <c r="V467" s="189"/>
      <c r="W467" s="189"/>
      <c r="X467" s="189"/>
      <c r="Y467" s="189"/>
      <c r="Z467" s="189"/>
    </row>
    <row r="468" spans="1:26">
      <c r="A468" s="189"/>
      <c r="B468" s="189"/>
      <c r="C468" s="189"/>
      <c r="D468" s="189"/>
      <c r="E468" s="189"/>
      <c r="F468" s="189"/>
      <c r="G468" s="189"/>
      <c r="H468" s="190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91"/>
      <c r="T468" s="208"/>
      <c r="U468" s="189"/>
      <c r="V468" s="189"/>
      <c r="W468" s="189"/>
      <c r="X468" s="189"/>
      <c r="Y468" s="189"/>
      <c r="Z468" s="189"/>
    </row>
    <row r="469" spans="1:26">
      <c r="A469" s="189"/>
      <c r="B469" s="189"/>
      <c r="C469" s="189"/>
      <c r="D469" s="189"/>
      <c r="E469" s="189"/>
      <c r="F469" s="189"/>
      <c r="G469" s="189"/>
      <c r="H469" s="190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91"/>
      <c r="T469" s="208"/>
      <c r="U469" s="189"/>
      <c r="V469" s="189"/>
      <c r="W469" s="189"/>
      <c r="X469" s="189"/>
      <c r="Y469" s="189"/>
      <c r="Z469" s="189"/>
    </row>
    <row r="470" spans="1:26">
      <c r="A470" s="189"/>
      <c r="B470" s="189"/>
      <c r="C470" s="189"/>
      <c r="D470" s="189"/>
      <c r="E470" s="189"/>
      <c r="F470" s="189"/>
      <c r="G470" s="189"/>
      <c r="H470" s="190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91"/>
      <c r="T470" s="208"/>
      <c r="U470" s="189"/>
      <c r="V470" s="189"/>
      <c r="W470" s="189"/>
      <c r="X470" s="189"/>
      <c r="Y470" s="189"/>
      <c r="Z470" s="189"/>
    </row>
    <row r="471" spans="1:26">
      <c r="A471" s="189"/>
      <c r="B471" s="189"/>
      <c r="C471" s="189"/>
      <c r="D471" s="189"/>
      <c r="E471" s="189"/>
      <c r="F471" s="189"/>
      <c r="G471" s="189"/>
      <c r="H471" s="190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91"/>
      <c r="T471" s="208"/>
      <c r="U471" s="189"/>
      <c r="V471" s="189"/>
      <c r="W471" s="189"/>
      <c r="X471" s="189"/>
      <c r="Y471" s="189"/>
      <c r="Z471" s="189"/>
    </row>
    <row r="472" spans="1:26">
      <c r="A472" s="189"/>
      <c r="B472" s="189"/>
      <c r="C472" s="189"/>
      <c r="D472" s="189"/>
      <c r="E472" s="189"/>
      <c r="F472" s="189"/>
      <c r="G472" s="189"/>
      <c r="H472" s="190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91"/>
      <c r="T472" s="208"/>
      <c r="U472" s="189"/>
      <c r="V472" s="189"/>
      <c r="W472" s="189"/>
      <c r="X472" s="189"/>
      <c r="Y472" s="189"/>
      <c r="Z472" s="189"/>
    </row>
    <row r="473" spans="1:26">
      <c r="A473" s="189"/>
      <c r="B473" s="189"/>
      <c r="C473" s="189"/>
      <c r="D473" s="189"/>
      <c r="E473" s="189"/>
      <c r="F473" s="189"/>
      <c r="G473" s="189"/>
      <c r="H473" s="190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91"/>
      <c r="T473" s="208"/>
      <c r="U473" s="189"/>
      <c r="V473" s="189"/>
      <c r="W473" s="189"/>
      <c r="X473" s="189"/>
      <c r="Y473" s="189"/>
      <c r="Z473" s="189"/>
    </row>
    <row r="474" spans="1:26">
      <c r="A474" s="189"/>
      <c r="B474" s="189"/>
      <c r="C474" s="189"/>
      <c r="D474" s="189"/>
      <c r="E474" s="189"/>
      <c r="F474" s="189"/>
      <c r="G474" s="189"/>
      <c r="H474" s="190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91"/>
      <c r="T474" s="208"/>
      <c r="U474" s="189"/>
      <c r="V474" s="189"/>
      <c r="W474" s="189"/>
      <c r="X474" s="189"/>
      <c r="Y474" s="189"/>
      <c r="Z474" s="189"/>
    </row>
    <row r="475" spans="1:26">
      <c r="A475" s="189"/>
      <c r="B475" s="189"/>
      <c r="C475" s="189"/>
      <c r="D475" s="189"/>
      <c r="E475" s="189"/>
      <c r="F475" s="189"/>
      <c r="G475" s="189"/>
      <c r="H475" s="190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91"/>
      <c r="T475" s="208"/>
      <c r="U475" s="189"/>
      <c r="V475" s="189"/>
      <c r="W475" s="189"/>
      <c r="X475" s="189"/>
      <c r="Y475" s="189"/>
      <c r="Z475" s="189"/>
    </row>
    <row r="476" spans="1:26">
      <c r="A476" s="189"/>
      <c r="B476" s="189"/>
      <c r="C476" s="189"/>
      <c r="D476" s="189"/>
      <c r="E476" s="189"/>
      <c r="F476" s="189"/>
      <c r="G476" s="189"/>
      <c r="H476" s="190"/>
      <c r="I476" s="189"/>
      <c r="J476" s="189"/>
      <c r="K476" s="189"/>
      <c r="L476" s="189"/>
      <c r="M476" s="189"/>
      <c r="N476" s="189"/>
      <c r="O476" s="189"/>
      <c r="P476" s="189"/>
      <c r="Q476" s="189"/>
      <c r="R476" s="189"/>
      <c r="S476" s="191"/>
      <c r="T476" s="208"/>
      <c r="U476" s="189"/>
      <c r="V476" s="189"/>
      <c r="W476" s="189"/>
      <c r="X476" s="189"/>
      <c r="Y476" s="189"/>
      <c r="Z476" s="189"/>
    </row>
    <row r="477" spans="1:26">
      <c r="A477" s="189"/>
      <c r="B477" s="189"/>
      <c r="C477" s="189"/>
      <c r="D477" s="189"/>
      <c r="E477" s="189"/>
      <c r="F477" s="189"/>
      <c r="G477" s="189"/>
      <c r="H477" s="190"/>
      <c r="I477" s="189"/>
      <c r="J477" s="189"/>
      <c r="K477" s="189"/>
      <c r="L477" s="189"/>
      <c r="M477" s="189"/>
      <c r="N477" s="189"/>
      <c r="O477" s="189"/>
      <c r="P477" s="189"/>
      <c r="Q477" s="189"/>
      <c r="R477" s="189"/>
      <c r="S477" s="191"/>
      <c r="T477" s="208"/>
      <c r="U477" s="189"/>
      <c r="V477" s="189"/>
      <c r="W477" s="189"/>
      <c r="X477" s="189"/>
      <c r="Y477" s="189"/>
      <c r="Z477" s="189"/>
    </row>
    <row r="478" spans="1:26">
      <c r="A478" s="189"/>
      <c r="B478" s="189"/>
      <c r="C478" s="189"/>
      <c r="D478" s="189"/>
      <c r="E478" s="189"/>
      <c r="F478" s="189"/>
      <c r="G478" s="189"/>
      <c r="H478" s="190"/>
      <c r="I478" s="189"/>
      <c r="J478" s="189"/>
      <c r="K478" s="189"/>
      <c r="L478" s="189"/>
      <c r="M478" s="189"/>
      <c r="N478" s="189"/>
      <c r="O478" s="189"/>
      <c r="P478" s="189"/>
      <c r="Q478" s="189"/>
      <c r="R478" s="189"/>
      <c r="S478" s="191"/>
      <c r="T478" s="208"/>
      <c r="U478" s="189"/>
      <c r="V478" s="189"/>
      <c r="W478" s="189"/>
      <c r="X478" s="189"/>
      <c r="Y478" s="189"/>
      <c r="Z478" s="189"/>
    </row>
    <row r="479" spans="1:26">
      <c r="A479" s="189"/>
      <c r="B479" s="189"/>
      <c r="C479" s="189"/>
      <c r="D479" s="189"/>
      <c r="E479" s="189"/>
      <c r="F479" s="189"/>
      <c r="G479" s="189"/>
      <c r="H479" s="190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91"/>
      <c r="T479" s="208"/>
      <c r="U479" s="189"/>
      <c r="V479" s="189"/>
      <c r="W479" s="189"/>
      <c r="X479" s="189"/>
      <c r="Y479" s="189"/>
      <c r="Z479" s="189"/>
    </row>
    <row r="480" spans="1:26">
      <c r="A480" s="189"/>
      <c r="B480" s="189"/>
      <c r="C480" s="189"/>
      <c r="D480" s="189"/>
      <c r="E480" s="189"/>
      <c r="F480" s="189"/>
      <c r="G480" s="189"/>
      <c r="H480" s="190"/>
      <c r="I480" s="189"/>
      <c r="J480" s="189"/>
      <c r="K480" s="189"/>
      <c r="L480" s="189"/>
      <c r="M480" s="189"/>
      <c r="N480" s="189"/>
      <c r="O480" s="189"/>
      <c r="P480" s="189"/>
      <c r="Q480" s="189"/>
      <c r="R480" s="189"/>
      <c r="S480" s="191"/>
      <c r="T480" s="208"/>
      <c r="U480" s="189"/>
      <c r="V480" s="189"/>
      <c r="W480" s="189"/>
      <c r="X480" s="189"/>
      <c r="Y480" s="189"/>
      <c r="Z480" s="189"/>
    </row>
    <row r="481" spans="1:26">
      <c r="A481" s="189"/>
      <c r="B481" s="189"/>
      <c r="C481" s="189"/>
      <c r="D481" s="189"/>
      <c r="E481" s="189"/>
      <c r="F481" s="189"/>
      <c r="G481" s="189"/>
      <c r="H481" s="190"/>
      <c r="I481" s="189"/>
      <c r="J481" s="189"/>
      <c r="K481" s="189"/>
      <c r="L481" s="189"/>
      <c r="M481" s="189"/>
      <c r="N481" s="189"/>
      <c r="O481" s="189"/>
      <c r="P481" s="189"/>
      <c r="Q481" s="189"/>
      <c r="R481" s="189"/>
      <c r="S481" s="191"/>
      <c r="T481" s="208"/>
      <c r="U481" s="189"/>
      <c r="V481" s="189"/>
      <c r="W481" s="189"/>
      <c r="X481" s="189"/>
      <c r="Y481" s="189"/>
      <c r="Z481" s="189"/>
    </row>
    <row r="482" spans="1:26">
      <c r="A482" s="189"/>
      <c r="B482" s="189"/>
      <c r="C482" s="189"/>
      <c r="D482" s="189"/>
      <c r="E482" s="189"/>
      <c r="F482" s="189"/>
      <c r="G482" s="189"/>
      <c r="H482" s="190"/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91"/>
      <c r="T482" s="208"/>
      <c r="U482" s="189"/>
      <c r="V482" s="189"/>
      <c r="W482" s="189"/>
      <c r="X482" s="189"/>
      <c r="Y482" s="189"/>
      <c r="Z482" s="189"/>
    </row>
    <row r="483" spans="1:26">
      <c r="A483" s="189"/>
      <c r="B483" s="189"/>
      <c r="C483" s="189"/>
      <c r="D483" s="189"/>
      <c r="E483" s="189"/>
      <c r="F483" s="189"/>
      <c r="G483" s="189"/>
      <c r="H483" s="190"/>
      <c r="I483" s="189"/>
      <c r="J483" s="189"/>
      <c r="K483" s="189"/>
      <c r="L483" s="189"/>
      <c r="M483" s="189"/>
      <c r="N483" s="189"/>
      <c r="O483" s="189"/>
      <c r="P483" s="189"/>
      <c r="Q483" s="189"/>
      <c r="R483" s="189"/>
      <c r="S483" s="191"/>
      <c r="T483" s="208"/>
      <c r="U483" s="189"/>
      <c r="V483" s="189"/>
      <c r="W483" s="189"/>
      <c r="X483" s="189"/>
      <c r="Y483" s="189"/>
      <c r="Z483" s="189"/>
    </row>
    <row r="484" spans="1:26">
      <c r="A484" s="189"/>
      <c r="B484" s="189"/>
      <c r="C484" s="189"/>
      <c r="D484" s="189"/>
      <c r="E484" s="189"/>
      <c r="F484" s="189"/>
      <c r="G484" s="189"/>
      <c r="H484" s="190"/>
      <c r="I484" s="189"/>
      <c r="J484" s="189"/>
      <c r="K484" s="189"/>
      <c r="L484" s="189"/>
      <c r="M484" s="189"/>
      <c r="N484" s="189"/>
      <c r="O484" s="189"/>
      <c r="P484" s="189"/>
      <c r="Q484" s="189"/>
      <c r="R484" s="189"/>
      <c r="S484" s="191"/>
      <c r="T484" s="208"/>
      <c r="U484" s="189"/>
      <c r="V484" s="189"/>
      <c r="W484" s="189"/>
      <c r="X484" s="189"/>
      <c r="Y484" s="189"/>
      <c r="Z484" s="189"/>
    </row>
    <row r="485" spans="1:26">
      <c r="A485" s="189"/>
      <c r="B485" s="189"/>
      <c r="C485" s="189"/>
      <c r="D485" s="189"/>
      <c r="E485" s="189"/>
      <c r="F485" s="189"/>
      <c r="G485" s="189"/>
      <c r="H485" s="190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91"/>
      <c r="T485" s="208"/>
      <c r="U485" s="189"/>
      <c r="V485" s="189"/>
      <c r="W485" s="189"/>
      <c r="X485" s="189"/>
      <c r="Y485" s="189"/>
      <c r="Z485" s="189"/>
    </row>
    <row r="486" spans="1:26">
      <c r="A486" s="189"/>
      <c r="B486" s="189"/>
      <c r="C486" s="189"/>
      <c r="D486" s="189"/>
      <c r="E486" s="189"/>
      <c r="F486" s="189"/>
      <c r="G486" s="189"/>
      <c r="H486" s="190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91"/>
      <c r="T486" s="208"/>
      <c r="U486" s="189"/>
      <c r="V486" s="189"/>
      <c r="W486" s="189"/>
      <c r="X486" s="189"/>
      <c r="Y486" s="189"/>
      <c r="Z486" s="189"/>
    </row>
    <row r="487" spans="1:26">
      <c r="A487" s="189"/>
      <c r="B487" s="189"/>
      <c r="C487" s="189"/>
      <c r="D487" s="189"/>
      <c r="E487" s="189"/>
      <c r="F487" s="189"/>
      <c r="G487" s="189"/>
      <c r="H487" s="190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91"/>
      <c r="T487" s="208"/>
      <c r="U487" s="189"/>
      <c r="V487" s="189"/>
      <c r="W487" s="189"/>
      <c r="X487" s="189"/>
      <c r="Y487" s="189"/>
      <c r="Z487" s="189"/>
    </row>
    <row r="488" spans="1:26">
      <c r="A488" s="189"/>
      <c r="B488" s="189"/>
      <c r="C488" s="189"/>
      <c r="D488" s="189"/>
      <c r="E488" s="189"/>
      <c r="F488" s="189"/>
      <c r="G488" s="189"/>
      <c r="H488" s="190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91"/>
      <c r="T488" s="208"/>
      <c r="U488" s="189"/>
      <c r="V488" s="189"/>
      <c r="W488" s="189"/>
      <c r="X488" s="189"/>
      <c r="Y488" s="189"/>
      <c r="Z488" s="189"/>
    </row>
    <row r="489" spans="1:26">
      <c r="A489" s="189"/>
      <c r="B489" s="189"/>
      <c r="C489" s="189"/>
      <c r="D489" s="189"/>
      <c r="E489" s="189"/>
      <c r="F489" s="189"/>
      <c r="G489" s="189"/>
      <c r="H489" s="190"/>
      <c r="I489" s="189"/>
      <c r="J489" s="189"/>
      <c r="K489" s="189"/>
      <c r="L489" s="189"/>
      <c r="M489" s="189"/>
      <c r="N489" s="189"/>
      <c r="O489" s="189"/>
      <c r="P489" s="189"/>
      <c r="Q489" s="189"/>
      <c r="R489" s="189"/>
      <c r="S489" s="191"/>
      <c r="T489" s="208"/>
      <c r="U489" s="189"/>
      <c r="V489" s="189"/>
      <c r="W489" s="189"/>
      <c r="X489" s="189"/>
      <c r="Y489" s="189"/>
      <c r="Z489" s="189"/>
    </row>
    <row r="490" spans="1:26">
      <c r="A490" s="189"/>
      <c r="B490" s="189"/>
      <c r="C490" s="189"/>
      <c r="D490" s="189"/>
      <c r="E490" s="189"/>
      <c r="F490" s="189"/>
      <c r="G490" s="189"/>
      <c r="H490" s="190"/>
      <c r="I490" s="189"/>
      <c r="J490" s="189"/>
      <c r="K490" s="189"/>
      <c r="L490" s="189"/>
      <c r="M490" s="189"/>
      <c r="N490" s="189"/>
      <c r="O490" s="189"/>
      <c r="P490" s="189"/>
      <c r="Q490" s="189"/>
      <c r="R490" s="189"/>
      <c r="S490" s="191"/>
      <c r="T490" s="208"/>
      <c r="U490" s="189"/>
      <c r="V490" s="189"/>
      <c r="W490" s="189"/>
      <c r="X490" s="189"/>
      <c r="Y490" s="189"/>
      <c r="Z490" s="189"/>
    </row>
    <row r="491" spans="1:26">
      <c r="A491" s="189"/>
      <c r="B491" s="189"/>
      <c r="C491" s="189"/>
      <c r="D491" s="189"/>
      <c r="E491" s="189"/>
      <c r="F491" s="189"/>
      <c r="G491" s="189"/>
      <c r="H491" s="190"/>
      <c r="I491" s="189"/>
      <c r="J491" s="189"/>
      <c r="K491" s="189"/>
      <c r="L491" s="189"/>
      <c r="M491" s="189"/>
      <c r="N491" s="189"/>
      <c r="O491" s="189"/>
      <c r="P491" s="189"/>
      <c r="Q491" s="189"/>
      <c r="R491" s="189"/>
      <c r="S491" s="191"/>
      <c r="T491" s="208"/>
      <c r="U491" s="189"/>
      <c r="V491" s="189"/>
      <c r="W491" s="189"/>
      <c r="X491" s="189"/>
      <c r="Y491" s="189"/>
      <c r="Z491" s="189"/>
    </row>
    <row r="492" spans="1:26">
      <c r="A492" s="189"/>
      <c r="B492" s="189"/>
      <c r="C492" s="189"/>
      <c r="D492" s="189"/>
      <c r="E492" s="189"/>
      <c r="F492" s="189"/>
      <c r="G492" s="189"/>
      <c r="H492" s="190"/>
      <c r="I492" s="189"/>
      <c r="J492" s="189"/>
      <c r="K492" s="189"/>
      <c r="L492" s="189"/>
      <c r="M492" s="189"/>
      <c r="N492" s="189"/>
      <c r="O492" s="189"/>
      <c r="P492" s="189"/>
      <c r="Q492" s="189"/>
      <c r="R492" s="189"/>
      <c r="S492" s="191"/>
      <c r="T492" s="208"/>
      <c r="U492" s="189"/>
      <c r="V492" s="189"/>
      <c r="W492" s="189"/>
      <c r="X492" s="189"/>
      <c r="Y492" s="189"/>
      <c r="Z492" s="189"/>
    </row>
    <row r="493" spans="1:26">
      <c r="A493" s="189"/>
      <c r="B493" s="189"/>
      <c r="C493" s="189"/>
      <c r="D493" s="189"/>
      <c r="E493" s="189"/>
      <c r="F493" s="189"/>
      <c r="G493" s="189"/>
      <c r="H493" s="190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91"/>
      <c r="T493" s="208"/>
      <c r="U493" s="189"/>
      <c r="V493" s="189"/>
      <c r="W493" s="189"/>
      <c r="X493" s="189"/>
      <c r="Y493" s="189"/>
      <c r="Z493" s="189"/>
    </row>
    <row r="494" spans="1:26">
      <c r="A494" s="189"/>
      <c r="B494" s="189"/>
      <c r="C494" s="189"/>
      <c r="D494" s="189"/>
      <c r="E494" s="189"/>
      <c r="F494" s="189"/>
      <c r="G494" s="189"/>
      <c r="H494" s="190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91"/>
      <c r="T494" s="208"/>
      <c r="U494" s="189"/>
      <c r="V494" s="189"/>
      <c r="W494" s="189"/>
      <c r="X494" s="189"/>
      <c r="Y494" s="189"/>
      <c r="Z494" s="189"/>
    </row>
    <row r="495" spans="1:26">
      <c r="A495" s="189"/>
      <c r="B495" s="189"/>
      <c r="C495" s="189"/>
      <c r="D495" s="189"/>
      <c r="E495" s="189"/>
      <c r="F495" s="189"/>
      <c r="G495" s="189"/>
      <c r="H495" s="190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91"/>
      <c r="T495" s="208"/>
      <c r="U495" s="189"/>
      <c r="V495" s="189"/>
      <c r="W495" s="189"/>
      <c r="X495" s="189"/>
      <c r="Y495" s="189"/>
      <c r="Z495" s="189"/>
    </row>
    <row r="496" spans="1:26">
      <c r="A496" s="189"/>
      <c r="B496" s="189"/>
      <c r="C496" s="189"/>
      <c r="D496" s="189"/>
      <c r="E496" s="189"/>
      <c r="F496" s="189"/>
      <c r="G496" s="189"/>
      <c r="H496" s="190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91"/>
      <c r="T496" s="208"/>
      <c r="U496" s="189"/>
      <c r="V496" s="189"/>
      <c r="W496" s="189"/>
      <c r="X496" s="189"/>
      <c r="Y496" s="189"/>
      <c r="Z496" s="189"/>
    </row>
    <row r="497" spans="1:26">
      <c r="A497" s="189"/>
      <c r="B497" s="189"/>
      <c r="C497" s="189"/>
      <c r="D497" s="189"/>
      <c r="E497" s="189"/>
      <c r="F497" s="189"/>
      <c r="G497" s="189"/>
      <c r="H497" s="190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91"/>
      <c r="T497" s="208"/>
      <c r="U497" s="189"/>
      <c r="V497" s="189"/>
      <c r="W497" s="189"/>
      <c r="X497" s="189"/>
      <c r="Y497" s="189"/>
      <c r="Z497" s="189"/>
    </row>
    <row r="498" spans="1:26">
      <c r="A498" s="189"/>
      <c r="B498" s="189"/>
      <c r="C498" s="189"/>
      <c r="D498" s="189"/>
      <c r="E498" s="189"/>
      <c r="F498" s="189"/>
      <c r="G498" s="189"/>
      <c r="H498" s="190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91"/>
      <c r="T498" s="208"/>
      <c r="U498" s="189"/>
      <c r="V498" s="189"/>
      <c r="W498" s="189"/>
      <c r="X498" s="189"/>
      <c r="Y498" s="189"/>
      <c r="Z498" s="189"/>
    </row>
    <row r="499" spans="1:26">
      <c r="A499" s="189"/>
      <c r="B499" s="189"/>
      <c r="C499" s="189"/>
      <c r="D499" s="189"/>
      <c r="E499" s="189"/>
      <c r="F499" s="189"/>
      <c r="G499" s="189"/>
      <c r="H499" s="190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91"/>
      <c r="T499" s="208"/>
      <c r="U499" s="189"/>
      <c r="V499" s="189"/>
      <c r="W499" s="189"/>
      <c r="X499" s="189"/>
      <c r="Y499" s="189"/>
      <c r="Z499" s="189"/>
    </row>
    <row r="500" spans="1:26">
      <c r="A500" s="189"/>
      <c r="B500" s="189"/>
      <c r="C500" s="189"/>
      <c r="D500" s="189"/>
      <c r="E500" s="189"/>
      <c r="F500" s="189"/>
      <c r="G500" s="189"/>
      <c r="H500" s="190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91"/>
      <c r="T500" s="208"/>
      <c r="U500" s="189"/>
      <c r="V500" s="189"/>
      <c r="W500" s="189"/>
      <c r="X500" s="189"/>
      <c r="Y500" s="189"/>
      <c r="Z500" s="189"/>
    </row>
    <row r="501" spans="1:26">
      <c r="A501" s="189"/>
      <c r="B501" s="189"/>
      <c r="C501" s="189"/>
      <c r="D501" s="189"/>
      <c r="E501" s="189"/>
      <c r="F501" s="189"/>
      <c r="G501" s="189"/>
      <c r="H501" s="190"/>
      <c r="I501" s="189"/>
      <c r="J501" s="189"/>
      <c r="K501" s="189"/>
      <c r="L501" s="189"/>
      <c r="M501" s="189"/>
      <c r="N501" s="189"/>
      <c r="O501" s="189"/>
      <c r="P501" s="189"/>
      <c r="Q501" s="189"/>
      <c r="R501" s="189"/>
      <c r="S501" s="191"/>
      <c r="T501" s="208"/>
      <c r="U501" s="189"/>
      <c r="V501" s="189"/>
      <c r="W501" s="189"/>
      <c r="X501" s="189"/>
      <c r="Y501" s="189"/>
      <c r="Z501" s="189"/>
    </row>
    <row r="502" spans="1:26">
      <c r="A502" s="189"/>
      <c r="B502" s="189"/>
      <c r="C502" s="189"/>
      <c r="D502" s="189"/>
      <c r="E502" s="189"/>
      <c r="F502" s="189"/>
      <c r="G502" s="189"/>
      <c r="H502" s="190"/>
      <c r="I502" s="189"/>
      <c r="J502" s="189"/>
      <c r="K502" s="189"/>
      <c r="L502" s="189"/>
      <c r="M502" s="189"/>
      <c r="N502" s="189"/>
      <c r="O502" s="189"/>
      <c r="P502" s="189"/>
      <c r="Q502" s="189"/>
      <c r="R502" s="189"/>
      <c r="S502" s="191"/>
      <c r="T502" s="208"/>
      <c r="U502" s="189"/>
      <c r="V502" s="189"/>
      <c r="W502" s="189"/>
      <c r="X502" s="189"/>
      <c r="Y502" s="189"/>
      <c r="Z502" s="189"/>
    </row>
    <row r="503" spans="1:26">
      <c r="A503" s="189"/>
      <c r="B503" s="189"/>
      <c r="C503" s="189"/>
      <c r="D503" s="189"/>
      <c r="E503" s="189"/>
      <c r="F503" s="189"/>
      <c r="G503" s="189"/>
      <c r="H503" s="190"/>
      <c r="I503" s="189"/>
      <c r="J503" s="189"/>
      <c r="K503" s="189"/>
      <c r="L503" s="189"/>
      <c r="M503" s="189"/>
      <c r="N503" s="189"/>
      <c r="O503" s="189"/>
      <c r="P503" s="189"/>
      <c r="Q503" s="189"/>
      <c r="R503" s="189"/>
      <c r="S503" s="191"/>
      <c r="T503" s="208"/>
      <c r="U503" s="189"/>
      <c r="V503" s="189"/>
      <c r="W503" s="189"/>
      <c r="X503" s="189"/>
      <c r="Y503" s="189"/>
      <c r="Z503" s="189"/>
    </row>
    <row r="504" spans="1:26">
      <c r="A504" s="189"/>
      <c r="B504" s="189"/>
      <c r="C504" s="189"/>
      <c r="D504" s="189"/>
      <c r="E504" s="189"/>
      <c r="F504" s="189"/>
      <c r="G504" s="189"/>
      <c r="H504" s="190"/>
      <c r="I504" s="189"/>
      <c r="J504" s="189"/>
      <c r="K504" s="189"/>
      <c r="L504" s="189"/>
      <c r="M504" s="189"/>
      <c r="N504" s="189"/>
      <c r="O504" s="189"/>
      <c r="P504" s="189"/>
      <c r="Q504" s="189"/>
      <c r="R504" s="189"/>
      <c r="S504" s="191"/>
      <c r="T504" s="208"/>
      <c r="U504" s="189"/>
      <c r="V504" s="189"/>
      <c r="W504" s="189"/>
      <c r="X504" s="189"/>
      <c r="Y504" s="189"/>
      <c r="Z504" s="189"/>
    </row>
    <row r="505" spans="1:26">
      <c r="A505" s="189"/>
      <c r="B505" s="189"/>
      <c r="C505" s="189"/>
      <c r="D505" s="189"/>
      <c r="E505" s="189"/>
      <c r="F505" s="189"/>
      <c r="G505" s="189"/>
      <c r="H505" s="190"/>
      <c r="I505" s="189"/>
      <c r="J505" s="189"/>
      <c r="K505" s="189"/>
      <c r="L505" s="189"/>
      <c r="M505" s="189"/>
      <c r="N505" s="189"/>
      <c r="O505" s="189"/>
      <c r="P505" s="189"/>
      <c r="Q505" s="189"/>
      <c r="R505" s="189"/>
      <c r="S505" s="191"/>
      <c r="T505" s="208"/>
      <c r="U505" s="189"/>
      <c r="V505" s="189"/>
      <c r="W505" s="189"/>
      <c r="X505" s="189"/>
      <c r="Y505" s="189"/>
      <c r="Z505" s="189"/>
    </row>
    <row r="506" spans="1:26">
      <c r="A506" s="189"/>
      <c r="B506" s="189"/>
      <c r="C506" s="189"/>
      <c r="D506" s="189"/>
      <c r="E506" s="189"/>
      <c r="F506" s="189"/>
      <c r="G506" s="189"/>
      <c r="H506" s="190"/>
      <c r="I506" s="189"/>
      <c r="J506" s="189"/>
      <c r="K506" s="189"/>
      <c r="L506" s="189"/>
      <c r="M506" s="189"/>
      <c r="N506" s="189"/>
      <c r="O506" s="189"/>
      <c r="P506" s="189"/>
      <c r="Q506" s="189"/>
      <c r="R506" s="189"/>
      <c r="S506" s="191"/>
      <c r="T506" s="208"/>
      <c r="U506" s="189"/>
      <c r="V506" s="189"/>
      <c r="W506" s="189"/>
      <c r="X506" s="189"/>
      <c r="Y506" s="189"/>
      <c r="Z506" s="189"/>
    </row>
    <row r="507" spans="1:26">
      <c r="A507" s="189"/>
      <c r="B507" s="189"/>
      <c r="C507" s="189"/>
      <c r="D507" s="189"/>
      <c r="E507" s="189"/>
      <c r="F507" s="189"/>
      <c r="G507" s="189"/>
      <c r="H507" s="190"/>
      <c r="I507" s="189"/>
      <c r="J507" s="189"/>
      <c r="K507" s="189"/>
      <c r="L507" s="189"/>
      <c r="M507" s="189"/>
      <c r="N507" s="189"/>
      <c r="O507" s="189"/>
      <c r="P507" s="189"/>
      <c r="Q507" s="189"/>
      <c r="R507" s="189"/>
      <c r="S507" s="191"/>
      <c r="T507" s="208"/>
      <c r="U507" s="189"/>
      <c r="V507" s="189"/>
      <c r="W507" s="189"/>
      <c r="X507" s="189"/>
      <c r="Y507" s="189"/>
      <c r="Z507" s="189"/>
    </row>
    <row r="508" spans="1:26">
      <c r="A508" s="189"/>
      <c r="B508" s="189"/>
      <c r="C508" s="189"/>
      <c r="D508" s="189"/>
      <c r="E508" s="189"/>
      <c r="F508" s="189"/>
      <c r="G508" s="189"/>
      <c r="H508" s="190"/>
      <c r="I508" s="189"/>
      <c r="J508" s="189"/>
      <c r="K508" s="189"/>
      <c r="L508" s="189"/>
      <c r="M508" s="189"/>
      <c r="N508" s="189"/>
      <c r="O508" s="189"/>
      <c r="P508" s="189"/>
      <c r="Q508" s="189"/>
      <c r="R508" s="189"/>
      <c r="S508" s="191"/>
      <c r="T508" s="208"/>
      <c r="U508" s="189"/>
      <c r="V508" s="189"/>
      <c r="W508" s="189"/>
      <c r="X508" s="189"/>
      <c r="Y508" s="189"/>
      <c r="Z508" s="189"/>
    </row>
    <row r="509" spans="1:26">
      <c r="A509" s="189"/>
      <c r="B509" s="189"/>
      <c r="C509" s="189"/>
      <c r="D509" s="189"/>
      <c r="E509" s="189"/>
      <c r="F509" s="189"/>
      <c r="G509" s="189"/>
      <c r="H509" s="190"/>
      <c r="I509" s="189"/>
      <c r="J509" s="189"/>
      <c r="K509" s="189"/>
      <c r="L509" s="189"/>
      <c r="M509" s="189"/>
      <c r="N509" s="189"/>
      <c r="O509" s="189"/>
      <c r="P509" s="189"/>
      <c r="Q509" s="189"/>
      <c r="R509" s="189"/>
      <c r="S509" s="191"/>
      <c r="T509" s="208"/>
      <c r="U509" s="189"/>
      <c r="V509" s="189"/>
      <c r="W509" s="189"/>
      <c r="X509" s="189"/>
      <c r="Y509" s="189"/>
      <c r="Z509" s="189"/>
    </row>
    <row r="510" spans="1:26">
      <c r="A510" s="189"/>
      <c r="B510" s="189"/>
      <c r="C510" s="189"/>
      <c r="D510" s="189"/>
      <c r="E510" s="189"/>
      <c r="F510" s="189"/>
      <c r="G510" s="189"/>
      <c r="H510" s="190"/>
      <c r="I510" s="189"/>
      <c r="J510" s="189"/>
      <c r="K510" s="189"/>
      <c r="L510" s="189"/>
      <c r="M510" s="189"/>
      <c r="N510" s="189"/>
      <c r="O510" s="189"/>
      <c r="P510" s="189"/>
      <c r="Q510" s="189"/>
      <c r="R510" s="189"/>
      <c r="S510" s="191"/>
      <c r="T510" s="208"/>
      <c r="U510" s="189"/>
      <c r="V510" s="189"/>
      <c r="W510" s="189"/>
      <c r="X510" s="189"/>
      <c r="Y510" s="189"/>
      <c r="Z510" s="189"/>
    </row>
    <row r="511" spans="1:26">
      <c r="A511" s="189"/>
      <c r="B511" s="189"/>
      <c r="C511" s="189"/>
      <c r="D511" s="189"/>
      <c r="E511" s="189"/>
      <c r="F511" s="189"/>
      <c r="G511" s="189"/>
      <c r="H511" s="190"/>
      <c r="I511" s="189"/>
      <c r="J511" s="189"/>
      <c r="K511" s="189"/>
      <c r="L511" s="189"/>
      <c r="M511" s="189"/>
      <c r="N511" s="189"/>
      <c r="O511" s="189"/>
      <c r="P511" s="189"/>
      <c r="Q511" s="189"/>
      <c r="R511" s="189"/>
      <c r="S511" s="191"/>
      <c r="T511" s="208"/>
      <c r="U511" s="189"/>
      <c r="V511" s="189"/>
      <c r="W511" s="189"/>
      <c r="X511" s="189"/>
      <c r="Y511" s="189"/>
      <c r="Z511" s="189"/>
    </row>
    <row r="512" spans="1:26">
      <c r="A512" s="189"/>
      <c r="B512" s="189"/>
      <c r="C512" s="189"/>
      <c r="D512" s="189"/>
      <c r="E512" s="189"/>
      <c r="F512" s="189"/>
      <c r="G512" s="189"/>
      <c r="H512" s="190"/>
      <c r="I512" s="189"/>
      <c r="J512" s="189"/>
      <c r="K512" s="189"/>
      <c r="L512" s="189"/>
      <c r="M512" s="189"/>
      <c r="N512" s="189"/>
      <c r="O512" s="189"/>
      <c r="P512" s="189"/>
      <c r="Q512" s="189"/>
      <c r="R512" s="189"/>
      <c r="S512" s="191"/>
      <c r="T512" s="208"/>
      <c r="U512" s="189"/>
      <c r="V512" s="189"/>
      <c r="W512" s="189"/>
      <c r="X512" s="189"/>
      <c r="Y512" s="189"/>
      <c r="Z512" s="189"/>
    </row>
    <row r="513" spans="1:26">
      <c r="A513" s="189"/>
      <c r="B513" s="189"/>
      <c r="C513" s="189"/>
      <c r="D513" s="189"/>
      <c r="E513" s="189"/>
      <c r="F513" s="189"/>
      <c r="G513" s="189"/>
      <c r="H513" s="190"/>
      <c r="I513" s="189"/>
      <c r="J513" s="189"/>
      <c r="K513" s="189"/>
      <c r="L513" s="189"/>
      <c r="M513" s="189"/>
      <c r="N513" s="189"/>
      <c r="O513" s="189"/>
      <c r="P513" s="189"/>
      <c r="Q513" s="189"/>
      <c r="R513" s="189"/>
      <c r="S513" s="191"/>
      <c r="T513" s="208"/>
      <c r="U513" s="189"/>
      <c r="V513" s="189"/>
      <c r="W513" s="189"/>
      <c r="X513" s="189"/>
      <c r="Y513" s="189"/>
      <c r="Z513" s="189"/>
    </row>
    <row r="514" spans="1:26">
      <c r="A514" s="189"/>
      <c r="B514" s="189"/>
      <c r="C514" s="189"/>
      <c r="D514" s="189"/>
      <c r="E514" s="189"/>
      <c r="F514" s="189"/>
      <c r="G514" s="189"/>
      <c r="H514" s="190"/>
      <c r="I514" s="189"/>
      <c r="J514" s="189"/>
      <c r="K514" s="189"/>
      <c r="L514" s="189"/>
      <c r="M514" s="189"/>
      <c r="N514" s="189"/>
      <c r="O514" s="189"/>
      <c r="P514" s="189"/>
      <c r="Q514" s="189"/>
      <c r="R514" s="189"/>
      <c r="S514" s="191"/>
      <c r="T514" s="208"/>
      <c r="U514" s="189"/>
      <c r="V514" s="189"/>
      <c r="W514" s="189"/>
      <c r="X514" s="189"/>
      <c r="Y514" s="189"/>
      <c r="Z514" s="189"/>
    </row>
    <row r="515" spans="1:26">
      <c r="A515" s="189"/>
      <c r="B515" s="189"/>
      <c r="C515" s="189"/>
      <c r="D515" s="189"/>
      <c r="E515" s="189"/>
      <c r="F515" s="189"/>
      <c r="G515" s="189"/>
      <c r="H515" s="190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91"/>
      <c r="T515" s="208"/>
      <c r="U515" s="189"/>
      <c r="V515" s="189"/>
      <c r="W515" s="189"/>
      <c r="X515" s="189"/>
      <c r="Y515" s="189"/>
      <c r="Z515" s="189"/>
    </row>
    <row r="516" spans="1:26">
      <c r="A516" s="189"/>
      <c r="B516" s="189"/>
      <c r="C516" s="189"/>
      <c r="D516" s="189"/>
      <c r="E516" s="189"/>
      <c r="F516" s="189"/>
      <c r="G516" s="189"/>
      <c r="H516" s="190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91"/>
      <c r="T516" s="208"/>
      <c r="U516" s="189"/>
      <c r="V516" s="189"/>
      <c r="W516" s="189"/>
      <c r="X516" s="189"/>
      <c r="Y516" s="189"/>
      <c r="Z516" s="189"/>
    </row>
    <row r="517" spans="1:26">
      <c r="A517" s="189"/>
      <c r="B517" s="189"/>
      <c r="C517" s="189"/>
      <c r="D517" s="189"/>
      <c r="E517" s="189"/>
      <c r="F517" s="189"/>
      <c r="G517" s="189"/>
      <c r="H517" s="190"/>
      <c r="I517" s="189"/>
      <c r="J517" s="189"/>
      <c r="K517" s="189"/>
      <c r="L517" s="189"/>
      <c r="M517" s="189"/>
      <c r="N517" s="189"/>
      <c r="O517" s="189"/>
      <c r="P517" s="189"/>
      <c r="Q517" s="189"/>
      <c r="R517" s="189"/>
      <c r="S517" s="191"/>
      <c r="T517" s="208"/>
      <c r="U517" s="189"/>
      <c r="V517" s="189"/>
      <c r="W517" s="189"/>
      <c r="X517" s="189"/>
      <c r="Y517" s="189"/>
      <c r="Z517" s="189"/>
    </row>
    <row r="518" spans="1:26">
      <c r="A518" s="189"/>
      <c r="B518" s="189"/>
      <c r="C518" s="189"/>
      <c r="D518" s="189"/>
      <c r="E518" s="189"/>
      <c r="F518" s="189"/>
      <c r="G518" s="189"/>
      <c r="H518" s="190"/>
      <c r="I518" s="189"/>
      <c r="J518" s="189"/>
      <c r="K518" s="189"/>
      <c r="L518" s="189"/>
      <c r="M518" s="189"/>
      <c r="N518" s="189"/>
      <c r="O518" s="189"/>
      <c r="P518" s="189"/>
      <c r="Q518" s="189"/>
      <c r="R518" s="189"/>
      <c r="S518" s="191"/>
      <c r="T518" s="208"/>
      <c r="U518" s="189"/>
      <c r="V518" s="189"/>
      <c r="W518" s="189"/>
      <c r="X518" s="189"/>
      <c r="Y518" s="189"/>
      <c r="Z518" s="189"/>
    </row>
    <row r="519" spans="1:26">
      <c r="A519" s="189"/>
      <c r="B519" s="189"/>
      <c r="C519" s="189"/>
      <c r="D519" s="189"/>
      <c r="E519" s="189"/>
      <c r="F519" s="189"/>
      <c r="G519" s="189"/>
      <c r="H519" s="190"/>
      <c r="I519" s="189"/>
      <c r="J519" s="189"/>
      <c r="K519" s="189"/>
      <c r="L519" s="189"/>
      <c r="M519" s="189"/>
      <c r="N519" s="189"/>
      <c r="O519" s="189"/>
      <c r="P519" s="189"/>
      <c r="Q519" s="189"/>
      <c r="R519" s="189"/>
      <c r="S519" s="191"/>
      <c r="T519" s="208"/>
      <c r="U519" s="189"/>
      <c r="V519" s="189"/>
      <c r="W519" s="189"/>
      <c r="X519" s="189"/>
      <c r="Y519" s="189"/>
      <c r="Z519" s="189"/>
    </row>
    <row r="520" spans="1:26">
      <c r="A520" s="189"/>
      <c r="B520" s="189"/>
      <c r="C520" s="189"/>
      <c r="D520" s="189"/>
      <c r="E520" s="189"/>
      <c r="F520" s="189"/>
      <c r="G520" s="189"/>
      <c r="H520" s="190"/>
      <c r="I520" s="189"/>
      <c r="J520" s="189"/>
      <c r="K520" s="189"/>
      <c r="L520" s="189"/>
      <c r="M520" s="189"/>
      <c r="N520" s="189"/>
      <c r="O520" s="189"/>
      <c r="P520" s="189"/>
      <c r="Q520" s="189"/>
      <c r="R520" s="189"/>
      <c r="S520" s="191"/>
      <c r="T520" s="208"/>
      <c r="U520" s="189"/>
      <c r="V520" s="189"/>
      <c r="W520" s="189"/>
      <c r="X520" s="189"/>
      <c r="Y520" s="189"/>
      <c r="Z520" s="189"/>
    </row>
    <row r="521" spans="1:26">
      <c r="A521" s="189"/>
      <c r="B521" s="189"/>
      <c r="C521" s="189"/>
      <c r="D521" s="189"/>
      <c r="E521" s="189"/>
      <c r="F521" s="189"/>
      <c r="G521" s="189"/>
      <c r="H521" s="190"/>
      <c r="I521" s="189"/>
      <c r="J521" s="189"/>
      <c r="K521" s="189"/>
      <c r="L521" s="189"/>
      <c r="M521" s="189"/>
      <c r="N521" s="189"/>
      <c r="O521" s="189"/>
      <c r="P521" s="189"/>
      <c r="Q521" s="189"/>
      <c r="R521" s="189"/>
      <c r="S521" s="191"/>
      <c r="T521" s="208"/>
      <c r="U521" s="189"/>
      <c r="V521" s="189"/>
      <c r="W521" s="189"/>
      <c r="X521" s="189"/>
      <c r="Y521" s="189"/>
      <c r="Z521" s="189"/>
    </row>
    <row r="522" spans="1:26">
      <c r="A522" s="189"/>
      <c r="B522" s="189"/>
      <c r="C522" s="189"/>
      <c r="D522" s="189"/>
      <c r="E522" s="189"/>
      <c r="F522" s="189"/>
      <c r="G522" s="189"/>
      <c r="H522" s="190"/>
      <c r="I522" s="189"/>
      <c r="J522" s="189"/>
      <c r="K522" s="189"/>
      <c r="L522" s="189"/>
      <c r="M522" s="189"/>
      <c r="N522" s="189"/>
      <c r="O522" s="189"/>
      <c r="P522" s="189"/>
      <c r="Q522" s="189"/>
      <c r="R522" s="189"/>
      <c r="S522" s="191"/>
      <c r="T522" s="208"/>
      <c r="U522" s="189"/>
      <c r="V522" s="189"/>
      <c r="W522" s="189"/>
      <c r="X522" s="189"/>
      <c r="Y522" s="189"/>
      <c r="Z522" s="189"/>
    </row>
    <row r="523" spans="1:26">
      <c r="A523" s="189"/>
      <c r="B523" s="189"/>
      <c r="C523" s="189"/>
      <c r="D523" s="189"/>
      <c r="E523" s="189"/>
      <c r="F523" s="189"/>
      <c r="G523" s="189"/>
      <c r="H523" s="190"/>
      <c r="I523" s="189"/>
      <c r="J523" s="189"/>
      <c r="K523" s="189"/>
      <c r="L523" s="189"/>
      <c r="M523" s="189"/>
      <c r="N523" s="189"/>
      <c r="O523" s="189"/>
      <c r="P523" s="189"/>
      <c r="Q523" s="189"/>
      <c r="R523" s="189"/>
      <c r="S523" s="191"/>
      <c r="T523" s="208"/>
      <c r="U523" s="189"/>
      <c r="V523" s="189"/>
      <c r="W523" s="189"/>
      <c r="X523" s="189"/>
      <c r="Y523" s="189"/>
      <c r="Z523" s="189"/>
    </row>
    <row r="524" spans="1:26">
      <c r="A524" s="189"/>
      <c r="B524" s="189"/>
      <c r="C524" s="189"/>
      <c r="D524" s="189"/>
      <c r="E524" s="189"/>
      <c r="F524" s="189"/>
      <c r="G524" s="189"/>
      <c r="H524" s="190"/>
      <c r="I524" s="189"/>
      <c r="J524" s="189"/>
      <c r="K524" s="189"/>
      <c r="L524" s="189"/>
      <c r="M524" s="189"/>
      <c r="N524" s="189"/>
      <c r="O524" s="189"/>
      <c r="P524" s="189"/>
      <c r="Q524" s="189"/>
      <c r="R524" s="189"/>
      <c r="S524" s="191"/>
      <c r="T524" s="208"/>
      <c r="U524" s="189"/>
      <c r="V524" s="189"/>
      <c r="W524" s="189"/>
      <c r="X524" s="189"/>
      <c r="Y524" s="189"/>
      <c r="Z524" s="189"/>
    </row>
    <row r="525" spans="1:26">
      <c r="A525" s="189"/>
      <c r="B525" s="189"/>
      <c r="C525" s="189"/>
      <c r="D525" s="189"/>
      <c r="E525" s="189"/>
      <c r="F525" s="189"/>
      <c r="G525" s="189"/>
      <c r="H525" s="190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91"/>
      <c r="T525" s="208"/>
      <c r="U525" s="189"/>
      <c r="V525" s="189"/>
      <c r="W525" s="189"/>
      <c r="X525" s="189"/>
      <c r="Y525" s="189"/>
      <c r="Z525" s="189"/>
    </row>
    <row r="526" spans="1:26">
      <c r="A526" s="189"/>
      <c r="B526" s="189"/>
      <c r="C526" s="189"/>
      <c r="D526" s="189"/>
      <c r="E526" s="189"/>
      <c r="F526" s="189"/>
      <c r="G526" s="189"/>
      <c r="H526" s="190"/>
      <c r="I526" s="189"/>
      <c r="J526" s="189"/>
      <c r="K526" s="189"/>
      <c r="L526" s="189"/>
      <c r="M526" s="189"/>
      <c r="N526" s="189"/>
      <c r="O526" s="189"/>
      <c r="P526" s="189"/>
      <c r="Q526" s="189"/>
      <c r="R526" s="189"/>
      <c r="S526" s="191"/>
      <c r="T526" s="208"/>
      <c r="U526" s="189"/>
      <c r="V526" s="189"/>
      <c r="W526" s="189"/>
      <c r="X526" s="189"/>
      <c r="Y526" s="189"/>
      <c r="Z526" s="189"/>
    </row>
    <row r="527" spans="1:26">
      <c r="A527" s="189"/>
      <c r="B527" s="189"/>
      <c r="C527" s="189"/>
      <c r="D527" s="189"/>
      <c r="E527" s="189"/>
      <c r="F527" s="189"/>
      <c r="G527" s="189"/>
      <c r="H527" s="190"/>
      <c r="I527" s="189"/>
      <c r="J527" s="189"/>
      <c r="K527" s="189"/>
      <c r="L527" s="189"/>
      <c r="M527" s="189"/>
      <c r="N527" s="189"/>
      <c r="O527" s="189"/>
      <c r="P527" s="189"/>
      <c r="Q527" s="189"/>
      <c r="R527" s="189"/>
      <c r="S527" s="191"/>
      <c r="T527" s="208"/>
      <c r="U527" s="189"/>
      <c r="V527" s="189"/>
      <c r="W527" s="189"/>
      <c r="X527" s="189"/>
      <c r="Y527" s="189"/>
      <c r="Z527" s="189"/>
    </row>
    <row r="528" spans="1:26">
      <c r="A528" s="189"/>
      <c r="B528" s="189"/>
      <c r="C528" s="189"/>
      <c r="D528" s="189"/>
      <c r="E528" s="189"/>
      <c r="F528" s="189"/>
      <c r="G528" s="189"/>
      <c r="H528" s="190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91"/>
      <c r="T528" s="208"/>
      <c r="U528" s="189"/>
      <c r="V528" s="189"/>
      <c r="W528" s="189"/>
      <c r="X528" s="189"/>
      <c r="Y528" s="189"/>
      <c r="Z528" s="189"/>
    </row>
    <row r="529" spans="1:26">
      <c r="A529" s="189"/>
      <c r="B529" s="189"/>
      <c r="C529" s="189"/>
      <c r="D529" s="189"/>
      <c r="E529" s="189"/>
      <c r="F529" s="189"/>
      <c r="G529" s="189"/>
      <c r="H529" s="190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91"/>
      <c r="T529" s="208"/>
      <c r="U529" s="189"/>
      <c r="V529" s="189"/>
      <c r="W529" s="189"/>
      <c r="X529" s="189"/>
      <c r="Y529" s="189"/>
      <c r="Z529" s="189"/>
    </row>
    <row r="530" spans="1:26">
      <c r="A530" s="189"/>
      <c r="B530" s="189"/>
      <c r="C530" s="189"/>
      <c r="D530" s="189"/>
      <c r="E530" s="189"/>
      <c r="F530" s="189"/>
      <c r="G530" s="189"/>
      <c r="H530" s="190"/>
      <c r="I530" s="189"/>
      <c r="J530" s="189"/>
      <c r="K530" s="189"/>
      <c r="L530" s="189"/>
      <c r="M530" s="189"/>
      <c r="N530" s="189"/>
      <c r="O530" s="189"/>
      <c r="P530" s="189"/>
      <c r="Q530" s="189"/>
      <c r="R530" s="189"/>
      <c r="S530" s="191"/>
      <c r="T530" s="208"/>
      <c r="U530" s="189"/>
      <c r="V530" s="189"/>
      <c r="W530" s="189"/>
      <c r="X530" s="189"/>
      <c r="Y530" s="189"/>
      <c r="Z530" s="189"/>
    </row>
    <row r="531" spans="1:26">
      <c r="A531" s="189"/>
      <c r="B531" s="189"/>
      <c r="C531" s="189"/>
      <c r="D531" s="189"/>
      <c r="E531" s="189"/>
      <c r="F531" s="189"/>
      <c r="G531" s="189"/>
      <c r="H531" s="190"/>
      <c r="I531" s="189"/>
      <c r="J531" s="189"/>
      <c r="K531" s="189"/>
      <c r="L531" s="189"/>
      <c r="M531" s="189"/>
      <c r="N531" s="189"/>
      <c r="O531" s="189"/>
      <c r="P531" s="189"/>
      <c r="Q531" s="189"/>
      <c r="R531" s="189"/>
      <c r="S531" s="191"/>
      <c r="T531" s="208"/>
      <c r="U531" s="189"/>
      <c r="V531" s="189"/>
      <c r="W531" s="189"/>
      <c r="X531" s="189"/>
      <c r="Y531" s="189"/>
      <c r="Z531" s="189"/>
    </row>
    <row r="532" spans="1:26">
      <c r="A532" s="189"/>
      <c r="B532" s="189"/>
      <c r="C532" s="189"/>
      <c r="D532" s="189"/>
      <c r="E532" s="189"/>
      <c r="F532" s="189"/>
      <c r="G532" s="189"/>
      <c r="H532" s="190"/>
      <c r="I532" s="189"/>
      <c r="J532" s="189"/>
      <c r="K532" s="189"/>
      <c r="L532" s="189"/>
      <c r="M532" s="189"/>
      <c r="N532" s="189"/>
      <c r="O532" s="189"/>
      <c r="P532" s="189"/>
      <c r="Q532" s="189"/>
      <c r="R532" s="189"/>
      <c r="S532" s="191"/>
      <c r="T532" s="208"/>
      <c r="U532" s="189"/>
      <c r="V532" s="189"/>
      <c r="W532" s="189"/>
      <c r="X532" s="189"/>
      <c r="Y532" s="189"/>
      <c r="Z532" s="189"/>
    </row>
    <row r="533" spans="1:26">
      <c r="A533" s="189"/>
      <c r="B533" s="189"/>
      <c r="C533" s="189"/>
      <c r="D533" s="189"/>
      <c r="E533" s="189"/>
      <c r="F533" s="189"/>
      <c r="G533" s="189"/>
      <c r="H533" s="190"/>
      <c r="I533" s="189"/>
      <c r="J533" s="189"/>
      <c r="K533" s="189"/>
      <c r="L533" s="189"/>
      <c r="M533" s="189"/>
      <c r="N533" s="189"/>
      <c r="O533" s="189"/>
      <c r="P533" s="189"/>
      <c r="Q533" s="189"/>
      <c r="R533" s="189"/>
      <c r="S533" s="191"/>
      <c r="T533" s="208"/>
      <c r="U533" s="189"/>
      <c r="V533" s="189"/>
      <c r="W533" s="189"/>
      <c r="X533" s="189"/>
      <c r="Y533" s="189"/>
      <c r="Z533" s="189"/>
    </row>
    <row r="534" spans="1:26">
      <c r="A534" s="189"/>
      <c r="B534" s="189"/>
      <c r="C534" s="189"/>
      <c r="D534" s="189"/>
      <c r="E534" s="189"/>
      <c r="F534" s="189"/>
      <c r="G534" s="189"/>
      <c r="H534" s="190"/>
      <c r="I534" s="189"/>
      <c r="J534" s="189"/>
      <c r="K534" s="189"/>
      <c r="L534" s="189"/>
      <c r="M534" s="189"/>
      <c r="N534" s="189"/>
      <c r="O534" s="189"/>
      <c r="P534" s="189"/>
      <c r="Q534" s="189"/>
      <c r="R534" s="189"/>
      <c r="S534" s="191"/>
      <c r="T534" s="208"/>
      <c r="U534" s="189"/>
      <c r="V534" s="189"/>
      <c r="W534" s="189"/>
      <c r="X534" s="189"/>
      <c r="Y534" s="189"/>
      <c r="Z534" s="189"/>
    </row>
    <row r="535" spans="1:26">
      <c r="A535" s="189"/>
      <c r="B535" s="189"/>
      <c r="C535" s="189"/>
      <c r="D535" s="189"/>
      <c r="E535" s="189"/>
      <c r="F535" s="189"/>
      <c r="G535" s="189"/>
      <c r="H535" s="190"/>
      <c r="I535" s="189"/>
      <c r="J535" s="189"/>
      <c r="K535" s="189"/>
      <c r="L535" s="189"/>
      <c r="M535" s="189"/>
      <c r="N535" s="189"/>
      <c r="O535" s="189"/>
      <c r="P535" s="189"/>
      <c r="Q535" s="189"/>
      <c r="R535" s="189"/>
      <c r="S535" s="191"/>
      <c r="T535" s="208"/>
      <c r="U535" s="189"/>
      <c r="V535" s="189"/>
      <c r="W535" s="189"/>
      <c r="X535" s="189"/>
      <c r="Y535" s="189"/>
      <c r="Z535" s="189"/>
    </row>
    <row r="536" spans="1:26">
      <c r="A536" s="189"/>
      <c r="B536" s="189"/>
      <c r="C536" s="189"/>
      <c r="D536" s="189"/>
      <c r="E536" s="189"/>
      <c r="F536" s="189"/>
      <c r="G536" s="189"/>
      <c r="H536" s="190"/>
      <c r="I536" s="189"/>
      <c r="J536" s="189"/>
      <c r="K536" s="189"/>
      <c r="L536" s="189"/>
      <c r="M536" s="189"/>
      <c r="N536" s="189"/>
      <c r="O536" s="189"/>
      <c r="P536" s="189"/>
      <c r="Q536" s="189"/>
      <c r="R536" s="189"/>
      <c r="S536" s="191"/>
      <c r="T536" s="208"/>
      <c r="U536" s="189"/>
      <c r="V536" s="189"/>
      <c r="W536" s="189"/>
      <c r="X536" s="189"/>
      <c r="Y536" s="189"/>
      <c r="Z536" s="189"/>
    </row>
    <row r="537" spans="1:26">
      <c r="A537" s="189"/>
      <c r="B537" s="189"/>
      <c r="C537" s="189"/>
      <c r="D537" s="189"/>
      <c r="E537" s="189"/>
      <c r="F537" s="189"/>
      <c r="G537" s="189"/>
      <c r="H537" s="190"/>
      <c r="I537" s="189"/>
      <c r="J537" s="189"/>
      <c r="K537" s="189"/>
      <c r="L537" s="189"/>
      <c r="M537" s="189"/>
      <c r="N537" s="189"/>
      <c r="O537" s="189"/>
      <c r="P537" s="189"/>
      <c r="Q537" s="189"/>
      <c r="R537" s="189"/>
      <c r="S537" s="191"/>
      <c r="T537" s="208"/>
      <c r="U537" s="189"/>
      <c r="V537" s="189"/>
      <c r="W537" s="189"/>
      <c r="X537" s="189"/>
      <c r="Y537" s="189"/>
      <c r="Z537" s="189"/>
    </row>
    <row r="538" spans="1:26">
      <c r="A538" s="189"/>
      <c r="B538" s="189"/>
      <c r="C538" s="189"/>
      <c r="D538" s="189"/>
      <c r="E538" s="189"/>
      <c r="F538" s="189"/>
      <c r="G538" s="189"/>
      <c r="H538" s="190"/>
      <c r="I538" s="189"/>
      <c r="J538" s="189"/>
      <c r="K538" s="189"/>
      <c r="L538" s="189"/>
      <c r="M538" s="189"/>
      <c r="N538" s="189"/>
      <c r="O538" s="189"/>
      <c r="P538" s="189"/>
      <c r="Q538" s="189"/>
      <c r="R538" s="189"/>
      <c r="S538" s="191"/>
      <c r="T538" s="208"/>
      <c r="U538" s="189"/>
      <c r="V538" s="189"/>
      <c r="W538" s="189"/>
      <c r="X538" s="189"/>
      <c r="Y538" s="189"/>
      <c r="Z538" s="189"/>
    </row>
    <row r="539" spans="1:26">
      <c r="A539" s="189"/>
      <c r="B539" s="189"/>
      <c r="C539" s="189"/>
      <c r="D539" s="189"/>
      <c r="E539" s="189"/>
      <c r="F539" s="189"/>
      <c r="G539" s="189"/>
      <c r="H539" s="190"/>
      <c r="I539" s="189"/>
      <c r="J539" s="189"/>
      <c r="K539" s="189"/>
      <c r="L539" s="189"/>
      <c r="M539" s="189"/>
      <c r="N539" s="189"/>
      <c r="O539" s="189"/>
      <c r="P539" s="189"/>
      <c r="Q539" s="189"/>
      <c r="R539" s="189"/>
      <c r="S539" s="191"/>
      <c r="T539" s="208"/>
      <c r="U539" s="189"/>
      <c r="V539" s="189"/>
      <c r="W539" s="189"/>
      <c r="X539" s="189"/>
      <c r="Y539" s="189"/>
      <c r="Z539" s="189"/>
    </row>
    <row r="540" spans="1:26">
      <c r="A540" s="189"/>
      <c r="B540" s="189"/>
      <c r="C540" s="189"/>
      <c r="D540" s="189"/>
      <c r="E540" s="189"/>
      <c r="F540" s="189"/>
      <c r="G540" s="189"/>
      <c r="H540" s="190"/>
      <c r="I540" s="189"/>
      <c r="J540" s="189"/>
      <c r="K540" s="189"/>
      <c r="L540" s="189"/>
      <c r="M540" s="189"/>
      <c r="N540" s="189"/>
      <c r="O540" s="189"/>
      <c r="P540" s="189"/>
      <c r="Q540" s="189"/>
      <c r="R540" s="189"/>
      <c r="S540" s="191"/>
      <c r="T540" s="208"/>
      <c r="U540" s="189"/>
      <c r="V540" s="189"/>
      <c r="W540" s="189"/>
      <c r="X540" s="189"/>
      <c r="Y540" s="189"/>
      <c r="Z540" s="189"/>
    </row>
    <row r="541" spans="1:26">
      <c r="A541" s="189"/>
      <c r="B541" s="189"/>
      <c r="C541" s="189"/>
      <c r="D541" s="189"/>
      <c r="E541" s="189"/>
      <c r="F541" s="189"/>
      <c r="G541" s="189"/>
      <c r="H541" s="190"/>
      <c r="I541" s="189"/>
      <c r="J541" s="189"/>
      <c r="K541" s="189"/>
      <c r="L541" s="189"/>
      <c r="M541" s="189"/>
      <c r="N541" s="189"/>
      <c r="O541" s="189"/>
      <c r="P541" s="189"/>
      <c r="Q541" s="189"/>
      <c r="R541" s="189"/>
      <c r="S541" s="191"/>
      <c r="T541" s="208"/>
      <c r="U541" s="189"/>
      <c r="V541" s="189"/>
      <c r="W541" s="189"/>
      <c r="X541" s="189"/>
      <c r="Y541" s="189"/>
      <c r="Z541" s="189"/>
    </row>
    <row r="542" spans="1:26">
      <c r="A542" s="189"/>
      <c r="B542" s="189"/>
      <c r="C542" s="189"/>
      <c r="D542" s="189"/>
      <c r="E542" s="189"/>
      <c r="F542" s="189"/>
      <c r="G542" s="189"/>
      <c r="H542" s="190"/>
      <c r="I542" s="189"/>
      <c r="J542" s="189"/>
      <c r="K542" s="189"/>
      <c r="L542" s="189"/>
      <c r="M542" s="189"/>
      <c r="N542" s="189"/>
      <c r="O542" s="189"/>
      <c r="P542" s="189"/>
      <c r="Q542" s="189"/>
      <c r="R542" s="189"/>
      <c r="S542" s="191"/>
      <c r="T542" s="208"/>
      <c r="U542" s="189"/>
      <c r="V542" s="189"/>
      <c r="W542" s="189"/>
      <c r="X542" s="189"/>
      <c r="Y542" s="189"/>
      <c r="Z542" s="189"/>
    </row>
    <row r="543" spans="1:26">
      <c r="A543" s="189"/>
      <c r="B543" s="189"/>
      <c r="C543" s="189"/>
      <c r="D543" s="189"/>
      <c r="E543" s="189"/>
      <c r="F543" s="189"/>
      <c r="G543" s="189"/>
      <c r="H543" s="190"/>
      <c r="I543" s="189"/>
      <c r="J543" s="189"/>
      <c r="K543" s="189"/>
      <c r="L543" s="189"/>
      <c r="M543" s="189"/>
      <c r="N543" s="189"/>
      <c r="O543" s="189"/>
      <c r="P543" s="189"/>
      <c r="Q543" s="189"/>
      <c r="R543" s="189"/>
      <c r="S543" s="191"/>
      <c r="T543" s="208"/>
      <c r="U543" s="189"/>
      <c r="V543" s="189"/>
      <c r="W543" s="189"/>
      <c r="X543" s="189"/>
      <c r="Y543" s="189"/>
      <c r="Z543" s="189"/>
    </row>
    <row r="544" spans="1:26">
      <c r="A544" s="189"/>
      <c r="B544" s="189"/>
      <c r="C544" s="189"/>
      <c r="D544" s="189"/>
      <c r="E544" s="189"/>
      <c r="F544" s="189"/>
      <c r="G544" s="189"/>
      <c r="H544" s="190"/>
      <c r="I544" s="189"/>
      <c r="J544" s="189"/>
      <c r="K544" s="189"/>
      <c r="L544" s="189"/>
      <c r="M544" s="189"/>
      <c r="N544" s="189"/>
      <c r="O544" s="189"/>
      <c r="P544" s="189"/>
      <c r="Q544" s="189"/>
      <c r="R544" s="189"/>
      <c r="S544" s="191"/>
      <c r="T544" s="208"/>
      <c r="U544" s="189"/>
      <c r="V544" s="189"/>
      <c r="W544" s="189"/>
      <c r="X544" s="189"/>
      <c r="Y544" s="189"/>
      <c r="Z544" s="189"/>
    </row>
    <row r="545" spans="1:26">
      <c r="A545" s="189"/>
      <c r="B545" s="189"/>
      <c r="C545" s="189"/>
      <c r="D545" s="189"/>
      <c r="E545" s="189"/>
      <c r="F545" s="189"/>
      <c r="G545" s="189"/>
      <c r="H545" s="190"/>
      <c r="I545" s="189"/>
      <c r="J545" s="189"/>
      <c r="K545" s="189"/>
      <c r="L545" s="189"/>
      <c r="M545" s="189"/>
      <c r="N545" s="189"/>
      <c r="O545" s="189"/>
      <c r="P545" s="189"/>
      <c r="Q545" s="189"/>
      <c r="R545" s="189"/>
      <c r="S545" s="191"/>
      <c r="T545" s="208"/>
      <c r="U545" s="189"/>
      <c r="V545" s="189"/>
      <c r="W545" s="189"/>
      <c r="X545" s="189"/>
      <c r="Y545" s="189"/>
      <c r="Z545" s="189"/>
    </row>
    <row r="546" spans="1:26">
      <c r="A546" s="189"/>
      <c r="B546" s="189"/>
      <c r="C546" s="189"/>
      <c r="D546" s="189"/>
      <c r="E546" s="189"/>
      <c r="F546" s="189"/>
      <c r="G546" s="189"/>
      <c r="H546" s="190"/>
      <c r="I546" s="189"/>
      <c r="J546" s="189"/>
      <c r="K546" s="189"/>
      <c r="L546" s="189"/>
      <c r="M546" s="189"/>
      <c r="N546" s="189"/>
      <c r="O546" s="189"/>
      <c r="P546" s="189"/>
      <c r="Q546" s="189"/>
      <c r="R546" s="189"/>
      <c r="S546" s="191"/>
      <c r="T546" s="208"/>
      <c r="U546" s="189"/>
      <c r="V546" s="189"/>
      <c r="W546" s="189"/>
      <c r="X546" s="189"/>
      <c r="Y546" s="189"/>
      <c r="Z546" s="189"/>
    </row>
    <row r="547" spans="1:26">
      <c r="A547" s="189"/>
      <c r="B547" s="189"/>
      <c r="C547" s="189"/>
      <c r="D547" s="189"/>
      <c r="E547" s="189"/>
      <c r="F547" s="189"/>
      <c r="G547" s="189"/>
      <c r="H547" s="190"/>
      <c r="I547" s="189"/>
      <c r="J547" s="189"/>
      <c r="K547" s="189"/>
      <c r="L547" s="189"/>
      <c r="M547" s="189"/>
      <c r="N547" s="189"/>
      <c r="O547" s="189"/>
      <c r="P547" s="189"/>
      <c r="Q547" s="189"/>
      <c r="R547" s="189"/>
      <c r="S547" s="191"/>
      <c r="T547" s="208"/>
      <c r="U547" s="189"/>
      <c r="V547" s="189"/>
      <c r="W547" s="189"/>
      <c r="X547" s="189"/>
      <c r="Y547" s="189"/>
      <c r="Z547" s="189"/>
    </row>
    <row r="548" spans="1:26">
      <c r="A548" s="189"/>
      <c r="B548" s="189"/>
      <c r="C548" s="189"/>
      <c r="D548" s="189"/>
      <c r="E548" s="189"/>
      <c r="F548" s="189"/>
      <c r="G548" s="189"/>
      <c r="H548" s="190"/>
      <c r="I548" s="189"/>
      <c r="J548" s="189"/>
      <c r="K548" s="189"/>
      <c r="L548" s="189"/>
      <c r="M548" s="189"/>
      <c r="N548" s="189"/>
      <c r="O548" s="189"/>
      <c r="P548" s="189"/>
      <c r="Q548" s="189"/>
      <c r="R548" s="189"/>
      <c r="S548" s="191"/>
      <c r="T548" s="208"/>
      <c r="U548" s="189"/>
      <c r="V548" s="189"/>
      <c r="W548" s="189"/>
      <c r="X548" s="189"/>
      <c r="Y548" s="189"/>
      <c r="Z548" s="189"/>
    </row>
    <row r="549" spans="1:26">
      <c r="A549" s="189"/>
      <c r="B549" s="189"/>
      <c r="C549" s="189"/>
      <c r="D549" s="189"/>
      <c r="E549" s="189"/>
      <c r="F549" s="189"/>
      <c r="G549" s="189"/>
      <c r="H549" s="190"/>
      <c r="I549" s="189"/>
      <c r="J549" s="189"/>
      <c r="K549" s="189"/>
      <c r="L549" s="189"/>
      <c r="M549" s="189"/>
      <c r="N549" s="189"/>
      <c r="O549" s="189"/>
      <c r="P549" s="189"/>
      <c r="Q549" s="189"/>
      <c r="R549" s="189"/>
      <c r="S549" s="191"/>
      <c r="T549" s="208"/>
      <c r="U549" s="189"/>
      <c r="V549" s="189"/>
      <c r="W549" s="189"/>
      <c r="X549" s="189"/>
      <c r="Y549" s="189"/>
      <c r="Z549" s="189"/>
    </row>
    <row r="550" spans="1:26">
      <c r="A550" s="189"/>
      <c r="B550" s="189"/>
      <c r="C550" s="189"/>
      <c r="D550" s="189"/>
      <c r="E550" s="189"/>
      <c r="F550" s="189"/>
      <c r="G550" s="189"/>
      <c r="H550" s="190"/>
      <c r="I550" s="189"/>
      <c r="J550" s="189"/>
      <c r="K550" s="189"/>
      <c r="L550" s="189"/>
      <c r="M550" s="189"/>
      <c r="N550" s="189"/>
      <c r="O550" s="189"/>
      <c r="P550" s="189"/>
      <c r="Q550" s="189"/>
      <c r="R550" s="189"/>
      <c r="S550" s="191"/>
      <c r="T550" s="208"/>
      <c r="U550" s="189"/>
      <c r="V550" s="189"/>
      <c r="W550" s="189"/>
      <c r="X550" s="189"/>
      <c r="Y550" s="189"/>
      <c r="Z550" s="189"/>
    </row>
    <row r="551" spans="1:26">
      <c r="A551" s="189"/>
      <c r="B551" s="189"/>
      <c r="C551" s="189"/>
      <c r="D551" s="189"/>
      <c r="E551" s="189"/>
      <c r="F551" s="189"/>
      <c r="G551" s="189"/>
      <c r="H551" s="190"/>
      <c r="I551" s="189"/>
      <c r="J551" s="189"/>
      <c r="K551" s="189"/>
      <c r="L551" s="189"/>
      <c r="M551" s="189"/>
      <c r="N551" s="189"/>
      <c r="O551" s="189"/>
      <c r="P551" s="189"/>
      <c r="Q551" s="189"/>
      <c r="R551" s="189"/>
      <c r="S551" s="191"/>
      <c r="T551" s="208"/>
      <c r="U551" s="189"/>
      <c r="V551" s="189"/>
      <c r="W551" s="189"/>
      <c r="X551" s="189"/>
      <c r="Y551" s="189"/>
      <c r="Z551" s="189"/>
    </row>
    <row r="552" spans="1:26">
      <c r="A552" s="189"/>
      <c r="B552" s="189"/>
      <c r="C552" s="189"/>
      <c r="D552" s="189"/>
      <c r="E552" s="189"/>
      <c r="F552" s="189"/>
      <c r="G552" s="189"/>
      <c r="H552" s="190"/>
      <c r="I552" s="189"/>
      <c r="J552" s="189"/>
      <c r="K552" s="189"/>
      <c r="L552" s="189"/>
      <c r="M552" s="189"/>
      <c r="N552" s="189"/>
      <c r="O552" s="189"/>
      <c r="P552" s="189"/>
      <c r="Q552" s="189"/>
      <c r="R552" s="189"/>
      <c r="S552" s="191"/>
      <c r="T552" s="208"/>
      <c r="U552" s="189"/>
      <c r="V552" s="189"/>
      <c r="W552" s="189"/>
      <c r="X552" s="189"/>
      <c r="Y552" s="189"/>
      <c r="Z552" s="189"/>
    </row>
    <row r="553" spans="1:26">
      <c r="A553" s="189"/>
      <c r="B553" s="189"/>
      <c r="C553" s="189"/>
      <c r="D553" s="189"/>
      <c r="E553" s="189"/>
      <c r="F553" s="189"/>
      <c r="G553" s="189"/>
      <c r="H553" s="190"/>
      <c r="I553" s="189"/>
      <c r="J553" s="189"/>
      <c r="K553" s="189"/>
      <c r="L553" s="189"/>
      <c r="M553" s="189"/>
      <c r="N553" s="189"/>
      <c r="O553" s="189"/>
      <c r="P553" s="189"/>
      <c r="Q553" s="189"/>
      <c r="R553" s="189"/>
      <c r="S553" s="191"/>
      <c r="T553" s="208"/>
      <c r="U553" s="189"/>
      <c r="V553" s="189"/>
      <c r="W553" s="189"/>
      <c r="X553" s="189"/>
      <c r="Y553" s="189"/>
      <c r="Z553" s="189"/>
    </row>
    <row r="554" spans="1:26">
      <c r="A554" s="189"/>
      <c r="B554" s="189"/>
      <c r="C554" s="189"/>
      <c r="D554" s="189"/>
      <c r="E554" s="189"/>
      <c r="F554" s="189"/>
      <c r="G554" s="189"/>
      <c r="H554" s="190"/>
      <c r="I554" s="189"/>
      <c r="J554" s="189"/>
      <c r="K554" s="189"/>
      <c r="L554" s="189"/>
      <c r="M554" s="189"/>
      <c r="N554" s="189"/>
      <c r="O554" s="189"/>
      <c r="P554" s="189"/>
      <c r="Q554" s="189"/>
      <c r="R554" s="189"/>
      <c r="S554" s="191"/>
      <c r="T554" s="208"/>
      <c r="U554" s="189"/>
      <c r="V554" s="189"/>
      <c r="W554" s="189"/>
      <c r="X554" s="189"/>
      <c r="Y554" s="189"/>
      <c r="Z554" s="189"/>
    </row>
    <row r="555" spans="1:26">
      <c r="A555" s="189"/>
      <c r="B555" s="189"/>
      <c r="C555" s="189"/>
      <c r="D555" s="189"/>
      <c r="E555" s="189"/>
      <c r="F555" s="189"/>
      <c r="G555" s="189"/>
      <c r="H555" s="190"/>
      <c r="I555" s="189"/>
      <c r="J555" s="189"/>
      <c r="K555" s="189"/>
      <c r="L555" s="189"/>
      <c r="M555" s="189"/>
      <c r="N555" s="189"/>
      <c r="O555" s="189"/>
      <c r="P555" s="189"/>
      <c r="Q555" s="189"/>
      <c r="R555" s="189"/>
      <c r="S555" s="191"/>
      <c r="T555" s="208"/>
      <c r="U555" s="189"/>
      <c r="V555" s="189"/>
      <c r="W555" s="189"/>
      <c r="X555" s="189"/>
      <c r="Y555" s="189"/>
      <c r="Z555" s="189"/>
    </row>
    <row r="556" spans="1:26">
      <c r="A556" s="189"/>
      <c r="B556" s="189"/>
      <c r="C556" s="189"/>
      <c r="D556" s="189"/>
      <c r="E556" s="189"/>
      <c r="F556" s="189"/>
      <c r="G556" s="189"/>
      <c r="H556" s="190"/>
      <c r="I556" s="189"/>
      <c r="J556" s="189"/>
      <c r="K556" s="189"/>
      <c r="L556" s="189"/>
      <c r="M556" s="189"/>
      <c r="N556" s="189"/>
      <c r="O556" s="189"/>
      <c r="P556" s="189"/>
      <c r="Q556" s="189"/>
      <c r="R556" s="189"/>
      <c r="S556" s="191"/>
      <c r="T556" s="208"/>
      <c r="U556" s="189"/>
      <c r="V556" s="189"/>
      <c r="W556" s="189"/>
      <c r="X556" s="189"/>
      <c r="Y556" s="189"/>
      <c r="Z556" s="189"/>
    </row>
    <row r="557" spans="1:26">
      <c r="A557" s="189"/>
      <c r="B557" s="189"/>
      <c r="C557" s="189"/>
      <c r="D557" s="189"/>
      <c r="E557" s="189"/>
      <c r="F557" s="189"/>
      <c r="G557" s="189"/>
      <c r="H557" s="190"/>
      <c r="I557" s="189"/>
      <c r="J557" s="189"/>
      <c r="K557" s="189"/>
      <c r="L557" s="189"/>
      <c r="M557" s="189"/>
      <c r="N557" s="189"/>
      <c r="O557" s="189"/>
      <c r="P557" s="189"/>
      <c r="Q557" s="189"/>
      <c r="R557" s="189"/>
      <c r="S557" s="191"/>
      <c r="T557" s="208"/>
      <c r="U557" s="189"/>
      <c r="V557" s="189"/>
      <c r="W557" s="189"/>
      <c r="X557" s="189"/>
      <c r="Y557" s="189"/>
      <c r="Z557" s="189"/>
    </row>
    <row r="558" spans="1:26">
      <c r="A558" s="189"/>
      <c r="B558" s="189"/>
      <c r="C558" s="189"/>
      <c r="D558" s="189"/>
      <c r="E558" s="189"/>
      <c r="F558" s="189"/>
      <c r="G558" s="189"/>
      <c r="H558" s="190"/>
      <c r="I558" s="189"/>
      <c r="J558" s="189"/>
      <c r="K558" s="189"/>
      <c r="L558" s="189"/>
      <c r="M558" s="189"/>
      <c r="N558" s="189"/>
      <c r="O558" s="189"/>
      <c r="P558" s="189"/>
      <c r="Q558" s="189"/>
      <c r="R558" s="189"/>
      <c r="S558" s="191"/>
      <c r="T558" s="208"/>
      <c r="U558" s="189"/>
      <c r="V558" s="189"/>
      <c r="W558" s="189"/>
      <c r="X558" s="189"/>
      <c r="Y558" s="189"/>
      <c r="Z558" s="189"/>
    </row>
    <row r="559" spans="1:26">
      <c r="A559" s="189"/>
      <c r="B559" s="189"/>
      <c r="C559" s="189"/>
      <c r="D559" s="189"/>
      <c r="E559" s="189"/>
      <c r="F559" s="189"/>
      <c r="G559" s="189"/>
      <c r="H559" s="190"/>
      <c r="I559" s="189"/>
      <c r="J559" s="189"/>
      <c r="K559" s="189"/>
      <c r="L559" s="189"/>
      <c r="M559" s="189"/>
      <c r="N559" s="189"/>
      <c r="O559" s="189"/>
      <c r="P559" s="189"/>
      <c r="Q559" s="189"/>
      <c r="R559" s="189"/>
      <c r="S559" s="191"/>
      <c r="T559" s="208"/>
      <c r="U559" s="189"/>
      <c r="V559" s="189"/>
      <c r="W559" s="189"/>
      <c r="X559" s="189"/>
      <c r="Y559" s="189"/>
      <c r="Z559" s="189"/>
    </row>
    <row r="560" spans="1:26">
      <c r="A560" s="189"/>
      <c r="B560" s="189"/>
      <c r="C560" s="189"/>
      <c r="D560" s="189"/>
      <c r="E560" s="189"/>
      <c r="F560" s="189"/>
      <c r="G560" s="189"/>
      <c r="H560" s="190"/>
      <c r="I560" s="189"/>
      <c r="J560" s="189"/>
      <c r="K560" s="189"/>
      <c r="L560" s="189"/>
      <c r="M560" s="189"/>
      <c r="N560" s="189"/>
      <c r="O560" s="189"/>
      <c r="P560" s="189"/>
      <c r="Q560" s="189"/>
      <c r="R560" s="189"/>
      <c r="S560" s="191"/>
      <c r="T560" s="208"/>
      <c r="U560" s="189"/>
      <c r="V560" s="189"/>
      <c r="W560" s="189"/>
      <c r="X560" s="189"/>
      <c r="Y560" s="189"/>
      <c r="Z560" s="189"/>
    </row>
    <row r="561" spans="1:26">
      <c r="A561" s="189"/>
      <c r="B561" s="189"/>
      <c r="C561" s="189"/>
      <c r="D561" s="189"/>
      <c r="E561" s="189"/>
      <c r="F561" s="189"/>
      <c r="G561" s="189"/>
      <c r="H561" s="190"/>
      <c r="I561" s="189"/>
      <c r="J561" s="189"/>
      <c r="K561" s="189"/>
      <c r="L561" s="189"/>
      <c r="M561" s="189"/>
      <c r="N561" s="189"/>
      <c r="O561" s="189"/>
      <c r="P561" s="189"/>
      <c r="Q561" s="189"/>
      <c r="R561" s="189"/>
      <c r="S561" s="191"/>
      <c r="T561" s="208"/>
      <c r="U561" s="189"/>
      <c r="V561" s="189"/>
      <c r="W561" s="189"/>
      <c r="X561" s="189"/>
      <c r="Y561" s="189"/>
      <c r="Z561" s="189"/>
    </row>
    <row r="562" spans="1:26">
      <c r="A562" s="189"/>
      <c r="B562" s="189"/>
      <c r="C562" s="189"/>
      <c r="D562" s="189"/>
      <c r="E562" s="189"/>
      <c r="F562" s="189"/>
      <c r="G562" s="189"/>
      <c r="H562" s="190"/>
      <c r="I562" s="189"/>
      <c r="J562" s="189"/>
      <c r="K562" s="189"/>
      <c r="L562" s="189"/>
      <c r="M562" s="189"/>
      <c r="N562" s="189"/>
      <c r="O562" s="189"/>
      <c r="P562" s="189"/>
      <c r="Q562" s="189"/>
      <c r="R562" s="189"/>
      <c r="S562" s="191"/>
      <c r="T562" s="208"/>
      <c r="U562" s="189"/>
      <c r="V562" s="189"/>
      <c r="W562" s="189"/>
      <c r="X562" s="189"/>
      <c r="Y562" s="189"/>
      <c r="Z562" s="189"/>
    </row>
    <row r="563" spans="1:26">
      <c r="A563" s="189"/>
      <c r="B563" s="189"/>
      <c r="C563" s="189"/>
      <c r="D563" s="189"/>
      <c r="E563" s="189"/>
      <c r="F563" s="189"/>
      <c r="G563" s="189"/>
      <c r="H563" s="190"/>
      <c r="I563" s="189"/>
      <c r="J563" s="189"/>
      <c r="K563" s="189"/>
      <c r="L563" s="189"/>
      <c r="M563" s="189"/>
      <c r="N563" s="189"/>
      <c r="O563" s="189"/>
      <c r="P563" s="189"/>
      <c r="Q563" s="189"/>
      <c r="R563" s="189"/>
      <c r="S563" s="191"/>
      <c r="T563" s="208"/>
      <c r="U563" s="189"/>
      <c r="V563" s="189"/>
      <c r="W563" s="189"/>
      <c r="X563" s="189"/>
      <c r="Y563" s="189"/>
      <c r="Z563" s="189"/>
    </row>
    <row r="564" spans="1:26">
      <c r="A564" s="189"/>
      <c r="B564" s="189"/>
      <c r="C564" s="189"/>
      <c r="D564" s="189"/>
      <c r="E564" s="189"/>
      <c r="F564" s="189"/>
      <c r="G564" s="189"/>
      <c r="H564" s="190"/>
      <c r="I564" s="189"/>
      <c r="J564" s="189"/>
      <c r="K564" s="189"/>
      <c r="L564" s="189"/>
      <c r="M564" s="189"/>
      <c r="N564" s="189"/>
      <c r="O564" s="189"/>
      <c r="P564" s="189"/>
      <c r="Q564" s="189"/>
      <c r="R564" s="189"/>
      <c r="S564" s="191"/>
      <c r="T564" s="208"/>
      <c r="U564" s="189"/>
      <c r="V564" s="189"/>
      <c r="W564" s="189"/>
      <c r="X564" s="189"/>
      <c r="Y564" s="189"/>
      <c r="Z564" s="189"/>
    </row>
    <row r="565" spans="1:26">
      <c r="A565" s="189"/>
      <c r="B565" s="189"/>
      <c r="C565" s="189"/>
      <c r="D565" s="189"/>
      <c r="E565" s="189"/>
      <c r="F565" s="189"/>
      <c r="G565" s="189"/>
      <c r="H565" s="190"/>
      <c r="I565" s="189"/>
      <c r="J565" s="189"/>
      <c r="K565" s="189"/>
      <c r="L565" s="189"/>
      <c r="M565" s="189"/>
      <c r="N565" s="189"/>
      <c r="O565" s="189"/>
      <c r="P565" s="189"/>
      <c r="Q565" s="189"/>
      <c r="R565" s="189"/>
      <c r="S565" s="191"/>
      <c r="T565" s="208"/>
      <c r="U565" s="189"/>
      <c r="V565" s="189"/>
      <c r="W565" s="189"/>
      <c r="X565" s="189"/>
      <c r="Y565" s="189"/>
      <c r="Z565" s="189"/>
    </row>
    <row r="566" spans="1:26">
      <c r="A566" s="189"/>
      <c r="B566" s="189"/>
      <c r="C566" s="189"/>
      <c r="D566" s="189"/>
      <c r="E566" s="189"/>
      <c r="F566" s="189"/>
      <c r="G566" s="189"/>
      <c r="H566" s="190"/>
      <c r="I566" s="189"/>
      <c r="J566" s="189"/>
      <c r="K566" s="189"/>
      <c r="L566" s="189"/>
      <c r="M566" s="189"/>
      <c r="N566" s="189"/>
      <c r="O566" s="189"/>
      <c r="P566" s="189"/>
      <c r="Q566" s="189"/>
      <c r="R566" s="189"/>
      <c r="S566" s="191"/>
      <c r="T566" s="208"/>
      <c r="U566" s="189"/>
      <c r="V566" s="189"/>
      <c r="W566" s="189"/>
      <c r="X566" s="189"/>
      <c r="Y566" s="189"/>
      <c r="Z566" s="189"/>
    </row>
    <row r="567" spans="1:26">
      <c r="A567" s="189"/>
      <c r="B567" s="189"/>
      <c r="C567" s="189"/>
      <c r="D567" s="189"/>
      <c r="E567" s="189"/>
      <c r="F567" s="189"/>
      <c r="G567" s="189"/>
      <c r="H567" s="190"/>
      <c r="I567" s="189"/>
      <c r="J567" s="189"/>
      <c r="K567" s="189"/>
      <c r="L567" s="189"/>
      <c r="M567" s="189"/>
      <c r="N567" s="189"/>
      <c r="O567" s="189"/>
      <c r="P567" s="189"/>
      <c r="Q567" s="189"/>
      <c r="R567" s="189"/>
      <c r="S567" s="191"/>
      <c r="T567" s="208"/>
      <c r="U567" s="189"/>
      <c r="V567" s="189"/>
      <c r="W567" s="189"/>
      <c r="X567" s="189"/>
      <c r="Y567" s="189"/>
      <c r="Z567" s="189"/>
    </row>
    <row r="568" spans="1:26">
      <c r="A568" s="189"/>
      <c r="B568" s="189"/>
      <c r="C568" s="189"/>
      <c r="D568" s="189"/>
      <c r="E568" s="189"/>
      <c r="F568" s="189"/>
      <c r="G568" s="189"/>
      <c r="H568" s="190"/>
      <c r="I568" s="189"/>
      <c r="J568" s="189"/>
      <c r="K568" s="189"/>
      <c r="L568" s="189"/>
      <c r="M568" s="189"/>
      <c r="N568" s="189"/>
      <c r="O568" s="189"/>
      <c r="P568" s="189"/>
      <c r="Q568" s="189"/>
      <c r="R568" s="189"/>
      <c r="S568" s="191"/>
      <c r="T568" s="208"/>
      <c r="U568" s="189"/>
      <c r="V568" s="189"/>
      <c r="W568" s="189"/>
      <c r="X568" s="189"/>
      <c r="Y568" s="189"/>
      <c r="Z568" s="189"/>
    </row>
    <row r="569" spans="1:26">
      <c r="A569" s="189"/>
      <c r="B569" s="189"/>
      <c r="C569" s="189"/>
      <c r="D569" s="189"/>
      <c r="E569" s="189"/>
      <c r="F569" s="189"/>
      <c r="G569" s="189"/>
      <c r="H569" s="190"/>
      <c r="I569" s="189"/>
      <c r="J569" s="189"/>
      <c r="K569" s="189"/>
      <c r="L569" s="189"/>
      <c r="M569" s="189"/>
      <c r="N569" s="189"/>
      <c r="O569" s="189"/>
      <c r="P569" s="189"/>
      <c r="Q569" s="189"/>
      <c r="R569" s="189"/>
      <c r="S569" s="191"/>
      <c r="T569" s="208"/>
      <c r="U569" s="189"/>
      <c r="V569" s="189"/>
      <c r="W569" s="189"/>
      <c r="X569" s="189"/>
      <c r="Y569" s="189"/>
      <c r="Z569" s="189"/>
    </row>
    <row r="570" spans="1:26">
      <c r="A570" s="189"/>
      <c r="B570" s="189"/>
      <c r="C570" s="189"/>
      <c r="D570" s="189"/>
      <c r="E570" s="189"/>
      <c r="F570" s="189"/>
      <c r="G570" s="189"/>
      <c r="H570" s="190"/>
      <c r="I570" s="189"/>
      <c r="J570" s="189"/>
      <c r="K570" s="189"/>
      <c r="L570" s="189"/>
      <c r="M570" s="189"/>
      <c r="N570" s="189"/>
      <c r="O570" s="189"/>
      <c r="P570" s="189"/>
      <c r="Q570" s="189"/>
      <c r="R570" s="189"/>
      <c r="S570" s="191"/>
      <c r="T570" s="208"/>
      <c r="U570" s="189"/>
      <c r="V570" s="189"/>
      <c r="W570" s="189"/>
      <c r="X570" s="189"/>
      <c r="Y570" s="189"/>
      <c r="Z570" s="189"/>
    </row>
    <row r="571" spans="1:26">
      <c r="A571" s="189"/>
      <c r="B571" s="189"/>
      <c r="C571" s="189"/>
      <c r="D571" s="189"/>
      <c r="E571" s="189"/>
      <c r="F571" s="189"/>
      <c r="G571" s="189"/>
      <c r="H571" s="190"/>
      <c r="I571" s="189"/>
      <c r="J571" s="189"/>
      <c r="K571" s="189"/>
      <c r="L571" s="189"/>
      <c r="M571" s="189"/>
      <c r="N571" s="189"/>
      <c r="O571" s="189"/>
      <c r="P571" s="189"/>
      <c r="Q571" s="189"/>
      <c r="R571" s="189"/>
      <c r="S571" s="191"/>
      <c r="T571" s="208"/>
      <c r="U571" s="189"/>
      <c r="V571" s="189"/>
      <c r="W571" s="189"/>
      <c r="X571" s="189"/>
      <c r="Y571" s="189"/>
      <c r="Z571" s="189"/>
    </row>
    <row r="572" spans="1:26">
      <c r="A572" s="189"/>
      <c r="B572" s="189"/>
      <c r="C572" s="189"/>
      <c r="D572" s="189"/>
      <c r="E572" s="189"/>
      <c r="F572" s="189"/>
      <c r="G572" s="189"/>
      <c r="H572" s="190"/>
      <c r="I572" s="189"/>
      <c r="J572" s="189"/>
      <c r="K572" s="189"/>
      <c r="L572" s="189"/>
      <c r="M572" s="189"/>
      <c r="N572" s="189"/>
      <c r="O572" s="189"/>
      <c r="P572" s="189"/>
      <c r="Q572" s="189"/>
      <c r="R572" s="189"/>
      <c r="S572" s="191"/>
      <c r="T572" s="208"/>
      <c r="U572" s="189"/>
      <c r="V572" s="189"/>
      <c r="W572" s="189"/>
      <c r="X572" s="189"/>
      <c r="Y572" s="189"/>
      <c r="Z572" s="189"/>
    </row>
    <row r="573" spans="1:26">
      <c r="A573" s="189"/>
      <c r="B573" s="189"/>
      <c r="C573" s="189"/>
      <c r="D573" s="189"/>
      <c r="E573" s="189"/>
      <c r="F573" s="189"/>
      <c r="G573" s="189"/>
      <c r="H573" s="190"/>
      <c r="I573" s="189"/>
      <c r="J573" s="189"/>
      <c r="K573" s="189"/>
      <c r="L573" s="189"/>
      <c r="M573" s="189"/>
      <c r="N573" s="189"/>
      <c r="O573" s="189"/>
      <c r="P573" s="189"/>
      <c r="Q573" s="189"/>
      <c r="R573" s="189"/>
      <c r="S573" s="191"/>
      <c r="T573" s="208"/>
      <c r="U573" s="189"/>
      <c r="V573" s="189"/>
      <c r="W573" s="189"/>
      <c r="X573" s="189"/>
      <c r="Y573" s="189"/>
      <c r="Z573" s="189"/>
    </row>
    <row r="574" spans="1:26">
      <c r="A574" s="189"/>
      <c r="B574" s="189"/>
      <c r="C574" s="189"/>
      <c r="D574" s="189"/>
      <c r="E574" s="189"/>
      <c r="F574" s="189"/>
      <c r="G574" s="189"/>
      <c r="H574" s="190"/>
      <c r="I574" s="189"/>
      <c r="J574" s="189"/>
      <c r="K574" s="189"/>
      <c r="L574" s="189"/>
      <c r="M574" s="189"/>
      <c r="N574" s="189"/>
      <c r="O574" s="189"/>
      <c r="P574" s="189"/>
      <c r="Q574" s="189"/>
      <c r="R574" s="189"/>
      <c r="S574" s="191"/>
      <c r="T574" s="208"/>
      <c r="U574" s="189"/>
      <c r="V574" s="189"/>
      <c r="W574" s="189"/>
      <c r="X574" s="189"/>
      <c r="Y574" s="189"/>
      <c r="Z574" s="189"/>
    </row>
    <row r="575" spans="1:26">
      <c r="A575" s="189"/>
      <c r="B575" s="189"/>
      <c r="C575" s="189"/>
      <c r="D575" s="189"/>
      <c r="E575" s="189"/>
      <c r="F575" s="189"/>
      <c r="G575" s="189"/>
      <c r="H575" s="190"/>
      <c r="I575" s="189"/>
      <c r="J575" s="189"/>
      <c r="K575" s="189"/>
      <c r="L575" s="189"/>
      <c r="M575" s="189"/>
      <c r="N575" s="189"/>
      <c r="O575" s="189"/>
      <c r="P575" s="189"/>
      <c r="Q575" s="189"/>
      <c r="R575" s="189"/>
      <c r="S575" s="191"/>
      <c r="T575" s="208"/>
      <c r="U575" s="189"/>
      <c r="V575" s="189"/>
      <c r="W575" s="189"/>
      <c r="X575" s="189"/>
      <c r="Y575" s="189"/>
      <c r="Z575" s="189"/>
    </row>
    <row r="576" spans="1:26">
      <c r="A576" s="189"/>
      <c r="B576" s="189"/>
      <c r="C576" s="189"/>
      <c r="D576" s="189"/>
      <c r="E576" s="189"/>
      <c r="F576" s="189"/>
      <c r="G576" s="189"/>
      <c r="H576" s="190"/>
      <c r="I576" s="189"/>
      <c r="J576" s="189"/>
      <c r="K576" s="189"/>
      <c r="L576" s="189"/>
      <c r="M576" s="189"/>
      <c r="N576" s="189"/>
      <c r="O576" s="189"/>
      <c r="P576" s="189"/>
      <c r="Q576" s="189"/>
      <c r="R576" s="189"/>
      <c r="S576" s="191"/>
      <c r="T576" s="208"/>
      <c r="U576" s="189"/>
      <c r="V576" s="189"/>
      <c r="W576" s="189"/>
      <c r="X576" s="189"/>
      <c r="Y576" s="189"/>
      <c r="Z576" s="189"/>
    </row>
    <row r="577" spans="1:26">
      <c r="A577" s="189"/>
      <c r="B577" s="189"/>
      <c r="C577" s="189"/>
      <c r="D577" s="189"/>
      <c r="E577" s="189"/>
      <c r="F577" s="189"/>
      <c r="G577" s="189"/>
      <c r="H577" s="190"/>
      <c r="I577" s="189"/>
      <c r="J577" s="189"/>
      <c r="K577" s="189"/>
      <c r="L577" s="189"/>
      <c r="M577" s="189"/>
      <c r="N577" s="189"/>
      <c r="O577" s="189"/>
      <c r="P577" s="189"/>
      <c r="Q577" s="189"/>
      <c r="R577" s="189"/>
      <c r="S577" s="191"/>
      <c r="T577" s="208"/>
      <c r="U577" s="189"/>
      <c r="V577" s="189"/>
      <c r="W577" s="189"/>
      <c r="X577" s="189"/>
      <c r="Y577" s="189"/>
      <c r="Z577" s="189"/>
    </row>
    <row r="578" spans="1:26">
      <c r="A578" s="189"/>
      <c r="B578" s="189"/>
      <c r="C578" s="189"/>
      <c r="D578" s="189"/>
      <c r="E578" s="189"/>
      <c r="F578" s="189"/>
      <c r="G578" s="189"/>
      <c r="H578" s="190"/>
      <c r="I578" s="189"/>
      <c r="J578" s="189"/>
      <c r="K578" s="189"/>
      <c r="L578" s="189"/>
      <c r="M578" s="189"/>
      <c r="N578" s="189"/>
      <c r="O578" s="189"/>
      <c r="P578" s="189"/>
      <c r="Q578" s="189"/>
      <c r="R578" s="189"/>
      <c r="S578" s="191"/>
      <c r="T578" s="208"/>
      <c r="U578" s="189"/>
      <c r="V578" s="189"/>
      <c r="W578" s="189"/>
      <c r="X578" s="189"/>
      <c r="Y578" s="189"/>
      <c r="Z578" s="189"/>
    </row>
    <row r="579" spans="1:26">
      <c r="A579" s="189"/>
      <c r="B579" s="189"/>
      <c r="C579" s="189"/>
      <c r="D579" s="189"/>
      <c r="E579" s="189"/>
      <c r="F579" s="189"/>
      <c r="G579" s="189"/>
      <c r="H579" s="190"/>
      <c r="I579" s="189"/>
      <c r="J579" s="189"/>
      <c r="K579" s="189"/>
      <c r="L579" s="189"/>
      <c r="M579" s="189"/>
      <c r="N579" s="189"/>
      <c r="O579" s="189"/>
      <c r="P579" s="189"/>
      <c r="Q579" s="189"/>
      <c r="R579" s="189"/>
      <c r="S579" s="191"/>
      <c r="T579" s="208"/>
      <c r="U579" s="189"/>
      <c r="V579" s="189"/>
      <c r="W579" s="189"/>
      <c r="X579" s="189"/>
      <c r="Y579" s="189"/>
      <c r="Z579" s="189"/>
    </row>
    <row r="580" spans="1:26">
      <c r="A580" s="189"/>
      <c r="B580" s="189"/>
      <c r="C580" s="189"/>
      <c r="D580" s="189"/>
      <c r="E580" s="189"/>
      <c r="F580" s="189"/>
      <c r="G580" s="189"/>
      <c r="H580" s="190"/>
      <c r="I580" s="189"/>
      <c r="J580" s="189"/>
      <c r="K580" s="189"/>
      <c r="L580" s="189"/>
      <c r="M580" s="189"/>
      <c r="N580" s="189"/>
      <c r="O580" s="189"/>
      <c r="P580" s="189"/>
      <c r="Q580" s="189"/>
      <c r="R580" s="189"/>
      <c r="S580" s="191"/>
      <c r="T580" s="208"/>
      <c r="U580" s="189"/>
      <c r="V580" s="189"/>
      <c r="W580" s="189"/>
      <c r="X580" s="189"/>
      <c r="Y580" s="189"/>
      <c r="Z580" s="189"/>
    </row>
    <row r="581" spans="1:26">
      <c r="A581" s="189"/>
      <c r="B581" s="189"/>
      <c r="C581" s="189"/>
      <c r="D581" s="189"/>
      <c r="E581" s="189"/>
      <c r="F581" s="189"/>
      <c r="G581" s="189"/>
      <c r="H581" s="190"/>
      <c r="I581" s="189"/>
      <c r="J581" s="189"/>
      <c r="K581" s="189"/>
      <c r="L581" s="189"/>
      <c r="M581" s="189"/>
      <c r="N581" s="189"/>
      <c r="O581" s="189"/>
      <c r="P581" s="189"/>
      <c r="Q581" s="189"/>
      <c r="R581" s="189"/>
      <c r="S581" s="191"/>
      <c r="T581" s="208"/>
      <c r="U581" s="189"/>
      <c r="V581" s="189"/>
      <c r="W581" s="189"/>
      <c r="X581" s="189"/>
      <c r="Y581" s="189"/>
      <c r="Z581" s="189"/>
    </row>
    <row r="582" spans="1:26">
      <c r="A582" s="189"/>
      <c r="B582" s="189"/>
      <c r="C582" s="189"/>
      <c r="D582" s="189"/>
      <c r="E582" s="189"/>
      <c r="F582" s="189"/>
      <c r="G582" s="189"/>
      <c r="H582" s="190"/>
      <c r="I582" s="189"/>
      <c r="J582" s="189"/>
      <c r="K582" s="189"/>
      <c r="L582" s="189"/>
      <c r="M582" s="189"/>
      <c r="N582" s="189"/>
      <c r="O582" s="189"/>
      <c r="P582" s="189"/>
      <c r="Q582" s="189"/>
      <c r="R582" s="189"/>
      <c r="S582" s="191"/>
      <c r="T582" s="208"/>
      <c r="U582" s="189"/>
      <c r="V582" s="189"/>
      <c r="W582" s="189"/>
      <c r="X582" s="189"/>
      <c r="Y582" s="189"/>
      <c r="Z582" s="189"/>
    </row>
    <row r="583" spans="1:26">
      <c r="A583" s="189"/>
      <c r="B583" s="189"/>
      <c r="C583" s="189"/>
      <c r="D583" s="189"/>
      <c r="E583" s="189"/>
      <c r="F583" s="189"/>
      <c r="G583" s="189"/>
      <c r="H583" s="190"/>
      <c r="I583" s="189"/>
      <c r="J583" s="189"/>
      <c r="K583" s="189"/>
      <c r="L583" s="189"/>
      <c r="M583" s="189"/>
      <c r="N583" s="189"/>
      <c r="O583" s="189"/>
      <c r="P583" s="189"/>
      <c r="Q583" s="189"/>
      <c r="R583" s="189"/>
      <c r="S583" s="191"/>
      <c r="T583" s="208"/>
      <c r="U583" s="189"/>
      <c r="V583" s="189"/>
      <c r="W583" s="189"/>
      <c r="X583" s="189"/>
      <c r="Y583" s="189"/>
      <c r="Z583" s="189"/>
    </row>
    <row r="584" spans="1:26">
      <c r="A584" s="189"/>
      <c r="B584" s="189"/>
      <c r="C584" s="189"/>
      <c r="D584" s="189"/>
      <c r="E584" s="189"/>
      <c r="F584" s="189"/>
      <c r="G584" s="189"/>
      <c r="H584" s="190"/>
      <c r="I584" s="189"/>
      <c r="J584" s="189"/>
      <c r="K584" s="189"/>
      <c r="L584" s="189"/>
      <c r="M584" s="189"/>
      <c r="N584" s="189"/>
      <c r="O584" s="189"/>
      <c r="P584" s="189"/>
      <c r="Q584" s="189"/>
      <c r="R584" s="189"/>
      <c r="S584" s="191"/>
      <c r="T584" s="208"/>
      <c r="U584" s="189"/>
      <c r="V584" s="189"/>
      <c r="W584" s="189"/>
      <c r="X584" s="189"/>
      <c r="Y584" s="189"/>
      <c r="Z584" s="189"/>
    </row>
    <row r="585" spans="1:26">
      <c r="A585" s="189"/>
      <c r="B585" s="189"/>
      <c r="C585" s="189"/>
      <c r="D585" s="189"/>
      <c r="E585" s="189"/>
      <c r="F585" s="189"/>
      <c r="G585" s="189"/>
      <c r="H585" s="190"/>
      <c r="I585" s="189"/>
      <c r="J585" s="189"/>
      <c r="K585" s="189"/>
      <c r="L585" s="189"/>
      <c r="M585" s="189"/>
      <c r="N585" s="189"/>
      <c r="O585" s="189"/>
      <c r="P585" s="189"/>
      <c r="Q585" s="189"/>
      <c r="R585" s="189"/>
      <c r="S585" s="191"/>
      <c r="T585" s="208"/>
      <c r="U585" s="189"/>
      <c r="V585" s="189"/>
      <c r="W585" s="189"/>
      <c r="X585" s="189"/>
      <c r="Y585" s="189"/>
      <c r="Z585" s="189"/>
    </row>
    <row r="586" spans="1:26">
      <c r="A586" s="189"/>
      <c r="B586" s="189"/>
      <c r="C586" s="189"/>
      <c r="D586" s="189"/>
      <c r="E586" s="189"/>
      <c r="F586" s="189"/>
      <c r="G586" s="189"/>
      <c r="H586" s="190"/>
      <c r="I586" s="189"/>
      <c r="J586" s="189"/>
      <c r="K586" s="189"/>
      <c r="L586" s="189"/>
      <c r="M586" s="189"/>
      <c r="N586" s="189"/>
      <c r="O586" s="189"/>
      <c r="P586" s="189"/>
      <c r="Q586" s="189"/>
      <c r="R586" s="189"/>
      <c r="S586" s="191"/>
      <c r="T586" s="208"/>
      <c r="U586" s="189"/>
      <c r="V586" s="189"/>
      <c r="W586" s="189"/>
      <c r="X586" s="189"/>
      <c r="Y586" s="189"/>
      <c r="Z586" s="189"/>
    </row>
    <row r="587" spans="1:26">
      <c r="A587" s="189"/>
      <c r="B587" s="189"/>
      <c r="C587" s="189"/>
      <c r="D587" s="189"/>
      <c r="E587" s="189"/>
      <c r="F587" s="189"/>
      <c r="G587" s="189"/>
      <c r="H587" s="190"/>
      <c r="I587" s="189"/>
      <c r="J587" s="189"/>
      <c r="K587" s="189"/>
      <c r="L587" s="189"/>
      <c r="M587" s="189"/>
      <c r="N587" s="189"/>
      <c r="O587" s="189"/>
      <c r="P587" s="189"/>
      <c r="Q587" s="189"/>
      <c r="R587" s="189"/>
      <c r="S587" s="191"/>
      <c r="T587" s="208"/>
      <c r="U587" s="189"/>
      <c r="V587" s="189"/>
      <c r="W587" s="189"/>
      <c r="X587" s="189"/>
      <c r="Y587" s="189"/>
      <c r="Z587" s="189"/>
    </row>
    <row r="588" spans="1:26">
      <c r="A588" s="189"/>
      <c r="B588" s="189"/>
      <c r="C588" s="189"/>
      <c r="D588" s="189"/>
      <c r="E588" s="189"/>
      <c r="F588" s="189"/>
      <c r="G588" s="189"/>
      <c r="H588" s="190"/>
      <c r="I588" s="189"/>
      <c r="J588" s="189"/>
      <c r="K588" s="189"/>
      <c r="L588" s="189"/>
      <c r="M588" s="189"/>
      <c r="N588" s="189"/>
      <c r="O588" s="189"/>
      <c r="P588" s="189"/>
      <c r="Q588" s="189"/>
      <c r="R588" s="189"/>
      <c r="S588" s="191"/>
      <c r="T588" s="208"/>
      <c r="U588" s="189"/>
      <c r="V588" s="189"/>
      <c r="W588" s="189"/>
      <c r="X588" s="189"/>
      <c r="Y588" s="189"/>
      <c r="Z588" s="189"/>
    </row>
    <row r="589" spans="1:26">
      <c r="A589" s="189"/>
      <c r="B589" s="189"/>
      <c r="C589" s="189"/>
      <c r="D589" s="189"/>
      <c r="E589" s="189"/>
      <c r="F589" s="189"/>
      <c r="G589" s="189"/>
      <c r="H589" s="190"/>
      <c r="I589" s="189"/>
      <c r="J589" s="189"/>
      <c r="K589" s="189"/>
      <c r="L589" s="189"/>
      <c r="M589" s="189"/>
      <c r="N589" s="189"/>
      <c r="O589" s="189"/>
      <c r="P589" s="189"/>
      <c r="Q589" s="189"/>
      <c r="R589" s="189"/>
      <c r="S589" s="191"/>
      <c r="T589" s="208"/>
      <c r="U589" s="189"/>
      <c r="V589" s="189"/>
      <c r="W589" s="189"/>
      <c r="X589" s="189"/>
      <c r="Y589" s="189"/>
      <c r="Z589" s="189"/>
    </row>
    <row r="590" spans="1:26">
      <c r="A590" s="189"/>
      <c r="B590" s="189"/>
      <c r="C590" s="189"/>
      <c r="D590" s="189"/>
      <c r="E590" s="189"/>
      <c r="F590" s="189"/>
      <c r="G590" s="189"/>
      <c r="H590" s="190"/>
      <c r="I590" s="189"/>
      <c r="J590" s="189"/>
      <c r="K590" s="189"/>
      <c r="L590" s="189"/>
      <c r="M590" s="189"/>
      <c r="N590" s="189"/>
      <c r="O590" s="189"/>
      <c r="P590" s="189"/>
      <c r="Q590" s="189"/>
      <c r="R590" s="189"/>
      <c r="S590" s="191"/>
      <c r="T590" s="208"/>
      <c r="U590" s="189"/>
      <c r="V590" s="189"/>
      <c r="W590" s="189"/>
      <c r="X590" s="189"/>
      <c r="Y590" s="189"/>
      <c r="Z590" s="189"/>
    </row>
    <row r="591" spans="1:26">
      <c r="A591" s="189"/>
      <c r="B591" s="189"/>
      <c r="C591" s="189"/>
      <c r="D591" s="189"/>
      <c r="E591" s="189"/>
      <c r="F591" s="189"/>
      <c r="G591" s="189"/>
      <c r="H591" s="190"/>
      <c r="I591" s="189"/>
      <c r="J591" s="189"/>
      <c r="K591" s="189"/>
      <c r="L591" s="189"/>
      <c r="M591" s="189"/>
      <c r="N591" s="189"/>
      <c r="O591" s="189"/>
      <c r="P591" s="189"/>
      <c r="Q591" s="189"/>
      <c r="R591" s="189"/>
      <c r="S591" s="191"/>
      <c r="T591" s="208"/>
      <c r="U591" s="189"/>
      <c r="V591" s="189"/>
      <c r="W591" s="189"/>
      <c r="X591" s="189"/>
      <c r="Y591" s="189"/>
      <c r="Z591" s="189"/>
    </row>
    <row r="592" spans="1:26">
      <c r="A592" s="189"/>
      <c r="B592" s="189"/>
      <c r="C592" s="189"/>
      <c r="D592" s="189"/>
      <c r="E592" s="189"/>
      <c r="F592" s="189"/>
      <c r="G592" s="189"/>
      <c r="H592" s="190"/>
      <c r="I592" s="189"/>
      <c r="J592" s="189"/>
      <c r="K592" s="189"/>
      <c r="L592" s="189"/>
      <c r="M592" s="189"/>
      <c r="N592" s="189"/>
      <c r="O592" s="189"/>
      <c r="P592" s="189"/>
      <c r="Q592" s="189"/>
      <c r="R592" s="189"/>
      <c r="S592" s="191"/>
      <c r="T592" s="208"/>
      <c r="U592" s="189"/>
      <c r="V592" s="189"/>
      <c r="W592" s="189"/>
      <c r="X592" s="189"/>
      <c r="Y592" s="189"/>
      <c r="Z592" s="189"/>
    </row>
    <row r="593" spans="1:26">
      <c r="A593" s="189"/>
      <c r="B593" s="189"/>
      <c r="C593" s="189"/>
      <c r="D593" s="189"/>
      <c r="E593" s="189"/>
      <c r="F593" s="189"/>
      <c r="G593" s="189"/>
      <c r="H593" s="190"/>
      <c r="I593" s="189"/>
      <c r="J593" s="189"/>
      <c r="K593" s="189"/>
      <c r="L593" s="189"/>
      <c r="M593" s="189"/>
      <c r="N593" s="189"/>
      <c r="O593" s="189"/>
      <c r="P593" s="189"/>
      <c r="Q593" s="189"/>
      <c r="R593" s="189"/>
      <c r="S593" s="191"/>
      <c r="T593" s="208"/>
      <c r="U593" s="189"/>
      <c r="V593" s="189"/>
      <c r="W593" s="189"/>
      <c r="X593" s="189"/>
      <c r="Y593" s="189"/>
      <c r="Z593" s="189"/>
    </row>
    <row r="594" spans="1:26">
      <c r="A594" s="189"/>
      <c r="B594" s="189"/>
      <c r="C594" s="189"/>
      <c r="D594" s="189"/>
      <c r="E594" s="189"/>
      <c r="F594" s="189"/>
      <c r="G594" s="189"/>
      <c r="H594" s="190"/>
      <c r="I594" s="189"/>
      <c r="J594" s="189"/>
      <c r="K594" s="189"/>
      <c r="L594" s="189"/>
      <c r="M594" s="189"/>
      <c r="N594" s="189"/>
      <c r="O594" s="189"/>
      <c r="P594" s="189"/>
      <c r="Q594" s="189"/>
      <c r="R594" s="189"/>
      <c r="S594" s="191"/>
      <c r="T594" s="208"/>
      <c r="U594" s="189"/>
      <c r="V594" s="189"/>
      <c r="W594" s="189"/>
      <c r="X594" s="189"/>
      <c r="Y594" s="189"/>
      <c r="Z594" s="189"/>
    </row>
    <row r="595" spans="1:26">
      <c r="A595" s="189"/>
      <c r="B595" s="189"/>
      <c r="C595" s="189"/>
      <c r="D595" s="189"/>
      <c r="E595" s="189"/>
      <c r="F595" s="189"/>
      <c r="G595" s="189"/>
      <c r="H595" s="190"/>
      <c r="I595" s="189"/>
      <c r="J595" s="189"/>
      <c r="K595" s="189"/>
      <c r="L595" s="189"/>
      <c r="M595" s="189"/>
      <c r="N595" s="189"/>
      <c r="O595" s="189"/>
      <c r="P595" s="189"/>
      <c r="Q595" s="189"/>
      <c r="R595" s="189"/>
      <c r="S595" s="191"/>
      <c r="T595" s="208"/>
      <c r="U595" s="189"/>
      <c r="V595" s="189"/>
      <c r="W595" s="189"/>
      <c r="X595" s="189"/>
      <c r="Y595" s="189"/>
      <c r="Z595" s="189"/>
    </row>
    <row r="596" spans="1:26">
      <c r="A596" s="189"/>
      <c r="B596" s="189"/>
      <c r="C596" s="189"/>
      <c r="D596" s="189"/>
      <c r="E596" s="189"/>
      <c r="F596" s="189"/>
      <c r="G596" s="189"/>
      <c r="H596" s="190"/>
      <c r="I596" s="189"/>
      <c r="J596" s="189"/>
      <c r="K596" s="189"/>
      <c r="L596" s="189"/>
      <c r="M596" s="189"/>
      <c r="N596" s="189"/>
      <c r="O596" s="189"/>
      <c r="P596" s="189"/>
      <c r="Q596" s="189"/>
      <c r="R596" s="189"/>
      <c r="S596" s="191"/>
      <c r="T596" s="208"/>
      <c r="U596" s="189"/>
      <c r="V596" s="189"/>
      <c r="W596" s="189"/>
      <c r="X596" s="189"/>
      <c r="Y596" s="189"/>
      <c r="Z596" s="189"/>
    </row>
    <row r="597" spans="1:26">
      <c r="A597" s="189"/>
      <c r="B597" s="189"/>
      <c r="C597" s="189"/>
      <c r="D597" s="189"/>
      <c r="E597" s="189"/>
      <c r="F597" s="189"/>
      <c r="G597" s="189"/>
      <c r="H597" s="190"/>
      <c r="I597" s="189"/>
      <c r="J597" s="189"/>
      <c r="K597" s="189"/>
      <c r="L597" s="189"/>
      <c r="M597" s="189"/>
      <c r="N597" s="189"/>
      <c r="O597" s="189"/>
      <c r="P597" s="189"/>
      <c r="Q597" s="189"/>
      <c r="R597" s="189"/>
      <c r="S597" s="191"/>
      <c r="T597" s="208"/>
      <c r="U597" s="189"/>
      <c r="V597" s="189"/>
      <c r="W597" s="189"/>
      <c r="X597" s="189"/>
      <c r="Y597" s="189"/>
      <c r="Z597" s="189"/>
    </row>
    <row r="598" spans="1:26">
      <c r="A598" s="189"/>
      <c r="B598" s="189"/>
      <c r="C598" s="189"/>
      <c r="D598" s="189"/>
      <c r="E598" s="189"/>
      <c r="F598" s="189"/>
      <c r="G598" s="189"/>
      <c r="H598" s="190"/>
      <c r="I598" s="189"/>
      <c r="J598" s="189"/>
      <c r="K598" s="189"/>
      <c r="L598" s="189"/>
      <c r="M598" s="189"/>
      <c r="N598" s="189"/>
      <c r="O598" s="189"/>
      <c r="P598" s="189"/>
      <c r="Q598" s="189"/>
      <c r="R598" s="189"/>
      <c r="S598" s="191"/>
      <c r="T598" s="208"/>
      <c r="U598" s="189"/>
      <c r="V598" s="189"/>
      <c r="W598" s="189"/>
      <c r="X598" s="189"/>
      <c r="Y598" s="189"/>
      <c r="Z598" s="189"/>
    </row>
    <row r="599" spans="1:26">
      <c r="A599" s="189"/>
      <c r="B599" s="189"/>
      <c r="C599" s="189"/>
      <c r="D599" s="189"/>
      <c r="E599" s="189"/>
      <c r="F599" s="189"/>
      <c r="G599" s="189"/>
      <c r="H599" s="190"/>
      <c r="I599" s="189"/>
      <c r="J599" s="189"/>
      <c r="K599" s="189"/>
      <c r="L599" s="189"/>
      <c r="M599" s="189"/>
      <c r="N599" s="189"/>
      <c r="O599" s="189"/>
      <c r="P599" s="189"/>
      <c r="Q599" s="189"/>
      <c r="R599" s="189"/>
      <c r="S599" s="191"/>
      <c r="T599" s="208"/>
      <c r="U599" s="189"/>
      <c r="V599" s="189"/>
      <c r="W599" s="189"/>
      <c r="X599" s="189"/>
      <c r="Y599" s="189"/>
      <c r="Z599" s="189"/>
    </row>
    <row r="600" spans="1:26">
      <c r="A600" s="189"/>
      <c r="B600" s="189"/>
      <c r="C600" s="189"/>
      <c r="D600" s="189"/>
      <c r="E600" s="189"/>
      <c r="F600" s="189"/>
      <c r="G600" s="189"/>
      <c r="H600" s="190"/>
      <c r="I600" s="189"/>
      <c r="J600" s="189"/>
      <c r="K600" s="189"/>
      <c r="L600" s="189"/>
      <c r="M600" s="189"/>
      <c r="N600" s="189"/>
      <c r="O600" s="189"/>
      <c r="P600" s="189"/>
      <c r="Q600" s="189"/>
      <c r="R600" s="189"/>
      <c r="S600" s="191"/>
      <c r="T600" s="208"/>
      <c r="U600" s="189"/>
      <c r="V600" s="189"/>
      <c r="W600" s="189"/>
      <c r="X600" s="189"/>
      <c r="Y600" s="189"/>
      <c r="Z600" s="189"/>
    </row>
    <row r="601" spans="1:26">
      <c r="A601" s="189"/>
      <c r="B601" s="189"/>
      <c r="C601" s="189"/>
      <c r="D601" s="189"/>
      <c r="E601" s="189"/>
      <c r="F601" s="189"/>
      <c r="G601" s="189"/>
      <c r="H601" s="190"/>
      <c r="I601" s="189"/>
      <c r="J601" s="189"/>
      <c r="K601" s="189"/>
      <c r="L601" s="189"/>
      <c r="M601" s="189"/>
      <c r="N601" s="189"/>
      <c r="O601" s="189"/>
      <c r="P601" s="189"/>
      <c r="Q601" s="189"/>
      <c r="R601" s="189"/>
      <c r="S601" s="191"/>
      <c r="T601" s="208"/>
      <c r="U601" s="189"/>
      <c r="V601" s="189"/>
      <c r="W601" s="189"/>
      <c r="X601" s="189"/>
      <c r="Y601" s="189"/>
      <c r="Z601" s="189"/>
    </row>
    <row r="602" spans="1:26">
      <c r="A602" s="189"/>
      <c r="B602" s="189"/>
      <c r="C602" s="189"/>
      <c r="D602" s="189"/>
      <c r="E602" s="189"/>
      <c r="F602" s="189"/>
      <c r="G602" s="189"/>
      <c r="H602" s="190"/>
      <c r="I602" s="189"/>
      <c r="J602" s="189"/>
      <c r="K602" s="189"/>
      <c r="L602" s="189"/>
      <c r="M602" s="189"/>
      <c r="N602" s="189"/>
      <c r="O602" s="189"/>
      <c r="P602" s="189"/>
      <c r="Q602" s="189"/>
      <c r="R602" s="189"/>
      <c r="S602" s="191"/>
      <c r="T602" s="208"/>
      <c r="U602" s="189"/>
      <c r="V602" s="189"/>
      <c r="W602" s="189"/>
      <c r="X602" s="189"/>
      <c r="Y602" s="189"/>
      <c r="Z602" s="189"/>
    </row>
    <row r="603" spans="1:26">
      <c r="A603" s="189"/>
      <c r="B603" s="189"/>
      <c r="C603" s="189"/>
      <c r="D603" s="189"/>
      <c r="E603" s="189"/>
      <c r="F603" s="189"/>
      <c r="G603" s="189"/>
      <c r="H603" s="190"/>
      <c r="I603" s="189"/>
      <c r="J603" s="189"/>
      <c r="K603" s="189"/>
      <c r="L603" s="189"/>
      <c r="M603" s="189"/>
      <c r="N603" s="189"/>
      <c r="O603" s="189"/>
      <c r="P603" s="189"/>
      <c r="Q603" s="189"/>
      <c r="R603" s="189"/>
      <c r="S603" s="191"/>
      <c r="T603" s="208"/>
      <c r="U603" s="189"/>
      <c r="V603" s="189"/>
      <c r="W603" s="189"/>
      <c r="X603" s="189"/>
      <c r="Y603" s="189"/>
      <c r="Z603" s="189"/>
    </row>
    <row r="604" spans="1:26">
      <c r="A604" s="189"/>
      <c r="B604" s="189"/>
      <c r="C604" s="189"/>
      <c r="D604" s="189"/>
      <c r="E604" s="189"/>
      <c r="F604" s="189"/>
      <c r="G604" s="189"/>
      <c r="H604" s="190"/>
      <c r="I604" s="189"/>
      <c r="J604" s="189"/>
      <c r="K604" s="189"/>
      <c r="L604" s="189"/>
      <c r="M604" s="189"/>
      <c r="N604" s="189"/>
      <c r="O604" s="189"/>
      <c r="P604" s="189"/>
      <c r="Q604" s="189"/>
      <c r="R604" s="189"/>
      <c r="S604" s="191"/>
      <c r="T604" s="208"/>
      <c r="U604" s="189"/>
      <c r="V604" s="189"/>
      <c r="W604" s="189"/>
      <c r="X604" s="189"/>
      <c r="Y604" s="189"/>
      <c r="Z604" s="189"/>
    </row>
    <row r="605" spans="1:26">
      <c r="A605" s="189"/>
      <c r="B605" s="189"/>
      <c r="C605" s="189"/>
      <c r="D605" s="189"/>
      <c r="E605" s="189"/>
      <c r="F605" s="189"/>
      <c r="G605" s="189"/>
      <c r="H605" s="190"/>
      <c r="I605" s="189"/>
      <c r="J605" s="189"/>
      <c r="K605" s="189"/>
      <c r="L605" s="189"/>
      <c r="M605" s="189"/>
      <c r="N605" s="189"/>
      <c r="O605" s="189"/>
      <c r="P605" s="189"/>
      <c r="Q605" s="189"/>
      <c r="R605" s="189"/>
      <c r="S605" s="191"/>
      <c r="T605" s="208"/>
      <c r="U605" s="189"/>
      <c r="V605" s="189"/>
      <c r="W605" s="189"/>
      <c r="X605" s="189"/>
      <c r="Y605" s="189"/>
      <c r="Z605" s="189"/>
    </row>
    <row r="606" spans="1:26">
      <c r="A606" s="189"/>
      <c r="B606" s="189"/>
      <c r="C606" s="189"/>
      <c r="D606" s="189"/>
      <c r="E606" s="189"/>
      <c r="F606" s="189"/>
      <c r="G606" s="189"/>
      <c r="H606" s="190"/>
      <c r="I606" s="189"/>
      <c r="J606" s="189"/>
      <c r="K606" s="189"/>
      <c r="L606" s="189"/>
      <c r="M606" s="189"/>
      <c r="N606" s="189"/>
      <c r="O606" s="189"/>
      <c r="P606" s="189"/>
      <c r="Q606" s="189"/>
      <c r="R606" s="189"/>
      <c r="S606" s="191"/>
      <c r="T606" s="208"/>
      <c r="U606" s="189"/>
      <c r="V606" s="189"/>
      <c r="W606" s="189"/>
      <c r="X606" s="189"/>
      <c r="Y606" s="189"/>
      <c r="Z606" s="189"/>
    </row>
    <row r="607" spans="1:26">
      <c r="A607" s="189"/>
      <c r="B607" s="189"/>
      <c r="C607" s="189"/>
      <c r="D607" s="189"/>
      <c r="E607" s="189"/>
      <c r="F607" s="189"/>
      <c r="G607" s="189"/>
      <c r="H607" s="190"/>
      <c r="I607" s="189"/>
      <c r="J607" s="189"/>
      <c r="K607" s="189"/>
      <c r="L607" s="189"/>
      <c r="M607" s="189"/>
      <c r="N607" s="189"/>
      <c r="O607" s="189"/>
      <c r="P607" s="189"/>
      <c r="Q607" s="189"/>
      <c r="R607" s="189"/>
      <c r="S607" s="191"/>
      <c r="T607" s="208"/>
      <c r="U607" s="189"/>
      <c r="V607" s="189"/>
      <c r="W607" s="189"/>
      <c r="X607" s="189"/>
      <c r="Y607" s="189"/>
      <c r="Z607" s="189"/>
    </row>
    <row r="608" spans="1:26">
      <c r="A608" s="189"/>
      <c r="B608" s="189"/>
      <c r="C608" s="189"/>
      <c r="D608" s="189"/>
      <c r="E608" s="189"/>
      <c r="F608" s="189"/>
      <c r="G608" s="189"/>
      <c r="H608" s="190"/>
      <c r="I608" s="189"/>
      <c r="J608" s="189"/>
      <c r="K608" s="189"/>
      <c r="L608" s="189"/>
      <c r="M608" s="189"/>
      <c r="N608" s="189"/>
      <c r="O608" s="189"/>
      <c r="P608" s="189"/>
      <c r="Q608" s="189"/>
      <c r="R608" s="189"/>
      <c r="S608" s="191"/>
      <c r="T608" s="208"/>
      <c r="U608" s="189"/>
      <c r="V608" s="189"/>
      <c r="W608" s="189"/>
      <c r="X608" s="189"/>
      <c r="Y608" s="189"/>
      <c r="Z608" s="189"/>
    </row>
    <row r="609" spans="1:26">
      <c r="A609" s="189"/>
      <c r="B609" s="189"/>
      <c r="C609" s="189"/>
      <c r="D609" s="189"/>
      <c r="E609" s="189"/>
      <c r="F609" s="189"/>
      <c r="G609" s="189"/>
      <c r="H609" s="190"/>
      <c r="I609" s="189"/>
      <c r="J609" s="189"/>
      <c r="K609" s="189"/>
      <c r="L609" s="189"/>
      <c r="M609" s="189"/>
      <c r="N609" s="189"/>
      <c r="O609" s="189"/>
      <c r="P609" s="189"/>
      <c r="Q609" s="189"/>
      <c r="R609" s="189"/>
      <c r="S609" s="191"/>
      <c r="T609" s="208"/>
      <c r="U609" s="189"/>
      <c r="V609" s="189"/>
      <c r="W609" s="189"/>
      <c r="X609" s="189"/>
      <c r="Y609" s="189"/>
      <c r="Z609" s="189"/>
    </row>
    <row r="610" spans="1:26">
      <c r="A610" s="189"/>
      <c r="B610" s="189"/>
      <c r="C610" s="189"/>
      <c r="D610" s="189"/>
      <c r="E610" s="189"/>
      <c r="F610" s="189"/>
      <c r="G610" s="189"/>
      <c r="H610" s="190"/>
      <c r="I610" s="189"/>
      <c r="J610" s="189"/>
      <c r="K610" s="189"/>
      <c r="L610" s="189"/>
      <c r="M610" s="189"/>
      <c r="N610" s="189"/>
      <c r="O610" s="189"/>
      <c r="P610" s="189"/>
      <c r="Q610" s="189"/>
      <c r="R610" s="189"/>
      <c r="S610" s="191"/>
      <c r="T610" s="208"/>
      <c r="U610" s="189"/>
      <c r="V610" s="189"/>
      <c r="W610" s="189"/>
      <c r="X610" s="189"/>
      <c r="Y610" s="189"/>
      <c r="Z610" s="189"/>
    </row>
    <row r="611" spans="1:26">
      <c r="A611" s="189"/>
      <c r="B611" s="189"/>
      <c r="C611" s="189"/>
      <c r="D611" s="189"/>
      <c r="E611" s="189"/>
      <c r="F611" s="189"/>
      <c r="G611" s="189"/>
      <c r="H611" s="190"/>
      <c r="I611" s="189"/>
      <c r="J611" s="189"/>
      <c r="K611" s="189"/>
      <c r="L611" s="189"/>
      <c r="M611" s="189"/>
      <c r="N611" s="189"/>
      <c r="O611" s="189"/>
      <c r="P611" s="189"/>
      <c r="Q611" s="189"/>
      <c r="R611" s="189"/>
      <c r="S611" s="191"/>
      <c r="T611" s="208"/>
      <c r="U611" s="189"/>
      <c r="V611" s="189"/>
      <c r="W611" s="189"/>
      <c r="X611" s="189"/>
      <c r="Y611" s="189"/>
      <c r="Z611" s="189"/>
    </row>
    <row r="612" spans="1:26">
      <c r="A612" s="189"/>
      <c r="B612" s="189"/>
      <c r="C612" s="189"/>
      <c r="D612" s="189"/>
      <c r="E612" s="189"/>
      <c r="F612" s="189"/>
      <c r="G612" s="189"/>
      <c r="H612" s="190"/>
      <c r="I612" s="189"/>
      <c r="J612" s="189"/>
      <c r="K612" s="189"/>
      <c r="L612" s="189"/>
      <c r="M612" s="189"/>
      <c r="N612" s="189"/>
      <c r="O612" s="189"/>
      <c r="P612" s="189"/>
      <c r="Q612" s="189"/>
      <c r="R612" s="189"/>
      <c r="S612" s="191"/>
      <c r="T612" s="208"/>
      <c r="U612" s="189"/>
      <c r="V612" s="189"/>
      <c r="W612" s="189"/>
      <c r="X612" s="189"/>
      <c r="Y612" s="189"/>
      <c r="Z612" s="189"/>
    </row>
    <row r="613" spans="1:26">
      <c r="A613" s="189"/>
      <c r="B613" s="189"/>
      <c r="C613" s="189"/>
      <c r="D613" s="189"/>
      <c r="E613" s="189"/>
      <c r="F613" s="189"/>
      <c r="G613" s="189"/>
      <c r="H613" s="190"/>
      <c r="I613" s="189"/>
      <c r="J613" s="189"/>
      <c r="K613" s="189"/>
      <c r="L613" s="189"/>
      <c r="M613" s="189"/>
      <c r="N613" s="189"/>
      <c r="O613" s="189"/>
      <c r="P613" s="189"/>
      <c r="Q613" s="189"/>
      <c r="R613" s="189"/>
      <c r="S613" s="191"/>
      <c r="T613" s="208"/>
      <c r="U613" s="189"/>
      <c r="V613" s="189"/>
      <c r="W613" s="189"/>
      <c r="X613" s="189"/>
      <c r="Y613" s="189"/>
      <c r="Z613" s="189"/>
    </row>
    <row r="614" spans="1:26">
      <c r="A614" s="189"/>
      <c r="B614" s="189"/>
      <c r="C614" s="189"/>
      <c r="D614" s="189"/>
      <c r="E614" s="189"/>
      <c r="F614" s="189"/>
      <c r="G614" s="189"/>
      <c r="H614" s="190"/>
      <c r="I614" s="189"/>
      <c r="J614" s="189"/>
      <c r="K614" s="189"/>
      <c r="L614" s="189"/>
      <c r="M614" s="189"/>
      <c r="N614" s="189"/>
      <c r="O614" s="189"/>
      <c r="P614" s="189"/>
      <c r="Q614" s="189"/>
      <c r="R614" s="189"/>
      <c r="S614" s="191"/>
      <c r="T614" s="208"/>
      <c r="U614" s="189"/>
      <c r="V614" s="189"/>
      <c r="W614" s="189"/>
      <c r="X614" s="189"/>
      <c r="Y614" s="189"/>
      <c r="Z614" s="189"/>
    </row>
    <row r="615" spans="1:26">
      <c r="A615" s="189"/>
      <c r="B615" s="189"/>
      <c r="C615" s="189"/>
      <c r="D615" s="189"/>
      <c r="E615" s="189"/>
      <c r="F615" s="189"/>
      <c r="G615" s="189"/>
      <c r="H615" s="190"/>
      <c r="I615" s="189"/>
      <c r="J615" s="189"/>
      <c r="K615" s="189"/>
      <c r="L615" s="189"/>
      <c r="M615" s="189"/>
      <c r="N615" s="189"/>
      <c r="O615" s="189"/>
      <c r="P615" s="189"/>
      <c r="Q615" s="189"/>
      <c r="R615" s="189"/>
      <c r="S615" s="191"/>
      <c r="T615" s="208"/>
      <c r="U615" s="189"/>
      <c r="V615" s="189"/>
      <c r="W615" s="189"/>
      <c r="X615" s="189"/>
      <c r="Y615" s="189"/>
      <c r="Z615" s="189"/>
    </row>
    <row r="616" spans="1:26">
      <c r="A616" s="189"/>
      <c r="B616" s="189"/>
      <c r="C616" s="189"/>
      <c r="D616" s="189"/>
      <c r="E616" s="189"/>
      <c r="F616" s="189"/>
      <c r="G616" s="189"/>
      <c r="H616" s="190"/>
      <c r="I616" s="189"/>
      <c r="J616" s="189"/>
      <c r="K616" s="189"/>
      <c r="L616" s="189"/>
      <c r="M616" s="189"/>
      <c r="N616" s="189"/>
      <c r="O616" s="189"/>
      <c r="P616" s="189"/>
      <c r="Q616" s="189"/>
      <c r="R616" s="189"/>
      <c r="S616" s="191"/>
      <c r="T616" s="208"/>
      <c r="U616" s="189"/>
      <c r="V616" s="189"/>
      <c r="W616" s="189"/>
      <c r="X616" s="189"/>
      <c r="Y616" s="189"/>
      <c r="Z616" s="189"/>
    </row>
    <row r="617" spans="1:26">
      <c r="A617" s="189"/>
      <c r="B617" s="189"/>
      <c r="C617" s="189"/>
      <c r="D617" s="189"/>
      <c r="E617" s="189"/>
      <c r="F617" s="189"/>
      <c r="G617" s="189"/>
      <c r="H617" s="190"/>
      <c r="I617" s="189"/>
      <c r="J617" s="189"/>
      <c r="K617" s="189"/>
      <c r="L617" s="189"/>
      <c r="M617" s="189"/>
      <c r="N617" s="189"/>
      <c r="O617" s="189"/>
      <c r="P617" s="189"/>
      <c r="Q617" s="189"/>
      <c r="R617" s="189"/>
      <c r="S617" s="191"/>
      <c r="T617" s="208"/>
      <c r="U617" s="189"/>
      <c r="V617" s="189"/>
      <c r="W617" s="189"/>
      <c r="X617" s="189"/>
      <c r="Y617" s="189"/>
      <c r="Z617" s="189"/>
    </row>
    <row r="618" spans="1:26">
      <c r="A618" s="189"/>
      <c r="B618" s="189"/>
      <c r="C618" s="189"/>
      <c r="D618" s="189"/>
      <c r="E618" s="189"/>
      <c r="F618" s="189"/>
      <c r="G618" s="189"/>
      <c r="H618" s="190"/>
      <c r="I618" s="189"/>
      <c r="J618" s="189"/>
      <c r="K618" s="189"/>
      <c r="L618" s="189"/>
      <c r="M618" s="189"/>
      <c r="N618" s="189"/>
      <c r="O618" s="189"/>
      <c r="P618" s="189"/>
      <c r="Q618" s="189"/>
      <c r="R618" s="189"/>
      <c r="S618" s="191"/>
      <c r="T618" s="208"/>
      <c r="U618" s="189"/>
      <c r="V618" s="189"/>
      <c r="W618" s="189"/>
      <c r="X618" s="189"/>
      <c r="Y618" s="189"/>
      <c r="Z618" s="189"/>
    </row>
    <row r="619" spans="1:26">
      <c r="A619" s="189"/>
      <c r="B619" s="189"/>
      <c r="C619" s="189"/>
      <c r="D619" s="189"/>
      <c r="E619" s="189"/>
      <c r="F619" s="189"/>
      <c r="G619" s="189"/>
      <c r="H619" s="190"/>
      <c r="I619" s="189"/>
      <c r="J619" s="189"/>
      <c r="K619" s="189"/>
      <c r="L619" s="189"/>
      <c r="M619" s="189"/>
      <c r="N619" s="189"/>
      <c r="O619" s="189"/>
      <c r="P619" s="189"/>
      <c r="Q619" s="189"/>
      <c r="R619" s="189"/>
      <c r="S619" s="191"/>
      <c r="T619" s="208"/>
      <c r="U619" s="189"/>
      <c r="V619" s="189"/>
      <c r="W619" s="189"/>
      <c r="X619" s="189"/>
      <c r="Y619" s="189"/>
      <c r="Z619" s="189"/>
    </row>
    <row r="620" spans="1:26">
      <c r="A620" s="189"/>
      <c r="B620" s="189"/>
      <c r="C620" s="189"/>
      <c r="D620" s="189"/>
      <c r="E620" s="189"/>
      <c r="F620" s="189"/>
      <c r="G620" s="189"/>
      <c r="H620" s="190"/>
      <c r="I620" s="189"/>
      <c r="J620" s="189"/>
      <c r="K620" s="189"/>
      <c r="L620" s="189"/>
      <c r="M620" s="189"/>
      <c r="N620" s="189"/>
      <c r="O620" s="189"/>
      <c r="P620" s="189"/>
      <c r="Q620" s="189"/>
      <c r="R620" s="189"/>
      <c r="S620" s="191"/>
      <c r="T620" s="208"/>
      <c r="U620" s="189"/>
      <c r="V620" s="189"/>
      <c r="W620" s="189"/>
      <c r="X620" s="189"/>
      <c r="Y620" s="189"/>
      <c r="Z620" s="189"/>
    </row>
    <row r="621" spans="1:26">
      <c r="A621" s="189"/>
      <c r="B621" s="189"/>
      <c r="C621" s="189"/>
      <c r="D621" s="189"/>
      <c r="E621" s="189"/>
      <c r="F621" s="189"/>
      <c r="G621" s="189"/>
      <c r="H621" s="190"/>
      <c r="I621" s="189"/>
      <c r="J621" s="189"/>
      <c r="K621" s="189"/>
      <c r="L621" s="189"/>
      <c r="M621" s="189"/>
      <c r="N621" s="189"/>
      <c r="O621" s="189"/>
      <c r="P621" s="189"/>
      <c r="Q621" s="189"/>
      <c r="R621" s="189"/>
      <c r="S621" s="191"/>
      <c r="T621" s="208"/>
      <c r="U621" s="189"/>
      <c r="V621" s="189"/>
      <c r="W621" s="189"/>
      <c r="X621" s="189"/>
      <c r="Y621" s="189"/>
      <c r="Z621" s="189"/>
    </row>
    <row r="622" spans="1:26">
      <c r="A622" s="189"/>
      <c r="B622" s="189"/>
      <c r="C622" s="189"/>
      <c r="D622" s="189"/>
      <c r="E622" s="189"/>
      <c r="F622" s="189"/>
      <c r="G622" s="189"/>
      <c r="H622" s="190"/>
      <c r="I622" s="189"/>
      <c r="J622" s="189"/>
      <c r="K622" s="189"/>
      <c r="L622" s="189"/>
      <c r="M622" s="189"/>
      <c r="N622" s="189"/>
      <c r="O622" s="189"/>
      <c r="P622" s="189"/>
      <c r="Q622" s="189"/>
      <c r="R622" s="189"/>
      <c r="S622" s="191"/>
      <c r="T622" s="208"/>
      <c r="U622" s="189"/>
      <c r="V622" s="189"/>
      <c r="W622" s="189"/>
      <c r="X622" s="189"/>
      <c r="Y622" s="189"/>
      <c r="Z622" s="189"/>
    </row>
    <row r="623" spans="1:26">
      <c r="A623" s="189"/>
      <c r="B623" s="189"/>
      <c r="C623" s="189"/>
      <c r="D623" s="189"/>
      <c r="E623" s="189"/>
      <c r="F623" s="189"/>
      <c r="G623" s="189"/>
      <c r="H623" s="190"/>
      <c r="I623" s="189"/>
      <c r="J623" s="189"/>
      <c r="K623" s="189"/>
      <c r="L623" s="189"/>
      <c r="M623" s="189"/>
      <c r="N623" s="189"/>
      <c r="O623" s="189"/>
      <c r="P623" s="189"/>
      <c r="Q623" s="189"/>
      <c r="R623" s="189"/>
      <c r="S623" s="191"/>
      <c r="T623" s="208"/>
      <c r="U623" s="189"/>
      <c r="V623" s="189"/>
      <c r="W623" s="189"/>
      <c r="X623" s="189"/>
      <c r="Y623" s="189"/>
      <c r="Z623" s="189"/>
    </row>
    <row r="624" spans="1:26">
      <c r="A624" s="189"/>
      <c r="B624" s="189"/>
      <c r="C624" s="189"/>
      <c r="D624" s="189"/>
      <c r="E624" s="189"/>
      <c r="F624" s="189"/>
      <c r="G624" s="189"/>
      <c r="H624" s="190"/>
      <c r="I624" s="189"/>
      <c r="J624" s="189"/>
      <c r="K624" s="189"/>
      <c r="L624" s="189"/>
      <c r="M624" s="189"/>
      <c r="N624" s="189"/>
      <c r="O624" s="189"/>
      <c r="P624" s="189"/>
      <c r="Q624" s="189"/>
      <c r="R624" s="189"/>
      <c r="S624" s="191"/>
      <c r="T624" s="208"/>
      <c r="U624" s="189"/>
      <c r="V624" s="189"/>
      <c r="W624" s="189"/>
      <c r="X624" s="189"/>
      <c r="Y624" s="189"/>
      <c r="Z624" s="189"/>
    </row>
    <row r="625" spans="1:26">
      <c r="A625" s="189"/>
      <c r="B625" s="189"/>
      <c r="C625" s="189"/>
      <c r="D625" s="189"/>
      <c r="E625" s="189"/>
      <c r="F625" s="189"/>
      <c r="G625" s="189"/>
      <c r="H625" s="190"/>
      <c r="I625" s="189"/>
      <c r="J625" s="189"/>
      <c r="K625" s="189"/>
      <c r="L625" s="189"/>
      <c r="M625" s="189"/>
      <c r="N625" s="189"/>
      <c r="O625" s="189"/>
      <c r="P625" s="189"/>
      <c r="Q625" s="189"/>
      <c r="R625" s="189"/>
      <c r="S625" s="191"/>
      <c r="T625" s="208"/>
      <c r="U625" s="189"/>
      <c r="V625" s="189"/>
      <c r="W625" s="189"/>
      <c r="X625" s="189"/>
      <c r="Y625" s="189"/>
      <c r="Z625" s="189"/>
    </row>
    <row r="626" spans="1:26">
      <c r="A626" s="189"/>
      <c r="B626" s="189"/>
      <c r="C626" s="189"/>
      <c r="D626" s="189"/>
      <c r="E626" s="189"/>
      <c r="F626" s="189"/>
      <c r="G626" s="189"/>
      <c r="H626" s="190"/>
      <c r="I626" s="189"/>
      <c r="J626" s="189"/>
      <c r="K626" s="189"/>
      <c r="L626" s="189"/>
      <c r="M626" s="189"/>
      <c r="N626" s="189"/>
      <c r="O626" s="189"/>
      <c r="P626" s="189"/>
      <c r="Q626" s="189"/>
      <c r="R626" s="189"/>
      <c r="S626" s="191"/>
      <c r="T626" s="208"/>
      <c r="U626" s="189"/>
      <c r="V626" s="189"/>
      <c r="W626" s="189"/>
      <c r="X626" s="189"/>
      <c r="Y626" s="189"/>
      <c r="Z626" s="189"/>
    </row>
    <row r="627" spans="1:26">
      <c r="A627" s="189"/>
      <c r="B627" s="189"/>
      <c r="C627" s="189"/>
      <c r="D627" s="189"/>
      <c r="E627" s="189"/>
      <c r="F627" s="189"/>
      <c r="G627" s="189"/>
      <c r="H627" s="190"/>
      <c r="I627" s="189"/>
      <c r="J627" s="189"/>
      <c r="K627" s="189"/>
      <c r="L627" s="189"/>
      <c r="M627" s="189"/>
      <c r="N627" s="189"/>
      <c r="O627" s="189"/>
      <c r="P627" s="189"/>
      <c r="Q627" s="189"/>
      <c r="R627" s="189"/>
      <c r="S627" s="191"/>
      <c r="T627" s="208"/>
      <c r="U627" s="189"/>
      <c r="V627" s="189"/>
      <c r="W627" s="189"/>
      <c r="X627" s="189"/>
      <c r="Y627" s="189"/>
      <c r="Z627" s="189"/>
    </row>
    <row r="628" spans="1:26">
      <c r="A628" s="189"/>
      <c r="B628" s="189"/>
      <c r="C628" s="189"/>
      <c r="D628" s="189"/>
      <c r="E628" s="189"/>
      <c r="F628" s="189"/>
      <c r="G628" s="189"/>
      <c r="H628" s="190"/>
      <c r="I628" s="189"/>
      <c r="J628" s="189"/>
      <c r="K628" s="189"/>
      <c r="L628" s="189"/>
      <c r="M628" s="189"/>
      <c r="N628" s="189"/>
      <c r="O628" s="189"/>
      <c r="P628" s="189"/>
      <c r="Q628" s="189"/>
      <c r="R628" s="189"/>
      <c r="S628" s="191"/>
      <c r="T628" s="208"/>
      <c r="U628" s="189"/>
      <c r="V628" s="189"/>
      <c r="W628" s="189"/>
      <c r="X628" s="189"/>
      <c r="Y628" s="189"/>
      <c r="Z628" s="189"/>
    </row>
    <row r="629" spans="1:26">
      <c r="A629" s="189"/>
      <c r="B629" s="189"/>
      <c r="C629" s="189"/>
      <c r="D629" s="189"/>
      <c r="E629" s="189"/>
      <c r="F629" s="189"/>
      <c r="G629" s="189"/>
      <c r="H629" s="190"/>
      <c r="I629" s="189"/>
      <c r="J629" s="189"/>
      <c r="K629" s="189"/>
      <c r="L629" s="189"/>
      <c r="M629" s="189"/>
      <c r="N629" s="189"/>
      <c r="O629" s="189"/>
      <c r="P629" s="189"/>
      <c r="Q629" s="189"/>
      <c r="R629" s="189"/>
      <c r="S629" s="191"/>
      <c r="T629" s="208"/>
      <c r="U629" s="189"/>
      <c r="V629" s="189"/>
      <c r="W629" s="189"/>
      <c r="X629" s="189"/>
      <c r="Y629" s="189"/>
      <c r="Z629" s="189"/>
    </row>
    <row r="630" spans="1:26">
      <c r="A630" s="189"/>
      <c r="B630" s="189"/>
      <c r="C630" s="189"/>
      <c r="D630" s="189"/>
      <c r="E630" s="189"/>
      <c r="F630" s="189"/>
      <c r="G630" s="189"/>
      <c r="H630" s="190"/>
      <c r="I630" s="189"/>
      <c r="J630" s="189"/>
      <c r="K630" s="189"/>
      <c r="L630" s="189"/>
      <c r="M630" s="189"/>
      <c r="N630" s="189"/>
      <c r="O630" s="189"/>
      <c r="P630" s="189"/>
      <c r="Q630" s="189"/>
      <c r="R630" s="189"/>
      <c r="S630" s="191"/>
      <c r="T630" s="208"/>
      <c r="U630" s="189"/>
      <c r="V630" s="189"/>
      <c r="W630" s="189"/>
      <c r="X630" s="189"/>
      <c r="Y630" s="189"/>
      <c r="Z630" s="189"/>
    </row>
    <row r="631" spans="1:26">
      <c r="A631" s="189"/>
      <c r="B631" s="189"/>
      <c r="C631" s="189"/>
      <c r="D631" s="189"/>
      <c r="E631" s="189"/>
      <c r="F631" s="189"/>
      <c r="G631" s="189"/>
      <c r="H631" s="190"/>
      <c r="I631" s="189"/>
      <c r="J631" s="189"/>
      <c r="K631" s="189"/>
      <c r="L631" s="189"/>
      <c r="M631" s="189"/>
      <c r="N631" s="189"/>
      <c r="O631" s="189"/>
      <c r="P631" s="189"/>
      <c r="Q631" s="189"/>
      <c r="R631" s="189"/>
      <c r="S631" s="191"/>
      <c r="T631" s="208"/>
      <c r="U631" s="189"/>
      <c r="V631" s="189"/>
      <c r="W631" s="189"/>
      <c r="X631" s="189"/>
      <c r="Y631" s="189"/>
      <c r="Z631" s="189"/>
    </row>
    <row r="632" spans="1:26">
      <c r="A632" s="189"/>
      <c r="B632" s="189"/>
      <c r="C632" s="189"/>
      <c r="D632" s="189"/>
      <c r="E632" s="189"/>
      <c r="F632" s="189"/>
      <c r="G632" s="189"/>
      <c r="H632" s="190"/>
      <c r="I632" s="189"/>
      <c r="J632" s="189"/>
      <c r="K632" s="189"/>
      <c r="L632" s="189"/>
      <c r="M632" s="189"/>
      <c r="N632" s="189"/>
      <c r="O632" s="189"/>
      <c r="P632" s="189"/>
      <c r="Q632" s="189"/>
      <c r="R632" s="189"/>
      <c r="S632" s="191"/>
      <c r="T632" s="208"/>
      <c r="U632" s="189"/>
      <c r="V632" s="189"/>
      <c r="W632" s="189"/>
      <c r="X632" s="189"/>
      <c r="Y632" s="189"/>
      <c r="Z632" s="189"/>
    </row>
    <row r="633" spans="1:26">
      <c r="A633" s="189"/>
      <c r="B633" s="189"/>
      <c r="C633" s="189"/>
      <c r="D633" s="189"/>
      <c r="E633" s="189"/>
      <c r="F633" s="189"/>
      <c r="G633" s="189"/>
      <c r="H633" s="190"/>
      <c r="I633" s="189"/>
      <c r="J633" s="189"/>
      <c r="K633" s="189"/>
      <c r="L633" s="189"/>
      <c r="M633" s="189"/>
      <c r="N633" s="189"/>
      <c r="O633" s="189"/>
      <c r="P633" s="189"/>
      <c r="Q633" s="189"/>
      <c r="R633" s="189"/>
      <c r="S633" s="191"/>
      <c r="T633" s="208"/>
      <c r="U633" s="189"/>
      <c r="V633" s="189"/>
      <c r="W633" s="189"/>
      <c r="X633" s="189"/>
      <c r="Y633" s="189"/>
      <c r="Z633" s="189"/>
    </row>
    <row r="634" spans="1:26">
      <c r="A634" s="189"/>
      <c r="B634" s="189"/>
      <c r="C634" s="189"/>
      <c r="D634" s="189"/>
      <c r="E634" s="189"/>
      <c r="F634" s="189"/>
      <c r="G634" s="189"/>
      <c r="H634" s="190"/>
      <c r="I634" s="189"/>
      <c r="J634" s="189"/>
      <c r="K634" s="189"/>
      <c r="L634" s="189"/>
      <c r="M634" s="189"/>
      <c r="N634" s="189"/>
      <c r="O634" s="189"/>
      <c r="P634" s="189"/>
      <c r="Q634" s="189"/>
      <c r="R634" s="189"/>
      <c r="S634" s="191"/>
      <c r="T634" s="208"/>
      <c r="U634" s="189"/>
      <c r="V634" s="189"/>
      <c r="W634" s="189"/>
      <c r="X634" s="189"/>
      <c r="Y634" s="189"/>
      <c r="Z634" s="189"/>
    </row>
    <row r="635" spans="1:26">
      <c r="A635" s="189"/>
      <c r="B635" s="189"/>
      <c r="C635" s="189"/>
      <c r="D635" s="189"/>
      <c r="E635" s="189"/>
      <c r="F635" s="189"/>
      <c r="G635" s="189"/>
      <c r="H635" s="190"/>
      <c r="I635" s="189"/>
      <c r="J635" s="189"/>
      <c r="K635" s="189"/>
      <c r="L635" s="189"/>
      <c r="M635" s="189"/>
      <c r="N635" s="189"/>
      <c r="O635" s="189"/>
      <c r="P635" s="189"/>
      <c r="Q635" s="189"/>
      <c r="R635" s="189"/>
      <c r="S635" s="191"/>
      <c r="T635" s="208"/>
      <c r="U635" s="189"/>
      <c r="V635" s="189"/>
      <c r="W635" s="189"/>
      <c r="X635" s="189"/>
      <c r="Y635" s="189"/>
      <c r="Z635" s="189"/>
    </row>
    <row r="636" spans="1:26">
      <c r="A636" s="189"/>
      <c r="B636" s="189"/>
      <c r="C636" s="189"/>
      <c r="D636" s="189"/>
      <c r="E636" s="189"/>
      <c r="F636" s="189"/>
      <c r="G636" s="189"/>
      <c r="H636" s="190"/>
      <c r="I636" s="189"/>
      <c r="J636" s="189"/>
      <c r="K636" s="189"/>
      <c r="L636" s="189"/>
      <c r="M636" s="189"/>
      <c r="N636" s="189"/>
      <c r="O636" s="189"/>
      <c r="P636" s="189"/>
      <c r="Q636" s="189"/>
      <c r="R636" s="189"/>
      <c r="S636" s="191"/>
      <c r="T636" s="208"/>
      <c r="U636" s="189"/>
      <c r="V636" s="189"/>
      <c r="W636" s="189"/>
      <c r="X636" s="189"/>
      <c r="Y636" s="189"/>
      <c r="Z636" s="189"/>
    </row>
    <row r="637" spans="1:26">
      <c r="A637" s="189"/>
      <c r="B637" s="189"/>
      <c r="C637" s="189"/>
      <c r="D637" s="189"/>
      <c r="E637" s="189"/>
      <c r="F637" s="189"/>
      <c r="G637" s="189"/>
      <c r="H637" s="190"/>
      <c r="I637" s="189"/>
      <c r="J637" s="189"/>
      <c r="K637" s="189"/>
      <c r="L637" s="189"/>
      <c r="M637" s="189"/>
      <c r="N637" s="189"/>
      <c r="O637" s="189"/>
      <c r="P637" s="189"/>
      <c r="Q637" s="189"/>
      <c r="R637" s="189"/>
      <c r="S637" s="191"/>
      <c r="T637" s="208"/>
      <c r="U637" s="189"/>
      <c r="V637" s="189"/>
      <c r="W637" s="189"/>
      <c r="X637" s="189"/>
      <c r="Y637" s="189"/>
      <c r="Z637" s="189"/>
    </row>
    <row r="638" spans="1:26">
      <c r="A638" s="189"/>
      <c r="B638" s="189"/>
      <c r="C638" s="189"/>
      <c r="D638" s="189"/>
      <c r="E638" s="189"/>
      <c r="F638" s="189"/>
      <c r="G638" s="189"/>
      <c r="H638" s="190"/>
      <c r="I638" s="189"/>
      <c r="J638" s="189"/>
      <c r="K638" s="189"/>
      <c r="L638" s="189"/>
      <c r="M638" s="189"/>
      <c r="N638" s="189"/>
      <c r="O638" s="189"/>
      <c r="P638" s="189"/>
      <c r="Q638" s="189"/>
      <c r="R638" s="189"/>
      <c r="S638" s="191"/>
      <c r="T638" s="208"/>
      <c r="U638" s="189"/>
      <c r="V638" s="189"/>
      <c r="W638" s="189"/>
      <c r="X638" s="189"/>
      <c r="Y638" s="189"/>
      <c r="Z638" s="189"/>
    </row>
    <row r="639" spans="1:26">
      <c r="A639" s="189"/>
      <c r="B639" s="189"/>
      <c r="C639" s="189"/>
      <c r="D639" s="189"/>
      <c r="E639" s="189"/>
      <c r="F639" s="189"/>
      <c r="G639" s="189"/>
      <c r="H639" s="190"/>
      <c r="I639" s="189"/>
      <c r="J639" s="189"/>
      <c r="K639" s="189"/>
      <c r="L639" s="189"/>
      <c r="M639" s="189"/>
      <c r="N639" s="189"/>
      <c r="O639" s="189"/>
      <c r="P639" s="189"/>
      <c r="Q639" s="189"/>
      <c r="R639" s="189"/>
      <c r="S639" s="191"/>
      <c r="T639" s="208"/>
      <c r="U639" s="189"/>
      <c r="V639" s="189"/>
      <c r="W639" s="189"/>
      <c r="X639" s="189"/>
      <c r="Y639" s="189"/>
      <c r="Z639" s="189"/>
    </row>
    <row r="640" spans="1:26">
      <c r="A640" s="189"/>
      <c r="B640" s="189"/>
      <c r="C640" s="189"/>
      <c r="D640" s="189"/>
      <c r="E640" s="189"/>
      <c r="F640" s="189"/>
      <c r="G640" s="189"/>
      <c r="H640" s="190"/>
      <c r="I640" s="189"/>
      <c r="J640" s="189"/>
      <c r="K640" s="189"/>
      <c r="L640" s="189"/>
      <c r="M640" s="189"/>
      <c r="N640" s="189"/>
      <c r="O640" s="189"/>
      <c r="P640" s="189"/>
      <c r="Q640" s="189"/>
      <c r="R640" s="189"/>
      <c r="S640" s="191"/>
      <c r="T640" s="208"/>
      <c r="U640" s="189"/>
      <c r="V640" s="189"/>
      <c r="W640" s="189"/>
      <c r="X640" s="189"/>
      <c r="Y640" s="189"/>
      <c r="Z640" s="189"/>
    </row>
    <row r="641" spans="1:26">
      <c r="A641" s="189"/>
      <c r="B641" s="189"/>
      <c r="C641" s="189"/>
      <c r="D641" s="189"/>
      <c r="E641" s="189"/>
      <c r="F641" s="189"/>
      <c r="G641" s="189"/>
      <c r="H641" s="190"/>
      <c r="I641" s="189"/>
      <c r="J641" s="189"/>
      <c r="K641" s="189"/>
      <c r="L641" s="189"/>
      <c r="M641" s="189"/>
      <c r="N641" s="189"/>
      <c r="O641" s="189"/>
      <c r="P641" s="189"/>
      <c r="Q641" s="189"/>
      <c r="R641" s="189"/>
      <c r="S641" s="191"/>
      <c r="T641" s="208"/>
      <c r="U641" s="189"/>
      <c r="V641" s="189"/>
      <c r="W641" s="189"/>
      <c r="X641" s="189"/>
      <c r="Y641" s="189"/>
      <c r="Z641" s="189"/>
    </row>
    <row r="642" spans="1:26">
      <c r="A642" s="189"/>
      <c r="B642" s="189"/>
      <c r="C642" s="189"/>
      <c r="D642" s="189"/>
      <c r="E642" s="189"/>
      <c r="F642" s="189"/>
      <c r="G642" s="189"/>
      <c r="H642" s="190"/>
      <c r="I642" s="189"/>
      <c r="J642" s="189"/>
      <c r="K642" s="189"/>
      <c r="L642" s="189"/>
      <c r="M642" s="189"/>
      <c r="N642" s="189"/>
      <c r="O642" s="189"/>
      <c r="P642" s="189"/>
      <c r="Q642" s="189"/>
      <c r="R642" s="189"/>
      <c r="S642" s="191"/>
      <c r="T642" s="208"/>
      <c r="U642" s="189"/>
      <c r="V642" s="189"/>
      <c r="W642" s="189"/>
      <c r="X642" s="189"/>
      <c r="Y642" s="189"/>
      <c r="Z642" s="189"/>
    </row>
    <row r="643" spans="1:26">
      <c r="A643" s="189"/>
      <c r="B643" s="189"/>
      <c r="C643" s="189"/>
      <c r="D643" s="189"/>
      <c r="E643" s="189"/>
      <c r="F643" s="189"/>
      <c r="G643" s="189"/>
      <c r="H643" s="190"/>
      <c r="I643" s="189"/>
      <c r="J643" s="189"/>
      <c r="K643" s="189"/>
      <c r="L643" s="189"/>
      <c r="M643" s="189"/>
      <c r="N643" s="189"/>
      <c r="O643" s="189"/>
      <c r="P643" s="189"/>
      <c r="Q643" s="189"/>
      <c r="R643" s="189"/>
      <c r="S643" s="191"/>
      <c r="T643" s="208"/>
      <c r="U643" s="189"/>
      <c r="V643" s="189"/>
      <c r="W643" s="189"/>
      <c r="X643" s="189"/>
      <c r="Y643" s="189"/>
      <c r="Z643" s="189"/>
    </row>
    <row r="644" spans="1:26">
      <c r="A644" s="189"/>
      <c r="B644" s="189"/>
      <c r="C644" s="189"/>
      <c r="D644" s="189"/>
      <c r="E644" s="189"/>
      <c r="F644" s="189"/>
      <c r="G644" s="189"/>
      <c r="H644" s="190"/>
      <c r="I644" s="189"/>
      <c r="J644" s="189"/>
      <c r="K644" s="189"/>
      <c r="L644" s="189"/>
      <c r="M644" s="189"/>
      <c r="N644" s="189"/>
      <c r="O644" s="189"/>
      <c r="P644" s="189"/>
      <c r="Q644" s="189"/>
      <c r="R644" s="189"/>
      <c r="S644" s="191"/>
      <c r="T644" s="208"/>
      <c r="U644" s="189"/>
      <c r="V644" s="189"/>
      <c r="W644" s="189"/>
      <c r="X644" s="189"/>
      <c r="Y644" s="189"/>
      <c r="Z644" s="189"/>
    </row>
    <row r="645" spans="1:26">
      <c r="A645" s="189"/>
      <c r="B645" s="189"/>
      <c r="C645" s="189"/>
      <c r="D645" s="189"/>
      <c r="E645" s="189"/>
      <c r="F645" s="189"/>
      <c r="G645" s="189"/>
      <c r="H645" s="190"/>
      <c r="I645" s="189"/>
      <c r="J645" s="189"/>
      <c r="K645" s="189"/>
      <c r="L645" s="189"/>
      <c r="M645" s="189"/>
      <c r="N645" s="189"/>
      <c r="O645" s="189"/>
      <c r="P645" s="189"/>
      <c r="Q645" s="189"/>
      <c r="R645" s="189"/>
      <c r="S645" s="191"/>
      <c r="T645" s="208"/>
      <c r="U645" s="189"/>
      <c r="V645" s="189"/>
      <c r="W645" s="189"/>
      <c r="X645" s="189"/>
      <c r="Y645" s="189"/>
      <c r="Z645" s="189"/>
    </row>
    <row r="646" spans="1:26">
      <c r="A646" s="189"/>
      <c r="B646" s="189"/>
      <c r="C646" s="189"/>
      <c r="D646" s="189"/>
      <c r="E646" s="189"/>
      <c r="F646" s="189"/>
      <c r="G646" s="189"/>
      <c r="H646" s="190"/>
      <c r="I646" s="189"/>
      <c r="J646" s="189"/>
      <c r="K646" s="189"/>
      <c r="L646" s="189"/>
      <c r="M646" s="189"/>
      <c r="N646" s="189"/>
      <c r="O646" s="189"/>
      <c r="P646" s="189"/>
      <c r="Q646" s="189"/>
      <c r="R646" s="189"/>
      <c r="S646" s="191"/>
      <c r="T646" s="208"/>
      <c r="U646" s="189"/>
      <c r="V646" s="189"/>
      <c r="W646" s="189"/>
      <c r="X646" s="189"/>
      <c r="Y646" s="189"/>
      <c r="Z646" s="189"/>
    </row>
    <row r="647" spans="1:26">
      <c r="A647" s="189"/>
      <c r="B647" s="189"/>
      <c r="C647" s="189"/>
      <c r="D647" s="189"/>
      <c r="E647" s="189"/>
      <c r="F647" s="189"/>
      <c r="G647" s="189"/>
      <c r="H647" s="190"/>
      <c r="I647" s="189"/>
      <c r="J647" s="189"/>
      <c r="K647" s="189"/>
      <c r="L647" s="189"/>
      <c r="M647" s="189"/>
      <c r="N647" s="189"/>
      <c r="O647" s="189"/>
      <c r="P647" s="189"/>
      <c r="Q647" s="189"/>
      <c r="R647" s="189"/>
      <c r="S647" s="191"/>
      <c r="T647" s="208"/>
      <c r="U647" s="189"/>
      <c r="V647" s="189"/>
      <c r="W647" s="189"/>
      <c r="X647" s="189"/>
      <c r="Y647" s="189"/>
      <c r="Z647" s="189"/>
    </row>
    <row r="648" spans="1:26">
      <c r="A648" s="189"/>
      <c r="B648" s="189"/>
      <c r="C648" s="189"/>
      <c r="D648" s="189"/>
      <c r="E648" s="189"/>
      <c r="F648" s="189"/>
      <c r="G648" s="189"/>
      <c r="H648" s="190"/>
      <c r="I648" s="189"/>
      <c r="J648" s="189"/>
      <c r="K648" s="189"/>
      <c r="L648" s="189"/>
      <c r="M648" s="189"/>
      <c r="N648" s="189"/>
      <c r="O648" s="189"/>
      <c r="P648" s="189"/>
      <c r="Q648" s="189"/>
      <c r="R648" s="189"/>
      <c r="S648" s="191"/>
      <c r="T648" s="208"/>
      <c r="U648" s="189"/>
      <c r="V648" s="189"/>
      <c r="W648" s="189"/>
      <c r="X648" s="189"/>
      <c r="Y648" s="189"/>
      <c r="Z648" s="189"/>
    </row>
    <row r="649" spans="1:26">
      <c r="A649" s="189"/>
      <c r="B649" s="189"/>
      <c r="C649" s="189"/>
      <c r="D649" s="189"/>
      <c r="E649" s="189"/>
      <c r="F649" s="189"/>
      <c r="G649" s="189"/>
      <c r="H649" s="190"/>
      <c r="I649" s="189"/>
      <c r="J649" s="189"/>
      <c r="K649" s="189"/>
      <c r="L649" s="189"/>
      <c r="M649" s="189"/>
      <c r="N649" s="189"/>
      <c r="O649" s="189"/>
      <c r="P649" s="189"/>
      <c r="Q649" s="189"/>
      <c r="R649" s="189"/>
      <c r="S649" s="191"/>
      <c r="T649" s="208"/>
      <c r="U649" s="189"/>
      <c r="V649" s="189"/>
      <c r="W649" s="189"/>
      <c r="X649" s="189"/>
      <c r="Y649" s="189"/>
      <c r="Z649" s="189"/>
    </row>
    <row r="650" spans="1:26">
      <c r="A650" s="189"/>
      <c r="B650" s="189"/>
      <c r="C650" s="189"/>
      <c r="D650" s="189"/>
      <c r="E650" s="189"/>
      <c r="F650" s="189"/>
      <c r="G650" s="189"/>
      <c r="H650" s="190"/>
      <c r="I650" s="189"/>
      <c r="J650" s="189"/>
      <c r="K650" s="189"/>
      <c r="L650" s="189"/>
      <c r="M650" s="189"/>
      <c r="N650" s="189"/>
      <c r="O650" s="189"/>
      <c r="P650" s="189"/>
      <c r="Q650" s="189"/>
      <c r="R650" s="189"/>
      <c r="S650" s="191"/>
      <c r="T650" s="208"/>
      <c r="U650" s="189"/>
      <c r="V650" s="189"/>
      <c r="W650" s="189"/>
      <c r="X650" s="189"/>
      <c r="Y650" s="189"/>
      <c r="Z650" s="189"/>
    </row>
    <row r="651" spans="1:26">
      <c r="A651" s="189"/>
      <c r="B651" s="189"/>
      <c r="C651" s="189"/>
      <c r="D651" s="189"/>
      <c r="E651" s="189"/>
      <c r="F651" s="189"/>
      <c r="G651" s="189"/>
      <c r="H651" s="190"/>
      <c r="I651" s="189"/>
      <c r="J651" s="189"/>
      <c r="K651" s="189"/>
      <c r="L651" s="189"/>
      <c r="M651" s="189"/>
      <c r="N651" s="189"/>
      <c r="O651" s="189"/>
      <c r="P651" s="189"/>
      <c r="Q651" s="189"/>
      <c r="R651" s="189"/>
      <c r="S651" s="191"/>
      <c r="T651" s="208"/>
      <c r="U651" s="189"/>
      <c r="V651" s="189"/>
      <c r="W651" s="189"/>
      <c r="X651" s="189"/>
      <c r="Y651" s="189"/>
      <c r="Z651" s="189"/>
    </row>
    <row r="652" spans="1:26">
      <c r="A652" s="189"/>
      <c r="B652" s="189"/>
      <c r="C652" s="189"/>
      <c r="D652" s="189"/>
      <c r="E652" s="189"/>
      <c r="F652" s="189"/>
      <c r="G652" s="189"/>
      <c r="H652" s="190"/>
      <c r="I652" s="189"/>
      <c r="J652" s="189"/>
      <c r="K652" s="189"/>
      <c r="L652" s="189"/>
      <c r="M652" s="189"/>
      <c r="N652" s="189"/>
      <c r="O652" s="189"/>
      <c r="P652" s="189"/>
      <c r="Q652" s="189"/>
      <c r="R652" s="189"/>
      <c r="S652" s="191"/>
      <c r="T652" s="208"/>
      <c r="U652" s="189"/>
      <c r="V652" s="189"/>
      <c r="W652" s="189"/>
      <c r="X652" s="189"/>
      <c r="Y652" s="189"/>
      <c r="Z652" s="189"/>
    </row>
    <row r="653" spans="1:26">
      <c r="A653" s="189"/>
      <c r="B653" s="189"/>
      <c r="C653" s="189"/>
      <c r="D653" s="189"/>
      <c r="E653" s="189"/>
      <c r="F653" s="189"/>
      <c r="G653" s="189"/>
      <c r="H653" s="190"/>
      <c r="I653" s="189"/>
      <c r="J653" s="189"/>
      <c r="K653" s="189"/>
      <c r="L653" s="189"/>
      <c r="M653" s="189"/>
      <c r="N653" s="189"/>
      <c r="O653" s="189"/>
      <c r="P653" s="189"/>
      <c r="Q653" s="189"/>
      <c r="R653" s="189"/>
      <c r="S653" s="191"/>
      <c r="T653" s="208"/>
      <c r="U653" s="189"/>
      <c r="V653" s="189"/>
      <c r="W653" s="189"/>
      <c r="X653" s="189"/>
      <c r="Y653" s="189"/>
      <c r="Z653" s="189"/>
    </row>
    <row r="654" spans="1:26">
      <c r="A654" s="189"/>
      <c r="B654" s="189"/>
      <c r="C654" s="189"/>
      <c r="D654" s="189"/>
      <c r="E654" s="189"/>
      <c r="F654" s="189"/>
      <c r="G654" s="189"/>
      <c r="H654" s="190"/>
      <c r="I654" s="189"/>
      <c r="J654" s="189"/>
      <c r="K654" s="189"/>
      <c r="L654" s="189"/>
      <c r="M654" s="189"/>
      <c r="N654" s="189"/>
      <c r="O654" s="189"/>
      <c r="P654" s="189"/>
      <c r="Q654" s="189"/>
      <c r="R654" s="189"/>
      <c r="S654" s="191"/>
      <c r="T654" s="208"/>
      <c r="U654" s="189"/>
      <c r="V654" s="189"/>
      <c r="W654" s="189"/>
      <c r="X654" s="189"/>
      <c r="Y654" s="189"/>
      <c r="Z654" s="189"/>
    </row>
    <row r="655" spans="1:26">
      <c r="A655" s="189"/>
      <c r="B655" s="189"/>
      <c r="C655" s="189"/>
      <c r="D655" s="189"/>
      <c r="E655" s="189"/>
      <c r="F655" s="189"/>
      <c r="G655" s="189"/>
      <c r="H655" s="190"/>
      <c r="I655" s="189"/>
      <c r="J655" s="189"/>
      <c r="K655" s="189"/>
      <c r="L655" s="189"/>
      <c r="M655" s="189"/>
      <c r="N655" s="189"/>
      <c r="O655" s="189"/>
      <c r="P655" s="189"/>
      <c r="Q655" s="189"/>
      <c r="R655" s="189"/>
      <c r="S655" s="191"/>
      <c r="T655" s="208"/>
      <c r="U655" s="189"/>
      <c r="V655" s="189"/>
      <c r="W655" s="189"/>
      <c r="X655" s="189"/>
      <c r="Y655" s="189"/>
      <c r="Z655" s="189"/>
    </row>
    <row r="656" spans="1:26">
      <c r="A656" s="189"/>
      <c r="B656" s="189"/>
      <c r="C656" s="189"/>
      <c r="D656" s="189"/>
      <c r="E656" s="189"/>
      <c r="F656" s="189"/>
      <c r="G656" s="189"/>
      <c r="H656" s="190"/>
      <c r="I656" s="189"/>
      <c r="J656" s="189"/>
      <c r="K656" s="189"/>
      <c r="L656" s="189"/>
      <c r="M656" s="189"/>
      <c r="N656" s="189"/>
      <c r="O656" s="189"/>
      <c r="P656" s="189"/>
      <c r="Q656" s="189"/>
      <c r="R656" s="189"/>
      <c r="S656" s="191"/>
      <c r="T656" s="208"/>
      <c r="U656" s="189"/>
      <c r="V656" s="189"/>
      <c r="W656" s="189"/>
      <c r="X656" s="189"/>
      <c r="Y656" s="189"/>
      <c r="Z656" s="189"/>
    </row>
    <row r="657" spans="1:26">
      <c r="A657" s="189"/>
      <c r="B657" s="189"/>
      <c r="C657" s="189"/>
      <c r="D657" s="189"/>
      <c r="E657" s="189"/>
      <c r="F657" s="189"/>
      <c r="G657" s="189"/>
      <c r="H657" s="190"/>
      <c r="I657" s="189"/>
      <c r="J657" s="189"/>
      <c r="K657" s="189"/>
      <c r="L657" s="189"/>
      <c r="M657" s="189"/>
      <c r="N657" s="189"/>
      <c r="O657" s="189"/>
      <c r="P657" s="189"/>
      <c r="Q657" s="189"/>
      <c r="R657" s="189"/>
      <c r="S657" s="191"/>
      <c r="T657" s="208"/>
      <c r="U657" s="189"/>
      <c r="V657" s="189"/>
      <c r="W657" s="189"/>
      <c r="X657" s="189"/>
      <c r="Y657" s="189"/>
      <c r="Z657" s="189"/>
    </row>
    <row r="658" spans="1:26">
      <c r="A658" s="189"/>
      <c r="B658" s="189"/>
      <c r="C658" s="189"/>
      <c r="D658" s="189"/>
      <c r="E658" s="189"/>
      <c r="F658" s="189"/>
      <c r="G658" s="189"/>
      <c r="H658" s="190"/>
      <c r="I658" s="189"/>
      <c r="J658" s="189"/>
      <c r="K658" s="189"/>
      <c r="L658" s="189"/>
      <c r="M658" s="189"/>
      <c r="N658" s="189"/>
      <c r="O658" s="189"/>
      <c r="P658" s="189"/>
      <c r="Q658" s="189"/>
      <c r="R658" s="189"/>
      <c r="S658" s="191"/>
      <c r="T658" s="208"/>
      <c r="U658" s="189"/>
      <c r="V658" s="189"/>
      <c r="W658" s="189"/>
      <c r="X658" s="189"/>
      <c r="Y658" s="189"/>
      <c r="Z658" s="189"/>
    </row>
    <row r="659" spans="1:26">
      <c r="A659" s="189"/>
      <c r="B659" s="189"/>
      <c r="C659" s="189"/>
      <c r="D659" s="189"/>
      <c r="E659" s="189"/>
      <c r="F659" s="189"/>
      <c r="G659" s="189"/>
      <c r="H659" s="190"/>
      <c r="I659" s="189"/>
      <c r="J659" s="189"/>
      <c r="K659" s="189"/>
      <c r="L659" s="189"/>
      <c r="M659" s="189"/>
      <c r="N659" s="189"/>
      <c r="O659" s="189"/>
      <c r="P659" s="189"/>
      <c r="Q659" s="189"/>
      <c r="R659" s="189"/>
      <c r="S659" s="191"/>
      <c r="T659" s="208"/>
      <c r="U659" s="189"/>
      <c r="V659" s="189"/>
      <c r="W659" s="189"/>
      <c r="X659" s="189"/>
      <c r="Y659" s="189"/>
      <c r="Z659" s="189"/>
    </row>
    <row r="660" spans="1:26">
      <c r="A660" s="189"/>
      <c r="B660" s="189"/>
      <c r="C660" s="189"/>
      <c r="D660" s="189"/>
      <c r="E660" s="189"/>
      <c r="F660" s="189"/>
      <c r="G660" s="189"/>
      <c r="H660" s="190"/>
      <c r="I660" s="189"/>
      <c r="J660" s="189"/>
      <c r="K660" s="189"/>
      <c r="L660" s="189"/>
      <c r="M660" s="189"/>
      <c r="N660" s="189"/>
      <c r="O660" s="189"/>
      <c r="P660" s="189"/>
      <c r="Q660" s="189"/>
      <c r="R660" s="189"/>
      <c r="S660" s="191"/>
      <c r="T660" s="208"/>
      <c r="U660" s="189"/>
      <c r="V660" s="189"/>
      <c r="W660" s="189"/>
      <c r="X660" s="189"/>
      <c r="Y660" s="189"/>
      <c r="Z660" s="189"/>
    </row>
    <row r="661" spans="1:26">
      <c r="A661" s="189"/>
      <c r="B661" s="189"/>
      <c r="C661" s="189"/>
      <c r="D661" s="189"/>
      <c r="E661" s="189"/>
      <c r="F661" s="189"/>
      <c r="G661" s="189"/>
      <c r="H661" s="190"/>
      <c r="I661" s="189"/>
      <c r="J661" s="189"/>
      <c r="K661" s="189"/>
      <c r="L661" s="189"/>
      <c r="M661" s="189"/>
      <c r="N661" s="189"/>
      <c r="O661" s="189"/>
      <c r="P661" s="189"/>
      <c r="Q661" s="189"/>
      <c r="R661" s="189"/>
      <c r="S661" s="191"/>
      <c r="T661" s="208"/>
      <c r="U661" s="189"/>
      <c r="V661" s="189"/>
      <c r="W661" s="189"/>
      <c r="X661" s="189"/>
      <c r="Y661" s="189"/>
      <c r="Z661" s="189"/>
    </row>
    <row r="662" spans="1:26">
      <c r="A662" s="189"/>
      <c r="B662" s="189"/>
      <c r="C662" s="189"/>
      <c r="D662" s="189"/>
      <c r="E662" s="189"/>
      <c r="F662" s="189"/>
      <c r="G662" s="189"/>
      <c r="H662" s="190"/>
      <c r="I662" s="189"/>
      <c r="J662" s="189"/>
      <c r="K662" s="189"/>
      <c r="L662" s="189"/>
      <c r="M662" s="189"/>
      <c r="N662" s="189"/>
      <c r="O662" s="189"/>
      <c r="P662" s="189"/>
      <c r="Q662" s="189"/>
      <c r="R662" s="189"/>
      <c r="S662" s="191"/>
      <c r="T662" s="208"/>
      <c r="U662" s="189"/>
      <c r="V662" s="189"/>
      <c r="W662" s="189"/>
      <c r="X662" s="189"/>
      <c r="Y662" s="189"/>
      <c r="Z662" s="189"/>
    </row>
    <row r="663" spans="1:26">
      <c r="A663" s="189"/>
      <c r="B663" s="189"/>
      <c r="C663" s="189"/>
      <c r="D663" s="189"/>
      <c r="E663" s="189"/>
      <c r="F663" s="189"/>
      <c r="G663" s="189"/>
      <c r="H663" s="190"/>
      <c r="I663" s="189"/>
      <c r="J663" s="189"/>
      <c r="K663" s="189"/>
      <c r="L663" s="189"/>
      <c r="M663" s="189"/>
      <c r="N663" s="189"/>
      <c r="O663" s="189"/>
      <c r="P663" s="189"/>
      <c r="Q663" s="189"/>
      <c r="R663" s="189"/>
      <c r="S663" s="191"/>
      <c r="T663" s="208"/>
      <c r="U663" s="189"/>
      <c r="V663" s="189"/>
      <c r="W663" s="189"/>
      <c r="X663" s="189"/>
      <c r="Y663" s="189"/>
      <c r="Z663" s="189"/>
    </row>
    <row r="664" spans="1:26">
      <c r="A664" s="189"/>
      <c r="B664" s="189"/>
      <c r="C664" s="189"/>
      <c r="D664" s="189"/>
      <c r="E664" s="189"/>
      <c r="F664" s="189"/>
      <c r="G664" s="189"/>
      <c r="H664" s="190"/>
      <c r="I664" s="189"/>
      <c r="J664" s="189"/>
      <c r="K664" s="189"/>
      <c r="L664" s="189"/>
      <c r="M664" s="189"/>
      <c r="N664" s="189"/>
      <c r="O664" s="189"/>
      <c r="P664" s="189"/>
      <c r="Q664" s="189"/>
      <c r="R664" s="189"/>
      <c r="S664" s="191"/>
      <c r="T664" s="208"/>
      <c r="U664" s="189"/>
      <c r="V664" s="189"/>
      <c r="W664" s="189"/>
      <c r="X664" s="189"/>
      <c r="Y664" s="189"/>
      <c r="Z664" s="189"/>
    </row>
    <row r="665" spans="1:26">
      <c r="A665" s="189"/>
      <c r="B665" s="189"/>
      <c r="C665" s="189"/>
      <c r="D665" s="189"/>
      <c r="E665" s="189"/>
      <c r="F665" s="189"/>
      <c r="G665" s="189"/>
      <c r="H665" s="190"/>
      <c r="I665" s="189"/>
      <c r="J665" s="189"/>
      <c r="K665" s="189"/>
      <c r="L665" s="189"/>
      <c r="M665" s="189"/>
      <c r="N665" s="189"/>
      <c r="O665" s="189"/>
      <c r="P665" s="189"/>
      <c r="Q665" s="189"/>
      <c r="R665" s="189"/>
      <c r="S665" s="191"/>
      <c r="T665" s="208"/>
      <c r="U665" s="189"/>
      <c r="V665" s="189"/>
      <c r="W665" s="189"/>
      <c r="X665" s="189"/>
      <c r="Y665" s="189"/>
      <c r="Z665" s="189"/>
    </row>
    <row r="666" spans="1:26">
      <c r="A666" s="189"/>
      <c r="B666" s="189"/>
      <c r="C666" s="189"/>
      <c r="D666" s="189"/>
      <c r="E666" s="189"/>
      <c r="F666" s="189"/>
      <c r="G666" s="189"/>
      <c r="H666" s="190"/>
      <c r="I666" s="189"/>
      <c r="J666" s="189"/>
      <c r="K666" s="189"/>
      <c r="L666" s="189"/>
      <c r="M666" s="189"/>
      <c r="N666" s="189"/>
      <c r="O666" s="189"/>
      <c r="P666" s="189"/>
      <c r="Q666" s="189"/>
      <c r="R666" s="189"/>
      <c r="S666" s="191"/>
      <c r="T666" s="208"/>
      <c r="U666" s="189"/>
      <c r="V666" s="189"/>
      <c r="W666" s="189"/>
      <c r="X666" s="189"/>
      <c r="Y666" s="189"/>
      <c r="Z666" s="189"/>
    </row>
    <row r="667" spans="1:26">
      <c r="A667" s="189"/>
      <c r="B667" s="189"/>
      <c r="C667" s="189"/>
      <c r="D667" s="189"/>
      <c r="E667" s="189"/>
      <c r="F667" s="189"/>
      <c r="G667" s="189"/>
      <c r="H667" s="190"/>
      <c r="I667" s="189"/>
      <c r="J667" s="189"/>
      <c r="K667" s="189"/>
      <c r="L667" s="189"/>
      <c r="M667" s="189"/>
      <c r="N667" s="189"/>
      <c r="O667" s="189"/>
      <c r="P667" s="189"/>
      <c r="Q667" s="189"/>
      <c r="R667" s="189"/>
      <c r="S667" s="191"/>
      <c r="T667" s="208"/>
      <c r="U667" s="189"/>
      <c r="V667" s="189"/>
      <c r="W667" s="189"/>
      <c r="X667" s="189"/>
      <c r="Y667" s="189"/>
      <c r="Z667" s="189"/>
    </row>
    <row r="668" spans="1:26">
      <c r="A668" s="189"/>
      <c r="B668" s="189"/>
      <c r="C668" s="189"/>
      <c r="D668" s="189"/>
      <c r="E668" s="189"/>
      <c r="F668" s="189"/>
      <c r="G668" s="189"/>
      <c r="H668" s="190"/>
      <c r="I668" s="189"/>
      <c r="J668" s="189"/>
      <c r="K668" s="189"/>
      <c r="L668" s="189"/>
      <c r="M668" s="189"/>
      <c r="N668" s="189"/>
      <c r="O668" s="189"/>
      <c r="P668" s="189"/>
      <c r="Q668" s="189"/>
      <c r="R668" s="189"/>
      <c r="S668" s="191"/>
      <c r="T668" s="208"/>
      <c r="U668" s="189"/>
      <c r="V668" s="189"/>
      <c r="W668" s="189"/>
      <c r="X668" s="189"/>
      <c r="Y668" s="189"/>
      <c r="Z668" s="189"/>
    </row>
    <row r="669" spans="1:26">
      <c r="A669" s="189"/>
      <c r="B669" s="189"/>
      <c r="C669" s="189"/>
      <c r="D669" s="189"/>
      <c r="E669" s="189"/>
      <c r="F669" s="189"/>
      <c r="G669" s="189"/>
      <c r="H669" s="190"/>
      <c r="I669" s="189"/>
      <c r="J669" s="189"/>
      <c r="K669" s="189"/>
      <c r="L669" s="189"/>
      <c r="M669" s="189"/>
      <c r="N669" s="189"/>
      <c r="O669" s="189"/>
      <c r="P669" s="189"/>
      <c r="Q669" s="189"/>
      <c r="R669" s="189"/>
      <c r="S669" s="191"/>
      <c r="T669" s="208"/>
      <c r="U669" s="189"/>
      <c r="V669" s="189"/>
      <c r="W669" s="189"/>
      <c r="X669" s="189"/>
      <c r="Y669" s="189"/>
      <c r="Z669" s="189"/>
    </row>
    <row r="670" spans="1:26">
      <c r="A670" s="189"/>
      <c r="B670" s="189"/>
      <c r="C670" s="189"/>
      <c r="D670" s="189"/>
      <c r="E670" s="189"/>
      <c r="F670" s="189"/>
      <c r="G670" s="189"/>
      <c r="H670" s="190"/>
      <c r="I670" s="189"/>
      <c r="J670" s="189"/>
      <c r="K670" s="189"/>
      <c r="L670" s="189"/>
      <c r="M670" s="189"/>
      <c r="N670" s="189"/>
      <c r="O670" s="189"/>
      <c r="P670" s="189"/>
      <c r="Q670" s="189"/>
      <c r="R670" s="189"/>
      <c r="S670" s="191"/>
      <c r="T670" s="208"/>
      <c r="U670" s="189"/>
      <c r="V670" s="189"/>
      <c r="W670" s="189"/>
      <c r="X670" s="189"/>
      <c r="Y670" s="189"/>
      <c r="Z670" s="189"/>
    </row>
    <row r="671" spans="1:26">
      <c r="A671" s="189"/>
      <c r="B671" s="189"/>
      <c r="C671" s="189"/>
      <c r="D671" s="189"/>
      <c r="E671" s="189"/>
      <c r="F671" s="189"/>
      <c r="G671" s="189"/>
      <c r="H671" s="190"/>
      <c r="I671" s="189"/>
      <c r="J671" s="189"/>
      <c r="K671" s="189"/>
      <c r="L671" s="189"/>
      <c r="M671" s="189"/>
      <c r="N671" s="189"/>
      <c r="O671" s="189"/>
      <c r="P671" s="189"/>
      <c r="Q671" s="189"/>
      <c r="R671" s="189"/>
      <c r="S671" s="191"/>
      <c r="T671" s="208"/>
      <c r="U671" s="189"/>
      <c r="V671" s="189"/>
      <c r="W671" s="189"/>
      <c r="X671" s="189"/>
      <c r="Y671" s="189"/>
      <c r="Z671" s="189"/>
    </row>
    <row r="672" spans="1:26">
      <c r="A672" s="189"/>
      <c r="B672" s="189"/>
      <c r="C672" s="189"/>
      <c r="D672" s="189"/>
      <c r="E672" s="189"/>
      <c r="F672" s="189"/>
      <c r="G672" s="189"/>
      <c r="H672" s="190"/>
      <c r="I672" s="189"/>
      <c r="J672" s="189"/>
      <c r="K672" s="189"/>
      <c r="L672" s="189"/>
      <c r="M672" s="189"/>
      <c r="N672" s="189"/>
      <c r="O672" s="189"/>
      <c r="P672" s="189"/>
      <c r="Q672" s="189"/>
      <c r="R672" s="189"/>
      <c r="S672" s="191"/>
      <c r="T672" s="208"/>
      <c r="U672" s="189"/>
      <c r="V672" s="189"/>
      <c r="W672" s="189"/>
      <c r="X672" s="189"/>
      <c r="Y672" s="189"/>
      <c r="Z672" s="189"/>
    </row>
    <row r="673" spans="1:26">
      <c r="A673" s="189"/>
      <c r="B673" s="189"/>
      <c r="C673" s="189"/>
      <c r="D673" s="189"/>
      <c r="E673" s="189"/>
      <c r="F673" s="189"/>
      <c r="G673" s="189"/>
      <c r="H673" s="190"/>
      <c r="I673" s="189"/>
      <c r="J673" s="189"/>
      <c r="K673" s="189"/>
      <c r="L673" s="189"/>
      <c r="M673" s="189"/>
      <c r="N673" s="189"/>
      <c r="O673" s="189"/>
      <c r="P673" s="189"/>
      <c r="Q673" s="189"/>
      <c r="R673" s="189"/>
      <c r="S673" s="191"/>
      <c r="T673" s="208"/>
      <c r="U673" s="189"/>
      <c r="V673" s="189"/>
      <c r="W673" s="189"/>
      <c r="X673" s="189"/>
      <c r="Y673" s="189"/>
      <c r="Z673" s="189"/>
    </row>
    <row r="674" spans="1:26">
      <c r="A674" s="189"/>
      <c r="B674" s="189"/>
      <c r="C674" s="189"/>
      <c r="D674" s="189"/>
      <c r="E674" s="189"/>
      <c r="F674" s="189"/>
      <c r="G674" s="189"/>
      <c r="H674" s="190"/>
      <c r="I674" s="189"/>
      <c r="J674" s="189"/>
      <c r="K674" s="189"/>
      <c r="L674" s="189"/>
      <c r="M674" s="189"/>
      <c r="N674" s="189"/>
      <c r="O674" s="189"/>
      <c r="P674" s="189"/>
      <c r="Q674" s="189"/>
      <c r="R674" s="189"/>
      <c r="S674" s="191"/>
      <c r="T674" s="208"/>
      <c r="U674" s="189"/>
      <c r="V674" s="189"/>
      <c r="W674" s="189"/>
      <c r="X674" s="189"/>
      <c r="Y674" s="189"/>
      <c r="Z674" s="189"/>
    </row>
    <row r="675" spans="1:26">
      <c r="A675" s="189"/>
      <c r="B675" s="189"/>
      <c r="C675" s="189"/>
      <c r="D675" s="189"/>
      <c r="E675" s="189"/>
      <c r="F675" s="189"/>
      <c r="G675" s="189"/>
      <c r="H675" s="190"/>
      <c r="I675" s="189"/>
      <c r="J675" s="189"/>
      <c r="K675" s="189"/>
      <c r="L675" s="189"/>
      <c r="M675" s="189"/>
      <c r="N675" s="189"/>
      <c r="O675" s="189"/>
      <c r="P675" s="189"/>
      <c r="Q675" s="189"/>
      <c r="R675" s="189"/>
      <c r="S675" s="191"/>
      <c r="T675" s="208"/>
      <c r="U675" s="189"/>
      <c r="V675" s="189"/>
      <c r="W675" s="189"/>
      <c r="X675" s="189"/>
      <c r="Y675" s="189"/>
      <c r="Z675" s="189"/>
    </row>
    <row r="676" spans="1:26">
      <c r="A676" s="189"/>
      <c r="B676" s="189"/>
      <c r="C676" s="189"/>
      <c r="D676" s="189"/>
      <c r="E676" s="189"/>
      <c r="F676" s="189"/>
      <c r="G676" s="189"/>
      <c r="H676" s="190"/>
      <c r="I676" s="189"/>
      <c r="J676" s="189"/>
      <c r="K676" s="189"/>
      <c r="L676" s="189"/>
      <c r="M676" s="189"/>
      <c r="N676" s="189"/>
      <c r="O676" s="189"/>
      <c r="P676" s="189"/>
      <c r="Q676" s="189"/>
      <c r="R676" s="189"/>
      <c r="S676" s="191"/>
      <c r="T676" s="208"/>
      <c r="U676" s="189"/>
      <c r="V676" s="189"/>
      <c r="W676" s="189"/>
      <c r="X676" s="189"/>
      <c r="Y676" s="189"/>
      <c r="Z676" s="189"/>
    </row>
    <row r="677" spans="1:26">
      <c r="A677" s="189"/>
      <c r="B677" s="189"/>
      <c r="C677" s="189"/>
      <c r="D677" s="189"/>
      <c r="E677" s="189"/>
      <c r="F677" s="189"/>
      <c r="G677" s="189"/>
      <c r="H677" s="190"/>
      <c r="I677" s="189"/>
      <c r="J677" s="189"/>
      <c r="K677" s="189"/>
      <c r="L677" s="189"/>
      <c r="M677" s="189"/>
      <c r="N677" s="189"/>
      <c r="O677" s="189"/>
      <c r="P677" s="189"/>
      <c r="Q677" s="189"/>
      <c r="R677" s="189"/>
      <c r="S677" s="191"/>
      <c r="T677" s="208"/>
      <c r="U677" s="189"/>
      <c r="V677" s="189"/>
      <c r="W677" s="189"/>
      <c r="X677" s="189"/>
      <c r="Y677" s="189"/>
      <c r="Z677" s="189"/>
    </row>
    <row r="678" spans="1:26">
      <c r="A678" s="189"/>
      <c r="B678" s="189"/>
      <c r="C678" s="189"/>
      <c r="D678" s="189"/>
      <c r="E678" s="189"/>
      <c r="F678" s="189"/>
      <c r="G678" s="189"/>
      <c r="H678" s="190"/>
      <c r="I678" s="189"/>
      <c r="J678" s="189"/>
      <c r="K678" s="189"/>
      <c r="L678" s="189"/>
      <c r="M678" s="189"/>
      <c r="N678" s="189"/>
      <c r="O678" s="189"/>
      <c r="P678" s="189"/>
      <c r="Q678" s="189"/>
      <c r="R678" s="189"/>
      <c r="S678" s="191"/>
      <c r="T678" s="208"/>
      <c r="U678" s="189"/>
      <c r="V678" s="189"/>
      <c r="W678" s="189"/>
      <c r="X678" s="189"/>
      <c r="Y678" s="189"/>
      <c r="Z678" s="189"/>
    </row>
    <row r="679" spans="1:26">
      <c r="A679" s="189"/>
      <c r="B679" s="189"/>
      <c r="C679" s="189"/>
      <c r="D679" s="189"/>
      <c r="E679" s="189"/>
      <c r="F679" s="189"/>
      <c r="G679" s="189"/>
      <c r="H679" s="190"/>
      <c r="I679" s="189"/>
      <c r="J679" s="189"/>
      <c r="K679" s="189"/>
      <c r="L679" s="189"/>
      <c r="M679" s="189"/>
      <c r="N679" s="189"/>
      <c r="O679" s="189"/>
      <c r="P679" s="189"/>
      <c r="Q679" s="189"/>
      <c r="R679" s="189"/>
      <c r="S679" s="191"/>
      <c r="T679" s="208"/>
      <c r="U679" s="189"/>
      <c r="V679" s="189"/>
      <c r="W679" s="189"/>
      <c r="X679" s="189"/>
      <c r="Y679" s="189"/>
      <c r="Z679" s="189"/>
    </row>
    <row r="680" spans="1:26">
      <c r="A680" s="189"/>
      <c r="B680" s="189"/>
      <c r="C680" s="189"/>
      <c r="D680" s="189"/>
      <c r="E680" s="189"/>
      <c r="F680" s="189"/>
      <c r="G680" s="189"/>
      <c r="H680" s="190"/>
      <c r="I680" s="189"/>
      <c r="J680" s="189"/>
      <c r="K680" s="189"/>
      <c r="L680" s="189"/>
      <c r="M680" s="189"/>
      <c r="N680" s="189"/>
      <c r="O680" s="189"/>
      <c r="P680" s="189"/>
      <c r="Q680" s="189"/>
      <c r="R680" s="189"/>
      <c r="S680" s="191"/>
      <c r="T680" s="208"/>
      <c r="U680" s="189"/>
      <c r="V680" s="189"/>
      <c r="W680" s="189"/>
      <c r="X680" s="189"/>
      <c r="Y680" s="189"/>
      <c r="Z680" s="189"/>
    </row>
    <row r="681" spans="1:26">
      <c r="A681" s="189"/>
      <c r="B681" s="189"/>
      <c r="C681" s="189"/>
      <c r="D681" s="189"/>
      <c r="E681" s="189"/>
      <c r="F681" s="189"/>
      <c r="G681" s="189"/>
      <c r="H681" s="190"/>
      <c r="I681" s="189"/>
      <c r="J681" s="189"/>
      <c r="K681" s="189"/>
      <c r="L681" s="189"/>
      <c r="M681" s="189"/>
      <c r="N681" s="189"/>
      <c r="O681" s="189"/>
      <c r="P681" s="189"/>
      <c r="Q681" s="189"/>
      <c r="R681" s="189"/>
      <c r="S681" s="191"/>
      <c r="T681" s="208"/>
      <c r="U681" s="189"/>
      <c r="V681" s="189"/>
      <c r="W681" s="189"/>
      <c r="X681" s="189"/>
      <c r="Y681" s="189"/>
      <c r="Z681" s="189"/>
    </row>
    <row r="682" spans="1:26">
      <c r="A682" s="189"/>
      <c r="B682" s="189"/>
      <c r="C682" s="189"/>
      <c r="D682" s="189"/>
      <c r="E682" s="189"/>
      <c r="F682" s="189"/>
      <c r="G682" s="189"/>
      <c r="H682" s="190"/>
      <c r="I682" s="189"/>
      <c r="J682" s="189"/>
      <c r="K682" s="189"/>
      <c r="L682" s="189"/>
      <c r="M682" s="189"/>
      <c r="N682" s="189"/>
      <c r="O682" s="189"/>
      <c r="P682" s="189"/>
      <c r="Q682" s="189"/>
      <c r="R682" s="189"/>
      <c r="S682" s="191"/>
      <c r="T682" s="208"/>
      <c r="U682" s="189"/>
      <c r="V682" s="189"/>
      <c r="W682" s="189"/>
      <c r="X682" s="189"/>
      <c r="Y682" s="189"/>
      <c r="Z682" s="189"/>
    </row>
    <row r="683" spans="1:26">
      <c r="A683" s="189"/>
      <c r="B683" s="189"/>
      <c r="C683" s="189"/>
      <c r="D683" s="189"/>
      <c r="E683" s="189"/>
      <c r="F683" s="189"/>
      <c r="G683" s="189"/>
      <c r="H683" s="190"/>
      <c r="I683" s="189"/>
      <c r="J683" s="189"/>
      <c r="K683" s="189"/>
      <c r="L683" s="189"/>
      <c r="M683" s="189"/>
      <c r="N683" s="189"/>
      <c r="O683" s="189"/>
      <c r="P683" s="189"/>
      <c r="Q683" s="189"/>
      <c r="R683" s="189"/>
      <c r="S683" s="191"/>
      <c r="T683" s="208"/>
      <c r="U683" s="189"/>
      <c r="V683" s="189"/>
      <c r="W683" s="189"/>
      <c r="X683" s="189"/>
      <c r="Y683" s="189"/>
      <c r="Z683" s="189"/>
    </row>
    <row r="684" spans="1:26">
      <c r="A684" s="189"/>
      <c r="B684" s="189"/>
      <c r="C684" s="189"/>
      <c r="D684" s="189"/>
      <c r="E684" s="189"/>
      <c r="F684" s="189"/>
      <c r="G684" s="189"/>
      <c r="H684" s="190"/>
      <c r="I684" s="189"/>
      <c r="J684" s="189"/>
      <c r="K684" s="189"/>
      <c r="L684" s="189"/>
      <c r="M684" s="189"/>
      <c r="N684" s="189"/>
      <c r="O684" s="189"/>
      <c r="P684" s="189"/>
      <c r="Q684" s="189"/>
      <c r="R684" s="189"/>
      <c r="S684" s="191"/>
      <c r="T684" s="208"/>
      <c r="U684" s="189"/>
      <c r="V684" s="189"/>
      <c r="W684" s="189"/>
      <c r="X684" s="189"/>
      <c r="Y684" s="189"/>
      <c r="Z684" s="189"/>
    </row>
    <row r="685" spans="1:26">
      <c r="A685" s="189"/>
      <c r="B685" s="189"/>
      <c r="C685" s="189"/>
      <c r="D685" s="189"/>
      <c r="E685" s="189"/>
      <c r="F685" s="189"/>
      <c r="G685" s="189"/>
      <c r="H685" s="190"/>
      <c r="I685" s="189"/>
      <c r="J685" s="189"/>
      <c r="K685" s="189"/>
      <c r="L685" s="189"/>
      <c r="M685" s="189"/>
      <c r="N685" s="189"/>
      <c r="O685" s="189"/>
      <c r="P685" s="189"/>
      <c r="Q685" s="189"/>
      <c r="R685" s="189"/>
      <c r="S685" s="191"/>
      <c r="T685" s="208"/>
      <c r="U685" s="189"/>
      <c r="V685" s="189"/>
      <c r="W685" s="189"/>
      <c r="X685" s="189"/>
      <c r="Y685" s="189"/>
      <c r="Z685" s="189"/>
    </row>
    <row r="686" spans="1:26">
      <c r="A686" s="189"/>
      <c r="B686" s="189"/>
      <c r="C686" s="189"/>
      <c r="D686" s="189"/>
      <c r="E686" s="189"/>
      <c r="F686" s="189"/>
      <c r="G686" s="189"/>
      <c r="H686" s="190"/>
      <c r="I686" s="189"/>
      <c r="J686" s="189"/>
      <c r="K686" s="189"/>
      <c r="L686" s="189"/>
      <c r="M686" s="189"/>
      <c r="N686" s="189"/>
      <c r="O686" s="189"/>
      <c r="P686" s="189"/>
      <c r="Q686" s="189"/>
      <c r="R686" s="189"/>
      <c r="S686" s="191"/>
      <c r="T686" s="208"/>
      <c r="U686" s="189"/>
      <c r="V686" s="189"/>
      <c r="W686" s="189"/>
      <c r="X686" s="189"/>
      <c r="Y686" s="189"/>
      <c r="Z686" s="189"/>
    </row>
    <row r="687" spans="1:26">
      <c r="A687" s="189"/>
      <c r="B687" s="189"/>
      <c r="C687" s="189"/>
      <c r="D687" s="189"/>
      <c r="E687" s="189"/>
      <c r="F687" s="189"/>
      <c r="G687" s="189"/>
      <c r="H687" s="190"/>
      <c r="I687" s="189"/>
      <c r="J687" s="189"/>
      <c r="K687" s="189"/>
      <c r="L687" s="189"/>
      <c r="M687" s="189"/>
      <c r="N687" s="189"/>
      <c r="O687" s="189"/>
      <c r="P687" s="189"/>
      <c r="Q687" s="189"/>
      <c r="R687" s="189"/>
      <c r="S687" s="191"/>
      <c r="T687" s="208"/>
      <c r="U687" s="189"/>
      <c r="V687" s="189"/>
      <c r="W687" s="189"/>
      <c r="X687" s="189"/>
      <c r="Y687" s="189"/>
      <c r="Z687" s="189"/>
    </row>
    <row r="688" spans="1:26">
      <c r="A688" s="189"/>
      <c r="B688" s="189"/>
      <c r="C688" s="189"/>
      <c r="D688" s="189"/>
      <c r="E688" s="189"/>
      <c r="F688" s="189"/>
      <c r="G688" s="189"/>
      <c r="H688" s="190"/>
      <c r="I688" s="189"/>
      <c r="J688" s="189"/>
      <c r="K688" s="189"/>
      <c r="L688" s="189"/>
      <c r="M688" s="189"/>
      <c r="N688" s="189"/>
      <c r="O688" s="189"/>
      <c r="P688" s="189"/>
      <c r="Q688" s="189"/>
      <c r="R688" s="189"/>
      <c r="S688" s="191"/>
      <c r="T688" s="208"/>
      <c r="U688" s="189"/>
      <c r="V688" s="189"/>
      <c r="W688" s="189"/>
      <c r="X688" s="189"/>
      <c r="Y688" s="189"/>
      <c r="Z688" s="189"/>
    </row>
    <row r="689" spans="1:26">
      <c r="A689" s="189"/>
      <c r="B689" s="189"/>
      <c r="C689" s="189"/>
      <c r="D689" s="189"/>
      <c r="E689" s="189"/>
      <c r="F689" s="189"/>
      <c r="G689" s="189"/>
      <c r="H689" s="190"/>
      <c r="I689" s="189"/>
      <c r="J689" s="189"/>
      <c r="K689" s="189"/>
      <c r="L689" s="189"/>
      <c r="M689" s="189"/>
      <c r="N689" s="189"/>
      <c r="O689" s="189"/>
      <c r="P689" s="189"/>
      <c r="Q689" s="189"/>
      <c r="R689" s="189"/>
      <c r="S689" s="191"/>
      <c r="T689" s="208"/>
      <c r="U689" s="189"/>
      <c r="V689" s="189"/>
      <c r="W689" s="189"/>
      <c r="X689" s="189"/>
      <c r="Y689" s="189"/>
      <c r="Z689" s="189"/>
    </row>
    <row r="690" spans="1:26">
      <c r="A690" s="189"/>
      <c r="B690" s="189"/>
      <c r="C690" s="189"/>
      <c r="D690" s="189"/>
      <c r="E690" s="189"/>
      <c r="F690" s="189"/>
      <c r="G690" s="189"/>
      <c r="H690" s="190"/>
      <c r="I690" s="189"/>
      <c r="J690" s="189"/>
      <c r="K690" s="189"/>
      <c r="L690" s="189"/>
      <c r="M690" s="189"/>
      <c r="N690" s="189"/>
      <c r="O690" s="189"/>
      <c r="P690" s="189"/>
      <c r="Q690" s="189"/>
      <c r="R690" s="189"/>
      <c r="S690" s="191"/>
      <c r="T690" s="208"/>
      <c r="U690" s="189"/>
      <c r="V690" s="189"/>
      <c r="W690" s="189"/>
      <c r="X690" s="189"/>
      <c r="Y690" s="189"/>
      <c r="Z690" s="189"/>
    </row>
    <row r="691" spans="1:26">
      <c r="A691" s="189"/>
      <c r="B691" s="189"/>
      <c r="C691" s="189"/>
      <c r="D691" s="189"/>
      <c r="E691" s="189"/>
      <c r="F691" s="189"/>
      <c r="G691" s="189"/>
      <c r="H691" s="190"/>
      <c r="I691" s="189"/>
      <c r="J691" s="189"/>
      <c r="K691" s="189"/>
      <c r="L691" s="189"/>
      <c r="M691" s="189"/>
      <c r="N691" s="189"/>
      <c r="O691" s="189"/>
      <c r="P691" s="189"/>
      <c r="Q691" s="189"/>
      <c r="R691" s="189"/>
      <c r="S691" s="191"/>
      <c r="T691" s="208"/>
      <c r="U691" s="189"/>
      <c r="V691" s="189"/>
      <c r="W691" s="189"/>
      <c r="X691" s="189"/>
      <c r="Y691" s="189"/>
      <c r="Z691" s="189"/>
    </row>
    <row r="692" spans="1:26">
      <c r="A692" s="189"/>
      <c r="B692" s="189"/>
      <c r="C692" s="189"/>
      <c r="D692" s="189"/>
      <c r="E692" s="189"/>
      <c r="F692" s="189"/>
      <c r="G692" s="189"/>
      <c r="H692" s="190"/>
      <c r="I692" s="189"/>
      <c r="J692" s="189"/>
      <c r="K692" s="189"/>
      <c r="L692" s="189"/>
      <c r="M692" s="189"/>
      <c r="N692" s="189"/>
      <c r="O692" s="189"/>
      <c r="P692" s="189"/>
      <c r="Q692" s="189"/>
      <c r="R692" s="189"/>
      <c r="S692" s="191"/>
      <c r="T692" s="208"/>
      <c r="U692" s="189"/>
      <c r="V692" s="189"/>
      <c r="W692" s="189"/>
      <c r="X692" s="189"/>
      <c r="Y692" s="189"/>
      <c r="Z692" s="189"/>
    </row>
    <row r="693" spans="1:26">
      <c r="A693" s="189"/>
      <c r="B693" s="189"/>
      <c r="C693" s="189"/>
      <c r="D693" s="189"/>
      <c r="E693" s="189"/>
      <c r="F693" s="189"/>
      <c r="G693" s="189"/>
      <c r="H693" s="190"/>
      <c r="I693" s="189"/>
      <c r="J693" s="189"/>
      <c r="K693" s="189"/>
      <c r="L693" s="189"/>
      <c r="M693" s="189"/>
      <c r="N693" s="189"/>
      <c r="O693" s="189"/>
      <c r="P693" s="189"/>
      <c r="Q693" s="189"/>
      <c r="R693" s="189"/>
      <c r="S693" s="191"/>
      <c r="T693" s="208"/>
      <c r="U693" s="189"/>
      <c r="V693" s="189"/>
      <c r="W693" s="189"/>
      <c r="X693" s="189"/>
      <c r="Y693" s="189"/>
      <c r="Z693" s="189"/>
    </row>
    <row r="694" spans="1:26">
      <c r="A694" s="189"/>
      <c r="B694" s="189"/>
      <c r="C694" s="189"/>
      <c r="D694" s="189"/>
      <c r="E694" s="189"/>
      <c r="F694" s="189"/>
      <c r="G694" s="189"/>
      <c r="H694" s="190"/>
      <c r="I694" s="189"/>
      <c r="J694" s="189"/>
      <c r="K694" s="189"/>
      <c r="L694" s="189"/>
      <c r="M694" s="189"/>
      <c r="N694" s="189"/>
      <c r="O694" s="189"/>
      <c r="P694" s="189"/>
      <c r="Q694" s="189"/>
      <c r="R694" s="189"/>
      <c r="S694" s="191"/>
      <c r="T694" s="208"/>
      <c r="U694" s="189"/>
      <c r="V694" s="189"/>
      <c r="W694" s="189"/>
      <c r="X694" s="189"/>
      <c r="Y694" s="189"/>
      <c r="Z694" s="189"/>
    </row>
    <row r="695" spans="1:26">
      <c r="A695" s="189"/>
      <c r="B695" s="189"/>
      <c r="C695" s="189"/>
      <c r="D695" s="189"/>
      <c r="E695" s="189"/>
      <c r="F695" s="189"/>
      <c r="G695" s="189"/>
      <c r="H695" s="190"/>
      <c r="I695" s="189"/>
      <c r="J695" s="189"/>
      <c r="K695" s="189"/>
      <c r="L695" s="189"/>
      <c r="M695" s="189"/>
      <c r="N695" s="189"/>
      <c r="O695" s="189"/>
      <c r="P695" s="189"/>
      <c r="Q695" s="189"/>
      <c r="R695" s="189"/>
      <c r="S695" s="191"/>
      <c r="T695" s="208"/>
      <c r="U695" s="189"/>
      <c r="V695" s="189"/>
      <c r="W695" s="189"/>
      <c r="X695" s="189"/>
      <c r="Y695" s="189"/>
      <c r="Z695" s="189"/>
    </row>
    <row r="696" spans="1:26">
      <c r="A696" s="189"/>
      <c r="B696" s="189"/>
      <c r="C696" s="189"/>
      <c r="D696" s="189"/>
      <c r="E696" s="189"/>
      <c r="F696" s="189"/>
      <c r="G696" s="189"/>
      <c r="H696" s="190"/>
      <c r="I696" s="189"/>
      <c r="J696" s="189"/>
      <c r="K696" s="189"/>
      <c r="L696" s="189"/>
      <c r="M696" s="189"/>
      <c r="N696" s="189"/>
      <c r="O696" s="189"/>
      <c r="P696" s="189"/>
      <c r="Q696" s="189"/>
      <c r="R696" s="189"/>
      <c r="S696" s="191"/>
      <c r="T696" s="208"/>
      <c r="U696" s="189"/>
      <c r="V696" s="189"/>
      <c r="W696" s="189"/>
      <c r="X696" s="189"/>
      <c r="Y696" s="189"/>
      <c r="Z696" s="189"/>
    </row>
    <row r="697" spans="1:26">
      <c r="A697" s="189"/>
      <c r="B697" s="189"/>
      <c r="C697" s="189"/>
      <c r="D697" s="189"/>
      <c r="E697" s="189"/>
      <c r="F697" s="189"/>
      <c r="G697" s="189"/>
      <c r="H697" s="190"/>
      <c r="I697" s="189"/>
      <c r="J697" s="189"/>
      <c r="K697" s="189"/>
      <c r="L697" s="189"/>
      <c r="M697" s="189"/>
      <c r="N697" s="189"/>
      <c r="O697" s="189"/>
      <c r="P697" s="189"/>
      <c r="Q697" s="189"/>
      <c r="R697" s="189"/>
      <c r="S697" s="191"/>
      <c r="T697" s="208"/>
      <c r="U697" s="189"/>
      <c r="V697" s="189"/>
      <c r="W697" s="189"/>
      <c r="X697" s="189"/>
      <c r="Y697" s="189"/>
      <c r="Z697" s="189"/>
    </row>
    <row r="698" spans="1:26">
      <c r="A698" s="189"/>
      <c r="B698" s="189"/>
      <c r="C698" s="189"/>
      <c r="D698" s="189"/>
      <c r="E698" s="189"/>
      <c r="F698" s="189"/>
      <c r="G698" s="189"/>
      <c r="H698" s="190"/>
      <c r="I698" s="189"/>
      <c r="J698" s="189"/>
      <c r="K698" s="189"/>
      <c r="L698" s="189"/>
      <c r="M698" s="189"/>
      <c r="N698" s="189"/>
      <c r="O698" s="189"/>
      <c r="P698" s="189"/>
      <c r="Q698" s="189"/>
      <c r="R698" s="189"/>
      <c r="S698" s="191"/>
      <c r="T698" s="208"/>
      <c r="U698" s="189"/>
      <c r="V698" s="189"/>
      <c r="W698" s="189"/>
      <c r="X698" s="189"/>
      <c r="Y698" s="189"/>
      <c r="Z698" s="189"/>
    </row>
    <row r="699" spans="1:26">
      <c r="A699" s="189"/>
      <c r="B699" s="189"/>
      <c r="C699" s="189"/>
      <c r="D699" s="189"/>
      <c r="E699" s="189"/>
      <c r="F699" s="189"/>
      <c r="G699" s="189"/>
      <c r="H699" s="190"/>
      <c r="I699" s="189"/>
      <c r="J699" s="189"/>
      <c r="K699" s="189"/>
      <c r="L699" s="189"/>
      <c r="M699" s="189"/>
      <c r="N699" s="189"/>
      <c r="O699" s="189"/>
      <c r="P699" s="189"/>
      <c r="Q699" s="189"/>
      <c r="R699" s="189"/>
      <c r="S699" s="191"/>
      <c r="T699" s="208"/>
      <c r="U699" s="189"/>
      <c r="V699" s="189"/>
      <c r="W699" s="189"/>
      <c r="X699" s="189"/>
      <c r="Y699" s="189"/>
      <c r="Z699" s="189"/>
    </row>
    <row r="700" spans="1:26">
      <c r="A700" s="189"/>
      <c r="B700" s="189"/>
      <c r="C700" s="189"/>
      <c r="D700" s="189"/>
      <c r="E700" s="189"/>
      <c r="F700" s="189"/>
      <c r="G700" s="189"/>
      <c r="H700" s="190"/>
      <c r="I700" s="189"/>
      <c r="J700" s="189"/>
      <c r="K700" s="189"/>
      <c r="L700" s="189"/>
      <c r="M700" s="189"/>
      <c r="N700" s="189"/>
      <c r="O700" s="189"/>
      <c r="P700" s="189"/>
      <c r="Q700" s="189"/>
      <c r="R700" s="189"/>
      <c r="S700" s="191"/>
      <c r="T700" s="208"/>
      <c r="U700" s="189"/>
      <c r="V700" s="189"/>
      <c r="W700" s="189"/>
      <c r="X700" s="189"/>
      <c r="Y700" s="189"/>
      <c r="Z700" s="189"/>
    </row>
    <row r="701" spans="1:26">
      <c r="A701" s="189"/>
      <c r="B701" s="189"/>
      <c r="C701" s="189"/>
      <c r="D701" s="189"/>
      <c r="E701" s="189"/>
      <c r="F701" s="189"/>
      <c r="G701" s="189"/>
      <c r="H701" s="190"/>
      <c r="I701" s="189"/>
      <c r="J701" s="189"/>
      <c r="K701" s="189"/>
      <c r="L701" s="189"/>
      <c r="M701" s="189"/>
      <c r="N701" s="189"/>
      <c r="O701" s="189"/>
      <c r="P701" s="189"/>
      <c r="Q701" s="189"/>
      <c r="R701" s="189"/>
      <c r="S701" s="191"/>
      <c r="T701" s="208"/>
      <c r="U701" s="189"/>
      <c r="V701" s="189"/>
      <c r="W701" s="189"/>
      <c r="X701" s="189"/>
      <c r="Y701" s="189"/>
      <c r="Z701" s="189"/>
    </row>
    <row r="702" spans="1:26">
      <c r="A702" s="189"/>
      <c r="B702" s="189"/>
      <c r="C702" s="189"/>
      <c r="D702" s="189"/>
      <c r="E702" s="189"/>
      <c r="F702" s="189"/>
      <c r="G702" s="189"/>
      <c r="H702" s="190"/>
      <c r="I702" s="189"/>
      <c r="J702" s="189"/>
      <c r="K702" s="189"/>
      <c r="L702" s="189"/>
      <c r="M702" s="189"/>
      <c r="N702" s="189"/>
      <c r="O702" s="189"/>
      <c r="P702" s="189"/>
      <c r="Q702" s="189"/>
      <c r="R702" s="189"/>
      <c r="S702" s="191"/>
      <c r="T702" s="208"/>
      <c r="U702" s="189"/>
      <c r="V702" s="189"/>
      <c r="W702" s="189"/>
      <c r="X702" s="189"/>
      <c r="Y702" s="189"/>
      <c r="Z702" s="189"/>
    </row>
    <row r="703" spans="1:26">
      <c r="A703" s="189"/>
      <c r="B703" s="189"/>
      <c r="C703" s="189"/>
      <c r="D703" s="189"/>
      <c r="E703" s="189"/>
      <c r="F703" s="189"/>
      <c r="G703" s="189"/>
      <c r="H703" s="190"/>
      <c r="I703" s="189"/>
      <c r="J703" s="189"/>
      <c r="K703" s="189"/>
      <c r="L703" s="189"/>
      <c r="M703" s="189"/>
      <c r="N703" s="189"/>
      <c r="O703" s="189"/>
      <c r="P703" s="189"/>
      <c r="Q703" s="189"/>
      <c r="R703" s="189"/>
      <c r="S703" s="191"/>
      <c r="T703" s="208"/>
      <c r="U703" s="189"/>
      <c r="V703" s="189"/>
      <c r="W703" s="189"/>
      <c r="X703" s="189"/>
      <c r="Y703" s="189"/>
      <c r="Z703" s="189"/>
    </row>
    <row r="704" spans="1:26">
      <c r="A704" s="189"/>
      <c r="B704" s="189"/>
      <c r="C704" s="189"/>
      <c r="D704" s="189"/>
      <c r="E704" s="189"/>
      <c r="F704" s="189"/>
      <c r="G704" s="189"/>
      <c r="H704" s="190"/>
      <c r="I704" s="189"/>
      <c r="J704" s="189"/>
      <c r="K704" s="189"/>
      <c r="L704" s="189"/>
      <c r="M704" s="189"/>
      <c r="N704" s="189"/>
      <c r="O704" s="189"/>
      <c r="P704" s="189"/>
      <c r="Q704" s="189"/>
      <c r="R704" s="189"/>
      <c r="S704" s="191"/>
      <c r="T704" s="208"/>
      <c r="U704" s="189"/>
      <c r="V704" s="189"/>
      <c r="W704" s="189"/>
      <c r="X704" s="189"/>
      <c r="Y704" s="189"/>
      <c r="Z704" s="189"/>
    </row>
    <row r="705" spans="1:26">
      <c r="A705" s="189"/>
      <c r="B705" s="189"/>
      <c r="C705" s="189"/>
      <c r="D705" s="189"/>
      <c r="E705" s="189"/>
      <c r="F705" s="189"/>
      <c r="G705" s="189"/>
      <c r="H705" s="190"/>
      <c r="I705" s="189"/>
      <c r="J705" s="189"/>
      <c r="K705" s="189"/>
      <c r="L705" s="189"/>
      <c r="M705" s="189"/>
      <c r="N705" s="189"/>
      <c r="O705" s="189"/>
      <c r="P705" s="189"/>
      <c r="Q705" s="189"/>
      <c r="R705" s="189"/>
      <c r="S705" s="191"/>
      <c r="T705" s="208"/>
      <c r="U705" s="189"/>
      <c r="V705" s="189"/>
      <c r="W705" s="189"/>
      <c r="X705" s="189"/>
      <c r="Y705" s="189"/>
      <c r="Z705" s="189"/>
    </row>
    <row r="706" spans="1:26">
      <c r="A706" s="189"/>
      <c r="B706" s="189"/>
      <c r="C706" s="189"/>
      <c r="D706" s="189"/>
      <c r="E706" s="189"/>
      <c r="F706" s="189"/>
      <c r="G706" s="189"/>
      <c r="H706" s="190"/>
      <c r="I706" s="189"/>
      <c r="J706" s="189"/>
      <c r="K706" s="189"/>
      <c r="L706" s="189"/>
      <c r="M706" s="189"/>
      <c r="N706" s="189"/>
      <c r="O706" s="189"/>
      <c r="P706" s="189"/>
      <c r="Q706" s="189"/>
      <c r="R706" s="189"/>
      <c r="S706" s="191"/>
      <c r="T706" s="208"/>
      <c r="U706" s="189"/>
      <c r="V706" s="189"/>
      <c r="W706" s="189"/>
      <c r="X706" s="189"/>
      <c r="Y706" s="189"/>
      <c r="Z706" s="189"/>
    </row>
    <row r="707" spans="1:26">
      <c r="A707" s="189"/>
      <c r="B707" s="189"/>
      <c r="C707" s="189"/>
      <c r="D707" s="189"/>
      <c r="E707" s="189"/>
      <c r="F707" s="189"/>
      <c r="G707" s="189"/>
      <c r="H707" s="190"/>
      <c r="I707" s="189"/>
      <c r="J707" s="189"/>
      <c r="K707" s="189"/>
      <c r="L707" s="189"/>
      <c r="M707" s="189"/>
      <c r="N707" s="189"/>
      <c r="O707" s="189"/>
      <c r="P707" s="189"/>
      <c r="Q707" s="189"/>
      <c r="R707" s="189"/>
      <c r="S707" s="191"/>
      <c r="T707" s="208"/>
      <c r="U707" s="189"/>
      <c r="V707" s="189"/>
      <c r="W707" s="189"/>
      <c r="X707" s="189"/>
      <c r="Y707" s="189"/>
      <c r="Z707" s="189"/>
    </row>
    <row r="708" spans="1:26">
      <c r="A708" s="189"/>
      <c r="B708" s="189"/>
      <c r="C708" s="189"/>
      <c r="D708" s="189"/>
      <c r="E708" s="189"/>
      <c r="F708" s="189"/>
      <c r="G708" s="189"/>
      <c r="H708" s="190"/>
      <c r="I708" s="189"/>
      <c r="J708" s="189"/>
      <c r="K708" s="189"/>
      <c r="L708" s="189"/>
      <c r="M708" s="189"/>
      <c r="N708" s="189"/>
      <c r="O708" s="189"/>
      <c r="P708" s="189"/>
      <c r="Q708" s="189"/>
      <c r="R708" s="189"/>
      <c r="S708" s="191"/>
      <c r="T708" s="208"/>
      <c r="U708" s="189"/>
      <c r="V708" s="189"/>
      <c r="W708" s="189"/>
      <c r="X708" s="189"/>
      <c r="Y708" s="189"/>
      <c r="Z708" s="189"/>
    </row>
    <row r="709" spans="1:26">
      <c r="A709" s="189"/>
      <c r="B709" s="189"/>
      <c r="C709" s="189"/>
      <c r="D709" s="189"/>
      <c r="E709" s="189"/>
      <c r="F709" s="189"/>
      <c r="G709" s="189"/>
      <c r="H709" s="190"/>
      <c r="I709" s="189"/>
      <c r="J709" s="189"/>
      <c r="K709" s="189"/>
      <c r="L709" s="189"/>
      <c r="M709" s="189"/>
      <c r="N709" s="189"/>
      <c r="O709" s="189"/>
      <c r="P709" s="189"/>
      <c r="Q709" s="189"/>
      <c r="R709" s="189"/>
      <c r="S709" s="191"/>
      <c r="T709" s="208"/>
      <c r="U709" s="189"/>
      <c r="V709" s="189"/>
      <c r="W709" s="189"/>
      <c r="X709" s="189"/>
      <c r="Y709" s="189"/>
      <c r="Z709" s="189"/>
    </row>
    <row r="710" spans="1:26">
      <c r="A710" s="189"/>
      <c r="B710" s="189"/>
      <c r="C710" s="189"/>
      <c r="D710" s="189"/>
      <c r="E710" s="189"/>
      <c r="F710" s="189"/>
      <c r="G710" s="189"/>
      <c r="H710" s="190"/>
      <c r="I710" s="189"/>
      <c r="J710" s="189"/>
      <c r="K710" s="189"/>
      <c r="L710" s="189"/>
      <c r="M710" s="189"/>
      <c r="N710" s="189"/>
      <c r="O710" s="189"/>
      <c r="P710" s="189"/>
      <c r="Q710" s="189"/>
      <c r="R710" s="189"/>
      <c r="S710" s="191"/>
      <c r="T710" s="208"/>
      <c r="U710" s="189"/>
      <c r="V710" s="189"/>
      <c r="W710" s="189"/>
      <c r="X710" s="189"/>
      <c r="Y710" s="189"/>
      <c r="Z710" s="189"/>
    </row>
    <row r="711" spans="1:26">
      <c r="A711" s="189"/>
      <c r="B711" s="189"/>
      <c r="C711" s="189"/>
      <c r="D711" s="189"/>
      <c r="E711" s="189"/>
      <c r="F711" s="189"/>
      <c r="G711" s="189"/>
      <c r="H711" s="190"/>
      <c r="I711" s="189"/>
      <c r="J711" s="189"/>
      <c r="K711" s="189"/>
      <c r="L711" s="189"/>
      <c r="M711" s="189"/>
      <c r="N711" s="189"/>
      <c r="O711" s="189"/>
      <c r="P711" s="189"/>
      <c r="Q711" s="189"/>
      <c r="R711" s="189"/>
      <c r="S711" s="191"/>
      <c r="T711" s="208"/>
      <c r="U711" s="189"/>
      <c r="V711" s="189"/>
      <c r="W711" s="189"/>
      <c r="X711" s="189"/>
      <c r="Y711" s="189"/>
      <c r="Z711" s="189"/>
    </row>
    <row r="712" spans="1:26">
      <c r="A712" s="189"/>
      <c r="B712" s="189"/>
      <c r="C712" s="189"/>
      <c r="D712" s="189"/>
      <c r="E712" s="189"/>
      <c r="F712" s="189"/>
      <c r="G712" s="189"/>
      <c r="H712" s="190"/>
      <c r="I712" s="189"/>
      <c r="J712" s="189"/>
      <c r="K712" s="189"/>
      <c r="L712" s="189"/>
      <c r="M712" s="189"/>
      <c r="N712" s="189"/>
      <c r="O712" s="189"/>
      <c r="P712" s="189"/>
      <c r="Q712" s="189"/>
      <c r="R712" s="189"/>
      <c r="S712" s="191"/>
      <c r="T712" s="208"/>
      <c r="U712" s="189"/>
      <c r="V712" s="189"/>
      <c r="W712" s="189"/>
      <c r="X712" s="189"/>
      <c r="Y712" s="189"/>
      <c r="Z712" s="189"/>
    </row>
    <row r="713" spans="1:26">
      <c r="A713" s="189"/>
      <c r="B713" s="189"/>
      <c r="C713" s="189"/>
      <c r="D713" s="189"/>
      <c r="E713" s="189"/>
      <c r="F713" s="189"/>
      <c r="G713" s="189"/>
      <c r="H713" s="190"/>
      <c r="I713" s="189"/>
      <c r="J713" s="189"/>
      <c r="K713" s="189"/>
      <c r="L713" s="189"/>
      <c r="M713" s="189"/>
      <c r="N713" s="189"/>
      <c r="O713" s="189"/>
      <c r="P713" s="189"/>
      <c r="Q713" s="189"/>
      <c r="R713" s="189"/>
      <c r="S713" s="191"/>
      <c r="T713" s="208"/>
      <c r="U713" s="189"/>
      <c r="V713" s="189"/>
      <c r="W713" s="189"/>
      <c r="X713" s="189"/>
      <c r="Y713" s="189"/>
      <c r="Z713" s="189"/>
    </row>
    <row r="714" spans="1:26">
      <c r="A714" s="189"/>
      <c r="B714" s="189"/>
      <c r="C714" s="189"/>
      <c r="D714" s="189"/>
      <c r="E714" s="189"/>
      <c r="F714" s="189"/>
      <c r="G714" s="189"/>
      <c r="H714" s="190"/>
      <c r="I714" s="189"/>
      <c r="J714" s="189"/>
      <c r="K714" s="189"/>
      <c r="L714" s="189"/>
      <c r="M714" s="189"/>
      <c r="N714" s="189"/>
      <c r="O714" s="189"/>
      <c r="P714" s="189"/>
      <c r="Q714" s="189"/>
      <c r="R714" s="189"/>
      <c r="S714" s="191"/>
      <c r="T714" s="208"/>
      <c r="U714" s="189"/>
      <c r="V714" s="189"/>
      <c r="W714" s="189"/>
      <c r="X714" s="189"/>
      <c r="Y714" s="189"/>
      <c r="Z714" s="189"/>
    </row>
    <row r="715" spans="1:26">
      <c r="A715" s="189"/>
      <c r="B715" s="189"/>
      <c r="C715" s="189"/>
      <c r="D715" s="189"/>
      <c r="E715" s="189"/>
      <c r="F715" s="189"/>
      <c r="G715" s="189"/>
      <c r="H715" s="190"/>
      <c r="I715" s="189"/>
      <c r="J715" s="189"/>
      <c r="K715" s="189"/>
      <c r="L715" s="189"/>
      <c r="M715" s="189"/>
      <c r="N715" s="189"/>
      <c r="O715" s="189"/>
      <c r="P715" s="189"/>
      <c r="Q715" s="189"/>
      <c r="R715" s="189"/>
      <c r="S715" s="191"/>
      <c r="T715" s="208"/>
      <c r="U715" s="189"/>
      <c r="V715" s="189"/>
      <c r="W715" s="189"/>
      <c r="X715" s="189"/>
      <c r="Y715" s="189"/>
      <c r="Z715" s="189"/>
    </row>
    <row r="716" spans="1:26">
      <c r="A716" s="189"/>
      <c r="B716" s="189"/>
      <c r="C716" s="189"/>
      <c r="D716" s="189"/>
      <c r="E716" s="189"/>
      <c r="F716" s="189"/>
      <c r="G716" s="189"/>
      <c r="H716" s="190"/>
      <c r="I716" s="189"/>
      <c r="J716" s="189"/>
      <c r="K716" s="189"/>
      <c r="L716" s="189"/>
      <c r="M716" s="189"/>
      <c r="N716" s="189"/>
      <c r="O716" s="189"/>
      <c r="P716" s="189"/>
      <c r="Q716" s="189"/>
      <c r="R716" s="189"/>
      <c r="S716" s="191"/>
      <c r="T716" s="208"/>
      <c r="U716" s="189"/>
      <c r="V716" s="189"/>
      <c r="W716" s="189"/>
      <c r="X716" s="189"/>
      <c r="Y716" s="189"/>
      <c r="Z716" s="189"/>
    </row>
    <row r="717" spans="1:26">
      <c r="A717" s="189"/>
      <c r="B717" s="189"/>
      <c r="C717" s="189"/>
      <c r="D717" s="189"/>
      <c r="E717" s="189"/>
      <c r="F717" s="189"/>
      <c r="G717" s="189"/>
      <c r="H717" s="190"/>
      <c r="I717" s="189"/>
      <c r="J717" s="189"/>
      <c r="K717" s="189"/>
      <c r="L717" s="189"/>
      <c r="M717" s="189"/>
      <c r="N717" s="189"/>
      <c r="O717" s="189"/>
      <c r="P717" s="189"/>
      <c r="Q717" s="189"/>
      <c r="R717" s="189"/>
      <c r="S717" s="191"/>
      <c r="T717" s="208"/>
      <c r="U717" s="189"/>
      <c r="V717" s="189"/>
      <c r="W717" s="189"/>
      <c r="X717" s="189"/>
      <c r="Y717" s="189"/>
      <c r="Z717" s="189"/>
    </row>
    <row r="718" spans="1:26">
      <c r="A718" s="189"/>
      <c r="B718" s="189"/>
      <c r="C718" s="189"/>
      <c r="D718" s="189"/>
      <c r="E718" s="189"/>
      <c r="F718" s="189"/>
      <c r="G718" s="189"/>
      <c r="H718" s="190"/>
      <c r="I718" s="189"/>
      <c r="J718" s="189"/>
      <c r="K718" s="189"/>
      <c r="L718" s="189"/>
      <c r="M718" s="189"/>
      <c r="N718" s="189"/>
      <c r="O718" s="189"/>
      <c r="P718" s="189"/>
      <c r="Q718" s="189"/>
      <c r="R718" s="189"/>
      <c r="S718" s="191"/>
      <c r="T718" s="208"/>
      <c r="U718" s="189"/>
      <c r="V718" s="189"/>
      <c r="W718" s="189"/>
      <c r="X718" s="189"/>
      <c r="Y718" s="189"/>
      <c r="Z718" s="189"/>
    </row>
    <row r="719" spans="1:26">
      <c r="A719" s="189"/>
      <c r="B719" s="189"/>
      <c r="C719" s="189"/>
      <c r="D719" s="189"/>
      <c r="E719" s="189"/>
      <c r="F719" s="189"/>
      <c r="G719" s="189"/>
      <c r="H719" s="190"/>
      <c r="I719" s="189"/>
      <c r="J719" s="189"/>
      <c r="K719" s="189"/>
      <c r="L719" s="189"/>
      <c r="M719" s="189"/>
      <c r="N719" s="189"/>
      <c r="O719" s="189"/>
      <c r="P719" s="189"/>
      <c r="Q719" s="189"/>
      <c r="R719" s="189"/>
      <c r="S719" s="191"/>
      <c r="T719" s="208"/>
      <c r="U719" s="189"/>
      <c r="V719" s="189"/>
      <c r="W719" s="189"/>
      <c r="X719" s="189"/>
      <c r="Y719" s="189"/>
      <c r="Z719" s="189"/>
    </row>
    <row r="720" spans="1:26">
      <c r="A720" s="189"/>
      <c r="B720" s="189"/>
      <c r="C720" s="189"/>
      <c r="D720" s="189"/>
      <c r="E720" s="189"/>
      <c r="F720" s="189"/>
      <c r="G720" s="189"/>
      <c r="H720" s="190"/>
      <c r="I720" s="189"/>
      <c r="J720" s="189"/>
      <c r="K720" s="189"/>
      <c r="L720" s="189"/>
      <c r="M720" s="189"/>
      <c r="N720" s="189"/>
      <c r="O720" s="189"/>
      <c r="P720" s="189"/>
      <c r="Q720" s="189"/>
      <c r="R720" s="189"/>
      <c r="S720" s="191"/>
      <c r="T720" s="208"/>
      <c r="U720" s="189"/>
      <c r="V720" s="189"/>
      <c r="W720" s="189"/>
      <c r="X720" s="189"/>
      <c r="Y720" s="189"/>
      <c r="Z720" s="189"/>
    </row>
    <row r="721" spans="1:26">
      <c r="A721" s="189"/>
      <c r="B721" s="189"/>
      <c r="C721" s="189"/>
      <c r="D721" s="189"/>
      <c r="E721" s="189"/>
      <c r="F721" s="189"/>
      <c r="G721" s="189"/>
      <c r="H721" s="190"/>
      <c r="I721" s="189"/>
      <c r="J721" s="189"/>
      <c r="K721" s="189"/>
      <c r="L721" s="189"/>
      <c r="M721" s="189"/>
      <c r="N721" s="189"/>
      <c r="O721" s="189"/>
      <c r="P721" s="189"/>
      <c r="Q721" s="189"/>
      <c r="R721" s="189"/>
      <c r="S721" s="191"/>
      <c r="T721" s="208"/>
      <c r="U721" s="189"/>
      <c r="V721" s="189"/>
      <c r="W721" s="189"/>
      <c r="X721" s="189"/>
      <c r="Y721" s="189"/>
      <c r="Z721" s="189"/>
    </row>
    <row r="722" spans="1:26">
      <c r="A722" s="189"/>
      <c r="B722" s="189"/>
      <c r="C722" s="189"/>
      <c r="D722" s="189"/>
      <c r="E722" s="189"/>
      <c r="F722" s="189"/>
      <c r="G722" s="189"/>
      <c r="H722" s="190"/>
      <c r="I722" s="189"/>
      <c r="J722" s="189"/>
      <c r="K722" s="189"/>
      <c r="L722" s="189"/>
      <c r="M722" s="189"/>
      <c r="N722" s="189"/>
      <c r="O722" s="189"/>
      <c r="P722" s="189"/>
      <c r="Q722" s="189"/>
      <c r="R722" s="189"/>
      <c r="S722" s="191"/>
      <c r="T722" s="208"/>
      <c r="U722" s="189"/>
      <c r="V722" s="189"/>
      <c r="W722" s="189"/>
      <c r="X722" s="189"/>
      <c r="Y722" s="189"/>
      <c r="Z722" s="189"/>
    </row>
    <row r="723" spans="1:26">
      <c r="A723" s="189"/>
      <c r="B723" s="189"/>
      <c r="C723" s="189"/>
      <c r="D723" s="189"/>
      <c r="E723" s="189"/>
      <c r="F723" s="189"/>
      <c r="G723" s="189"/>
      <c r="H723" s="190"/>
      <c r="I723" s="189"/>
      <c r="J723" s="189"/>
      <c r="K723" s="189"/>
      <c r="L723" s="189"/>
      <c r="M723" s="189"/>
      <c r="N723" s="189"/>
      <c r="O723" s="189"/>
      <c r="P723" s="189"/>
      <c r="Q723" s="189"/>
      <c r="R723" s="189"/>
      <c r="S723" s="191"/>
      <c r="T723" s="208"/>
      <c r="U723" s="189"/>
      <c r="V723" s="189"/>
      <c r="W723" s="189"/>
      <c r="X723" s="189"/>
      <c r="Y723" s="189"/>
      <c r="Z723" s="189"/>
    </row>
    <row r="724" spans="1:26">
      <c r="A724" s="189"/>
      <c r="B724" s="189"/>
      <c r="C724" s="189"/>
      <c r="D724" s="189"/>
      <c r="E724" s="189"/>
      <c r="F724" s="189"/>
      <c r="G724" s="189"/>
      <c r="H724" s="190"/>
      <c r="I724" s="189"/>
      <c r="J724" s="189"/>
      <c r="K724" s="189"/>
      <c r="L724" s="189"/>
      <c r="M724" s="189"/>
      <c r="N724" s="189"/>
      <c r="O724" s="189"/>
      <c r="P724" s="189"/>
      <c r="Q724" s="189"/>
      <c r="R724" s="189"/>
      <c r="S724" s="191"/>
      <c r="T724" s="208"/>
      <c r="U724" s="189"/>
      <c r="V724" s="189"/>
      <c r="W724" s="189"/>
      <c r="X724" s="189"/>
      <c r="Y724" s="189"/>
      <c r="Z724" s="189"/>
    </row>
    <row r="725" spans="1:26">
      <c r="A725" s="189"/>
      <c r="B725" s="189"/>
      <c r="C725" s="189"/>
      <c r="D725" s="189"/>
      <c r="E725" s="189"/>
      <c r="F725" s="189"/>
      <c r="G725" s="189"/>
      <c r="H725" s="190"/>
      <c r="I725" s="189"/>
      <c r="J725" s="189"/>
      <c r="K725" s="189"/>
      <c r="L725" s="189"/>
      <c r="M725" s="189"/>
      <c r="N725" s="189"/>
      <c r="O725" s="189"/>
      <c r="P725" s="189"/>
      <c r="Q725" s="189"/>
      <c r="R725" s="189"/>
      <c r="S725" s="191"/>
      <c r="T725" s="208"/>
      <c r="U725" s="189"/>
      <c r="V725" s="189"/>
      <c r="W725" s="189"/>
      <c r="X725" s="189"/>
      <c r="Y725" s="189"/>
      <c r="Z725" s="189"/>
    </row>
    <row r="726" spans="1:26">
      <c r="A726" s="189"/>
      <c r="B726" s="189"/>
      <c r="C726" s="189"/>
      <c r="D726" s="189"/>
      <c r="E726" s="189"/>
      <c r="F726" s="189"/>
      <c r="G726" s="189"/>
      <c r="H726" s="190"/>
      <c r="I726" s="189"/>
      <c r="J726" s="189"/>
      <c r="K726" s="189"/>
      <c r="L726" s="189"/>
      <c r="M726" s="189"/>
      <c r="N726" s="189"/>
      <c r="O726" s="189"/>
      <c r="P726" s="189"/>
      <c r="Q726" s="189"/>
      <c r="R726" s="189"/>
      <c r="S726" s="191"/>
      <c r="T726" s="208"/>
      <c r="U726" s="189"/>
      <c r="V726" s="189"/>
      <c r="W726" s="189"/>
      <c r="X726" s="189"/>
      <c r="Y726" s="189"/>
      <c r="Z726" s="189"/>
    </row>
    <row r="727" spans="1:26">
      <c r="A727" s="189"/>
      <c r="B727" s="189"/>
      <c r="C727" s="189"/>
      <c r="D727" s="189"/>
      <c r="E727" s="189"/>
      <c r="F727" s="189"/>
      <c r="G727" s="189"/>
      <c r="H727" s="190"/>
      <c r="I727" s="189"/>
      <c r="J727" s="189"/>
      <c r="K727" s="189"/>
      <c r="L727" s="189"/>
      <c r="M727" s="189"/>
      <c r="N727" s="189"/>
      <c r="O727" s="189"/>
      <c r="P727" s="189"/>
      <c r="Q727" s="189"/>
      <c r="R727" s="189"/>
      <c r="S727" s="191"/>
      <c r="T727" s="208"/>
      <c r="U727" s="189"/>
      <c r="V727" s="189"/>
      <c r="W727" s="189"/>
      <c r="X727" s="189"/>
      <c r="Y727" s="189"/>
      <c r="Z727" s="189"/>
    </row>
    <row r="728" spans="1:26">
      <c r="A728" s="189"/>
      <c r="B728" s="189"/>
      <c r="C728" s="189"/>
      <c r="D728" s="189"/>
      <c r="E728" s="189"/>
      <c r="F728" s="189"/>
      <c r="G728" s="189"/>
      <c r="H728" s="190"/>
      <c r="I728" s="189"/>
      <c r="J728" s="189"/>
      <c r="K728" s="189"/>
      <c r="L728" s="189"/>
      <c r="M728" s="189"/>
      <c r="N728" s="189"/>
      <c r="O728" s="189"/>
      <c r="P728" s="189"/>
      <c r="Q728" s="189"/>
      <c r="R728" s="189"/>
      <c r="S728" s="191"/>
      <c r="T728" s="208"/>
      <c r="U728" s="189"/>
      <c r="V728" s="189"/>
      <c r="W728" s="189"/>
      <c r="X728" s="189"/>
      <c r="Y728" s="189"/>
      <c r="Z728" s="189"/>
    </row>
    <row r="729" spans="1:26">
      <c r="A729" s="189"/>
      <c r="B729" s="189"/>
      <c r="C729" s="189"/>
      <c r="D729" s="189"/>
      <c r="E729" s="189"/>
      <c r="F729" s="189"/>
      <c r="G729" s="189"/>
      <c r="H729" s="190"/>
      <c r="I729" s="189"/>
      <c r="J729" s="189"/>
      <c r="K729" s="189"/>
      <c r="L729" s="189"/>
      <c r="M729" s="189"/>
      <c r="N729" s="189"/>
      <c r="O729" s="189"/>
      <c r="P729" s="189"/>
      <c r="Q729" s="189"/>
      <c r="R729" s="189"/>
      <c r="S729" s="191"/>
      <c r="T729" s="208"/>
      <c r="U729" s="189"/>
      <c r="V729" s="189"/>
      <c r="W729" s="189"/>
      <c r="X729" s="189"/>
      <c r="Y729" s="189"/>
      <c r="Z729" s="189"/>
    </row>
    <row r="730" spans="1:26">
      <c r="A730" s="189"/>
      <c r="B730" s="189"/>
      <c r="C730" s="189"/>
      <c r="D730" s="189"/>
      <c r="E730" s="189"/>
      <c r="F730" s="189"/>
      <c r="G730" s="189"/>
      <c r="H730" s="190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91"/>
      <c r="T730" s="208"/>
      <c r="U730" s="189"/>
      <c r="V730" s="189"/>
      <c r="W730" s="189"/>
      <c r="X730" s="189"/>
      <c r="Y730" s="189"/>
      <c r="Z730" s="189"/>
    </row>
    <row r="731" spans="1:26">
      <c r="A731" s="189"/>
      <c r="B731" s="189"/>
      <c r="C731" s="189"/>
      <c r="D731" s="189"/>
      <c r="E731" s="189"/>
      <c r="F731" s="189"/>
      <c r="G731" s="189"/>
      <c r="H731" s="190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91"/>
      <c r="T731" s="208"/>
      <c r="U731" s="189"/>
      <c r="V731" s="189"/>
      <c r="W731" s="189"/>
      <c r="X731" s="189"/>
      <c r="Y731" s="189"/>
      <c r="Z731" s="189"/>
    </row>
    <row r="732" spans="1:26">
      <c r="A732" s="189"/>
      <c r="B732" s="189"/>
      <c r="C732" s="189"/>
      <c r="D732" s="189"/>
      <c r="E732" s="189"/>
      <c r="F732" s="189"/>
      <c r="G732" s="189"/>
      <c r="H732" s="190"/>
      <c r="I732" s="189"/>
      <c r="J732" s="189"/>
      <c r="K732" s="189"/>
      <c r="L732" s="189"/>
      <c r="M732" s="189"/>
      <c r="N732" s="189"/>
      <c r="O732" s="189"/>
      <c r="P732" s="189"/>
      <c r="Q732" s="189"/>
      <c r="R732" s="189"/>
      <c r="S732" s="191"/>
      <c r="T732" s="208"/>
      <c r="U732" s="189"/>
      <c r="V732" s="189"/>
      <c r="W732" s="189"/>
      <c r="X732" s="189"/>
      <c r="Y732" s="189"/>
      <c r="Z732" s="189"/>
    </row>
    <row r="733" spans="1:26">
      <c r="A733" s="189"/>
      <c r="B733" s="189"/>
      <c r="C733" s="189"/>
      <c r="D733" s="189"/>
      <c r="E733" s="189"/>
      <c r="F733" s="189"/>
      <c r="G733" s="189"/>
      <c r="H733" s="190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91"/>
      <c r="T733" s="208"/>
      <c r="U733" s="189"/>
      <c r="V733" s="189"/>
      <c r="W733" s="189"/>
      <c r="X733" s="189"/>
      <c r="Y733" s="189"/>
      <c r="Z733" s="189"/>
    </row>
    <row r="734" spans="1:26">
      <c r="A734" s="189"/>
      <c r="B734" s="189"/>
      <c r="C734" s="189"/>
      <c r="D734" s="189"/>
      <c r="E734" s="189"/>
      <c r="F734" s="189"/>
      <c r="G734" s="189"/>
      <c r="H734" s="190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91"/>
      <c r="T734" s="208"/>
      <c r="U734" s="189"/>
      <c r="V734" s="189"/>
      <c r="W734" s="189"/>
      <c r="X734" s="189"/>
      <c r="Y734" s="189"/>
      <c r="Z734" s="189"/>
    </row>
    <row r="735" spans="1:26">
      <c r="A735" s="189"/>
      <c r="B735" s="189"/>
      <c r="C735" s="189"/>
      <c r="D735" s="189"/>
      <c r="E735" s="189"/>
      <c r="F735" s="189"/>
      <c r="G735" s="189"/>
      <c r="H735" s="190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91"/>
      <c r="T735" s="208"/>
      <c r="U735" s="189"/>
      <c r="V735" s="189"/>
      <c r="W735" s="189"/>
      <c r="X735" s="189"/>
      <c r="Y735" s="189"/>
      <c r="Z735" s="189"/>
    </row>
    <row r="736" spans="1:26">
      <c r="A736" s="189"/>
      <c r="B736" s="189"/>
      <c r="C736" s="189"/>
      <c r="D736" s="189"/>
      <c r="E736" s="189"/>
      <c r="F736" s="189"/>
      <c r="G736" s="189"/>
      <c r="H736" s="190"/>
      <c r="I736" s="189"/>
      <c r="J736" s="189"/>
      <c r="K736" s="189"/>
      <c r="L736" s="189"/>
      <c r="M736" s="189"/>
      <c r="N736" s="189"/>
      <c r="O736" s="189"/>
      <c r="P736" s="189"/>
      <c r="Q736" s="189"/>
      <c r="R736" s="189"/>
      <c r="S736" s="191"/>
      <c r="T736" s="208"/>
      <c r="U736" s="189"/>
      <c r="V736" s="189"/>
      <c r="W736" s="189"/>
      <c r="X736" s="189"/>
      <c r="Y736" s="189"/>
      <c r="Z736" s="189"/>
    </row>
    <row r="737" spans="1:26">
      <c r="A737" s="189"/>
      <c r="B737" s="189"/>
      <c r="C737" s="189"/>
      <c r="D737" s="189"/>
      <c r="E737" s="189"/>
      <c r="F737" s="189"/>
      <c r="G737" s="189"/>
      <c r="H737" s="190"/>
      <c r="I737" s="189"/>
      <c r="J737" s="189"/>
      <c r="K737" s="189"/>
      <c r="L737" s="189"/>
      <c r="M737" s="189"/>
      <c r="N737" s="189"/>
      <c r="O737" s="189"/>
      <c r="P737" s="189"/>
      <c r="Q737" s="189"/>
      <c r="R737" s="189"/>
      <c r="S737" s="191"/>
      <c r="T737" s="208"/>
      <c r="U737" s="189"/>
      <c r="V737" s="189"/>
      <c r="W737" s="189"/>
      <c r="X737" s="189"/>
      <c r="Y737" s="189"/>
      <c r="Z737" s="189"/>
    </row>
    <row r="738" spans="1:26">
      <c r="A738" s="189"/>
      <c r="B738" s="189"/>
      <c r="C738" s="189"/>
      <c r="D738" s="189"/>
      <c r="E738" s="189"/>
      <c r="F738" s="189"/>
      <c r="G738" s="189"/>
      <c r="H738" s="190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91"/>
      <c r="T738" s="208"/>
      <c r="U738" s="189"/>
      <c r="V738" s="189"/>
      <c r="W738" s="189"/>
      <c r="X738" s="189"/>
      <c r="Y738" s="189"/>
      <c r="Z738" s="189"/>
    </row>
    <row r="739" spans="1:26">
      <c r="A739" s="189"/>
      <c r="B739" s="189"/>
      <c r="C739" s="189"/>
      <c r="D739" s="189"/>
      <c r="E739" s="189"/>
      <c r="F739" s="189"/>
      <c r="G739" s="189"/>
      <c r="H739" s="190"/>
      <c r="I739" s="189"/>
      <c r="J739" s="189"/>
      <c r="K739" s="189"/>
      <c r="L739" s="189"/>
      <c r="M739" s="189"/>
      <c r="N739" s="189"/>
      <c r="O739" s="189"/>
      <c r="P739" s="189"/>
      <c r="Q739" s="189"/>
      <c r="R739" s="189"/>
      <c r="S739" s="191"/>
      <c r="T739" s="208"/>
      <c r="U739" s="189"/>
      <c r="V739" s="189"/>
      <c r="W739" s="189"/>
      <c r="X739" s="189"/>
      <c r="Y739" s="189"/>
      <c r="Z739" s="189"/>
    </row>
    <row r="740" spans="1:26">
      <c r="A740" s="189"/>
      <c r="B740" s="189"/>
      <c r="C740" s="189"/>
      <c r="D740" s="189"/>
      <c r="E740" s="189"/>
      <c r="F740" s="189"/>
      <c r="G740" s="189"/>
      <c r="H740" s="190"/>
      <c r="I740" s="189"/>
      <c r="J740" s="189"/>
      <c r="K740" s="189"/>
      <c r="L740" s="189"/>
      <c r="M740" s="189"/>
      <c r="N740" s="189"/>
      <c r="O740" s="189"/>
      <c r="P740" s="189"/>
      <c r="Q740" s="189"/>
      <c r="R740" s="189"/>
      <c r="S740" s="191"/>
      <c r="T740" s="208"/>
      <c r="U740" s="189"/>
      <c r="V740" s="189"/>
      <c r="W740" s="189"/>
      <c r="X740" s="189"/>
      <c r="Y740" s="189"/>
      <c r="Z740" s="189"/>
    </row>
    <row r="741" spans="1:26">
      <c r="A741" s="189"/>
      <c r="B741" s="189"/>
      <c r="C741" s="189"/>
      <c r="D741" s="189"/>
      <c r="E741" s="189"/>
      <c r="F741" s="189"/>
      <c r="G741" s="189"/>
      <c r="H741" s="190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91"/>
      <c r="T741" s="208"/>
      <c r="U741" s="189"/>
      <c r="V741" s="189"/>
      <c r="W741" s="189"/>
      <c r="X741" s="189"/>
      <c r="Y741" s="189"/>
      <c r="Z741" s="189"/>
    </row>
    <row r="742" spans="1:26">
      <c r="A742" s="189"/>
      <c r="B742" s="189"/>
      <c r="C742" s="189"/>
      <c r="D742" s="189"/>
      <c r="E742" s="189"/>
      <c r="F742" s="189"/>
      <c r="G742" s="189"/>
      <c r="H742" s="190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91"/>
      <c r="T742" s="208"/>
      <c r="U742" s="189"/>
      <c r="V742" s="189"/>
      <c r="W742" s="189"/>
      <c r="X742" s="189"/>
      <c r="Y742" s="189"/>
      <c r="Z742" s="189"/>
    </row>
    <row r="743" spans="1:26">
      <c r="A743" s="189"/>
      <c r="B743" s="189"/>
      <c r="C743" s="189"/>
      <c r="D743" s="189"/>
      <c r="E743" s="189"/>
      <c r="F743" s="189"/>
      <c r="G743" s="189"/>
      <c r="H743" s="190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91"/>
      <c r="T743" s="208"/>
      <c r="U743" s="189"/>
      <c r="V743" s="189"/>
      <c r="W743" s="189"/>
      <c r="X743" s="189"/>
      <c r="Y743" s="189"/>
      <c r="Z743" s="189"/>
    </row>
    <row r="744" spans="1:26">
      <c r="A744" s="189"/>
      <c r="B744" s="189"/>
      <c r="C744" s="189"/>
      <c r="D744" s="189"/>
      <c r="E744" s="189"/>
      <c r="F744" s="189"/>
      <c r="G744" s="189"/>
      <c r="H744" s="190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91"/>
      <c r="T744" s="208"/>
      <c r="U744" s="189"/>
      <c r="V744" s="189"/>
      <c r="W744" s="189"/>
      <c r="X744" s="189"/>
      <c r="Y744" s="189"/>
      <c r="Z744" s="189"/>
    </row>
    <row r="745" spans="1:26">
      <c r="A745" s="189"/>
      <c r="B745" s="189"/>
      <c r="C745" s="189"/>
      <c r="D745" s="189"/>
      <c r="E745" s="189"/>
      <c r="F745" s="189"/>
      <c r="G745" s="189"/>
      <c r="H745" s="190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91"/>
      <c r="T745" s="208"/>
      <c r="U745" s="189"/>
      <c r="V745" s="189"/>
      <c r="W745" s="189"/>
      <c r="X745" s="189"/>
      <c r="Y745" s="189"/>
      <c r="Z745" s="189"/>
    </row>
    <row r="746" spans="1:26">
      <c r="A746" s="189"/>
      <c r="B746" s="189"/>
      <c r="C746" s="189"/>
      <c r="D746" s="189"/>
      <c r="E746" s="189"/>
      <c r="F746" s="189"/>
      <c r="G746" s="189"/>
      <c r="H746" s="190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91"/>
      <c r="T746" s="208"/>
      <c r="U746" s="189"/>
      <c r="V746" s="189"/>
      <c r="W746" s="189"/>
      <c r="X746" s="189"/>
      <c r="Y746" s="189"/>
      <c r="Z746" s="189"/>
    </row>
    <row r="747" spans="1:26">
      <c r="A747" s="189"/>
      <c r="B747" s="189"/>
      <c r="C747" s="189"/>
      <c r="D747" s="189"/>
      <c r="E747" s="189"/>
      <c r="F747" s="189"/>
      <c r="G747" s="189"/>
      <c r="H747" s="190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91"/>
      <c r="T747" s="208"/>
      <c r="U747" s="189"/>
      <c r="V747" s="189"/>
      <c r="W747" s="189"/>
      <c r="X747" s="189"/>
      <c r="Y747" s="189"/>
      <c r="Z747" s="189"/>
    </row>
    <row r="748" spans="1:26">
      <c r="A748" s="189"/>
      <c r="B748" s="189"/>
      <c r="C748" s="189"/>
      <c r="D748" s="189"/>
      <c r="E748" s="189"/>
      <c r="F748" s="189"/>
      <c r="G748" s="189"/>
      <c r="H748" s="190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91"/>
      <c r="T748" s="208"/>
      <c r="U748" s="189"/>
      <c r="V748" s="189"/>
      <c r="W748" s="189"/>
      <c r="X748" s="189"/>
      <c r="Y748" s="189"/>
      <c r="Z748" s="189"/>
    </row>
    <row r="749" spans="1:26">
      <c r="A749" s="189"/>
      <c r="B749" s="189"/>
      <c r="C749" s="189"/>
      <c r="D749" s="189"/>
      <c r="E749" s="189"/>
      <c r="F749" s="189"/>
      <c r="G749" s="189"/>
      <c r="H749" s="190"/>
      <c r="I749" s="189"/>
      <c r="J749" s="189"/>
      <c r="K749" s="189"/>
      <c r="L749" s="189"/>
      <c r="M749" s="189"/>
      <c r="N749" s="189"/>
      <c r="O749" s="189"/>
      <c r="P749" s="189"/>
      <c r="Q749" s="189"/>
      <c r="R749" s="189"/>
      <c r="S749" s="191"/>
      <c r="T749" s="208"/>
      <c r="U749" s="189"/>
      <c r="V749" s="189"/>
      <c r="W749" s="189"/>
      <c r="X749" s="189"/>
      <c r="Y749" s="189"/>
      <c r="Z749" s="189"/>
    </row>
    <row r="750" spans="1:26">
      <c r="A750" s="189"/>
      <c r="B750" s="189"/>
      <c r="C750" s="189"/>
      <c r="D750" s="189"/>
      <c r="E750" s="189"/>
      <c r="F750" s="189"/>
      <c r="G750" s="189"/>
      <c r="H750" s="190"/>
      <c r="I750" s="189"/>
      <c r="J750" s="189"/>
      <c r="K750" s="189"/>
      <c r="L750" s="189"/>
      <c r="M750" s="189"/>
      <c r="N750" s="189"/>
      <c r="O750" s="189"/>
      <c r="P750" s="189"/>
      <c r="Q750" s="189"/>
      <c r="R750" s="189"/>
      <c r="S750" s="191"/>
      <c r="T750" s="208"/>
      <c r="U750" s="189"/>
      <c r="V750" s="189"/>
      <c r="W750" s="189"/>
      <c r="X750" s="189"/>
      <c r="Y750" s="189"/>
      <c r="Z750" s="189"/>
    </row>
    <row r="751" spans="1:26">
      <c r="A751" s="189"/>
      <c r="B751" s="189"/>
      <c r="C751" s="189"/>
      <c r="D751" s="189"/>
      <c r="E751" s="189"/>
      <c r="F751" s="189"/>
      <c r="G751" s="189"/>
      <c r="H751" s="190"/>
      <c r="I751" s="189"/>
      <c r="J751" s="189"/>
      <c r="K751" s="189"/>
      <c r="L751" s="189"/>
      <c r="M751" s="189"/>
      <c r="N751" s="189"/>
      <c r="O751" s="189"/>
      <c r="P751" s="189"/>
      <c r="Q751" s="189"/>
      <c r="R751" s="189"/>
      <c r="S751" s="191"/>
      <c r="T751" s="208"/>
      <c r="U751" s="189"/>
      <c r="V751" s="189"/>
      <c r="W751" s="189"/>
      <c r="X751" s="189"/>
      <c r="Y751" s="189"/>
      <c r="Z751" s="189"/>
    </row>
    <row r="752" spans="1:26">
      <c r="A752" s="189"/>
      <c r="B752" s="189"/>
      <c r="C752" s="189"/>
      <c r="D752" s="189"/>
      <c r="E752" s="189"/>
      <c r="F752" s="189"/>
      <c r="G752" s="189"/>
      <c r="H752" s="190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91"/>
      <c r="T752" s="208"/>
      <c r="U752" s="189"/>
      <c r="V752" s="189"/>
      <c r="W752" s="189"/>
      <c r="X752" s="189"/>
      <c r="Y752" s="189"/>
      <c r="Z752" s="189"/>
    </row>
    <row r="753" spans="1:26">
      <c r="A753" s="189"/>
      <c r="B753" s="189"/>
      <c r="C753" s="189"/>
      <c r="D753" s="189"/>
      <c r="E753" s="189"/>
      <c r="F753" s="189"/>
      <c r="G753" s="189"/>
      <c r="H753" s="190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91"/>
      <c r="T753" s="208"/>
      <c r="U753" s="189"/>
      <c r="V753" s="189"/>
      <c r="W753" s="189"/>
      <c r="X753" s="189"/>
      <c r="Y753" s="189"/>
      <c r="Z753" s="189"/>
    </row>
    <row r="754" spans="1:26">
      <c r="A754" s="189"/>
      <c r="B754" s="189"/>
      <c r="C754" s="189"/>
      <c r="D754" s="189"/>
      <c r="E754" s="189"/>
      <c r="F754" s="189"/>
      <c r="G754" s="189"/>
      <c r="H754" s="190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91"/>
      <c r="T754" s="208"/>
      <c r="U754" s="189"/>
      <c r="V754" s="189"/>
      <c r="W754" s="189"/>
      <c r="X754" s="189"/>
      <c r="Y754" s="189"/>
      <c r="Z754" s="189"/>
    </row>
    <row r="755" spans="1:26">
      <c r="A755" s="189"/>
      <c r="B755" s="189"/>
      <c r="C755" s="189"/>
      <c r="D755" s="189"/>
      <c r="E755" s="189"/>
      <c r="F755" s="189"/>
      <c r="G755" s="189"/>
      <c r="H755" s="190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91"/>
      <c r="T755" s="208"/>
      <c r="U755" s="189"/>
      <c r="V755" s="189"/>
      <c r="W755" s="189"/>
      <c r="X755" s="189"/>
      <c r="Y755" s="189"/>
      <c r="Z755" s="189"/>
    </row>
    <row r="756" spans="1:26">
      <c r="A756" s="189"/>
      <c r="B756" s="189"/>
      <c r="C756" s="189"/>
      <c r="D756" s="189"/>
      <c r="E756" s="189"/>
      <c r="F756" s="189"/>
      <c r="G756" s="189"/>
      <c r="H756" s="190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91"/>
      <c r="T756" s="208"/>
      <c r="U756" s="189"/>
      <c r="V756" s="189"/>
      <c r="W756" s="189"/>
      <c r="X756" s="189"/>
      <c r="Y756" s="189"/>
      <c r="Z756" s="189"/>
    </row>
    <row r="757" spans="1:26">
      <c r="A757" s="189"/>
      <c r="B757" s="189"/>
      <c r="C757" s="189"/>
      <c r="D757" s="189"/>
      <c r="E757" s="189"/>
      <c r="F757" s="189"/>
      <c r="G757" s="189"/>
      <c r="H757" s="190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91"/>
      <c r="T757" s="208"/>
      <c r="U757" s="189"/>
      <c r="V757" s="189"/>
      <c r="W757" s="189"/>
      <c r="X757" s="189"/>
      <c r="Y757" s="189"/>
      <c r="Z757" s="189"/>
    </row>
    <row r="758" spans="1:26">
      <c r="A758" s="189"/>
      <c r="B758" s="189"/>
      <c r="C758" s="189"/>
      <c r="D758" s="189"/>
      <c r="E758" s="189"/>
      <c r="F758" s="189"/>
      <c r="G758" s="189"/>
      <c r="H758" s="190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91"/>
      <c r="T758" s="208"/>
      <c r="U758" s="189"/>
      <c r="V758" s="189"/>
      <c r="W758" s="189"/>
      <c r="X758" s="189"/>
      <c r="Y758" s="189"/>
      <c r="Z758" s="189"/>
    </row>
    <row r="759" spans="1:26">
      <c r="A759" s="189"/>
      <c r="B759" s="189"/>
      <c r="C759" s="189"/>
      <c r="D759" s="189"/>
      <c r="E759" s="189"/>
      <c r="F759" s="189"/>
      <c r="G759" s="189"/>
      <c r="H759" s="190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91"/>
      <c r="T759" s="208"/>
      <c r="U759" s="189"/>
      <c r="V759" s="189"/>
      <c r="W759" s="189"/>
      <c r="X759" s="189"/>
      <c r="Y759" s="189"/>
      <c r="Z759" s="189"/>
    </row>
    <row r="760" spans="1:26">
      <c r="A760" s="189"/>
      <c r="B760" s="189"/>
      <c r="C760" s="189"/>
      <c r="D760" s="189"/>
      <c r="E760" s="189"/>
      <c r="F760" s="189"/>
      <c r="G760" s="189"/>
      <c r="H760" s="190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91"/>
      <c r="T760" s="208"/>
      <c r="U760" s="189"/>
      <c r="V760" s="189"/>
      <c r="W760" s="189"/>
      <c r="X760" s="189"/>
      <c r="Y760" s="189"/>
      <c r="Z760" s="189"/>
    </row>
    <row r="761" spans="1:26">
      <c r="A761" s="189"/>
      <c r="B761" s="189"/>
      <c r="C761" s="189"/>
      <c r="D761" s="189"/>
      <c r="E761" s="189"/>
      <c r="F761" s="189"/>
      <c r="G761" s="189"/>
      <c r="H761" s="190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91"/>
      <c r="T761" s="208"/>
      <c r="U761" s="189"/>
      <c r="V761" s="189"/>
      <c r="W761" s="189"/>
      <c r="X761" s="189"/>
      <c r="Y761" s="189"/>
      <c r="Z761" s="189"/>
    </row>
    <row r="762" spans="1:26">
      <c r="A762" s="189"/>
      <c r="B762" s="189"/>
      <c r="C762" s="189"/>
      <c r="D762" s="189"/>
      <c r="E762" s="189"/>
      <c r="F762" s="189"/>
      <c r="G762" s="189"/>
      <c r="H762" s="190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91"/>
      <c r="T762" s="208"/>
      <c r="U762" s="189"/>
      <c r="V762" s="189"/>
      <c r="W762" s="189"/>
      <c r="X762" s="189"/>
      <c r="Y762" s="189"/>
      <c r="Z762" s="189"/>
    </row>
    <row r="763" spans="1:26">
      <c r="A763" s="189"/>
      <c r="B763" s="189"/>
      <c r="C763" s="189"/>
      <c r="D763" s="189"/>
      <c r="E763" s="189"/>
      <c r="F763" s="189"/>
      <c r="G763" s="189"/>
      <c r="H763" s="190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91"/>
      <c r="T763" s="208"/>
      <c r="U763" s="189"/>
      <c r="V763" s="189"/>
      <c r="W763" s="189"/>
      <c r="X763" s="189"/>
      <c r="Y763" s="189"/>
      <c r="Z763" s="189"/>
    </row>
    <row r="764" spans="1:26">
      <c r="A764" s="189"/>
      <c r="B764" s="189"/>
      <c r="C764" s="189"/>
      <c r="D764" s="189"/>
      <c r="E764" s="189"/>
      <c r="F764" s="189"/>
      <c r="G764" s="189"/>
      <c r="H764" s="190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91"/>
      <c r="T764" s="208"/>
      <c r="U764" s="189"/>
      <c r="V764" s="189"/>
      <c r="W764" s="189"/>
      <c r="X764" s="189"/>
      <c r="Y764" s="189"/>
      <c r="Z764" s="189"/>
    </row>
    <row r="765" spans="1:26">
      <c r="A765" s="189"/>
      <c r="B765" s="189"/>
      <c r="C765" s="189"/>
      <c r="D765" s="189"/>
      <c r="E765" s="189"/>
      <c r="F765" s="189"/>
      <c r="G765" s="189"/>
      <c r="H765" s="190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91"/>
      <c r="T765" s="208"/>
      <c r="U765" s="189"/>
      <c r="V765" s="189"/>
      <c r="W765" s="189"/>
      <c r="X765" s="189"/>
      <c r="Y765" s="189"/>
      <c r="Z765" s="189"/>
    </row>
    <row r="766" spans="1:26">
      <c r="A766" s="189"/>
      <c r="B766" s="189"/>
      <c r="C766" s="189"/>
      <c r="D766" s="189"/>
      <c r="E766" s="189"/>
      <c r="F766" s="189"/>
      <c r="G766" s="189"/>
      <c r="H766" s="190"/>
      <c r="I766" s="189"/>
      <c r="J766" s="189"/>
      <c r="K766" s="189"/>
      <c r="L766" s="189"/>
      <c r="M766" s="189"/>
      <c r="N766" s="189"/>
      <c r="O766" s="189"/>
      <c r="P766" s="189"/>
      <c r="Q766" s="189"/>
      <c r="R766" s="189"/>
      <c r="S766" s="191"/>
      <c r="T766" s="208"/>
      <c r="U766" s="189"/>
      <c r="V766" s="189"/>
      <c r="W766" s="189"/>
      <c r="X766" s="189"/>
      <c r="Y766" s="189"/>
      <c r="Z766" s="189"/>
    </row>
    <row r="767" spans="1:26">
      <c r="A767" s="189"/>
      <c r="B767" s="189"/>
      <c r="C767" s="189"/>
      <c r="D767" s="189"/>
      <c r="E767" s="189"/>
      <c r="F767" s="189"/>
      <c r="G767" s="189"/>
      <c r="H767" s="190"/>
      <c r="I767" s="189"/>
      <c r="J767" s="189"/>
      <c r="K767" s="189"/>
      <c r="L767" s="189"/>
      <c r="M767" s="189"/>
      <c r="N767" s="189"/>
      <c r="O767" s="189"/>
      <c r="P767" s="189"/>
      <c r="Q767" s="189"/>
      <c r="R767" s="189"/>
      <c r="S767" s="191"/>
      <c r="T767" s="208"/>
      <c r="U767" s="189"/>
      <c r="V767" s="189"/>
      <c r="W767" s="189"/>
      <c r="X767" s="189"/>
      <c r="Y767" s="189"/>
      <c r="Z767" s="189"/>
    </row>
    <row r="768" spans="1:26">
      <c r="A768" s="189"/>
      <c r="B768" s="189"/>
      <c r="C768" s="189"/>
      <c r="D768" s="189"/>
      <c r="E768" s="189"/>
      <c r="F768" s="189"/>
      <c r="G768" s="189"/>
      <c r="H768" s="190"/>
      <c r="I768" s="189"/>
      <c r="J768" s="189"/>
      <c r="K768" s="189"/>
      <c r="L768" s="189"/>
      <c r="M768" s="189"/>
      <c r="N768" s="189"/>
      <c r="O768" s="189"/>
      <c r="P768" s="189"/>
      <c r="Q768" s="189"/>
      <c r="R768" s="189"/>
      <c r="S768" s="191"/>
      <c r="T768" s="208"/>
      <c r="U768" s="189"/>
      <c r="V768" s="189"/>
      <c r="W768" s="189"/>
      <c r="X768" s="189"/>
      <c r="Y768" s="189"/>
      <c r="Z768" s="189"/>
    </row>
    <row r="769" spans="1:26">
      <c r="A769" s="189"/>
      <c r="B769" s="189"/>
      <c r="C769" s="189"/>
      <c r="D769" s="189"/>
      <c r="E769" s="189"/>
      <c r="F769" s="189"/>
      <c r="G769" s="189"/>
      <c r="H769" s="190"/>
      <c r="I769" s="189"/>
      <c r="J769" s="189"/>
      <c r="K769" s="189"/>
      <c r="L769" s="189"/>
      <c r="M769" s="189"/>
      <c r="N769" s="189"/>
      <c r="O769" s="189"/>
      <c r="P769" s="189"/>
      <c r="Q769" s="189"/>
      <c r="R769" s="189"/>
      <c r="S769" s="191"/>
      <c r="T769" s="208"/>
      <c r="U769" s="189"/>
      <c r="V769" s="189"/>
      <c r="W769" s="189"/>
      <c r="X769" s="189"/>
      <c r="Y769" s="189"/>
      <c r="Z769" s="189"/>
    </row>
    <row r="770" spans="1:26">
      <c r="A770" s="189"/>
      <c r="B770" s="189"/>
      <c r="C770" s="189"/>
      <c r="D770" s="189"/>
      <c r="E770" s="189"/>
      <c r="F770" s="189"/>
      <c r="G770" s="189"/>
      <c r="H770" s="190"/>
      <c r="I770" s="189"/>
      <c r="J770" s="189"/>
      <c r="K770" s="189"/>
      <c r="L770" s="189"/>
      <c r="M770" s="189"/>
      <c r="N770" s="189"/>
      <c r="O770" s="189"/>
      <c r="P770" s="189"/>
      <c r="Q770" s="189"/>
      <c r="R770" s="189"/>
      <c r="S770" s="191"/>
      <c r="T770" s="208"/>
      <c r="U770" s="189"/>
      <c r="V770" s="189"/>
      <c r="W770" s="189"/>
      <c r="X770" s="189"/>
      <c r="Y770" s="189"/>
      <c r="Z770" s="189"/>
    </row>
    <row r="771" spans="1:26">
      <c r="A771" s="189"/>
      <c r="B771" s="189"/>
      <c r="C771" s="189"/>
      <c r="D771" s="189"/>
      <c r="E771" s="189"/>
      <c r="F771" s="189"/>
      <c r="G771" s="189"/>
      <c r="H771" s="190"/>
      <c r="I771" s="189"/>
      <c r="J771" s="189"/>
      <c r="K771" s="189"/>
      <c r="L771" s="189"/>
      <c r="M771" s="189"/>
      <c r="N771" s="189"/>
      <c r="O771" s="189"/>
      <c r="P771" s="189"/>
      <c r="Q771" s="189"/>
      <c r="R771" s="189"/>
      <c r="S771" s="191"/>
      <c r="T771" s="208"/>
      <c r="U771" s="189"/>
      <c r="V771" s="189"/>
      <c r="W771" s="189"/>
      <c r="X771" s="189"/>
      <c r="Y771" s="189"/>
      <c r="Z771" s="189"/>
    </row>
    <row r="772" spans="1:26">
      <c r="A772" s="189"/>
      <c r="B772" s="189"/>
      <c r="C772" s="189"/>
      <c r="D772" s="189"/>
      <c r="E772" s="189"/>
      <c r="F772" s="189"/>
      <c r="G772" s="189"/>
      <c r="H772" s="190"/>
      <c r="I772" s="189"/>
      <c r="J772" s="189"/>
      <c r="K772" s="189"/>
      <c r="L772" s="189"/>
      <c r="M772" s="189"/>
      <c r="N772" s="189"/>
      <c r="O772" s="189"/>
      <c r="P772" s="189"/>
      <c r="Q772" s="189"/>
      <c r="R772" s="189"/>
      <c r="S772" s="191"/>
      <c r="T772" s="208"/>
      <c r="U772" s="189"/>
      <c r="V772" s="189"/>
      <c r="W772" s="189"/>
      <c r="X772" s="189"/>
      <c r="Y772" s="189"/>
      <c r="Z772" s="189"/>
    </row>
    <row r="773" spans="1:26">
      <c r="A773" s="189"/>
      <c r="B773" s="189"/>
      <c r="C773" s="189"/>
      <c r="D773" s="189"/>
      <c r="E773" s="189"/>
      <c r="F773" s="189"/>
      <c r="G773" s="189"/>
      <c r="H773" s="190"/>
      <c r="I773" s="189"/>
      <c r="J773" s="189"/>
      <c r="K773" s="189"/>
      <c r="L773" s="189"/>
      <c r="M773" s="189"/>
      <c r="N773" s="189"/>
      <c r="O773" s="189"/>
      <c r="P773" s="189"/>
      <c r="Q773" s="189"/>
      <c r="R773" s="189"/>
      <c r="S773" s="191"/>
      <c r="T773" s="208"/>
      <c r="U773" s="189"/>
      <c r="V773" s="189"/>
      <c r="W773" s="189"/>
      <c r="X773" s="189"/>
      <c r="Y773" s="189"/>
      <c r="Z773" s="189"/>
    </row>
    <row r="774" spans="1:26">
      <c r="A774" s="189"/>
      <c r="B774" s="189"/>
      <c r="C774" s="189"/>
      <c r="D774" s="189"/>
      <c r="E774" s="189"/>
      <c r="F774" s="189"/>
      <c r="G774" s="189"/>
      <c r="H774" s="190"/>
      <c r="I774" s="189"/>
      <c r="J774" s="189"/>
      <c r="K774" s="189"/>
      <c r="L774" s="189"/>
      <c r="M774" s="189"/>
      <c r="N774" s="189"/>
      <c r="O774" s="189"/>
      <c r="P774" s="189"/>
      <c r="Q774" s="189"/>
      <c r="R774" s="189"/>
      <c r="S774" s="191"/>
      <c r="T774" s="208"/>
      <c r="U774" s="189"/>
      <c r="V774" s="189"/>
      <c r="W774" s="189"/>
      <c r="X774" s="189"/>
      <c r="Y774" s="189"/>
      <c r="Z774" s="189"/>
    </row>
    <row r="775" spans="1:26">
      <c r="A775" s="189"/>
      <c r="B775" s="189"/>
      <c r="C775" s="189"/>
      <c r="D775" s="189"/>
      <c r="E775" s="189"/>
      <c r="F775" s="189"/>
      <c r="G775" s="189"/>
      <c r="H775" s="190"/>
      <c r="I775" s="189"/>
      <c r="J775" s="189"/>
      <c r="K775" s="189"/>
      <c r="L775" s="189"/>
      <c r="M775" s="189"/>
      <c r="N775" s="189"/>
      <c r="O775" s="189"/>
      <c r="P775" s="189"/>
      <c r="Q775" s="189"/>
      <c r="R775" s="189"/>
      <c r="S775" s="191"/>
      <c r="T775" s="208"/>
      <c r="U775" s="189"/>
      <c r="V775" s="189"/>
      <c r="W775" s="189"/>
      <c r="X775" s="189"/>
      <c r="Y775" s="189"/>
      <c r="Z775" s="189"/>
    </row>
    <row r="776" spans="1:26">
      <c r="A776" s="189"/>
      <c r="B776" s="189"/>
      <c r="C776" s="189"/>
      <c r="D776" s="189"/>
      <c r="E776" s="189"/>
      <c r="F776" s="189"/>
      <c r="G776" s="189"/>
      <c r="H776" s="190"/>
      <c r="I776" s="189"/>
      <c r="J776" s="189"/>
      <c r="K776" s="189"/>
      <c r="L776" s="189"/>
      <c r="M776" s="189"/>
      <c r="N776" s="189"/>
      <c r="O776" s="189"/>
      <c r="P776" s="189"/>
      <c r="Q776" s="189"/>
      <c r="R776" s="189"/>
      <c r="S776" s="191"/>
      <c r="T776" s="208"/>
      <c r="U776" s="189"/>
      <c r="V776" s="189"/>
      <c r="W776" s="189"/>
      <c r="X776" s="189"/>
      <c r="Y776" s="189"/>
      <c r="Z776" s="189"/>
    </row>
    <row r="777" spans="1:26">
      <c r="A777" s="189"/>
      <c r="B777" s="189"/>
      <c r="C777" s="189"/>
      <c r="D777" s="189"/>
      <c r="E777" s="189"/>
      <c r="F777" s="189"/>
      <c r="G777" s="189"/>
      <c r="H777" s="190"/>
      <c r="I777" s="189"/>
      <c r="J777" s="189"/>
      <c r="K777" s="189"/>
      <c r="L777" s="189"/>
      <c r="M777" s="189"/>
      <c r="N777" s="189"/>
      <c r="O777" s="189"/>
      <c r="P777" s="189"/>
      <c r="Q777" s="189"/>
      <c r="R777" s="189"/>
      <c r="S777" s="191"/>
      <c r="T777" s="208"/>
      <c r="U777" s="189"/>
      <c r="V777" s="189"/>
      <c r="W777" s="189"/>
      <c r="X777" s="189"/>
      <c r="Y777" s="189"/>
      <c r="Z777" s="189"/>
    </row>
    <row r="778" spans="1:26">
      <c r="A778" s="189"/>
      <c r="B778" s="189"/>
      <c r="C778" s="189"/>
      <c r="D778" s="189"/>
      <c r="E778" s="189"/>
      <c r="F778" s="189"/>
      <c r="G778" s="189"/>
      <c r="H778" s="190"/>
      <c r="I778" s="189"/>
      <c r="J778" s="189"/>
      <c r="K778" s="189"/>
      <c r="L778" s="189"/>
      <c r="M778" s="189"/>
      <c r="N778" s="189"/>
      <c r="O778" s="189"/>
      <c r="P778" s="189"/>
      <c r="Q778" s="189"/>
      <c r="R778" s="189"/>
      <c r="S778" s="191"/>
      <c r="T778" s="208"/>
      <c r="U778" s="189"/>
      <c r="V778" s="189"/>
      <c r="W778" s="189"/>
      <c r="X778" s="189"/>
      <c r="Y778" s="189"/>
      <c r="Z778" s="189"/>
    </row>
    <row r="779" spans="1:26">
      <c r="A779" s="189"/>
      <c r="B779" s="189"/>
      <c r="C779" s="189"/>
      <c r="D779" s="189"/>
      <c r="E779" s="189"/>
      <c r="F779" s="189"/>
      <c r="G779" s="189"/>
      <c r="H779" s="190"/>
      <c r="I779" s="189"/>
      <c r="J779" s="189"/>
      <c r="K779" s="189"/>
      <c r="L779" s="189"/>
      <c r="M779" s="189"/>
      <c r="N779" s="189"/>
      <c r="O779" s="189"/>
      <c r="P779" s="189"/>
      <c r="Q779" s="189"/>
      <c r="R779" s="189"/>
      <c r="S779" s="191"/>
      <c r="T779" s="208"/>
      <c r="U779" s="189"/>
      <c r="V779" s="189"/>
      <c r="W779" s="189"/>
      <c r="X779" s="189"/>
      <c r="Y779" s="189"/>
      <c r="Z779" s="189"/>
    </row>
    <row r="780" spans="1:26">
      <c r="A780" s="189"/>
      <c r="B780" s="189"/>
      <c r="C780" s="189"/>
      <c r="D780" s="189"/>
      <c r="E780" s="189"/>
      <c r="F780" s="189"/>
      <c r="G780" s="189"/>
      <c r="H780" s="190"/>
      <c r="I780" s="189"/>
      <c r="J780" s="189"/>
      <c r="K780" s="189"/>
      <c r="L780" s="189"/>
      <c r="M780" s="189"/>
      <c r="N780" s="189"/>
      <c r="O780" s="189"/>
      <c r="P780" s="189"/>
      <c r="Q780" s="189"/>
      <c r="R780" s="189"/>
      <c r="S780" s="191"/>
      <c r="T780" s="208"/>
      <c r="U780" s="189"/>
      <c r="V780" s="189"/>
      <c r="W780" s="189"/>
      <c r="X780" s="189"/>
      <c r="Y780" s="189"/>
      <c r="Z780" s="189"/>
    </row>
    <row r="781" spans="1:26">
      <c r="A781" s="189"/>
      <c r="B781" s="189"/>
      <c r="C781" s="189"/>
      <c r="D781" s="189"/>
      <c r="E781" s="189"/>
      <c r="F781" s="189"/>
      <c r="G781" s="189"/>
      <c r="H781" s="190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91"/>
      <c r="T781" s="208"/>
      <c r="U781" s="189"/>
      <c r="V781" s="189"/>
      <c r="W781" s="189"/>
      <c r="X781" s="189"/>
      <c r="Y781" s="189"/>
      <c r="Z781" s="189"/>
    </row>
    <row r="782" spans="1:26">
      <c r="A782" s="189"/>
      <c r="B782" s="189"/>
      <c r="C782" s="189"/>
      <c r="D782" s="189"/>
      <c r="E782" s="189"/>
      <c r="F782" s="189"/>
      <c r="G782" s="189"/>
      <c r="H782" s="190"/>
      <c r="I782" s="189"/>
      <c r="J782" s="189"/>
      <c r="K782" s="189"/>
      <c r="L782" s="189"/>
      <c r="M782" s="189"/>
      <c r="N782" s="189"/>
      <c r="O782" s="189"/>
      <c r="P782" s="189"/>
      <c r="Q782" s="189"/>
      <c r="R782" s="189"/>
      <c r="S782" s="191"/>
      <c r="T782" s="208"/>
      <c r="U782" s="189"/>
      <c r="V782" s="189"/>
      <c r="W782" s="189"/>
      <c r="X782" s="189"/>
      <c r="Y782" s="189"/>
      <c r="Z782" s="189"/>
    </row>
    <row r="783" spans="1:26">
      <c r="A783" s="189"/>
      <c r="B783" s="189"/>
      <c r="C783" s="189"/>
      <c r="D783" s="189"/>
      <c r="E783" s="189"/>
      <c r="F783" s="189"/>
      <c r="G783" s="189"/>
      <c r="H783" s="190"/>
      <c r="I783" s="189"/>
      <c r="J783" s="189"/>
      <c r="K783" s="189"/>
      <c r="L783" s="189"/>
      <c r="M783" s="189"/>
      <c r="N783" s="189"/>
      <c r="O783" s="189"/>
      <c r="P783" s="189"/>
      <c r="Q783" s="189"/>
      <c r="R783" s="189"/>
      <c r="S783" s="191"/>
      <c r="T783" s="208"/>
      <c r="U783" s="189"/>
      <c r="V783" s="189"/>
      <c r="W783" s="189"/>
      <c r="X783" s="189"/>
      <c r="Y783" s="189"/>
      <c r="Z783" s="189"/>
    </row>
    <row r="784" spans="1:26">
      <c r="A784" s="189"/>
      <c r="B784" s="189"/>
      <c r="C784" s="189"/>
      <c r="D784" s="189"/>
      <c r="E784" s="189"/>
      <c r="F784" s="189"/>
      <c r="G784" s="189"/>
      <c r="H784" s="190"/>
      <c r="I784" s="189"/>
      <c r="J784" s="189"/>
      <c r="K784" s="189"/>
      <c r="L784" s="189"/>
      <c r="M784" s="189"/>
      <c r="N784" s="189"/>
      <c r="O784" s="189"/>
      <c r="P784" s="189"/>
      <c r="Q784" s="189"/>
      <c r="R784" s="189"/>
      <c r="S784" s="191"/>
      <c r="T784" s="208"/>
      <c r="U784" s="189"/>
      <c r="V784" s="189"/>
      <c r="W784" s="189"/>
      <c r="X784" s="189"/>
      <c r="Y784" s="189"/>
      <c r="Z784" s="189"/>
    </row>
    <row r="785" spans="1:26">
      <c r="A785" s="189"/>
      <c r="B785" s="189"/>
      <c r="C785" s="189"/>
      <c r="D785" s="189"/>
      <c r="E785" s="189"/>
      <c r="F785" s="189"/>
      <c r="G785" s="189"/>
      <c r="H785" s="190"/>
      <c r="I785" s="189"/>
      <c r="J785" s="189"/>
      <c r="K785" s="189"/>
      <c r="L785" s="189"/>
      <c r="M785" s="189"/>
      <c r="N785" s="189"/>
      <c r="O785" s="189"/>
      <c r="P785" s="189"/>
      <c r="Q785" s="189"/>
      <c r="R785" s="189"/>
      <c r="S785" s="191"/>
      <c r="T785" s="208"/>
      <c r="U785" s="189"/>
      <c r="V785" s="189"/>
      <c r="W785" s="189"/>
      <c r="X785" s="189"/>
      <c r="Y785" s="189"/>
      <c r="Z785" s="189"/>
    </row>
    <row r="786" spans="1:26">
      <c r="A786" s="189"/>
      <c r="B786" s="189"/>
      <c r="C786" s="189"/>
      <c r="D786" s="189"/>
      <c r="E786" s="189"/>
      <c r="F786" s="189"/>
      <c r="G786" s="189"/>
      <c r="H786" s="190"/>
      <c r="I786" s="189"/>
      <c r="J786" s="189"/>
      <c r="K786" s="189"/>
      <c r="L786" s="189"/>
      <c r="M786" s="189"/>
      <c r="N786" s="189"/>
      <c r="O786" s="189"/>
      <c r="P786" s="189"/>
      <c r="Q786" s="189"/>
      <c r="R786" s="189"/>
      <c r="S786" s="191"/>
      <c r="T786" s="208"/>
      <c r="U786" s="189"/>
      <c r="V786" s="189"/>
      <c r="W786" s="189"/>
      <c r="X786" s="189"/>
      <c r="Y786" s="189"/>
      <c r="Z786" s="189"/>
    </row>
    <row r="787" spans="1:26">
      <c r="A787" s="189"/>
      <c r="B787" s="189"/>
      <c r="C787" s="189"/>
      <c r="D787" s="189"/>
      <c r="E787" s="189"/>
      <c r="F787" s="189"/>
      <c r="G787" s="189"/>
      <c r="H787" s="190"/>
      <c r="I787" s="189"/>
      <c r="J787" s="189"/>
      <c r="K787" s="189"/>
      <c r="L787" s="189"/>
      <c r="M787" s="189"/>
      <c r="N787" s="189"/>
      <c r="O787" s="189"/>
      <c r="P787" s="189"/>
      <c r="Q787" s="189"/>
      <c r="R787" s="189"/>
      <c r="S787" s="191"/>
      <c r="T787" s="208"/>
      <c r="U787" s="189"/>
      <c r="V787" s="189"/>
      <c r="W787" s="189"/>
      <c r="X787" s="189"/>
      <c r="Y787" s="189"/>
      <c r="Z787" s="189"/>
    </row>
    <row r="788" spans="1:26">
      <c r="A788" s="189"/>
      <c r="B788" s="189"/>
      <c r="C788" s="189"/>
      <c r="D788" s="189"/>
      <c r="E788" s="189"/>
      <c r="F788" s="189"/>
      <c r="G788" s="189"/>
      <c r="H788" s="190"/>
      <c r="I788" s="189"/>
      <c r="J788" s="189"/>
      <c r="K788" s="189"/>
      <c r="L788" s="189"/>
      <c r="M788" s="189"/>
      <c r="N788" s="189"/>
      <c r="O788" s="189"/>
      <c r="P788" s="189"/>
      <c r="Q788" s="189"/>
      <c r="R788" s="189"/>
      <c r="S788" s="191"/>
      <c r="T788" s="208"/>
      <c r="U788" s="189"/>
      <c r="V788" s="189"/>
      <c r="W788" s="189"/>
      <c r="X788" s="189"/>
      <c r="Y788" s="189"/>
      <c r="Z788" s="189"/>
    </row>
    <row r="789" spans="1:26">
      <c r="A789" s="189"/>
      <c r="B789" s="189"/>
      <c r="C789" s="189"/>
      <c r="D789" s="189"/>
      <c r="E789" s="189"/>
      <c r="F789" s="189"/>
      <c r="G789" s="189"/>
      <c r="H789" s="190"/>
      <c r="I789" s="189"/>
      <c r="J789" s="189"/>
      <c r="K789" s="189"/>
      <c r="L789" s="189"/>
      <c r="M789" s="189"/>
      <c r="N789" s="189"/>
      <c r="O789" s="189"/>
      <c r="P789" s="189"/>
      <c r="Q789" s="189"/>
      <c r="R789" s="189"/>
      <c r="S789" s="191"/>
      <c r="T789" s="208"/>
      <c r="U789" s="189"/>
      <c r="V789" s="189"/>
      <c r="W789" s="189"/>
      <c r="X789" s="189"/>
      <c r="Y789" s="189"/>
      <c r="Z789" s="189"/>
    </row>
    <row r="790" spans="1:26">
      <c r="A790" s="189"/>
      <c r="B790" s="189"/>
      <c r="C790" s="189"/>
      <c r="D790" s="189"/>
      <c r="E790" s="189"/>
      <c r="F790" s="189"/>
      <c r="G790" s="189"/>
      <c r="H790" s="190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91"/>
      <c r="T790" s="208"/>
      <c r="U790" s="189"/>
      <c r="V790" s="189"/>
      <c r="W790" s="189"/>
      <c r="X790" s="189"/>
      <c r="Y790" s="189"/>
      <c r="Z790" s="189"/>
    </row>
    <row r="791" spans="1:26">
      <c r="A791" s="189"/>
      <c r="B791" s="189"/>
      <c r="C791" s="189"/>
      <c r="D791" s="189"/>
      <c r="E791" s="189"/>
      <c r="F791" s="189"/>
      <c r="G791" s="189"/>
      <c r="H791" s="190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91"/>
      <c r="T791" s="208"/>
      <c r="U791" s="189"/>
      <c r="V791" s="189"/>
      <c r="W791" s="189"/>
      <c r="X791" s="189"/>
      <c r="Y791" s="189"/>
      <c r="Z791" s="189"/>
    </row>
    <row r="792" spans="1:26">
      <c r="A792" s="189"/>
      <c r="B792" s="189"/>
      <c r="C792" s="189"/>
      <c r="D792" s="189"/>
      <c r="E792" s="189"/>
      <c r="F792" s="189"/>
      <c r="G792" s="189"/>
      <c r="H792" s="190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91"/>
      <c r="T792" s="208"/>
      <c r="U792" s="189"/>
      <c r="V792" s="189"/>
      <c r="W792" s="189"/>
      <c r="X792" s="189"/>
      <c r="Y792" s="189"/>
      <c r="Z792" s="189"/>
    </row>
    <row r="793" spans="1:26">
      <c r="A793" s="189"/>
      <c r="B793" s="189"/>
      <c r="C793" s="189"/>
      <c r="D793" s="189"/>
      <c r="E793" s="189"/>
      <c r="F793" s="189"/>
      <c r="G793" s="189"/>
      <c r="H793" s="190"/>
      <c r="I793" s="189"/>
      <c r="J793" s="189"/>
      <c r="K793" s="189"/>
      <c r="L793" s="189"/>
      <c r="M793" s="189"/>
      <c r="N793" s="189"/>
      <c r="O793" s="189"/>
      <c r="P793" s="189"/>
      <c r="Q793" s="189"/>
      <c r="R793" s="189"/>
      <c r="S793" s="191"/>
      <c r="T793" s="208"/>
      <c r="U793" s="189"/>
      <c r="V793" s="189"/>
      <c r="W793" s="189"/>
      <c r="X793" s="189"/>
      <c r="Y793" s="189"/>
      <c r="Z793" s="189"/>
    </row>
    <row r="794" spans="1:26">
      <c r="A794" s="189"/>
      <c r="B794" s="189"/>
      <c r="C794" s="189"/>
      <c r="D794" s="189"/>
      <c r="E794" s="189"/>
      <c r="F794" s="189"/>
      <c r="G794" s="189"/>
      <c r="H794" s="190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91"/>
      <c r="T794" s="208"/>
      <c r="U794" s="189"/>
      <c r="V794" s="189"/>
      <c r="W794" s="189"/>
      <c r="X794" s="189"/>
      <c r="Y794" s="189"/>
      <c r="Z794" s="189"/>
    </row>
    <row r="795" spans="1:26">
      <c r="A795" s="189"/>
      <c r="B795" s="189"/>
      <c r="C795" s="189"/>
      <c r="D795" s="189"/>
      <c r="E795" s="189"/>
      <c r="F795" s="189"/>
      <c r="G795" s="189"/>
      <c r="H795" s="190"/>
      <c r="I795" s="189"/>
      <c r="J795" s="189"/>
      <c r="K795" s="189"/>
      <c r="L795" s="189"/>
      <c r="M795" s="189"/>
      <c r="N795" s="189"/>
      <c r="O795" s="189"/>
      <c r="P795" s="189"/>
      <c r="Q795" s="189"/>
      <c r="R795" s="189"/>
      <c r="S795" s="191"/>
      <c r="T795" s="208"/>
      <c r="U795" s="189"/>
      <c r="V795" s="189"/>
      <c r="W795" s="189"/>
      <c r="X795" s="189"/>
      <c r="Y795" s="189"/>
      <c r="Z795" s="189"/>
    </row>
    <row r="796" spans="1:26">
      <c r="A796" s="189"/>
      <c r="B796" s="189"/>
      <c r="C796" s="189"/>
      <c r="D796" s="189"/>
      <c r="E796" s="189"/>
      <c r="F796" s="189"/>
      <c r="G796" s="189"/>
      <c r="H796" s="190"/>
      <c r="I796" s="189"/>
      <c r="J796" s="189"/>
      <c r="K796" s="189"/>
      <c r="L796" s="189"/>
      <c r="M796" s="189"/>
      <c r="N796" s="189"/>
      <c r="O796" s="189"/>
      <c r="P796" s="189"/>
      <c r="Q796" s="189"/>
      <c r="R796" s="189"/>
      <c r="S796" s="191"/>
      <c r="T796" s="208"/>
      <c r="U796" s="189"/>
      <c r="V796" s="189"/>
      <c r="W796" s="189"/>
      <c r="X796" s="189"/>
      <c r="Y796" s="189"/>
      <c r="Z796" s="189"/>
    </row>
    <row r="797" spans="1:26">
      <c r="A797" s="189"/>
      <c r="B797" s="189"/>
      <c r="C797" s="189"/>
      <c r="D797" s="189"/>
      <c r="E797" s="189"/>
      <c r="F797" s="189"/>
      <c r="G797" s="189"/>
      <c r="H797" s="190"/>
      <c r="I797" s="189"/>
      <c r="J797" s="189"/>
      <c r="K797" s="189"/>
      <c r="L797" s="189"/>
      <c r="M797" s="189"/>
      <c r="N797" s="189"/>
      <c r="O797" s="189"/>
      <c r="P797" s="189"/>
      <c r="Q797" s="189"/>
      <c r="R797" s="189"/>
      <c r="S797" s="191"/>
      <c r="T797" s="208"/>
      <c r="U797" s="189"/>
      <c r="V797" s="189"/>
      <c r="W797" s="189"/>
      <c r="X797" s="189"/>
      <c r="Y797" s="189"/>
      <c r="Z797" s="189"/>
    </row>
    <row r="798" spans="1:26">
      <c r="A798" s="189"/>
      <c r="B798" s="189"/>
      <c r="C798" s="189"/>
      <c r="D798" s="189"/>
      <c r="E798" s="189"/>
      <c r="F798" s="189"/>
      <c r="G798" s="189"/>
      <c r="H798" s="190"/>
      <c r="I798" s="189"/>
      <c r="J798" s="189"/>
      <c r="K798" s="189"/>
      <c r="L798" s="189"/>
      <c r="M798" s="189"/>
      <c r="N798" s="189"/>
      <c r="O798" s="189"/>
      <c r="P798" s="189"/>
      <c r="Q798" s="189"/>
      <c r="R798" s="189"/>
      <c r="S798" s="191"/>
      <c r="T798" s="208"/>
      <c r="U798" s="189"/>
      <c r="V798" s="189"/>
      <c r="W798" s="189"/>
      <c r="X798" s="189"/>
      <c r="Y798" s="189"/>
      <c r="Z798" s="189"/>
    </row>
    <row r="799" spans="1:26">
      <c r="A799" s="189"/>
      <c r="B799" s="189"/>
      <c r="C799" s="189"/>
      <c r="D799" s="189"/>
      <c r="E799" s="189"/>
      <c r="F799" s="189"/>
      <c r="G799" s="189"/>
      <c r="H799" s="190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91"/>
      <c r="T799" s="208"/>
      <c r="U799" s="189"/>
      <c r="V799" s="189"/>
      <c r="W799" s="189"/>
      <c r="X799" s="189"/>
      <c r="Y799" s="189"/>
      <c r="Z799" s="189"/>
    </row>
    <row r="800" spans="1:26">
      <c r="A800" s="189"/>
      <c r="B800" s="189"/>
      <c r="C800" s="189"/>
      <c r="D800" s="189"/>
      <c r="E800" s="189"/>
      <c r="F800" s="189"/>
      <c r="G800" s="189"/>
      <c r="H800" s="190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91"/>
      <c r="T800" s="208"/>
      <c r="U800" s="189"/>
      <c r="V800" s="189"/>
      <c r="W800" s="189"/>
      <c r="X800" s="189"/>
      <c r="Y800" s="189"/>
      <c r="Z800" s="189"/>
    </row>
    <row r="801" spans="1:26">
      <c r="A801" s="189"/>
      <c r="B801" s="189"/>
      <c r="C801" s="189"/>
      <c r="D801" s="189"/>
      <c r="E801" s="189"/>
      <c r="F801" s="189"/>
      <c r="G801" s="189"/>
      <c r="H801" s="190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91"/>
      <c r="T801" s="208"/>
      <c r="U801" s="189"/>
      <c r="V801" s="189"/>
      <c r="W801" s="189"/>
      <c r="X801" s="189"/>
      <c r="Y801" s="189"/>
      <c r="Z801" s="189"/>
    </row>
    <row r="802" spans="1:26">
      <c r="A802" s="189"/>
      <c r="B802" s="189"/>
      <c r="C802" s="189"/>
      <c r="D802" s="189"/>
      <c r="E802" s="189"/>
      <c r="F802" s="189"/>
      <c r="G802" s="189"/>
      <c r="H802" s="190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91"/>
      <c r="T802" s="208"/>
      <c r="U802" s="189"/>
      <c r="V802" s="189"/>
      <c r="W802" s="189"/>
      <c r="X802" s="189"/>
      <c r="Y802" s="189"/>
      <c r="Z802" s="189"/>
    </row>
    <row r="803" spans="1:26">
      <c r="A803" s="189"/>
      <c r="B803" s="189"/>
      <c r="C803" s="189"/>
      <c r="D803" s="189"/>
      <c r="E803" s="189"/>
      <c r="F803" s="189"/>
      <c r="G803" s="189"/>
      <c r="H803" s="190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91"/>
      <c r="T803" s="208"/>
      <c r="U803" s="189"/>
      <c r="V803" s="189"/>
      <c r="W803" s="189"/>
      <c r="X803" s="189"/>
      <c r="Y803" s="189"/>
      <c r="Z803" s="189"/>
    </row>
    <row r="804" spans="1:26">
      <c r="A804" s="189"/>
      <c r="B804" s="189"/>
      <c r="C804" s="189"/>
      <c r="D804" s="189"/>
      <c r="E804" s="189"/>
      <c r="F804" s="189"/>
      <c r="G804" s="189"/>
      <c r="H804" s="190"/>
      <c r="I804" s="189"/>
      <c r="J804" s="189"/>
      <c r="K804" s="189"/>
      <c r="L804" s="189"/>
      <c r="M804" s="189"/>
      <c r="N804" s="189"/>
      <c r="O804" s="189"/>
      <c r="P804" s="189"/>
      <c r="Q804" s="189"/>
      <c r="R804" s="189"/>
      <c r="S804" s="191"/>
      <c r="T804" s="208"/>
      <c r="U804" s="189"/>
      <c r="V804" s="189"/>
      <c r="W804" s="189"/>
      <c r="X804" s="189"/>
      <c r="Y804" s="189"/>
      <c r="Z804" s="189"/>
    </row>
    <row r="805" spans="1:26">
      <c r="A805" s="189"/>
      <c r="B805" s="189"/>
      <c r="C805" s="189"/>
      <c r="D805" s="189"/>
      <c r="E805" s="189"/>
      <c r="F805" s="189"/>
      <c r="G805" s="189"/>
      <c r="H805" s="190"/>
      <c r="I805" s="189"/>
      <c r="J805" s="189"/>
      <c r="K805" s="189"/>
      <c r="L805" s="189"/>
      <c r="M805" s="189"/>
      <c r="N805" s="189"/>
      <c r="O805" s="189"/>
      <c r="P805" s="189"/>
      <c r="Q805" s="189"/>
      <c r="R805" s="189"/>
      <c r="S805" s="191"/>
      <c r="T805" s="208"/>
      <c r="U805" s="189"/>
      <c r="V805" s="189"/>
      <c r="W805" s="189"/>
      <c r="X805" s="189"/>
      <c r="Y805" s="189"/>
      <c r="Z805" s="189"/>
    </row>
    <row r="806" spans="1:26">
      <c r="A806" s="189"/>
      <c r="B806" s="189"/>
      <c r="C806" s="189"/>
      <c r="D806" s="189"/>
      <c r="E806" s="189"/>
      <c r="F806" s="189"/>
      <c r="G806" s="189"/>
      <c r="H806" s="190"/>
      <c r="I806" s="189"/>
      <c r="J806" s="189"/>
      <c r="K806" s="189"/>
      <c r="L806" s="189"/>
      <c r="M806" s="189"/>
      <c r="N806" s="189"/>
      <c r="O806" s="189"/>
      <c r="P806" s="189"/>
      <c r="Q806" s="189"/>
      <c r="R806" s="189"/>
      <c r="S806" s="191"/>
      <c r="T806" s="208"/>
      <c r="U806" s="189"/>
      <c r="V806" s="189"/>
      <c r="W806" s="189"/>
      <c r="X806" s="189"/>
      <c r="Y806" s="189"/>
      <c r="Z806" s="189"/>
    </row>
    <row r="807" spans="1:26">
      <c r="A807" s="189"/>
      <c r="B807" s="189"/>
      <c r="C807" s="189"/>
      <c r="D807" s="189"/>
      <c r="E807" s="189"/>
      <c r="F807" s="189"/>
      <c r="G807" s="189"/>
      <c r="H807" s="190"/>
      <c r="I807" s="189"/>
      <c r="J807" s="189"/>
      <c r="K807" s="189"/>
      <c r="L807" s="189"/>
      <c r="M807" s="189"/>
      <c r="N807" s="189"/>
      <c r="O807" s="189"/>
      <c r="P807" s="189"/>
      <c r="Q807" s="189"/>
      <c r="R807" s="189"/>
      <c r="S807" s="191"/>
      <c r="T807" s="208"/>
      <c r="U807" s="189"/>
      <c r="V807" s="189"/>
      <c r="W807" s="189"/>
      <c r="X807" s="189"/>
      <c r="Y807" s="189"/>
      <c r="Z807" s="189"/>
    </row>
    <row r="808" spans="1:26">
      <c r="A808" s="189"/>
      <c r="B808" s="189"/>
      <c r="C808" s="189"/>
      <c r="D808" s="189"/>
      <c r="E808" s="189"/>
      <c r="F808" s="189"/>
      <c r="G808" s="189"/>
      <c r="H808" s="190"/>
      <c r="I808" s="189"/>
      <c r="J808" s="189"/>
      <c r="K808" s="189"/>
      <c r="L808" s="189"/>
      <c r="M808" s="189"/>
      <c r="N808" s="189"/>
      <c r="O808" s="189"/>
      <c r="P808" s="189"/>
      <c r="Q808" s="189"/>
      <c r="R808" s="189"/>
      <c r="S808" s="191"/>
      <c r="T808" s="208"/>
      <c r="U808" s="189"/>
      <c r="V808" s="189"/>
      <c r="W808" s="189"/>
      <c r="X808" s="189"/>
      <c r="Y808" s="189"/>
      <c r="Z808" s="189"/>
    </row>
    <row r="809" spans="1:26">
      <c r="A809" s="189"/>
      <c r="B809" s="189"/>
      <c r="C809" s="189"/>
      <c r="D809" s="189"/>
      <c r="E809" s="189"/>
      <c r="F809" s="189"/>
      <c r="G809" s="189"/>
      <c r="H809" s="190"/>
      <c r="I809" s="189"/>
      <c r="J809" s="189"/>
      <c r="K809" s="189"/>
      <c r="L809" s="189"/>
      <c r="M809" s="189"/>
      <c r="N809" s="189"/>
      <c r="O809" s="189"/>
      <c r="P809" s="189"/>
      <c r="Q809" s="189"/>
      <c r="R809" s="189"/>
      <c r="S809" s="191"/>
      <c r="T809" s="208"/>
      <c r="U809" s="189"/>
      <c r="V809" s="189"/>
      <c r="W809" s="189"/>
      <c r="X809" s="189"/>
      <c r="Y809" s="189"/>
      <c r="Z809" s="189"/>
    </row>
    <row r="810" spans="1:26">
      <c r="A810" s="189"/>
      <c r="B810" s="189"/>
      <c r="C810" s="189"/>
      <c r="D810" s="189"/>
      <c r="E810" s="189"/>
      <c r="F810" s="189"/>
      <c r="G810" s="189"/>
      <c r="H810" s="190"/>
      <c r="I810" s="189"/>
      <c r="J810" s="189"/>
      <c r="K810" s="189"/>
      <c r="L810" s="189"/>
      <c r="M810" s="189"/>
      <c r="N810" s="189"/>
      <c r="O810" s="189"/>
      <c r="P810" s="189"/>
      <c r="Q810" s="189"/>
      <c r="R810" s="189"/>
      <c r="S810" s="191"/>
      <c r="T810" s="208"/>
      <c r="U810" s="189"/>
      <c r="V810" s="189"/>
      <c r="W810" s="189"/>
      <c r="X810" s="189"/>
      <c r="Y810" s="189"/>
      <c r="Z810" s="189"/>
    </row>
    <row r="811" spans="1:26">
      <c r="A811" s="189"/>
      <c r="B811" s="189"/>
      <c r="C811" s="189"/>
      <c r="D811" s="189"/>
      <c r="E811" s="189"/>
      <c r="F811" s="189"/>
      <c r="G811" s="189"/>
      <c r="H811" s="190"/>
      <c r="I811" s="189"/>
      <c r="J811" s="189"/>
      <c r="K811" s="189"/>
      <c r="L811" s="189"/>
      <c r="M811" s="189"/>
      <c r="N811" s="189"/>
      <c r="O811" s="189"/>
      <c r="P811" s="189"/>
      <c r="Q811" s="189"/>
      <c r="R811" s="189"/>
      <c r="S811" s="191"/>
      <c r="T811" s="208"/>
      <c r="U811" s="189"/>
      <c r="V811" s="189"/>
      <c r="W811" s="189"/>
      <c r="X811" s="189"/>
      <c r="Y811" s="189"/>
      <c r="Z811" s="189"/>
    </row>
    <row r="812" spans="1:26">
      <c r="A812" s="189"/>
      <c r="B812" s="189"/>
      <c r="C812" s="189"/>
      <c r="D812" s="189"/>
      <c r="E812" s="189"/>
      <c r="F812" s="189"/>
      <c r="G812" s="189"/>
      <c r="H812" s="190"/>
      <c r="I812" s="189"/>
      <c r="J812" s="189"/>
      <c r="K812" s="189"/>
      <c r="L812" s="189"/>
      <c r="M812" s="189"/>
      <c r="N812" s="189"/>
      <c r="O812" s="189"/>
      <c r="P812" s="189"/>
      <c r="Q812" s="189"/>
      <c r="R812" s="189"/>
      <c r="S812" s="191"/>
      <c r="T812" s="208"/>
      <c r="U812" s="189"/>
      <c r="V812" s="189"/>
      <c r="W812" s="189"/>
      <c r="X812" s="189"/>
      <c r="Y812" s="189"/>
      <c r="Z812" s="189"/>
    </row>
    <row r="813" spans="1:26">
      <c r="A813" s="189"/>
      <c r="B813" s="189"/>
      <c r="C813" s="189"/>
      <c r="D813" s="189"/>
      <c r="E813" s="189"/>
      <c r="F813" s="189"/>
      <c r="G813" s="189"/>
      <c r="H813" s="190"/>
      <c r="I813" s="189"/>
      <c r="J813" s="189"/>
      <c r="K813" s="189"/>
      <c r="L813" s="189"/>
      <c r="M813" s="189"/>
      <c r="N813" s="189"/>
      <c r="O813" s="189"/>
      <c r="P813" s="189"/>
      <c r="Q813" s="189"/>
      <c r="R813" s="189"/>
      <c r="S813" s="191"/>
      <c r="T813" s="208"/>
      <c r="U813" s="189"/>
      <c r="V813" s="189"/>
      <c r="W813" s="189"/>
      <c r="X813" s="189"/>
      <c r="Y813" s="189"/>
      <c r="Z813" s="189"/>
    </row>
    <row r="814" spans="1:26">
      <c r="A814" s="189"/>
      <c r="B814" s="189"/>
      <c r="C814" s="189"/>
      <c r="D814" s="189"/>
      <c r="E814" s="189"/>
      <c r="F814" s="189"/>
      <c r="G814" s="189"/>
      <c r="H814" s="190"/>
      <c r="I814" s="189"/>
      <c r="J814" s="189"/>
      <c r="K814" s="189"/>
      <c r="L814" s="189"/>
      <c r="M814" s="189"/>
      <c r="N814" s="189"/>
      <c r="O814" s="189"/>
      <c r="P814" s="189"/>
      <c r="Q814" s="189"/>
      <c r="R814" s="189"/>
      <c r="S814" s="191"/>
      <c r="T814" s="208"/>
      <c r="U814" s="189"/>
      <c r="V814" s="189"/>
      <c r="W814" s="189"/>
      <c r="X814" s="189"/>
      <c r="Y814" s="189"/>
      <c r="Z814" s="189"/>
    </row>
    <row r="815" spans="1:26">
      <c r="A815" s="189"/>
      <c r="B815" s="189"/>
      <c r="C815" s="189"/>
      <c r="D815" s="189"/>
      <c r="E815" s="189"/>
      <c r="F815" s="189"/>
      <c r="G815" s="189"/>
      <c r="H815" s="190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91"/>
      <c r="T815" s="208"/>
      <c r="U815" s="189"/>
      <c r="V815" s="189"/>
      <c r="W815" s="189"/>
      <c r="X815" s="189"/>
      <c r="Y815" s="189"/>
      <c r="Z815" s="189"/>
    </row>
    <row r="816" spans="1:26">
      <c r="A816" s="189"/>
      <c r="B816" s="189"/>
      <c r="C816" s="189"/>
      <c r="D816" s="189"/>
      <c r="E816" s="189"/>
      <c r="F816" s="189"/>
      <c r="G816" s="189"/>
      <c r="H816" s="190"/>
      <c r="I816" s="189"/>
      <c r="J816" s="189"/>
      <c r="K816" s="189"/>
      <c r="L816" s="189"/>
      <c r="M816" s="189"/>
      <c r="N816" s="189"/>
      <c r="O816" s="189"/>
      <c r="P816" s="189"/>
      <c r="Q816" s="189"/>
      <c r="R816" s="189"/>
      <c r="S816" s="191"/>
      <c r="T816" s="208"/>
      <c r="U816" s="189"/>
      <c r="V816" s="189"/>
      <c r="W816" s="189"/>
      <c r="X816" s="189"/>
      <c r="Y816" s="189"/>
      <c r="Z816" s="189"/>
    </row>
    <row r="817" spans="1:26">
      <c r="A817" s="189"/>
      <c r="B817" s="189"/>
      <c r="C817" s="189"/>
      <c r="D817" s="189"/>
      <c r="E817" s="189"/>
      <c r="F817" s="189"/>
      <c r="G817" s="189"/>
      <c r="H817" s="190"/>
      <c r="I817" s="189"/>
      <c r="J817" s="189"/>
      <c r="K817" s="189"/>
      <c r="L817" s="189"/>
      <c r="M817" s="189"/>
      <c r="N817" s="189"/>
      <c r="O817" s="189"/>
      <c r="P817" s="189"/>
      <c r="Q817" s="189"/>
      <c r="R817" s="189"/>
      <c r="S817" s="191"/>
      <c r="T817" s="208"/>
      <c r="U817" s="189"/>
      <c r="V817" s="189"/>
      <c r="W817" s="189"/>
      <c r="X817" s="189"/>
      <c r="Y817" s="189"/>
      <c r="Z817" s="189"/>
    </row>
    <row r="818" spans="1:26">
      <c r="A818" s="189"/>
      <c r="B818" s="189"/>
      <c r="C818" s="189"/>
      <c r="D818" s="189"/>
      <c r="E818" s="189"/>
      <c r="F818" s="189"/>
      <c r="G818" s="189"/>
      <c r="H818" s="190"/>
      <c r="I818" s="189"/>
      <c r="J818" s="189"/>
      <c r="K818" s="189"/>
      <c r="L818" s="189"/>
      <c r="M818" s="189"/>
      <c r="N818" s="189"/>
      <c r="O818" s="189"/>
      <c r="P818" s="189"/>
      <c r="Q818" s="189"/>
      <c r="R818" s="189"/>
      <c r="S818" s="191"/>
      <c r="T818" s="208"/>
      <c r="U818" s="189"/>
      <c r="V818" s="189"/>
      <c r="W818" s="189"/>
      <c r="X818" s="189"/>
      <c r="Y818" s="189"/>
      <c r="Z818" s="189"/>
    </row>
    <row r="819" spans="1:26">
      <c r="A819" s="189"/>
      <c r="B819" s="189"/>
      <c r="C819" s="189"/>
      <c r="D819" s="189"/>
      <c r="E819" s="189"/>
      <c r="F819" s="189"/>
      <c r="G819" s="189"/>
      <c r="H819" s="190"/>
      <c r="I819" s="189"/>
      <c r="J819" s="189"/>
      <c r="K819" s="189"/>
      <c r="L819" s="189"/>
      <c r="M819" s="189"/>
      <c r="N819" s="189"/>
      <c r="O819" s="189"/>
      <c r="P819" s="189"/>
      <c r="Q819" s="189"/>
      <c r="R819" s="189"/>
      <c r="S819" s="191"/>
      <c r="T819" s="208"/>
      <c r="U819" s="189"/>
      <c r="V819" s="189"/>
      <c r="W819" s="189"/>
      <c r="X819" s="189"/>
      <c r="Y819" s="189"/>
      <c r="Z819" s="189"/>
    </row>
    <row r="820" spans="1:26">
      <c r="A820" s="189"/>
      <c r="B820" s="189"/>
      <c r="C820" s="189"/>
      <c r="D820" s="189"/>
      <c r="E820" s="189"/>
      <c r="F820" s="189"/>
      <c r="G820" s="189"/>
      <c r="H820" s="190"/>
      <c r="I820" s="189"/>
      <c r="J820" s="189"/>
      <c r="K820" s="189"/>
      <c r="L820" s="189"/>
      <c r="M820" s="189"/>
      <c r="N820" s="189"/>
      <c r="O820" s="189"/>
      <c r="P820" s="189"/>
      <c r="Q820" s="189"/>
      <c r="R820" s="189"/>
      <c r="S820" s="191"/>
      <c r="T820" s="208"/>
      <c r="U820" s="189"/>
      <c r="V820" s="189"/>
      <c r="W820" s="189"/>
      <c r="X820" s="189"/>
      <c r="Y820" s="189"/>
      <c r="Z820" s="189"/>
    </row>
    <row r="821" spans="1:26">
      <c r="A821" s="189"/>
      <c r="B821" s="189"/>
      <c r="C821" s="189"/>
      <c r="D821" s="189"/>
      <c r="E821" s="189"/>
      <c r="F821" s="189"/>
      <c r="G821" s="189"/>
      <c r="H821" s="190"/>
      <c r="I821" s="189"/>
      <c r="J821" s="189"/>
      <c r="K821" s="189"/>
      <c r="L821" s="189"/>
      <c r="M821" s="189"/>
      <c r="N821" s="189"/>
      <c r="O821" s="189"/>
      <c r="P821" s="189"/>
      <c r="Q821" s="189"/>
      <c r="R821" s="189"/>
      <c r="S821" s="191"/>
      <c r="T821" s="208"/>
      <c r="U821" s="189"/>
      <c r="V821" s="189"/>
      <c r="W821" s="189"/>
      <c r="X821" s="189"/>
      <c r="Y821" s="189"/>
      <c r="Z821" s="189"/>
    </row>
    <row r="822" spans="1:26">
      <c r="A822" s="189"/>
      <c r="B822" s="189"/>
      <c r="C822" s="189"/>
      <c r="D822" s="189"/>
      <c r="E822" s="189"/>
      <c r="F822" s="189"/>
      <c r="G822" s="189"/>
      <c r="H822" s="190"/>
      <c r="I822" s="189"/>
      <c r="J822" s="189"/>
      <c r="K822" s="189"/>
      <c r="L822" s="189"/>
      <c r="M822" s="189"/>
      <c r="N822" s="189"/>
      <c r="O822" s="189"/>
      <c r="P822" s="189"/>
      <c r="Q822" s="189"/>
      <c r="R822" s="189"/>
      <c r="S822" s="191"/>
      <c r="T822" s="208"/>
      <c r="U822" s="189"/>
      <c r="V822" s="189"/>
      <c r="W822" s="189"/>
      <c r="X822" s="189"/>
      <c r="Y822" s="189"/>
      <c r="Z822" s="189"/>
    </row>
    <row r="823" spans="1:26">
      <c r="A823" s="189"/>
      <c r="B823" s="189"/>
      <c r="C823" s="189"/>
      <c r="D823" s="189"/>
      <c r="E823" s="189"/>
      <c r="F823" s="189"/>
      <c r="G823" s="189"/>
      <c r="H823" s="190"/>
      <c r="I823" s="189"/>
      <c r="J823" s="189"/>
      <c r="K823" s="189"/>
      <c r="L823" s="189"/>
      <c r="M823" s="189"/>
      <c r="N823" s="189"/>
      <c r="O823" s="189"/>
      <c r="P823" s="189"/>
      <c r="Q823" s="189"/>
      <c r="R823" s="189"/>
      <c r="S823" s="191"/>
      <c r="T823" s="208"/>
      <c r="U823" s="189"/>
      <c r="V823" s="189"/>
      <c r="W823" s="189"/>
      <c r="X823" s="189"/>
      <c r="Y823" s="189"/>
      <c r="Z823" s="189"/>
    </row>
    <row r="824" spans="1:26">
      <c r="A824" s="189"/>
      <c r="B824" s="189"/>
      <c r="C824" s="189"/>
      <c r="D824" s="189"/>
      <c r="E824" s="189"/>
      <c r="F824" s="189"/>
      <c r="G824" s="189"/>
      <c r="H824" s="190"/>
      <c r="I824" s="189"/>
      <c r="J824" s="189"/>
      <c r="K824" s="189"/>
      <c r="L824" s="189"/>
      <c r="M824" s="189"/>
      <c r="N824" s="189"/>
      <c r="O824" s="189"/>
      <c r="P824" s="189"/>
      <c r="Q824" s="189"/>
      <c r="R824" s="189"/>
      <c r="S824" s="191"/>
      <c r="T824" s="208"/>
      <c r="U824" s="189"/>
      <c r="V824" s="189"/>
      <c r="W824" s="189"/>
      <c r="X824" s="189"/>
      <c r="Y824" s="189"/>
      <c r="Z824" s="189"/>
    </row>
    <row r="825" spans="1:26">
      <c r="A825" s="189"/>
      <c r="B825" s="189"/>
      <c r="C825" s="189"/>
      <c r="D825" s="189"/>
      <c r="E825" s="189"/>
      <c r="F825" s="189"/>
      <c r="G825" s="189"/>
      <c r="H825" s="190"/>
      <c r="I825" s="189"/>
      <c r="J825" s="189"/>
      <c r="K825" s="189"/>
      <c r="L825" s="189"/>
      <c r="M825" s="189"/>
      <c r="N825" s="189"/>
      <c r="O825" s="189"/>
      <c r="P825" s="189"/>
      <c r="Q825" s="189"/>
      <c r="R825" s="189"/>
      <c r="S825" s="191"/>
      <c r="T825" s="208"/>
      <c r="U825" s="189"/>
      <c r="V825" s="189"/>
      <c r="W825" s="189"/>
      <c r="X825" s="189"/>
      <c r="Y825" s="189"/>
      <c r="Z825" s="189"/>
    </row>
    <row r="826" spans="1:26">
      <c r="A826" s="189"/>
      <c r="B826" s="189"/>
      <c r="C826" s="189"/>
      <c r="D826" s="189"/>
      <c r="E826" s="189"/>
      <c r="F826" s="189"/>
      <c r="G826" s="189"/>
      <c r="H826" s="190"/>
      <c r="I826" s="189"/>
      <c r="J826" s="189"/>
      <c r="K826" s="189"/>
      <c r="L826" s="189"/>
      <c r="M826" s="189"/>
      <c r="N826" s="189"/>
      <c r="O826" s="189"/>
      <c r="P826" s="189"/>
      <c r="Q826" s="189"/>
      <c r="R826" s="189"/>
      <c r="S826" s="191"/>
      <c r="T826" s="208"/>
      <c r="U826" s="189"/>
      <c r="V826" s="189"/>
      <c r="W826" s="189"/>
      <c r="X826" s="189"/>
      <c r="Y826" s="189"/>
      <c r="Z826" s="189"/>
    </row>
    <row r="827" spans="1:26">
      <c r="A827" s="189"/>
      <c r="B827" s="189"/>
      <c r="C827" s="189"/>
      <c r="D827" s="189"/>
      <c r="E827" s="189"/>
      <c r="F827" s="189"/>
      <c r="G827" s="189"/>
      <c r="H827" s="190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91"/>
      <c r="T827" s="208"/>
      <c r="U827" s="189"/>
      <c r="V827" s="189"/>
      <c r="W827" s="189"/>
      <c r="X827" s="189"/>
      <c r="Y827" s="189"/>
      <c r="Z827" s="189"/>
    </row>
    <row r="828" spans="1:26">
      <c r="A828" s="189"/>
      <c r="B828" s="189"/>
      <c r="C828" s="189"/>
      <c r="D828" s="189"/>
      <c r="E828" s="189"/>
      <c r="F828" s="189"/>
      <c r="G828" s="189"/>
      <c r="H828" s="190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91"/>
      <c r="T828" s="208"/>
      <c r="U828" s="189"/>
      <c r="V828" s="189"/>
      <c r="W828" s="189"/>
      <c r="X828" s="189"/>
      <c r="Y828" s="189"/>
      <c r="Z828" s="189"/>
    </row>
    <row r="829" spans="1:26">
      <c r="A829" s="189"/>
      <c r="B829" s="189"/>
      <c r="C829" s="189"/>
      <c r="D829" s="189"/>
      <c r="E829" s="189"/>
      <c r="F829" s="189"/>
      <c r="G829" s="189"/>
      <c r="H829" s="190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91"/>
      <c r="T829" s="208"/>
      <c r="U829" s="189"/>
      <c r="V829" s="189"/>
      <c r="W829" s="189"/>
      <c r="X829" s="189"/>
      <c r="Y829" s="189"/>
      <c r="Z829" s="189"/>
    </row>
    <row r="830" spans="1:26">
      <c r="A830" s="189"/>
      <c r="B830" s="189"/>
      <c r="C830" s="189"/>
      <c r="D830" s="189"/>
      <c r="E830" s="189"/>
      <c r="F830" s="189"/>
      <c r="G830" s="189"/>
      <c r="H830" s="190"/>
      <c r="I830" s="189"/>
      <c r="J830" s="189"/>
      <c r="K830" s="189"/>
      <c r="L830" s="189"/>
      <c r="M830" s="189"/>
      <c r="N830" s="189"/>
      <c r="O830" s="189"/>
      <c r="P830" s="189"/>
      <c r="Q830" s="189"/>
      <c r="R830" s="189"/>
      <c r="S830" s="191"/>
      <c r="T830" s="208"/>
      <c r="U830" s="189"/>
      <c r="V830" s="189"/>
      <c r="W830" s="189"/>
      <c r="X830" s="189"/>
      <c r="Y830" s="189"/>
      <c r="Z830" s="189"/>
    </row>
    <row r="831" spans="1:26">
      <c r="A831" s="189"/>
      <c r="B831" s="189"/>
      <c r="C831" s="189"/>
      <c r="D831" s="189"/>
      <c r="E831" s="189"/>
      <c r="F831" s="189"/>
      <c r="G831" s="189"/>
      <c r="H831" s="190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91"/>
      <c r="T831" s="208"/>
      <c r="U831" s="189"/>
      <c r="V831" s="189"/>
      <c r="W831" s="189"/>
      <c r="X831" s="189"/>
      <c r="Y831" s="189"/>
      <c r="Z831" s="189"/>
    </row>
    <row r="832" spans="1:26">
      <c r="A832" s="189"/>
      <c r="B832" s="189"/>
      <c r="C832" s="189"/>
      <c r="D832" s="189"/>
      <c r="E832" s="189"/>
      <c r="F832" s="189"/>
      <c r="G832" s="189"/>
      <c r="H832" s="190"/>
      <c r="I832" s="189"/>
      <c r="J832" s="189"/>
      <c r="K832" s="189"/>
      <c r="L832" s="189"/>
      <c r="M832" s="189"/>
      <c r="N832" s="189"/>
      <c r="O832" s="189"/>
      <c r="P832" s="189"/>
      <c r="Q832" s="189"/>
      <c r="R832" s="189"/>
      <c r="S832" s="191"/>
      <c r="T832" s="208"/>
      <c r="U832" s="189"/>
      <c r="V832" s="189"/>
      <c r="W832" s="189"/>
      <c r="X832" s="189"/>
      <c r="Y832" s="189"/>
      <c r="Z832" s="189"/>
    </row>
    <row r="833" spans="1:26">
      <c r="A833" s="189"/>
      <c r="B833" s="189"/>
      <c r="C833" s="189"/>
      <c r="D833" s="189"/>
      <c r="E833" s="189"/>
      <c r="F833" s="189"/>
      <c r="G833" s="189"/>
      <c r="H833" s="190"/>
      <c r="I833" s="189"/>
      <c r="J833" s="189"/>
      <c r="K833" s="189"/>
      <c r="L833" s="189"/>
      <c r="M833" s="189"/>
      <c r="N833" s="189"/>
      <c r="O833" s="189"/>
      <c r="P833" s="189"/>
      <c r="Q833" s="189"/>
      <c r="R833" s="189"/>
      <c r="S833" s="191"/>
      <c r="T833" s="208"/>
      <c r="U833" s="189"/>
      <c r="V833" s="189"/>
      <c r="W833" s="189"/>
      <c r="X833" s="189"/>
      <c r="Y833" s="189"/>
      <c r="Z833" s="189"/>
    </row>
    <row r="834" spans="1:26">
      <c r="A834" s="189"/>
      <c r="B834" s="189"/>
      <c r="C834" s="189"/>
      <c r="D834" s="189"/>
      <c r="E834" s="189"/>
      <c r="F834" s="189"/>
      <c r="G834" s="189"/>
      <c r="H834" s="190"/>
      <c r="I834" s="189"/>
      <c r="J834" s="189"/>
      <c r="K834" s="189"/>
      <c r="L834" s="189"/>
      <c r="M834" s="189"/>
      <c r="N834" s="189"/>
      <c r="O834" s="189"/>
      <c r="P834" s="189"/>
      <c r="Q834" s="189"/>
      <c r="R834" s="189"/>
      <c r="S834" s="191"/>
      <c r="T834" s="208"/>
      <c r="U834" s="189"/>
      <c r="V834" s="189"/>
      <c r="W834" s="189"/>
      <c r="X834" s="189"/>
      <c r="Y834" s="189"/>
      <c r="Z834" s="189"/>
    </row>
    <row r="835" spans="1:26">
      <c r="A835" s="189"/>
      <c r="B835" s="189"/>
      <c r="C835" s="189"/>
      <c r="D835" s="189"/>
      <c r="E835" s="189"/>
      <c r="F835" s="189"/>
      <c r="G835" s="189"/>
      <c r="H835" s="190"/>
      <c r="I835" s="189"/>
      <c r="J835" s="189"/>
      <c r="K835" s="189"/>
      <c r="L835" s="189"/>
      <c r="M835" s="189"/>
      <c r="N835" s="189"/>
      <c r="O835" s="189"/>
      <c r="P835" s="189"/>
      <c r="Q835" s="189"/>
      <c r="R835" s="189"/>
      <c r="S835" s="191"/>
      <c r="T835" s="208"/>
      <c r="U835" s="189"/>
      <c r="V835" s="189"/>
      <c r="W835" s="189"/>
      <c r="X835" s="189"/>
      <c r="Y835" s="189"/>
      <c r="Z835" s="189"/>
    </row>
    <row r="836" spans="1:26">
      <c r="A836" s="189"/>
      <c r="B836" s="189"/>
      <c r="C836" s="189"/>
      <c r="D836" s="189"/>
      <c r="E836" s="189"/>
      <c r="F836" s="189"/>
      <c r="G836" s="189"/>
      <c r="H836" s="190"/>
      <c r="I836" s="189"/>
      <c r="J836" s="189"/>
      <c r="K836" s="189"/>
      <c r="L836" s="189"/>
      <c r="M836" s="189"/>
      <c r="N836" s="189"/>
      <c r="O836" s="189"/>
      <c r="P836" s="189"/>
      <c r="Q836" s="189"/>
      <c r="R836" s="189"/>
      <c r="S836" s="191"/>
      <c r="T836" s="208"/>
      <c r="U836" s="189"/>
      <c r="V836" s="189"/>
      <c r="W836" s="189"/>
      <c r="X836" s="189"/>
      <c r="Y836" s="189"/>
      <c r="Z836" s="189"/>
    </row>
    <row r="837" spans="1:26">
      <c r="A837" s="189"/>
      <c r="B837" s="189"/>
      <c r="C837" s="189"/>
      <c r="D837" s="189"/>
      <c r="E837" s="189"/>
      <c r="F837" s="189"/>
      <c r="G837" s="189"/>
      <c r="H837" s="190"/>
      <c r="I837" s="189"/>
      <c r="J837" s="189"/>
      <c r="K837" s="189"/>
      <c r="L837" s="189"/>
      <c r="M837" s="189"/>
      <c r="N837" s="189"/>
      <c r="O837" s="189"/>
      <c r="P837" s="189"/>
      <c r="Q837" s="189"/>
      <c r="R837" s="189"/>
      <c r="S837" s="191"/>
      <c r="T837" s="208"/>
      <c r="U837" s="189"/>
      <c r="V837" s="189"/>
      <c r="W837" s="189"/>
      <c r="X837" s="189"/>
      <c r="Y837" s="189"/>
      <c r="Z837" s="189"/>
    </row>
    <row r="838" spans="1:26">
      <c r="A838" s="189"/>
      <c r="B838" s="189"/>
      <c r="C838" s="189"/>
      <c r="D838" s="189"/>
      <c r="E838" s="189"/>
      <c r="F838" s="189"/>
      <c r="G838" s="189"/>
      <c r="H838" s="190"/>
      <c r="I838" s="189"/>
      <c r="J838" s="189"/>
      <c r="K838" s="189"/>
      <c r="L838" s="189"/>
      <c r="M838" s="189"/>
      <c r="N838" s="189"/>
      <c r="O838" s="189"/>
      <c r="P838" s="189"/>
      <c r="Q838" s="189"/>
      <c r="R838" s="189"/>
      <c r="S838" s="191"/>
      <c r="T838" s="208"/>
      <c r="U838" s="189"/>
      <c r="V838" s="189"/>
      <c r="W838" s="189"/>
      <c r="X838" s="189"/>
      <c r="Y838" s="189"/>
      <c r="Z838" s="189"/>
    </row>
    <row r="839" spans="1:26">
      <c r="A839" s="189"/>
      <c r="B839" s="189"/>
      <c r="C839" s="189"/>
      <c r="D839" s="189"/>
      <c r="E839" s="189"/>
      <c r="F839" s="189"/>
      <c r="G839" s="189"/>
      <c r="H839" s="190"/>
      <c r="I839" s="189"/>
      <c r="J839" s="189"/>
      <c r="K839" s="189"/>
      <c r="L839" s="189"/>
      <c r="M839" s="189"/>
      <c r="N839" s="189"/>
      <c r="O839" s="189"/>
      <c r="P839" s="189"/>
      <c r="Q839" s="189"/>
      <c r="R839" s="189"/>
      <c r="S839" s="191"/>
      <c r="T839" s="208"/>
      <c r="U839" s="189"/>
      <c r="V839" s="189"/>
      <c r="W839" s="189"/>
      <c r="X839" s="189"/>
      <c r="Y839" s="189"/>
      <c r="Z839" s="189"/>
    </row>
    <row r="840" spans="1:26">
      <c r="A840" s="189"/>
      <c r="B840" s="189"/>
      <c r="C840" s="189"/>
      <c r="D840" s="189"/>
      <c r="E840" s="189"/>
      <c r="F840" s="189"/>
      <c r="G840" s="189"/>
      <c r="H840" s="190"/>
      <c r="I840" s="189"/>
      <c r="J840" s="189"/>
      <c r="K840" s="189"/>
      <c r="L840" s="189"/>
      <c r="M840" s="189"/>
      <c r="N840" s="189"/>
      <c r="O840" s="189"/>
      <c r="P840" s="189"/>
      <c r="Q840" s="189"/>
      <c r="R840" s="189"/>
      <c r="S840" s="191"/>
      <c r="T840" s="208"/>
      <c r="U840" s="189"/>
      <c r="V840" s="189"/>
      <c r="W840" s="189"/>
      <c r="X840" s="189"/>
      <c r="Y840" s="189"/>
      <c r="Z840" s="189"/>
    </row>
    <row r="841" spans="1:26">
      <c r="A841" s="189"/>
      <c r="B841" s="189"/>
      <c r="C841" s="189"/>
      <c r="D841" s="189"/>
      <c r="E841" s="189"/>
      <c r="F841" s="189"/>
      <c r="G841" s="189"/>
      <c r="H841" s="190"/>
      <c r="I841" s="189"/>
      <c r="J841" s="189"/>
      <c r="K841" s="189"/>
      <c r="L841" s="189"/>
      <c r="M841" s="189"/>
      <c r="N841" s="189"/>
      <c r="O841" s="189"/>
      <c r="P841" s="189"/>
      <c r="Q841" s="189"/>
      <c r="R841" s="189"/>
      <c r="S841" s="191"/>
      <c r="T841" s="208"/>
      <c r="U841" s="189"/>
      <c r="V841" s="189"/>
      <c r="W841" s="189"/>
      <c r="X841" s="189"/>
      <c r="Y841" s="189"/>
      <c r="Z841" s="189"/>
    </row>
    <row r="842" spans="1:26">
      <c r="A842" s="189"/>
      <c r="B842" s="189"/>
      <c r="C842" s="189"/>
      <c r="D842" s="189"/>
      <c r="E842" s="189"/>
      <c r="F842" s="189"/>
      <c r="G842" s="189"/>
      <c r="H842" s="190"/>
      <c r="I842" s="189"/>
      <c r="J842" s="189"/>
      <c r="K842" s="189"/>
      <c r="L842" s="189"/>
      <c r="M842" s="189"/>
      <c r="N842" s="189"/>
      <c r="O842" s="189"/>
      <c r="P842" s="189"/>
      <c r="Q842" s="189"/>
      <c r="R842" s="189"/>
      <c r="S842" s="191"/>
      <c r="T842" s="208"/>
      <c r="U842" s="189"/>
      <c r="V842" s="189"/>
      <c r="W842" s="189"/>
      <c r="X842" s="189"/>
      <c r="Y842" s="189"/>
      <c r="Z842" s="189"/>
    </row>
    <row r="843" spans="1:26">
      <c r="A843" s="189"/>
      <c r="B843" s="189"/>
      <c r="C843" s="189"/>
      <c r="D843" s="189"/>
      <c r="E843" s="189"/>
      <c r="F843" s="189"/>
      <c r="G843" s="189"/>
      <c r="H843" s="190"/>
      <c r="I843" s="189"/>
      <c r="J843" s="189"/>
      <c r="K843" s="189"/>
      <c r="L843" s="189"/>
      <c r="M843" s="189"/>
      <c r="N843" s="189"/>
      <c r="O843" s="189"/>
      <c r="P843" s="189"/>
      <c r="Q843" s="189"/>
      <c r="R843" s="189"/>
      <c r="S843" s="191"/>
      <c r="T843" s="208"/>
      <c r="U843" s="189"/>
      <c r="V843" s="189"/>
      <c r="W843" s="189"/>
      <c r="X843" s="189"/>
      <c r="Y843" s="189"/>
      <c r="Z843" s="189"/>
    </row>
    <row r="844" spans="1:26">
      <c r="A844" s="189"/>
      <c r="B844" s="189"/>
      <c r="C844" s="189"/>
      <c r="D844" s="189"/>
      <c r="E844" s="189"/>
      <c r="F844" s="189"/>
      <c r="G844" s="189"/>
      <c r="H844" s="190"/>
      <c r="I844" s="189"/>
      <c r="J844" s="189"/>
      <c r="K844" s="189"/>
      <c r="L844" s="189"/>
      <c r="M844" s="189"/>
      <c r="N844" s="189"/>
      <c r="O844" s="189"/>
      <c r="P844" s="189"/>
      <c r="Q844" s="189"/>
      <c r="R844" s="189"/>
      <c r="S844" s="191"/>
      <c r="T844" s="208"/>
      <c r="U844" s="189"/>
      <c r="V844" s="189"/>
      <c r="W844" s="189"/>
      <c r="X844" s="189"/>
      <c r="Y844" s="189"/>
      <c r="Z844" s="189"/>
    </row>
    <row r="845" spans="1:26">
      <c r="A845" s="189"/>
      <c r="B845" s="189"/>
      <c r="C845" s="189"/>
      <c r="D845" s="189"/>
      <c r="E845" s="189"/>
      <c r="F845" s="189"/>
      <c r="G845" s="189"/>
      <c r="H845" s="190"/>
      <c r="I845" s="189"/>
      <c r="J845" s="189"/>
      <c r="K845" s="189"/>
      <c r="L845" s="189"/>
      <c r="M845" s="189"/>
      <c r="N845" s="189"/>
      <c r="O845" s="189"/>
      <c r="P845" s="189"/>
      <c r="Q845" s="189"/>
      <c r="R845" s="189"/>
      <c r="S845" s="191"/>
      <c r="T845" s="208"/>
      <c r="U845" s="189"/>
      <c r="V845" s="189"/>
      <c r="W845" s="189"/>
      <c r="X845" s="189"/>
      <c r="Y845" s="189"/>
      <c r="Z845" s="189"/>
    </row>
    <row r="846" spans="1:26">
      <c r="A846" s="189"/>
      <c r="B846" s="189"/>
      <c r="C846" s="189"/>
      <c r="D846" s="189"/>
      <c r="E846" s="189"/>
      <c r="F846" s="189"/>
      <c r="G846" s="189"/>
      <c r="H846" s="190"/>
      <c r="I846" s="189"/>
      <c r="J846" s="189"/>
      <c r="K846" s="189"/>
      <c r="L846" s="189"/>
      <c r="M846" s="189"/>
      <c r="N846" s="189"/>
      <c r="O846" s="189"/>
      <c r="P846" s="189"/>
      <c r="Q846" s="189"/>
      <c r="R846" s="189"/>
      <c r="S846" s="191"/>
      <c r="T846" s="208"/>
      <c r="U846" s="189"/>
      <c r="V846" s="189"/>
      <c r="W846" s="189"/>
      <c r="X846" s="189"/>
      <c r="Y846" s="189"/>
      <c r="Z846" s="189"/>
    </row>
    <row r="847" spans="1:26">
      <c r="A847" s="189"/>
      <c r="B847" s="189"/>
      <c r="C847" s="189"/>
      <c r="D847" s="189"/>
      <c r="E847" s="189"/>
      <c r="F847" s="189"/>
      <c r="G847" s="189"/>
      <c r="H847" s="190"/>
      <c r="I847" s="189"/>
      <c r="J847" s="189"/>
      <c r="K847" s="189"/>
      <c r="L847" s="189"/>
      <c r="M847" s="189"/>
      <c r="N847" s="189"/>
      <c r="O847" s="189"/>
      <c r="P847" s="189"/>
      <c r="Q847" s="189"/>
      <c r="R847" s="189"/>
      <c r="S847" s="191"/>
      <c r="T847" s="208"/>
      <c r="U847" s="189"/>
      <c r="V847" s="189"/>
      <c r="W847" s="189"/>
      <c r="X847" s="189"/>
      <c r="Y847" s="189"/>
      <c r="Z847" s="189"/>
    </row>
    <row r="848" spans="1:26">
      <c r="A848" s="189"/>
      <c r="B848" s="189"/>
      <c r="C848" s="189"/>
      <c r="D848" s="189"/>
      <c r="E848" s="189"/>
      <c r="F848" s="189"/>
      <c r="G848" s="189"/>
      <c r="H848" s="190"/>
      <c r="I848" s="189"/>
      <c r="J848" s="189"/>
      <c r="K848" s="189"/>
      <c r="L848" s="189"/>
      <c r="M848" s="189"/>
      <c r="N848" s="189"/>
      <c r="O848" s="189"/>
      <c r="P848" s="189"/>
      <c r="Q848" s="189"/>
      <c r="R848" s="189"/>
      <c r="S848" s="191"/>
      <c r="T848" s="208"/>
      <c r="U848" s="189"/>
      <c r="V848" s="189"/>
      <c r="W848" s="189"/>
      <c r="X848" s="189"/>
      <c r="Y848" s="189"/>
      <c r="Z848" s="189"/>
    </row>
    <row r="849" spans="1:26">
      <c r="A849" s="189"/>
      <c r="B849" s="189"/>
      <c r="C849" s="189"/>
      <c r="D849" s="189"/>
      <c r="E849" s="189"/>
      <c r="F849" s="189"/>
      <c r="G849" s="189"/>
      <c r="H849" s="190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S849" s="191"/>
      <c r="T849" s="208"/>
      <c r="U849" s="189"/>
      <c r="V849" s="189"/>
      <c r="W849" s="189"/>
      <c r="X849" s="189"/>
      <c r="Y849" s="189"/>
      <c r="Z849" s="189"/>
    </row>
    <row r="850" spans="1:26">
      <c r="A850" s="189"/>
      <c r="B850" s="189"/>
      <c r="C850" s="189"/>
      <c r="D850" s="189"/>
      <c r="E850" s="189"/>
      <c r="F850" s="189"/>
      <c r="G850" s="189"/>
      <c r="H850" s="190"/>
      <c r="I850" s="189"/>
      <c r="J850" s="189"/>
      <c r="K850" s="189"/>
      <c r="L850" s="189"/>
      <c r="M850" s="189"/>
      <c r="N850" s="189"/>
      <c r="O850" s="189"/>
      <c r="P850" s="189"/>
      <c r="Q850" s="189"/>
      <c r="R850" s="189"/>
      <c r="S850" s="191"/>
      <c r="T850" s="208"/>
      <c r="U850" s="189"/>
      <c r="V850" s="189"/>
      <c r="W850" s="189"/>
      <c r="X850" s="189"/>
      <c r="Y850" s="189"/>
      <c r="Z850" s="189"/>
    </row>
    <row r="851" spans="1:26">
      <c r="A851" s="189"/>
      <c r="B851" s="189"/>
      <c r="C851" s="189"/>
      <c r="D851" s="189"/>
      <c r="E851" s="189"/>
      <c r="F851" s="189"/>
      <c r="G851" s="189"/>
      <c r="H851" s="190"/>
      <c r="I851" s="189"/>
      <c r="J851" s="189"/>
      <c r="K851" s="189"/>
      <c r="L851" s="189"/>
      <c r="M851" s="189"/>
      <c r="N851" s="189"/>
      <c r="O851" s="189"/>
      <c r="P851" s="189"/>
      <c r="Q851" s="189"/>
      <c r="R851" s="189"/>
      <c r="S851" s="191"/>
      <c r="T851" s="208"/>
      <c r="U851" s="189"/>
      <c r="V851" s="189"/>
      <c r="W851" s="189"/>
      <c r="X851" s="189"/>
      <c r="Y851" s="189"/>
      <c r="Z851" s="189"/>
    </row>
    <row r="852" spans="1:26">
      <c r="A852" s="189"/>
      <c r="B852" s="189"/>
      <c r="C852" s="189"/>
      <c r="D852" s="189"/>
      <c r="E852" s="189"/>
      <c r="F852" s="189"/>
      <c r="G852" s="189"/>
      <c r="H852" s="190"/>
      <c r="I852" s="189"/>
      <c r="J852" s="189"/>
      <c r="K852" s="189"/>
      <c r="L852" s="189"/>
      <c r="M852" s="189"/>
      <c r="N852" s="189"/>
      <c r="O852" s="189"/>
      <c r="P852" s="189"/>
      <c r="Q852" s="189"/>
      <c r="R852" s="189"/>
      <c r="S852" s="191"/>
      <c r="T852" s="208"/>
      <c r="U852" s="189"/>
      <c r="V852" s="189"/>
      <c r="W852" s="189"/>
      <c r="X852" s="189"/>
      <c r="Y852" s="189"/>
      <c r="Z852" s="189"/>
    </row>
    <row r="853" spans="1:26">
      <c r="A853" s="189"/>
      <c r="B853" s="189"/>
      <c r="C853" s="189"/>
      <c r="D853" s="189"/>
      <c r="E853" s="189"/>
      <c r="F853" s="189"/>
      <c r="G853" s="189"/>
      <c r="H853" s="190"/>
      <c r="I853" s="189"/>
      <c r="J853" s="189"/>
      <c r="K853" s="189"/>
      <c r="L853" s="189"/>
      <c r="M853" s="189"/>
      <c r="N853" s="189"/>
      <c r="O853" s="189"/>
      <c r="P853" s="189"/>
      <c r="Q853" s="189"/>
      <c r="R853" s="189"/>
      <c r="S853" s="191"/>
      <c r="T853" s="208"/>
      <c r="U853" s="189"/>
      <c r="V853" s="189"/>
      <c r="W853" s="189"/>
      <c r="X853" s="189"/>
      <c r="Y853" s="189"/>
      <c r="Z853" s="189"/>
    </row>
    <row r="854" spans="1:26">
      <c r="A854" s="189"/>
      <c r="B854" s="189"/>
      <c r="C854" s="189"/>
      <c r="D854" s="189"/>
      <c r="E854" s="189"/>
      <c r="F854" s="189"/>
      <c r="G854" s="189"/>
      <c r="H854" s="190"/>
      <c r="I854" s="189"/>
      <c r="J854" s="189"/>
      <c r="K854" s="189"/>
      <c r="L854" s="189"/>
      <c r="M854" s="189"/>
      <c r="N854" s="189"/>
      <c r="O854" s="189"/>
      <c r="P854" s="189"/>
      <c r="Q854" s="189"/>
      <c r="R854" s="189"/>
      <c r="S854" s="191"/>
      <c r="T854" s="208"/>
      <c r="U854" s="189"/>
      <c r="V854" s="189"/>
      <c r="W854" s="189"/>
      <c r="X854" s="189"/>
      <c r="Y854" s="189"/>
      <c r="Z854" s="189"/>
    </row>
    <row r="855" spans="1:26">
      <c r="A855" s="189"/>
      <c r="B855" s="189"/>
      <c r="C855" s="189"/>
      <c r="D855" s="189"/>
      <c r="E855" s="189"/>
      <c r="F855" s="189"/>
      <c r="G855" s="189"/>
      <c r="H855" s="190"/>
      <c r="I855" s="189"/>
      <c r="J855" s="189"/>
      <c r="K855" s="189"/>
      <c r="L855" s="189"/>
      <c r="M855" s="189"/>
      <c r="N855" s="189"/>
      <c r="O855" s="189"/>
      <c r="P855" s="189"/>
      <c r="Q855" s="189"/>
      <c r="R855" s="189"/>
      <c r="S855" s="191"/>
      <c r="T855" s="208"/>
      <c r="U855" s="189"/>
      <c r="V855" s="189"/>
      <c r="W855" s="189"/>
      <c r="X855" s="189"/>
      <c r="Y855" s="189"/>
      <c r="Z855" s="189"/>
    </row>
    <row r="856" spans="1:26">
      <c r="A856" s="189"/>
      <c r="B856" s="189"/>
      <c r="C856" s="189"/>
      <c r="D856" s="189"/>
      <c r="E856" s="189"/>
      <c r="F856" s="189"/>
      <c r="G856" s="189"/>
      <c r="H856" s="190"/>
      <c r="I856" s="189"/>
      <c r="J856" s="189"/>
      <c r="K856" s="189"/>
      <c r="L856" s="189"/>
      <c r="M856" s="189"/>
      <c r="N856" s="189"/>
      <c r="O856" s="189"/>
      <c r="P856" s="189"/>
      <c r="Q856" s="189"/>
      <c r="R856" s="189"/>
      <c r="S856" s="191"/>
      <c r="T856" s="208"/>
      <c r="U856" s="189"/>
      <c r="V856" s="189"/>
      <c r="W856" s="189"/>
      <c r="X856" s="189"/>
      <c r="Y856" s="189"/>
      <c r="Z856" s="189"/>
    </row>
    <row r="857" spans="1:26">
      <c r="A857" s="189"/>
      <c r="B857" s="189"/>
      <c r="C857" s="189"/>
      <c r="D857" s="189"/>
      <c r="E857" s="189"/>
      <c r="F857" s="189"/>
      <c r="G857" s="189"/>
      <c r="H857" s="190"/>
      <c r="I857" s="189"/>
      <c r="J857" s="189"/>
      <c r="K857" s="189"/>
      <c r="L857" s="189"/>
      <c r="M857" s="189"/>
      <c r="N857" s="189"/>
      <c r="O857" s="189"/>
      <c r="P857" s="189"/>
      <c r="Q857" s="189"/>
      <c r="R857" s="189"/>
      <c r="S857" s="191"/>
      <c r="T857" s="208"/>
      <c r="U857" s="189"/>
      <c r="V857" s="189"/>
      <c r="W857" s="189"/>
      <c r="X857" s="189"/>
      <c r="Y857" s="189"/>
      <c r="Z857" s="189"/>
    </row>
    <row r="858" spans="1:26">
      <c r="A858" s="189"/>
      <c r="B858" s="189"/>
      <c r="C858" s="189"/>
      <c r="D858" s="189"/>
      <c r="E858" s="189"/>
      <c r="F858" s="189"/>
      <c r="G858" s="189"/>
      <c r="H858" s="190"/>
      <c r="I858" s="189"/>
      <c r="J858" s="189"/>
      <c r="K858" s="189"/>
      <c r="L858" s="189"/>
      <c r="M858" s="189"/>
      <c r="N858" s="189"/>
      <c r="O858" s="189"/>
      <c r="P858" s="189"/>
      <c r="Q858" s="189"/>
      <c r="R858" s="189"/>
      <c r="S858" s="191"/>
      <c r="T858" s="208"/>
      <c r="U858" s="189"/>
      <c r="V858" s="189"/>
      <c r="W858" s="189"/>
      <c r="X858" s="189"/>
      <c r="Y858" s="189"/>
      <c r="Z858" s="189"/>
    </row>
    <row r="859" spans="1:26">
      <c r="A859" s="189"/>
      <c r="B859" s="189"/>
      <c r="C859" s="189"/>
      <c r="D859" s="189"/>
      <c r="E859" s="189"/>
      <c r="F859" s="189"/>
      <c r="G859" s="189"/>
      <c r="H859" s="190"/>
      <c r="I859" s="189"/>
      <c r="J859" s="189"/>
      <c r="K859" s="189"/>
      <c r="L859" s="189"/>
      <c r="M859" s="189"/>
      <c r="N859" s="189"/>
      <c r="O859" s="189"/>
      <c r="P859" s="189"/>
      <c r="Q859" s="189"/>
      <c r="R859" s="189"/>
      <c r="S859" s="191"/>
      <c r="T859" s="208"/>
      <c r="U859" s="189"/>
      <c r="V859" s="189"/>
      <c r="W859" s="189"/>
      <c r="X859" s="189"/>
      <c r="Y859" s="189"/>
      <c r="Z859" s="189"/>
    </row>
    <row r="860" spans="1:26">
      <c r="A860" s="189"/>
      <c r="B860" s="189"/>
      <c r="C860" s="189"/>
      <c r="D860" s="189"/>
      <c r="E860" s="189"/>
      <c r="F860" s="189"/>
      <c r="G860" s="189"/>
      <c r="H860" s="190"/>
      <c r="I860" s="189"/>
      <c r="J860" s="189"/>
      <c r="K860" s="189"/>
      <c r="L860" s="189"/>
      <c r="M860" s="189"/>
      <c r="N860" s="189"/>
      <c r="O860" s="189"/>
      <c r="P860" s="189"/>
      <c r="Q860" s="189"/>
      <c r="R860" s="189"/>
      <c r="S860" s="191"/>
      <c r="T860" s="208"/>
      <c r="U860" s="189"/>
      <c r="V860" s="189"/>
      <c r="W860" s="189"/>
      <c r="X860" s="189"/>
      <c r="Y860" s="189"/>
      <c r="Z860" s="189"/>
    </row>
    <row r="861" spans="1:26">
      <c r="A861" s="189"/>
      <c r="B861" s="189"/>
      <c r="C861" s="189"/>
      <c r="D861" s="189"/>
      <c r="E861" s="189"/>
      <c r="F861" s="189"/>
      <c r="G861" s="189"/>
      <c r="H861" s="190"/>
      <c r="I861" s="189"/>
      <c r="J861" s="189"/>
      <c r="K861" s="189"/>
      <c r="L861" s="189"/>
      <c r="M861" s="189"/>
      <c r="N861" s="189"/>
      <c r="O861" s="189"/>
      <c r="P861" s="189"/>
      <c r="Q861" s="189"/>
      <c r="R861" s="189"/>
      <c r="S861" s="191"/>
      <c r="T861" s="208"/>
      <c r="U861" s="189"/>
      <c r="V861" s="189"/>
      <c r="W861" s="189"/>
      <c r="X861" s="189"/>
      <c r="Y861" s="189"/>
      <c r="Z861" s="189"/>
    </row>
    <row r="862" spans="1:26">
      <c r="A862" s="189"/>
      <c r="B862" s="189"/>
      <c r="C862" s="189"/>
      <c r="D862" s="189"/>
      <c r="E862" s="189"/>
      <c r="F862" s="189"/>
      <c r="G862" s="189"/>
      <c r="H862" s="190"/>
      <c r="I862" s="189"/>
      <c r="J862" s="189"/>
      <c r="K862" s="189"/>
      <c r="L862" s="189"/>
      <c r="M862" s="189"/>
      <c r="N862" s="189"/>
      <c r="O862" s="189"/>
      <c r="P862" s="189"/>
      <c r="Q862" s="189"/>
      <c r="R862" s="189"/>
      <c r="S862" s="191"/>
      <c r="T862" s="208"/>
      <c r="U862" s="189"/>
      <c r="V862" s="189"/>
      <c r="W862" s="189"/>
      <c r="X862" s="189"/>
      <c r="Y862" s="189"/>
      <c r="Z862" s="189"/>
    </row>
    <row r="863" spans="1:26">
      <c r="A863" s="189"/>
      <c r="B863" s="189"/>
      <c r="C863" s="189"/>
      <c r="D863" s="189"/>
      <c r="E863" s="189"/>
      <c r="F863" s="189"/>
      <c r="G863" s="189"/>
      <c r="H863" s="190"/>
      <c r="I863" s="189"/>
      <c r="J863" s="189"/>
      <c r="K863" s="189"/>
      <c r="L863" s="189"/>
      <c r="M863" s="189"/>
      <c r="N863" s="189"/>
      <c r="O863" s="189"/>
      <c r="P863" s="189"/>
      <c r="Q863" s="189"/>
      <c r="R863" s="189"/>
      <c r="S863" s="191"/>
      <c r="T863" s="208"/>
      <c r="U863" s="189"/>
      <c r="V863" s="189"/>
      <c r="W863" s="189"/>
      <c r="X863" s="189"/>
      <c r="Y863" s="189"/>
      <c r="Z863" s="189"/>
    </row>
    <row r="864" spans="1:26">
      <c r="A864" s="189"/>
      <c r="B864" s="189"/>
      <c r="C864" s="189"/>
      <c r="D864" s="189"/>
      <c r="E864" s="189"/>
      <c r="F864" s="189"/>
      <c r="G864" s="189"/>
      <c r="H864" s="190"/>
      <c r="I864" s="189"/>
      <c r="J864" s="189"/>
      <c r="K864" s="189"/>
      <c r="L864" s="189"/>
      <c r="M864" s="189"/>
      <c r="N864" s="189"/>
      <c r="O864" s="189"/>
      <c r="P864" s="189"/>
      <c r="Q864" s="189"/>
      <c r="R864" s="189"/>
      <c r="S864" s="191"/>
      <c r="T864" s="208"/>
      <c r="U864" s="189"/>
      <c r="V864" s="189"/>
      <c r="W864" s="189"/>
      <c r="X864" s="189"/>
      <c r="Y864" s="189"/>
      <c r="Z864" s="189"/>
    </row>
    <row r="865" spans="1:26">
      <c r="A865" s="189"/>
      <c r="B865" s="189"/>
      <c r="C865" s="189"/>
      <c r="D865" s="189"/>
      <c r="E865" s="189"/>
      <c r="F865" s="189"/>
      <c r="G865" s="189"/>
      <c r="H865" s="190"/>
      <c r="I865" s="189"/>
      <c r="J865" s="189"/>
      <c r="K865" s="189"/>
      <c r="L865" s="189"/>
      <c r="M865" s="189"/>
      <c r="N865" s="189"/>
      <c r="O865" s="189"/>
      <c r="P865" s="189"/>
      <c r="Q865" s="189"/>
      <c r="R865" s="189"/>
      <c r="S865" s="191"/>
      <c r="T865" s="208"/>
      <c r="U865" s="189"/>
      <c r="V865" s="189"/>
      <c r="W865" s="189"/>
      <c r="X865" s="189"/>
      <c r="Y865" s="189"/>
      <c r="Z865" s="189"/>
    </row>
    <row r="866" spans="1:26">
      <c r="A866" s="189"/>
      <c r="B866" s="189"/>
      <c r="C866" s="189"/>
      <c r="D866" s="189"/>
      <c r="E866" s="189"/>
      <c r="F866" s="189"/>
      <c r="G866" s="189"/>
      <c r="H866" s="190"/>
      <c r="I866" s="189"/>
      <c r="J866" s="189"/>
      <c r="K866" s="189"/>
      <c r="L866" s="189"/>
      <c r="M866" s="189"/>
      <c r="N866" s="189"/>
      <c r="O866" s="189"/>
      <c r="P866" s="189"/>
      <c r="Q866" s="189"/>
      <c r="R866" s="189"/>
      <c r="S866" s="191"/>
      <c r="T866" s="208"/>
      <c r="U866" s="189"/>
      <c r="V866" s="189"/>
      <c r="W866" s="189"/>
      <c r="X866" s="189"/>
      <c r="Y866" s="189"/>
      <c r="Z866" s="189"/>
    </row>
    <row r="867" spans="1:26">
      <c r="A867" s="189"/>
      <c r="B867" s="189"/>
      <c r="C867" s="189"/>
      <c r="D867" s="189"/>
      <c r="E867" s="189"/>
      <c r="F867" s="189"/>
      <c r="G867" s="189"/>
      <c r="H867" s="190"/>
      <c r="I867" s="189"/>
      <c r="J867" s="189"/>
      <c r="K867" s="189"/>
      <c r="L867" s="189"/>
      <c r="M867" s="189"/>
      <c r="N867" s="189"/>
      <c r="O867" s="189"/>
      <c r="P867" s="189"/>
      <c r="Q867" s="189"/>
      <c r="R867" s="189"/>
      <c r="S867" s="191"/>
      <c r="T867" s="208"/>
      <c r="U867" s="189"/>
      <c r="V867" s="189"/>
      <c r="W867" s="189"/>
      <c r="X867" s="189"/>
      <c r="Y867" s="189"/>
      <c r="Z867" s="189"/>
    </row>
    <row r="868" spans="1:26">
      <c r="A868" s="189"/>
      <c r="B868" s="189"/>
      <c r="C868" s="189"/>
      <c r="D868" s="189"/>
      <c r="E868" s="189"/>
      <c r="F868" s="189"/>
      <c r="G868" s="189"/>
      <c r="H868" s="190"/>
      <c r="I868" s="189"/>
      <c r="J868" s="189"/>
      <c r="K868" s="189"/>
      <c r="L868" s="189"/>
      <c r="M868" s="189"/>
      <c r="N868" s="189"/>
      <c r="O868" s="189"/>
      <c r="P868" s="189"/>
      <c r="Q868" s="189"/>
      <c r="R868" s="189"/>
      <c r="S868" s="191"/>
      <c r="T868" s="208"/>
      <c r="U868" s="189"/>
      <c r="V868" s="189"/>
      <c r="W868" s="189"/>
      <c r="X868" s="189"/>
      <c r="Y868" s="189"/>
      <c r="Z868" s="189"/>
    </row>
    <row r="869" spans="1:26">
      <c r="A869" s="189"/>
      <c r="B869" s="189"/>
      <c r="C869" s="189"/>
      <c r="D869" s="189"/>
      <c r="E869" s="189"/>
      <c r="F869" s="189"/>
      <c r="G869" s="189"/>
      <c r="H869" s="190"/>
      <c r="I869" s="189"/>
      <c r="J869" s="189"/>
      <c r="K869" s="189"/>
      <c r="L869" s="189"/>
      <c r="M869" s="189"/>
      <c r="N869" s="189"/>
      <c r="O869" s="189"/>
      <c r="P869" s="189"/>
      <c r="Q869" s="189"/>
      <c r="R869" s="189"/>
      <c r="S869" s="191"/>
      <c r="T869" s="208"/>
      <c r="U869" s="189"/>
      <c r="V869" s="189"/>
      <c r="W869" s="189"/>
      <c r="X869" s="189"/>
      <c r="Y869" s="189"/>
      <c r="Z869" s="189"/>
    </row>
    <row r="870" spans="1:26">
      <c r="A870" s="189"/>
      <c r="B870" s="189"/>
      <c r="C870" s="189"/>
      <c r="D870" s="189"/>
      <c r="E870" s="189"/>
      <c r="F870" s="189"/>
      <c r="G870" s="189"/>
      <c r="H870" s="190"/>
      <c r="I870" s="189"/>
      <c r="J870" s="189"/>
      <c r="K870" s="189"/>
      <c r="L870" s="189"/>
      <c r="M870" s="189"/>
      <c r="N870" s="189"/>
      <c r="O870" s="189"/>
      <c r="P870" s="189"/>
      <c r="Q870" s="189"/>
      <c r="R870" s="189"/>
      <c r="S870" s="191"/>
      <c r="T870" s="208"/>
      <c r="U870" s="189"/>
      <c r="V870" s="189"/>
      <c r="W870" s="189"/>
      <c r="X870" s="189"/>
      <c r="Y870" s="189"/>
      <c r="Z870" s="189"/>
    </row>
    <row r="871" spans="1:26">
      <c r="A871" s="189"/>
      <c r="B871" s="189"/>
      <c r="C871" s="189"/>
      <c r="D871" s="189"/>
      <c r="E871" s="189"/>
      <c r="F871" s="189"/>
      <c r="G871" s="189"/>
      <c r="H871" s="190"/>
      <c r="I871" s="189"/>
      <c r="J871" s="189"/>
      <c r="K871" s="189"/>
      <c r="L871" s="189"/>
      <c r="M871" s="189"/>
      <c r="N871" s="189"/>
      <c r="O871" s="189"/>
      <c r="P871" s="189"/>
      <c r="Q871" s="189"/>
      <c r="R871" s="189"/>
      <c r="S871" s="191"/>
      <c r="T871" s="208"/>
      <c r="U871" s="189"/>
      <c r="V871" s="189"/>
      <c r="W871" s="189"/>
      <c r="X871" s="189"/>
      <c r="Y871" s="189"/>
      <c r="Z871" s="189"/>
    </row>
    <row r="872" spans="1:26">
      <c r="A872" s="189"/>
      <c r="B872" s="189"/>
      <c r="C872" s="189"/>
      <c r="D872" s="189"/>
      <c r="E872" s="189"/>
      <c r="F872" s="189"/>
      <c r="G872" s="189"/>
      <c r="H872" s="190"/>
      <c r="I872" s="189"/>
      <c r="J872" s="189"/>
      <c r="K872" s="189"/>
      <c r="L872" s="189"/>
      <c r="M872" s="189"/>
      <c r="N872" s="189"/>
      <c r="O872" s="189"/>
      <c r="P872" s="189"/>
      <c r="Q872" s="189"/>
      <c r="R872" s="189"/>
      <c r="S872" s="191"/>
      <c r="T872" s="208"/>
      <c r="U872" s="189"/>
      <c r="V872" s="189"/>
      <c r="W872" s="189"/>
      <c r="X872" s="189"/>
      <c r="Y872" s="189"/>
      <c r="Z872" s="189"/>
    </row>
    <row r="873" spans="1:26">
      <c r="A873" s="189"/>
      <c r="B873" s="189"/>
      <c r="C873" s="189"/>
      <c r="D873" s="189"/>
      <c r="E873" s="189"/>
      <c r="F873" s="189"/>
      <c r="G873" s="189"/>
      <c r="H873" s="190"/>
      <c r="I873" s="189"/>
      <c r="J873" s="189"/>
      <c r="K873" s="189"/>
      <c r="L873" s="189"/>
      <c r="M873" s="189"/>
      <c r="N873" s="189"/>
      <c r="O873" s="189"/>
      <c r="P873" s="189"/>
      <c r="Q873" s="189"/>
      <c r="R873" s="189"/>
      <c r="S873" s="191"/>
      <c r="T873" s="208"/>
      <c r="U873" s="189"/>
      <c r="V873" s="189"/>
      <c r="W873" s="189"/>
      <c r="X873" s="189"/>
      <c r="Y873" s="189"/>
      <c r="Z873" s="189"/>
    </row>
    <row r="874" spans="1:26">
      <c r="A874" s="189"/>
      <c r="B874" s="189"/>
      <c r="C874" s="189"/>
      <c r="D874" s="189"/>
      <c r="E874" s="189"/>
      <c r="F874" s="189"/>
      <c r="G874" s="189"/>
      <c r="H874" s="190"/>
      <c r="I874" s="189"/>
      <c r="J874" s="189"/>
      <c r="K874" s="189"/>
      <c r="L874" s="189"/>
      <c r="M874" s="189"/>
      <c r="N874" s="189"/>
      <c r="O874" s="189"/>
      <c r="P874" s="189"/>
      <c r="Q874" s="189"/>
      <c r="R874" s="189"/>
      <c r="S874" s="191"/>
      <c r="T874" s="208"/>
      <c r="U874" s="189"/>
      <c r="V874" s="189"/>
      <c r="W874" s="189"/>
      <c r="X874" s="189"/>
      <c r="Y874" s="189"/>
      <c r="Z874" s="189"/>
    </row>
    <row r="875" spans="1:26">
      <c r="A875" s="189"/>
      <c r="B875" s="189"/>
      <c r="C875" s="189"/>
      <c r="D875" s="189"/>
      <c r="E875" s="189"/>
      <c r="F875" s="189"/>
      <c r="G875" s="189"/>
      <c r="H875" s="190"/>
      <c r="I875" s="189"/>
      <c r="J875" s="189"/>
      <c r="K875" s="189"/>
      <c r="L875" s="189"/>
      <c r="M875" s="189"/>
      <c r="N875" s="189"/>
      <c r="O875" s="189"/>
      <c r="P875" s="189"/>
      <c r="Q875" s="189"/>
      <c r="R875" s="189"/>
      <c r="S875" s="191"/>
      <c r="T875" s="208"/>
      <c r="U875" s="189"/>
      <c r="V875" s="189"/>
      <c r="W875" s="189"/>
      <c r="X875" s="189"/>
      <c r="Y875" s="189"/>
      <c r="Z875" s="189"/>
    </row>
    <row r="876" spans="1:26">
      <c r="A876" s="189"/>
      <c r="B876" s="189"/>
      <c r="C876" s="189"/>
      <c r="D876" s="189"/>
      <c r="E876" s="189"/>
      <c r="F876" s="189"/>
      <c r="G876" s="189"/>
      <c r="H876" s="190"/>
      <c r="I876" s="189"/>
      <c r="J876" s="189"/>
      <c r="K876" s="189"/>
      <c r="L876" s="189"/>
      <c r="M876" s="189"/>
      <c r="N876" s="189"/>
      <c r="O876" s="189"/>
      <c r="P876" s="189"/>
      <c r="Q876" s="189"/>
      <c r="R876" s="189"/>
      <c r="S876" s="191"/>
      <c r="T876" s="208"/>
      <c r="U876" s="189"/>
      <c r="V876" s="189"/>
      <c r="W876" s="189"/>
      <c r="X876" s="189"/>
      <c r="Y876" s="189"/>
      <c r="Z876" s="189"/>
    </row>
    <row r="877" spans="1:26">
      <c r="A877" s="189"/>
      <c r="B877" s="189"/>
      <c r="C877" s="189"/>
      <c r="D877" s="189"/>
      <c r="E877" s="189"/>
      <c r="F877" s="189"/>
      <c r="G877" s="189"/>
      <c r="H877" s="190"/>
      <c r="I877" s="189"/>
      <c r="J877" s="189"/>
      <c r="K877" s="189"/>
      <c r="L877" s="189"/>
      <c r="M877" s="189"/>
      <c r="N877" s="189"/>
      <c r="O877" s="189"/>
      <c r="P877" s="189"/>
      <c r="Q877" s="189"/>
      <c r="R877" s="189"/>
      <c r="S877" s="191"/>
      <c r="T877" s="208"/>
      <c r="U877" s="189"/>
      <c r="V877" s="189"/>
      <c r="W877" s="189"/>
      <c r="X877" s="189"/>
      <c r="Y877" s="189"/>
      <c r="Z877" s="189"/>
    </row>
    <row r="878" spans="1:26">
      <c r="A878" s="189"/>
      <c r="B878" s="189"/>
      <c r="C878" s="189"/>
      <c r="D878" s="189"/>
      <c r="E878" s="189"/>
      <c r="F878" s="189"/>
      <c r="G878" s="189"/>
      <c r="H878" s="190"/>
      <c r="I878" s="189"/>
      <c r="J878" s="189"/>
      <c r="K878" s="189"/>
      <c r="L878" s="189"/>
      <c r="M878" s="189"/>
      <c r="N878" s="189"/>
      <c r="O878" s="189"/>
      <c r="P878" s="189"/>
      <c r="Q878" s="189"/>
      <c r="R878" s="189"/>
      <c r="S878" s="191"/>
      <c r="T878" s="208"/>
      <c r="U878" s="189"/>
      <c r="V878" s="189"/>
      <c r="W878" s="189"/>
      <c r="X878" s="189"/>
      <c r="Y878" s="189"/>
      <c r="Z878" s="189"/>
    </row>
    <row r="879" spans="1:26">
      <c r="A879" s="189"/>
      <c r="B879" s="189"/>
      <c r="C879" s="189"/>
      <c r="D879" s="189"/>
      <c r="E879" s="189"/>
      <c r="F879" s="189"/>
      <c r="G879" s="189"/>
      <c r="H879" s="190"/>
      <c r="I879" s="189"/>
      <c r="J879" s="189"/>
      <c r="K879" s="189"/>
      <c r="L879" s="189"/>
      <c r="M879" s="189"/>
      <c r="N879" s="189"/>
      <c r="O879" s="189"/>
      <c r="P879" s="189"/>
      <c r="Q879" s="189"/>
      <c r="R879" s="189"/>
      <c r="S879" s="191"/>
      <c r="T879" s="208"/>
      <c r="U879" s="189"/>
      <c r="V879" s="189"/>
      <c r="W879" s="189"/>
      <c r="X879" s="189"/>
      <c r="Y879" s="189"/>
      <c r="Z879" s="189"/>
    </row>
    <row r="880" spans="1:26">
      <c r="A880" s="189"/>
      <c r="B880" s="189"/>
      <c r="C880" s="189"/>
      <c r="D880" s="189"/>
      <c r="E880" s="189"/>
      <c r="F880" s="189"/>
      <c r="G880" s="189"/>
      <c r="H880" s="190"/>
      <c r="I880" s="189"/>
      <c r="J880" s="189"/>
      <c r="K880" s="189"/>
      <c r="L880" s="189"/>
      <c r="M880" s="189"/>
      <c r="N880" s="189"/>
      <c r="O880" s="189"/>
      <c r="P880" s="189"/>
      <c r="Q880" s="189"/>
      <c r="R880" s="189"/>
      <c r="S880" s="191"/>
      <c r="T880" s="208"/>
      <c r="U880" s="189"/>
      <c r="V880" s="189"/>
      <c r="W880" s="189"/>
      <c r="X880" s="189"/>
      <c r="Y880" s="189"/>
      <c r="Z880" s="189"/>
    </row>
    <row r="881" spans="1:26">
      <c r="A881" s="189"/>
      <c r="B881" s="189"/>
      <c r="C881" s="189"/>
      <c r="D881" s="189"/>
      <c r="E881" s="189"/>
      <c r="F881" s="189"/>
      <c r="G881" s="189"/>
      <c r="H881" s="190"/>
      <c r="I881" s="189"/>
      <c r="J881" s="189"/>
      <c r="K881" s="189"/>
      <c r="L881" s="189"/>
      <c r="M881" s="189"/>
      <c r="N881" s="189"/>
      <c r="O881" s="189"/>
      <c r="P881" s="189"/>
      <c r="Q881" s="189"/>
      <c r="R881" s="189"/>
      <c r="S881" s="191"/>
      <c r="T881" s="208"/>
      <c r="U881" s="189"/>
      <c r="V881" s="189"/>
      <c r="W881" s="189"/>
      <c r="X881" s="189"/>
      <c r="Y881" s="189"/>
      <c r="Z881" s="189"/>
    </row>
    <row r="882" spans="1:26">
      <c r="A882" s="189"/>
      <c r="B882" s="189"/>
      <c r="C882" s="189"/>
      <c r="D882" s="189"/>
      <c r="E882" s="189"/>
      <c r="F882" s="189"/>
      <c r="G882" s="189"/>
      <c r="H882" s="190"/>
      <c r="I882" s="189"/>
      <c r="J882" s="189"/>
      <c r="K882" s="189"/>
      <c r="L882" s="189"/>
      <c r="M882" s="189"/>
      <c r="N882" s="189"/>
      <c r="O882" s="189"/>
      <c r="P882" s="189"/>
      <c r="Q882" s="189"/>
      <c r="R882" s="189"/>
      <c r="S882" s="191"/>
      <c r="T882" s="208"/>
      <c r="U882" s="189"/>
      <c r="V882" s="189"/>
      <c r="W882" s="189"/>
      <c r="X882" s="189"/>
      <c r="Y882" s="189"/>
      <c r="Z882" s="189"/>
    </row>
    <row r="883" spans="1:26">
      <c r="A883" s="189"/>
      <c r="B883" s="189"/>
      <c r="C883" s="189"/>
      <c r="D883" s="189"/>
      <c r="E883" s="189"/>
      <c r="F883" s="189"/>
      <c r="G883" s="189"/>
      <c r="H883" s="190"/>
      <c r="I883" s="189"/>
      <c r="J883" s="189"/>
      <c r="K883" s="189"/>
      <c r="L883" s="189"/>
      <c r="M883" s="189"/>
      <c r="N883" s="189"/>
      <c r="O883" s="189"/>
      <c r="P883" s="189"/>
      <c r="Q883" s="189"/>
      <c r="R883" s="189"/>
      <c r="S883" s="191"/>
      <c r="T883" s="208"/>
      <c r="U883" s="189"/>
      <c r="V883" s="189"/>
      <c r="W883" s="189"/>
      <c r="X883" s="189"/>
      <c r="Y883" s="189"/>
      <c r="Z883" s="189"/>
    </row>
    <row r="884" spans="1:26">
      <c r="A884" s="189"/>
      <c r="B884" s="189"/>
      <c r="C884" s="189"/>
      <c r="D884" s="189"/>
      <c r="E884" s="189"/>
      <c r="F884" s="189"/>
      <c r="G884" s="189"/>
      <c r="H884" s="190"/>
      <c r="I884" s="189"/>
      <c r="J884" s="189"/>
      <c r="K884" s="189"/>
      <c r="L884" s="189"/>
      <c r="M884" s="189"/>
      <c r="N884" s="189"/>
      <c r="O884" s="189"/>
      <c r="P884" s="189"/>
      <c r="Q884" s="189"/>
      <c r="R884" s="189"/>
      <c r="S884" s="191"/>
      <c r="T884" s="208"/>
      <c r="U884" s="189"/>
      <c r="V884" s="189"/>
      <c r="W884" s="189"/>
      <c r="X884" s="189"/>
      <c r="Y884" s="189"/>
      <c r="Z884" s="189"/>
    </row>
    <row r="885" spans="1:26">
      <c r="A885" s="189"/>
      <c r="B885" s="189"/>
      <c r="C885" s="189"/>
      <c r="D885" s="189"/>
      <c r="E885" s="189"/>
      <c r="F885" s="189"/>
      <c r="G885" s="189"/>
      <c r="H885" s="190"/>
      <c r="I885" s="189"/>
      <c r="J885" s="189"/>
      <c r="K885" s="189"/>
      <c r="L885" s="189"/>
      <c r="M885" s="189"/>
      <c r="N885" s="189"/>
      <c r="O885" s="189"/>
      <c r="P885" s="189"/>
      <c r="Q885" s="189"/>
      <c r="R885" s="189"/>
      <c r="S885" s="191"/>
      <c r="T885" s="208"/>
      <c r="U885" s="189"/>
      <c r="V885" s="189"/>
      <c r="W885" s="189"/>
      <c r="X885" s="189"/>
      <c r="Y885" s="189"/>
      <c r="Z885" s="189"/>
    </row>
    <row r="886" spans="1:26">
      <c r="A886" s="189"/>
      <c r="B886" s="189"/>
      <c r="C886" s="189"/>
      <c r="D886" s="189"/>
      <c r="E886" s="189"/>
      <c r="F886" s="189"/>
      <c r="G886" s="189"/>
      <c r="H886" s="190"/>
      <c r="I886" s="189"/>
      <c r="J886" s="189"/>
      <c r="K886" s="189"/>
      <c r="L886" s="189"/>
      <c r="M886" s="189"/>
      <c r="N886" s="189"/>
      <c r="O886" s="189"/>
      <c r="P886" s="189"/>
      <c r="Q886" s="189"/>
      <c r="R886" s="189"/>
      <c r="S886" s="191"/>
      <c r="T886" s="208"/>
      <c r="U886" s="189"/>
      <c r="V886" s="189"/>
      <c r="W886" s="189"/>
      <c r="X886" s="189"/>
      <c r="Y886" s="189"/>
      <c r="Z886" s="189"/>
    </row>
    <row r="887" spans="1:26">
      <c r="A887" s="189"/>
      <c r="B887" s="189"/>
      <c r="C887" s="189"/>
      <c r="D887" s="189"/>
      <c r="E887" s="189"/>
      <c r="F887" s="189"/>
      <c r="G887" s="189"/>
      <c r="H887" s="190"/>
      <c r="I887" s="189"/>
      <c r="J887" s="189"/>
      <c r="K887" s="189"/>
      <c r="L887" s="189"/>
      <c r="M887" s="189"/>
      <c r="N887" s="189"/>
      <c r="O887" s="189"/>
      <c r="P887" s="189"/>
      <c r="Q887" s="189"/>
      <c r="R887" s="189"/>
      <c r="S887" s="191"/>
      <c r="T887" s="208"/>
      <c r="U887" s="189"/>
      <c r="V887" s="189"/>
      <c r="W887" s="189"/>
      <c r="X887" s="189"/>
      <c r="Y887" s="189"/>
      <c r="Z887" s="189"/>
    </row>
    <row r="888" spans="1:26">
      <c r="A888" s="189"/>
      <c r="B888" s="189"/>
      <c r="C888" s="189"/>
      <c r="D888" s="189"/>
      <c r="E888" s="189"/>
      <c r="F888" s="189"/>
      <c r="G888" s="189"/>
      <c r="H888" s="190"/>
      <c r="I888" s="189"/>
      <c r="J888" s="189"/>
      <c r="K888" s="189"/>
      <c r="L888" s="189"/>
      <c r="M888" s="189"/>
      <c r="N888" s="189"/>
      <c r="O888" s="189"/>
      <c r="P888" s="189"/>
      <c r="Q888" s="189"/>
      <c r="R888" s="189"/>
      <c r="S888" s="191"/>
      <c r="T888" s="208"/>
      <c r="U888" s="189"/>
      <c r="V888" s="189"/>
      <c r="W888" s="189"/>
      <c r="X888" s="189"/>
      <c r="Y888" s="189"/>
      <c r="Z888" s="189"/>
    </row>
    <row r="889" spans="1:26">
      <c r="A889" s="189"/>
      <c r="B889" s="189"/>
      <c r="C889" s="189"/>
      <c r="D889" s="189"/>
      <c r="E889" s="189"/>
      <c r="F889" s="189"/>
      <c r="G889" s="189"/>
      <c r="H889" s="190"/>
      <c r="I889" s="189"/>
      <c r="J889" s="189"/>
      <c r="K889" s="189"/>
      <c r="L889" s="189"/>
      <c r="M889" s="189"/>
      <c r="N889" s="189"/>
      <c r="O889" s="189"/>
      <c r="P889" s="189"/>
      <c r="Q889" s="189"/>
      <c r="R889" s="189"/>
      <c r="S889" s="191"/>
      <c r="T889" s="208"/>
      <c r="U889" s="189"/>
      <c r="V889" s="189"/>
      <c r="W889" s="189"/>
      <c r="X889" s="189"/>
      <c r="Y889" s="189"/>
      <c r="Z889" s="189"/>
    </row>
    <row r="890" spans="1:26">
      <c r="A890" s="189"/>
      <c r="B890" s="189"/>
      <c r="C890" s="189"/>
      <c r="D890" s="189"/>
      <c r="E890" s="189"/>
      <c r="F890" s="189"/>
      <c r="G890" s="189"/>
      <c r="H890" s="190"/>
      <c r="I890" s="189"/>
      <c r="J890" s="189"/>
      <c r="K890" s="189"/>
      <c r="L890" s="189"/>
      <c r="M890" s="189"/>
      <c r="N890" s="189"/>
      <c r="O890" s="189"/>
      <c r="P890" s="189"/>
      <c r="Q890" s="189"/>
      <c r="R890" s="189"/>
      <c r="S890" s="191"/>
      <c r="T890" s="208"/>
      <c r="U890" s="189"/>
      <c r="V890" s="189"/>
      <c r="W890" s="189"/>
      <c r="X890" s="189"/>
      <c r="Y890" s="189"/>
      <c r="Z890" s="189"/>
    </row>
    <row r="891" spans="1:26">
      <c r="A891" s="189"/>
      <c r="B891" s="189"/>
      <c r="C891" s="189"/>
      <c r="D891" s="189"/>
      <c r="E891" s="189"/>
      <c r="F891" s="189"/>
      <c r="G891" s="189"/>
      <c r="H891" s="190"/>
      <c r="I891" s="189"/>
      <c r="J891" s="189"/>
      <c r="K891" s="189"/>
      <c r="L891" s="189"/>
      <c r="M891" s="189"/>
      <c r="N891" s="189"/>
      <c r="O891" s="189"/>
      <c r="P891" s="189"/>
      <c r="Q891" s="189"/>
      <c r="R891" s="189"/>
      <c r="S891" s="191"/>
      <c r="T891" s="208"/>
      <c r="U891" s="189"/>
      <c r="V891" s="189"/>
      <c r="W891" s="189"/>
      <c r="X891" s="189"/>
      <c r="Y891" s="189"/>
      <c r="Z891" s="189"/>
    </row>
    <row r="892" spans="1:26">
      <c r="A892" s="189"/>
      <c r="B892" s="189"/>
      <c r="C892" s="189"/>
      <c r="D892" s="189"/>
      <c r="E892" s="189"/>
      <c r="F892" s="189"/>
      <c r="G892" s="189"/>
      <c r="H892" s="190"/>
      <c r="I892" s="189"/>
      <c r="J892" s="189"/>
      <c r="K892" s="189"/>
      <c r="L892" s="189"/>
      <c r="M892" s="189"/>
      <c r="N892" s="189"/>
      <c r="O892" s="189"/>
      <c r="P892" s="189"/>
      <c r="Q892" s="189"/>
      <c r="R892" s="189"/>
      <c r="S892" s="191"/>
      <c r="T892" s="208"/>
      <c r="U892" s="189"/>
      <c r="V892" s="189"/>
      <c r="W892" s="189"/>
      <c r="X892" s="189"/>
      <c r="Y892" s="189"/>
      <c r="Z892" s="189"/>
    </row>
    <row r="893" spans="1:26">
      <c r="A893" s="189"/>
      <c r="B893" s="189"/>
      <c r="C893" s="189"/>
      <c r="D893" s="189"/>
      <c r="E893" s="189"/>
      <c r="F893" s="189"/>
      <c r="G893" s="189"/>
      <c r="H893" s="190"/>
      <c r="I893" s="189"/>
      <c r="J893" s="189"/>
      <c r="K893" s="189"/>
      <c r="L893" s="189"/>
      <c r="M893" s="189"/>
      <c r="N893" s="189"/>
      <c r="O893" s="189"/>
      <c r="P893" s="189"/>
      <c r="Q893" s="189"/>
      <c r="R893" s="189"/>
      <c r="S893" s="191"/>
      <c r="T893" s="208"/>
      <c r="U893" s="189"/>
      <c r="V893" s="189"/>
      <c r="W893" s="189"/>
      <c r="X893" s="189"/>
      <c r="Y893" s="189"/>
      <c r="Z893" s="189"/>
    </row>
    <row r="894" spans="1:26">
      <c r="A894" s="189"/>
      <c r="B894" s="189"/>
      <c r="C894" s="189"/>
      <c r="D894" s="189"/>
      <c r="E894" s="189"/>
      <c r="F894" s="189"/>
      <c r="G894" s="189"/>
      <c r="H894" s="190"/>
      <c r="I894" s="189"/>
      <c r="J894" s="189"/>
      <c r="K894" s="189"/>
      <c r="L894" s="189"/>
      <c r="M894" s="189"/>
      <c r="N894" s="189"/>
      <c r="O894" s="189"/>
      <c r="P894" s="189"/>
      <c r="Q894" s="189"/>
      <c r="R894" s="189"/>
      <c r="S894" s="191"/>
      <c r="T894" s="208"/>
      <c r="U894" s="189"/>
      <c r="V894" s="189"/>
      <c r="W894" s="189"/>
      <c r="X894" s="189"/>
      <c r="Y894" s="189"/>
      <c r="Z894" s="189"/>
    </row>
    <row r="895" spans="1:26">
      <c r="A895" s="189"/>
      <c r="B895" s="189"/>
      <c r="C895" s="189"/>
      <c r="D895" s="189"/>
      <c r="E895" s="189"/>
      <c r="F895" s="189"/>
      <c r="G895" s="189"/>
      <c r="H895" s="190"/>
      <c r="I895" s="189"/>
      <c r="J895" s="189"/>
      <c r="K895" s="189"/>
      <c r="L895" s="189"/>
      <c r="M895" s="189"/>
      <c r="N895" s="189"/>
      <c r="O895" s="189"/>
      <c r="P895" s="189"/>
      <c r="Q895" s="189"/>
      <c r="R895" s="189"/>
      <c r="S895" s="191"/>
      <c r="T895" s="208"/>
      <c r="U895" s="189"/>
      <c r="V895" s="189"/>
      <c r="W895" s="189"/>
      <c r="X895" s="189"/>
      <c r="Y895" s="189"/>
      <c r="Z895" s="189"/>
    </row>
    <row r="896" spans="1:26">
      <c r="A896" s="189"/>
      <c r="B896" s="189"/>
      <c r="C896" s="189"/>
      <c r="D896" s="189"/>
      <c r="E896" s="189"/>
      <c r="F896" s="189"/>
      <c r="G896" s="189"/>
      <c r="H896" s="190"/>
      <c r="I896" s="189"/>
      <c r="J896" s="189"/>
      <c r="K896" s="189"/>
      <c r="L896" s="189"/>
      <c r="M896" s="189"/>
      <c r="N896" s="189"/>
      <c r="O896" s="189"/>
      <c r="P896" s="189"/>
      <c r="Q896" s="189"/>
      <c r="R896" s="189"/>
      <c r="S896" s="191"/>
      <c r="T896" s="208"/>
      <c r="U896" s="189"/>
      <c r="V896" s="189"/>
      <c r="W896" s="189"/>
      <c r="X896" s="189"/>
      <c r="Y896" s="189"/>
      <c r="Z896" s="189"/>
    </row>
    <row r="897" spans="1:26">
      <c r="A897" s="189"/>
      <c r="B897" s="189"/>
      <c r="C897" s="189"/>
      <c r="D897" s="189"/>
      <c r="E897" s="189"/>
      <c r="F897" s="189"/>
      <c r="G897" s="189"/>
      <c r="H897" s="190"/>
      <c r="I897" s="189"/>
      <c r="J897" s="189"/>
      <c r="K897" s="189"/>
      <c r="L897" s="189"/>
      <c r="M897" s="189"/>
      <c r="N897" s="189"/>
      <c r="O897" s="189"/>
      <c r="P897" s="189"/>
      <c r="Q897" s="189"/>
      <c r="R897" s="189"/>
      <c r="S897" s="191"/>
      <c r="T897" s="208"/>
      <c r="U897" s="189"/>
      <c r="V897" s="189"/>
      <c r="W897" s="189"/>
      <c r="X897" s="189"/>
      <c r="Y897" s="189"/>
      <c r="Z897" s="189"/>
    </row>
    <row r="898" spans="1:26">
      <c r="A898" s="189"/>
      <c r="B898" s="189"/>
      <c r="C898" s="189"/>
      <c r="D898" s="189"/>
      <c r="E898" s="189"/>
      <c r="F898" s="189"/>
      <c r="G898" s="189"/>
      <c r="H898" s="190"/>
      <c r="I898" s="189"/>
      <c r="J898" s="189"/>
      <c r="K898" s="189"/>
      <c r="L898" s="189"/>
      <c r="M898" s="189"/>
      <c r="N898" s="189"/>
      <c r="O898" s="189"/>
      <c r="P898" s="189"/>
      <c r="Q898" s="189"/>
      <c r="R898" s="189"/>
      <c r="S898" s="191"/>
      <c r="T898" s="208"/>
      <c r="U898" s="189"/>
      <c r="V898" s="189"/>
      <c r="W898" s="189"/>
      <c r="X898" s="189"/>
      <c r="Y898" s="189"/>
      <c r="Z898" s="189"/>
    </row>
    <row r="899" spans="1:26">
      <c r="A899" s="189"/>
      <c r="B899" s="189"/>
      <c r="C899" s="189"/>
      <c r="D899" s="189"/>
      <c r="E899" s="189"/>
      <c r="F899" s="189"/>
      <c r="G899" s="189"/>
      <c r="H899" s="190"/>
      <c r="I899" s="189"/>
      <c r="J899" s="189"/>
      <c r="K899" s="189"/>
      <c r="L899" s="189"/>
      <c r="M899" s="189"/>
      <c r="N899" s="189"/>
      <c r="O899" s="189"/>
      <c r="P899" s="189"/>
      <c r="Q899" s="189"/>
      <c r="R899" s="189"/>
      <c r="S899" s="191"/>
      <c r="T899" s="208"/>
      <c r="U899" s="189"/>
      <c r="V899" s="189"/>
      <c r="W899" s="189"/>
      <c r="X899" s="189"/>
      <c r="Y899" s="189"/>
      <c r="Z899" s="189"/>
    </row>
    <row r="900" spans="1:26">
      <c r="A900" s="189"/>
      <c r="B900" s="189"/>
      <c r="C900" s="189"/>
      <c r="D900" s="189"/>
      <c r="E900" s="189"/>
      <c r="F900" s="189"/>
      <c r="G900" s="189"/>
      <c r="H900" s="190"/>
      <c r="I900" s="189"/>
      <c r="J900" s="189"/>
      <c r="K900" s="189"/>
      <c r="L900" s="189"/>
      <c r="M900" s="189"/>
      <c r="N900" s="189"/>
      <c r="O900" s="189"/>
      <c r="P900" s="189"/>
      <c r="Q900" s="189"/>
      <c r="R900" s="189"/>
      <c r="S900" s="191"/>
      <c r="T900" s="208"/>
      <c r="U900" s="189"/>
      <c r="V900" s="189"/>
      <c r="W900" s="189"/>
      <c r="X900" s="189"/>
      <c r="Y900" s="189"/>
      <c r="Z900" s="189"/>
    </row>
    <row r="901" spans="1:26">
      <c r="A901" s="189"/>
      <c r="B901" s="189"/>
      <c r="C901" s="189"/>
      <c r="D901" s="189"/>
      <c r="E901" s="189"/>
      <c r="F901" s="189"/>
      <c r="G901" s="189"/>
      <c r="H901" s="190"/>
      <c r="I901" s="189"/>
      <c r="J901" s="189"/>
      <c r="K901" s="189"/>
      <c r="L901" s="189"/>
      <c r="M901" s="189"/>
      <c r="N901" s="189"/>
      <c r="O901" s="189"/>
      <c r="P901" s="189"/>
      <c r="Q901" s="189"/>
      <c r="R901" s="189"/>
      <c r="S901" s="191"/>
      <c r="T901" s="208"/>
      <c r="U901" s="189"/>
      <c r="V901" s="189"/>
      <c r="W901" s="189"/>
      <c r="X901" s="189"/>
      <c r="Y901" s="189"/>
      <c r="Z901" s="189"/>
    </row>
    <row r="902" spans="1:26">
      <c r="A902" s="189"/>
      <c r="B902" s="189"/>
      <c r="C902" s="189"/>
      <c r="D902" s="189"/>
      <c r="E902" s="189"/>
      <c r="F902" s="189"/>
      <c r="G902" s="189"/>
      <c r="H902" s="190"/>
      <c r="I902" s="189"/>
      <c r="J902" s="189"/>
      <c r="K902" s="189"/>
      <c r="L902" s="189"/>
      <c r="M902" s="189"/>
      <c r="N902" s="189"/>
      <c r="O902" s="189"/>
      <c r="P902" s="189"/>
      <c r="Q902" s="189"/>
      <c r="R902" s="189"/>
      <c r="S902" s="191"/>
      <c r="T902" s="208"/>
      <c r="U902" s="189"/>
      <c r="V902" s="189"/>
      <c r="W902" s="189"/>
      <c r="X902" s="189"/>
      <c r="Y902" s="189"/>
      <c r="Z902" s="189"/>
    </row>
    <row r="903" spans="1:26">
      <c r="A903" s="189"/>
      <c r="B903" s="189"/>
      <c r="C903" s="189"/>
      <c r="D903" s="189"/>
      <c r="E903" s="189"/>
      <c r="F903" s="189"/>
      <c r="G903" s="189"/>
      <c r="H903" s="190"/>
      <c r="I903" s="189"/>
      <c r="J903" s="189"/>
      <c r="K903" s="189"/>
      <c r="L903" s="189"/>
      <c r="M903" s="189"/>
      <c r="N903" s="189"/>
      <c r="O903" s="189"/>
      <c r="P903" s="189"/>
      <c r="Q903" s="189"/>
      <c r="R903" s="189"/>
      <c r="S903" s="191"/>
      <c r="T903" s="208"/>
      <c r="U903" s="189"/>
      <c r="V903" s="189"/>
      <c r="W903" s="189"/>
      <c r="X903" s="189"/>
      <c r="Y903" s="189"/>
      <c r="Z903" s="189"/>
    </row>
    <row r="904" spans="1:26">
      <c r="A904" s="189"/>
      <c r="B904" s="189"/>
      <c r="C904" s="189"/>
      <c r="D904" s="189"/>
      <c r="E904" s="189"/>
      <c r="F904" s="189"/>
      <c r="G904" s="189"/>
      <c r="H904" s="190"/>
      <c r="I904" s="189"/>
      <c r="J904" s="189"/>
      <c r="K904" s="189"/>
      <c r="L904" s="189"/>
      <c r="M904" s="189"/>
      <c r="N904" s="189"/>
      <c r="O904" s="189"/>
      <c r="P904" s="189"/>
      <c r="Q904" s="189"/>
      <c r="R904" s="189"/>
      <c r="S904" s="191"/>
      <c r="T904" s="208"/>
      <c r="U904" s="189"/>
      <c r="V904" s="189"/>
      <c r="W904" s="189"/>
      <c r="X904" s="189"/>
      <c r="Y904" s="189"/>
      <c r="Z904" s="189"/>
    </row>
    <row r="905" spans="1:26">
      <c r="A905" s="189"/>
      <c r="B905" s="189"/>
      <c r="C905" s="189"/>
      <c r="D905" s="189"/>
      <c r="E905" s="189"/>
      <c r="F905" s="189"/>
      <c r="G905" s="189"/>
      <c r="H905" s="190"/>
      <c r="I905" s="189"/>
      <c r="J905" s="189"/>
      <c r="K905" s="189"/>
      <c r="L905" s="189"/>
      <c r="M905" s="189"/>
      <c r="N905" s="189"/>
      <c r="O905" s="189"/>
      <c r="P905" s="189"/>
      <c r="Q905" s="189"/>
      <c r="R905" s="189"/>
      <c r="S905" s="191"/>
      <c r="T905" s="208"/>
      <c r="U905" s="189"/>
      <c r="V905" s="189"/>
      <c r="W905" s="189"/>
      <c r="X905" s="189"/>
      <c r="Y905" s="189"/>
      <c r="Z905" s="189"/>
    </row>
    <row r="906" spans="1:26">
      <c r="A906" s="189"/>
      <c r="B906" s="189"/>
      <c r="C906" s="189"/>
      <c r="D906" s="189"/>
      <c r="E906" s="189"/>
      <c r="F906" s="189"/>
      <c r="G906" s="189"/>
      <c r="H906" s="190"/>
      <c r="I906" s="189"/>
      <c r="J906" s="189"/>
      <c r="K906" s="189"/>
      <c r="L906" s="189"/>
      <c r="M906" s="189"/>
      <c r="N906" s="189"/>
      <c r="O906" s="189"/>
      <c r="P906" s="189"/>
      <c r="Q906" s="189"/>
      <c r="R906" s="189"/>
      <c r="S906" s="191"/>
      <c r="T906" s="208"/>
      <c r="U906" s="189"/>
      <c r="V906" s="189"/>
      <c r="W906" s="189"/>
      <c r="X906" s="189"/>
      <c r="Y906" s="189"/>
      <c r="Z906" s="189"/>
    </row>
    <row r="907" spans="1:26">
      <c r="A907" s="189"/>
      <c r="B907" s="189"/>
      <c r="C907" s="189"/>
      <c r="D907" s="189"/>
      <c r="E907" s="189"/>
      <c r="F907" s="189"/>
      <c r="G907" s="189"/>
      <c r="H907" s="190"/>
      <c r="I907" s="189"/>
      <c r="J907" s="189"/>
      <c r="K907" s="189"/>
      <c r="L907" s="189"/>
      <c r="M907" s="189"/>
      <c r="N907" s="189"/>
      <c r="O907" s="189"/>
      <c r="P907" s="189"/>
      <c r="Q907" s="189"/>
      <c r="R907" s="189"/>
      <c r="S907" s="191"/>
      <c r="T907" s="208"/>
      <c r="U907" s="189"/>
      <c r="V907" s="189"/>
      <c r="W907" s="189"/>
      <c r="X907" s="189"/>
      <c r="Y907" s="189"/>
      <c r="Z907" s="189"/>
    </row>
    <row r="908" spans="1:26">
      <c r="A908" s="189"/>
      <c r="B908" s="189"/>
      <c r="C908" s="189"/>
      <c r="D908" s="189"/>
      <c r="E908" s="189"/>
      <c r="F908" s="189"/>
      <c r="G908" s="189"/>
      <c r="H908" s="190"/>
      <c r="I908" s="189"/>
      <c r="J908" s="189"/>
      <c r="K908" s="189"/>
      <c r="L908" s="189"/>
      <c r="M908" s="189"/>
      <c r="N908" s="189"/>
      <c r="O908" s="189"/>
      <c r="P908" s="189"/>
      <c r="Q908" s="189"/>
      <c r="R908" s="189"/>
      <c r="S908" s="191"/>
      <c r="T908" s="208"/>
      <c r="U908" s="189"/>
      <c r="V908" s="189"/>
      <c r="W908" s="189"/>
      <c r="X908" s="189"/>
      <c r="Y908" s="189"/>
      <c r="Z908" s="189"/>
    </row>
    <row r="909" spans="1:26">
      <c r="A909" s="189"/>
      <c r="B909" s="189"/>
      <c r="C909" s="189"/>
      <c r="D909" s="189"/>
      <c r="E909" s="189"/>
      <c r="F909" s="189"/>
      <c r="G909" s="189"/>
      <c r="H909" s="190"/>
      <c r="I909" s="189"/>
      <c r="J909" s="189"/>
      <c r="K909" s="189"/>
      <c r="L909" s="189"/>
      <c r="M909" s="189"/>
      <c r="N909" s="189"/>
      <c r="O909" s="189"/>
      <c r="P909" s="189"/>
      <c r="Q909" s="189"/>
      <c r="R909" s="189"/>
      <c r="S909" s="191"/>
      <c r="T909" s="208"/>
      <c r="U909" s="189"/>
      <c r="V909" s="189"/>
      <c r="W909" s="189"/>
      <c r="X909" s="189"/>
      <c r="Y909" s="189"/>
      <c r="Z909" s="189"/>
    </row>
    <row r="910" spans="1:26">
      <c r="A910" s="189"/>
      <c r="B910" s="189"/>
      <c r="C910" s="189"/>
      <c r="D910" s="189"/>
      <c r="E910" s="189"/>
      <c r="F910" s="189"/>
      <c r="G910" s="189"/>
      <c r="H910" s="190"/>
      <c r="I910" s="189"/>
      <c r="J910" s="189"/>
      <c r="K910" s="189"/>
      <c r="L910" s="189"/>
      <c r="M910" s="189"/>
      <c r="N910" s="189"/>
      <c r="O910" s="189"/>
      <c r="P910" s="189"/>
      <c r="Q910" s="189"/>
      <c r="R910" s="189"/>
      <c r="S910" s="191"/>
      <c r="T910" s="208"/>
      <c r="U910" s="189"/>
      <c r="V910" s="189"/>
      <c r="W910" s="189"/>
      <c r="X910" s="189"/>
      <c r="Y910" s="189"/>
      <c r="Z910" s="189"/>
    </row>
    <row r="911" spans="1:26">
      <c r="A911" s="189"/>
      <c r="B911" s="189"/>
      <c r="C911" s="189"/>
      <c r="D911" s="189"/>
      <c r="E911" s="189"/>
      <c r="F911" s="189"/>
      <c r="G911" s="189"/>
      <c r="H911" s="190"/>
      <c r="I911" s="189"/>
      <c r="J911" s="189"/>
      <c r="K911" s="189"/>
      <c r="L911" s="189"/>
      <c r="M911" s="189"/>
      <c r="N911" s="189"/>
      <c r="O911" s="189"/>
      <c r="P911" s="189"/>
      <c r="Q911" s="189"/>
      <c r="R911" s="189"/>
      <c r="S911" s="191"/>
      <c r="T911" s="208"/>
      <c r="U911" s="189"/>
      <c r="V911" s="189"/>
      <c r="W911" s="189"/>
      <c r="X911" s="189"/>
      <c r="Y911" s="189"/>
      <c r="Z911" s="189"/>
    </row>
    <row r="912" spans="1:26">
      <c r="A912" s="189"/>
      <c r="B912" s="189"/>
      <c r="C912" s="189"/>
      <c r="D912" s="189"/>
      <c r="E912" s="189"/>
      <c r="F912" s="189"/>
      <c r="G912" s="189"/>
      <c r="H912" s="190"/>
      <c r="I912" s="189"/>
      <c r="J912" s="189"/>
      <c r="K912" s="189"/>
      <c r="L912" s="189"/>
      <c r="M912" s="189"/>
      <c r="N912" s="189"/>
      <c r="O912" s="189"/>
      <c r="P912" s="189"/>
      <c r="Q912" s="189"/>
      <c r="R912" s="189"/>
      <c r="S912" s="191"/>
      <c r="T912" s="208"/>
      <c r="U912" s="189"/>
      <c r="V912" s="189"/>
      <c r="W912" s="189"/>
      <c r="X912" s="189"/>
      <c r="Y912" s="189"/>
      <c r="Z912" s="189"/>
    </row>
    <row r="913" spans="1:26">
      <c r="A913" s="189"/>
      <c r="B913" s="189"/>
      <c r="C913" s="189"/>
      <c r="D913" s="189"/>
      <c r="E913" s="189"/>
      <c r="F913" s="189"/>
      <c r="G913" s="189"/>
      <c r="H913" s="190"/>
      <c r="I913" s="189"/>
      <c r="J913" s="189"/>
      <c r="K913" s="189"/>
      <c r="L913" s="189"/>
      <c r="M913" s="189"/>
      <c r="N913" s="189"/>
      <c r="O913" s="189"/>
      <c r="P913" s="189"/>
      <c r="Q913" s="189"/>
      <c r="R913" s="189"/>
      <c r="S913" s="191"/>
      <c r="T913" s="208"/>
      <c r="U913" s="189"/>
      <c r="V913" s="189"/>
      <c r="W913" s="189"/>
      <c r="X913" s="189"/>
      <c r="Y913" s="189"/>
      <c r="Z913" s="189"/>
    </row>
    <row r="914" spans="1:26">
      <c r="A914" s="189"/>
      <c r="B914" s="189"/>
      <c r="C914" s="189"/>
      <c r="D914" s="189"/>
      <c r="E914" s="189"/>
      <c r="F914" s="189"/>
      <c r="G914" s="189"/>
      <c r="H914" s="190"/>
      <c r="I914" s="189"/>
      <c r="J914" s="189"/>
      <c r="K914" s="189"/>
      <c r="L914" s="189"/>
      <c r="M914" s="189"/>
      <c r="N914" s="189"/>
      <c r="O914" s="189"/>
      <c r="P914" s="189"/>
      <c r="Q914" s="189"/>
      <c r="R914" s="189"/>
      <c r="S914" s="191"/>
      <c r="T914" s="208"/>
      <c r="U914" s="189"/>
      <c r="V914" s="189"/>
      <c r="W914" s="189"/>
      <c r="X914" s="189"/>
      <c r="Y914" s="189"/>
      <c r="Z914" s="189"/>
    </row>
    <row r="915" spans="1:26">
      <c r="A915" s="189"/>
      <c r="B915" s="189"/>
      <c r="C915" s="189"/>
      <c r="D915" s="189"/>
      <c r="E915" s="189"/>
      <c r="F915" s="189"/>
      <c r="G915" s="189"/>
      <c r="H915" s="190"/>
      <c r="I915" s="189"/>
      <c r="J915" s="189"/>
      <c r="K915" s="189"/>
      <c r="L915" s="189"/>
      <c r="M915" s="189"/>
      <c r="N915" s="189"/>
      <c r="O915" s="189"/>
      <c r="P915" s="189"/>
      <c r="Q915" s="189"/>
      <c r="R915" s="189"/>
      <c r="S915" s="191"/>
      <c r="T915" s="208"/>
      <c r="U915" s="189"/>
      <c r="V915" s="189"/>
      <c r="W915" s="189"/>
      <c r="X915" s="189"/>
      <c r="Y915" s="189"/>
      <c r="Z915" s="189"/>
    </row>
    <row r="916" spans="1:26">
      <c r="A916" s="189"/>
      <c r="B916" s="189"/>
      <c r="C916" s="189"/>
      <c r="D916" s="189"/>
      <c r="E916" s="189"/>
      <c r="F916" s="189"/>
      <c r="G916" s="189"/>
      <c r="H916" s="190"/>
      <c r="I916" s="189"/>
      <c r="J916" s="189"/>
      <c r="K916" s="189"/>
      <c r="L916" s="189"/>
      <c r="M916" s="189"/>
      <c r="N916" s="189"/>
      <c r="O916" s="189"/>
      <c r="P916" s="189"/>
      <c r="Q916" s="189"/>
      <c r="R916" s="189"/>
      <c r="S916" s="191"/>
      <c r="T916" s="208"/>
      <c r="U916" s="189"/>
      <c r="V916" s="189"/>
      <c r="W916" s="189"/>
      <c r="X916" s="189"/>
      <c r="Y916" s="189"/>
      <c r="Z916" s="189"/>
    </row>
    <row r="917" spans="1:26">
      <c r="A917" s="189"/>
      <c r="B917" s="189"/>
      <c r="C917" s="189"/>
      <c r="D917" s="189"/>
      <c r="E917" s="189"/>
      <c r="F917" s="189"/>
      <c r="G917" s="189"/>
      <c r="H917" s="190"/>
      <c r="I917" s="189"/>
      <c r="J917" s="189"/>
      <c r="K917" s="189"/>
      <c r="L917" s="189"/>
      <c r="M917" s="189"/>
      <c r="N917" s="189"/>
      <c r="O917" s="189"/>
      <c r="P917" s="189"/>
      <c r="Q917" s="189"/>
      <c r="R917" s="189"/>
      <c r="S917" s="191"/>
      <c r="T917" s="208"/>
      <c r="U917" s="189"/>
      <c r="V917" s="189"/>
      <c r="W917" s="189"/>
      <c r="X917" s="189"/>
      <c r="Y917" s="189"/>
      <c r="Z917" s="189"/>
    </row>
    <row r="918" spans="1:26">
      <c r="A918" s="189"/>
      <c r="B918" s="189"/>
      <c r="C918" s="189"/>
      <c r="D918" s="189"/>
      <c r="E918" s="189"/>
      <c r="F918" s="189"/>
      <c r="G918" s="189"/>
      <c r="H918" s="190"/>
      <c r="I918" s="189"/>
      <c r="J918" s="189"/>
      <c r="K918" s="189"/>
      <c r="L918" s="189"/>
      <c r="M918" s="189"/>
      <c r="N918" s="189"/>
      <c r="O918" s="189"/>
      <c r="P918" s="189"/>
      <c r="Q918" s="189"/>
      <c r="R918" s="189"/>
      <c r="S918" s="191"/>
      <c r="T918" s="208"/>
      <c r="U918" s="189"/>
      <c r="V918" s="189"/>
      <c r="W918" s="189"/>
      <c r="X918" s="189"/>
      <c r="Y918" s="189"/>
      <c r="Z918" s="189"/>
    </row>
    <row r="919" spans="1:26">
      <c r="A919" s="189"/>
      <c r="B919" s="189"/>
      <c r="C919" s="189"/>
      <c r="D919" s="189"/>
      <c r="E919" s="189"/>
      <c r="F919" s="189"/>
      <c r="G919" s="189"/>
      <c r="H919" s="190"/>
      <c r="I919" s="189"/>
      <c r="J919" s="189"/>
      <c r="K919" s="189"/>
      <c r="L919" s="189"/>
      <c r="M919" s="189"/>
      <c r="N919" s="189"/>
      <c r="O919" s="189"/>
      <c r="P919" s="189"/>
      <c r="Q919" s="189"/>
      <c r="R919" s="189"/>
      <c r="S919" s="191"/>
      <c r="T919" s="208"/>
      <c r="U919" s="189"/>
      <c r="V919" s="189"/>
      <c r="W919" s="189"/>
      <c r="X919" s="189"/>
      <c r="Y919" s="189"/>
      <c r="Z919" s="189"/>
    </row>
    <row r="920" spans="1:26">
      <c r="A920" s="189"/>
      <c r="B920" s="189"/>
      <c r="C920" s="189"/>
      <c r="D920" s="189"/>
      <c r="E920" s="189"/>
      <c r="F920" s="189"/>
      <c r="G920" s="189"/>
      <c r="H920" s="190"/>
      <c r="I920" s="189"/>
      <c r="J920" s="189"/>
      <c r="K920" s="189"/>
      <c r="L920" s="189"/>
      <c r="M920" s="189"/>
      <c r="N920" s="189"/>
      <c r="O920" s="189"/>
      <c r="P920" s="189"/>
      <c r="Q920" s="189"/>
      <c r="R920" s="189"/>
      <c r="S920" s="191"/>
      <c r="T920" s="208"/>
      <c r="U920" s="189"/>
      <c r="V920" s="189"/>
      <c r="W920" s="189"/>
      <c r="X920" s="189"/>
      <c r="Y920" s="189"/>
      <c r="Z920" s="189"/>
    </row>
    <row r="921" spans="1:26">
      <c r="A921" s="189"/>
      <c r="B921" s="189"/>
      <c r="C921" s="189"/>
      <c r="D921" s="189"/>
      <c r="E921" s="189"/>
      <c r="F921" s="189"/>
      <c r="G921" s="189"/>
      <c r="H921" s="190"/>
      <c r="I921" s="189"/>
      <c r="J921" s="189"/>
      <c r="K921" s="189"/>
      <c r="L921" s="189"/>
      <c r="M921" s="189"/>
      <c r="N921" s="189"/>
      <c r="O921" s="189"/>
      <c r="P921" s="189"/>
      <c r="Q921" s="189"/>
      <c r="R921" s="189"/>
      <c r="S921" s="191"/>
      <c r="T921" s="208"/>
      <c r="U921" s="189"/>
      <c r="V921" s="189"/>
      <c r="W921" s="189"/>
      <c r="X921" s="189"/>
      <c r="Y921" s="189"/>
      <c r="Z921" s="189"/>
    </row>
    <row r="922" spans="1:26">
      <c r="A922" s="189"/>
      <c r="B922" s="189"/>
      <c r="C922" s="189"/>
      <c r="D922" s="189"/>
      <c r="E922" s="189"/>
      <c r="F922" s="189"/>
      <c r="G922" s="189"/>
      <c r="H922" s="190"/>
      <c r="I922" s="189"/>
      <c r="J922" s="189"/>
      <c r="K922" s="189"/>
      <c r="L922" s="189"/>
      <c r="M922" s="189"/>
      <c r="N922" s="189"/>
      <c r="O922" s="189"/>
      <c r="P922" s="189"/>
      <c r="Q922" s="189"/>
      <c r="R922" s="189"/>
      <c r="S922" s="191"/>
      <c r="T922" s="208"/>
      <c r="U922" s="189"/>
      <c r="V922" s="189"/>
      <c r="W922" s="189"/>
      <c r="X922" s="189"/>
      <c r="Y922" s="189"/>
      <c r="Z922" s="189"/>
    </row>
    <row r="923" spans="1:26">
      <c r="A923" s="189"/>
      <c r="B923" s="189"/>
      <c r="C923" s="189"/>
      <c r="D923" s="189"/>
      <c r="E923" s="189"/>
      <c r="F923" s="189"/>
      <c r="G923" s="189"/>
      <c r="H923" s="190"/>
      <c r="I923" s="189"/>
      <c r="J923" s="189"/>
      <c r="K923" s="189"/>
      <c r="L923" s="189"/>
      <c r="M923" s="189"/>
      <c r="N923" s="189"/>
      <c r="O923" s="189"/>
      <c r="P923" s="189"/>
      <c r="Q923" s="189"/>
      <c r="R923" s="189"/>
      <c r="S923" s="191"/>
      <c r="T923" s="208"/>
      <c r="U923" s="189"/>
      <c r="V923" s="189"/>
      <c r="W923" s="189"/>
      <c r="X923" s="189"/>
      <c r="Y923" s="189"/>
      <c r="Z923" s="189"/>
    </row>
    <row r="924" spans="1:26">
      <c r="A924" s="189"/>
      <c r="B924" s="189"/>
      <c r="C924" s="189"/>
      <c r="D924" s="189"/>
      <c r="E924" s="189"/>
      <c r="F924" s="189"/>
      <c r="G924" s="189"/>
      <c r="H924" s="190"/>
      <c r="I924" s="189"/>
      <c r="J924" s="189"/>
      <c r="K924" s="189"/>
      <c r="L924" s="189"/>
      <c r="M924" s="189"/>
      <c r="N924" s="189"/>
      <c r="O924" s="189"/>
      <c r="P924" s="189"/>
      <c r="Q924" s="189"/>
      <c r="R924" s="189"/>
      <c r="S924" s="191"/>
      <c r="T924" s="208"/>
      <c r="U924" s="189"/>
      <c r="V924" s="189"/>
      <c r="W924" s="189"/>
      <c r="X924" s="189"/>
      <c r="Y924" s="189"/>
      <c r="Z924" s="189"/>
    </row>
    <row r="925" spans="1:26">
      <c r="A925" s="189"/>
      <c r="B925" s="189"/>
      <c r="C925" s="189"/>
      <c r="D925" s="189"/>
      <c r="E925" s="189"/>
      <c r="F925" s="189"/>
      <c r="G925" s="189"/>
      <c r="H925" s="190"/>
      <c r="I925" s="189"/>
      <c r="J925" s="189"/>
      <c r="K925" s="189"/>
      <c r="L925" s="189"/>
      <c r="M925" s="189"/>
      <c r="N925" s="189"/>
      <c r="O925" s="189"/>
      <c r="P925" s="189"/>
      <c r="Q925" s="189"/>
      <c r="R925" s="189"/>
      <c r="S925" s="191"/>
      <c r="T925" s="208"/>
      <c r="U925" s="189"/>
      <c r="V925" s="189"/>
      <c r="W925" s="189"/>
      <c r="X925" s="189"/>
      <c r="Y925" s="189"/>
      <c r="Z925" s="189"/>
    </row>
    <row r="926" spans="1:26">
      <c r="A926" s="189"/>
      <c r="B926" s="189"/>
      <c r="C926" s="189"/>
      <c r="D926" s="189"/>
      <c r="E926" s="189"/>
      <c r="F926" s="189"/>
      <c r="G926" s="189"/>
      <c r="H926" s="190"/>
      <c r="I926" s="189"/>
      <c r="J926" s="189"/>
      <c r="K926" s="189"/>
      <c r="L926" s="189"/>
      <c r="M926" s="189"/>
      <c r="N926" s="189"/>
      <c r="O926" s="189"/>
      <c r="P926" s="189"/>
      <c r="Q926" s="189"/>
      <c r="R926" s="189"/>
      <c r="S926" s="191"/>
      <c r="T926" s="208"/>
      <c r="U926" s="189"/>
      <c r="V926" s="189"/>
      <c r="W926" s="189"/>
      <c r="X926" s="189"/>
      <c r="Y926" s="189"/>
      <c r="Z926" s="189"/>
    </row>
    <row r="927" spans="1:26">
      <c r="A927" s="189"/>
      <c r="B927" s="189"/>
      <c r="C927" s="189"/>
      <c r="D927" s="189"/>
      <c r="E927" s="189"/>
      <c r="F927" s="189"/>
      <c r="G927" s="189"/>
      <c r="H927" s="190"/>
      <c r="I927" s="189"/>
      <c r="J927" s="189"/>
      <c r="K927" s="189"/>
      <c r="L927" s="189"/>
      <c r="M927" s="189"/>
      <c r="N927" s="189"/>
      <c r="O927" s="189"/>
      <c r="P927" s="189"/>
      <c r="Q927" s="189"/>
      <c r="R927" s="189"/>
      <c r="S927" s="191"/>
      <c r="T927" s="208"/>
      <c r="U927" s="189"/>
      <c r="V927" s="189"/>
      <c r="W927" s="189"/>
      <c r="X927" s="189"/>
      <c r="Y927" s="189"/>
      <c r="Z927" s="189"/>
    </row>
    <row r="928" spans="1:26">
      <c r="A928" s="189"/>
      <c r="B928" s="189"/>
      <c r="C928" s="189"/>
      <c r="D928" s="189"/>
      <c r="E928" s="189"/>
      <c r="F928" s="189"/>
      <c r="G928" s="189"/>
      <c r="H928" s="190"/>
      <c r="I928" s="189"/>
      <c r="J928" s="189"/>
      <c r="K928" s="189"/>
      <c r="L928" s="189"/>
      <c r="M928" s="189"/>
      <c r="N928" s="189"/>
      <c r="O928" s="189"/>
      <c r="P928" s="189"/>
      <c r="Q928" s="189"/>
      <c r="R928" s="189"/>
      <c r="S928" s="191"/>
      <c r="T928" s="208"/>
      <c r="U928" s="189"/>
      <c r="V928" s="189"/>
      <c r="W928" s="189"/>
      <c r="X928" s="189"/>
      <c r="Y928" s="189"/>
      <c r="Z928" s="189"/>
    </row>
    <row r="929" spans="1:26">
      <c r="A929" s="189"/>
      <c r="B929" s="189"/>
      <c r="C929" s="189"/>
      <c r="D929" s="189"/>
      <c r="E929" s="189"/>
      <c r="F929" s="189"/>
      <c r="G929" s="189"/>
      <c r="H929" s="190"/>
      <c r="I929" s="189"/>
      <c r="J929" s="189"/>
      <c r="K929" s="189"/>
      <c r="L929" s="189"/>
      <c r="M929" s="189"/>
      <c r="N929" s="189"/>
      <c r="O929" s="189"/>
      <c r="P929" s="189"/>
      <c r="Q929" s="189"/>
      <c r="R929" s="189"/>
      <c r="S929" s="191"/>
      <c r="T929" s="208"/>
      <c r="U929" s="189"/>
      <c r="V929" s="189"/>
      <c r="W929" s="189"/>
      <c r="X929" s="189"/>
      <c r="Y929" s="189"/>
      <c r="Z929" s="189"/>
    </row>
    <row r="930" spans="1:26">
      <c r="A930" s="189"/>
      <c r="B930" s="189"/>
      <c r="C930" s="189"/>
      <c r="D930" s="189"/>
      <c r="E930" s="189"/>
      <c r="F930" s="189"/>
      <c r="G930" s="189"/>
      <c r="H930" s="190"/>
      <c r="I930" s="189"/>
      <c r="J930" s="189"/>
      <c r="K930" s="189"/>
      <c r="L930" s="189"/>
      <c r="M930" s="189"/>
      <c r="N930" s="189"/>
      <c r="O930" s="189"/>
      <c r="P930" s="189"/>
      <c r="Q930" s="189"/>
      <c r="R930" s="189"/>
      <c r="S930" s="191"/>
      <c r="T930" s="208"/>
      <c r="U930" s="189"/>
      <c r="V930" s="189"/>
      <c r="W930" s="189"/>
      <c r="X930" s="189"/>
      <c r="Y930" s="189"/>
      <c r="Z930" s="189"/>
    </row>
    <row r="931" spans="1:26">
      <c r="A931" s="189"/>
      <c r="B931" s="189"/>
      <c r="C931" s="189"/>
      <c r="D931" s="189"/>
      <c r="E931" s="189"/>
      <c r="F931" s="189"/>
      <c r="G931" s="189"/>
      <c r="H931" s="190"/>
      <c r="I931" s="189"/>
      <c r="J931" s="189"/>
      <c r="K931" s="189"/>
      <c r="L931" s="189"/>
      <c r="M931" s="189"/>
      <c r="N931" s="189"/>
      <c r="O931" s="189"/>
      <c r="P931" s="189"/>
      <c r="Q931" s="189"/>
      <c r="R931" s="189"/>
      <c r="S931" s="191"/>
      <c r="T931" s="208"/>
      <c r="U931" s="189"/>
      <c r="V931" s="189"/>
      <c r="W931" s="189"/>
      <c r="X931" s="189"/>
      <c r="Y931" s="189"/>
      <c r="Z931" s="189"/>
    </row>
    <row r="932" spans="1:26">
      <c r="A932" s="189"/>
      <c r="B932" s="189"/>
      <c r="C932" s="189"/>
      <c r="D932" s="189"/>
      <c r="E932" s="189"/>
      <c r="F932" s="189"/>
      <c r="G932" s="189"/>
      <c r="H932" s="190"/>
      <c r="I932" s="189"/>
      <c r="J932" s="189"/>
      <c r="K932" s="189"/>
      <c r="L932" s="189"/>
      <c r="M932" s="189"/>
      <c r="N932" s="189"/>
      <c r="O932" s="189"/>
      <c r="P932" s="189"/>
      <c r="Q932" s="189"/>
      <c r="R932" s="189"/>
      <c r="S932" s="191"/>
      <c r="T932" s="208"/>
      <c r="U932" s="189"/>
      <c r="V932" s="189"/>
      <c r="W932" s="189"/>
      <c r="X932" s="189"/>
      <c r="Y932" s="189"/>
      <c r="Z932" s="189"/>
    </row>
    <row r="933" spans="1:26">
      <c r="A933" s="189"/>
      <c r="B933" s="189"/>
      <c r="C933" s="189"/>
      <c r="D933" s="189"/>
      <c r="E933" s="189"/>
      <c r="F933" s="189"/>
      <c r="G933" s="189"/>
      <c r="H933" s="190"/>
      <c r="I933" s="189"/>
      <c r="J933" s="189"/>
      <c r="K933" s="189"/>
      <c r="L933" s="189"/>
      <c r="M933" s="189"/>
      <c r="N933" s="189"/>
      <c r="O933" s="189"/>
      <c r="P933" s="189"/>
      <c r="Q933" s="189"/>
      <c r="R933" s="189"/>
      <c r="S933" s="191"/>
      <c r="T933" s="208"/>
      <c r="U933" s="189"/>
      <c r="V933" s="189"/>
      <c r="W933" s="189"/>
      <c r="X933" s="189"/>
      <c r="Y933" s="189"/>
      <c r="Z933" s="189"/>
    </row>
    <row r="934" spans="1:26">
      <c r="A934" s="189"/>
      <c r="B934" s="189"/>
      <c r="C934" s="189"/>
      <c r="D934" s="189"/>
      <c r="E934" s="189"/>
      <c r="F934" s="189"/>
      <c r="G934" s="189"/>
      <c r="H934" s="190"/>
      <c r="I934" s="189"/>
      <c r="J934" s="189"/>
      <c r="K934" s="189"/>
      <c r="L934" s="189"/>
      <c r="M934" s="189"/>
      <c r="N934" s="189"/>
      <c r="O934" s="189"/>
      <c r="P934" s="189"/>
      <c r="Q934" s="189"/>
      <c r="R934" s="189"/>
      <c r="S934" s="191"/>
      <c r="T934" s="208"/>
      <c r="U934" s="189"/>
      <c r="V934" s="189"/>
      <c r="W934" s="189"/>
      <c r="X934" s="189"/>
      <c r="Y934" s="189"/>
      <c r="Z934" s="189"/>
    </row>
    <row r="935" spans="1:26">
      <c r="A935" s="189"/>
      <c r="B935" s="189"/>
      <c r="C935" s="189"/>
      <c r="D935" s="189"/>
      <c r="E935" s="189"/>
      <c r="F935" s="189"/>
      <c r="G935" s="189"/>
      <c r="H935" s="190"/>
      <c r="I935" s="189"/>
      <c r="J935" s="189"/>
      <c r="K935" s="189"/>
      <c r="L935" s="189"/>
      <c r="M935" s="189"/>
      <c r="N935" s="189"/>
      <c r="O935" s="189"/>
      <c r="P935" s="189"/>
      <c r="Q935" s="189"/>
      <c r="R935" s="189"/>
      <c r="S935" s="191"/>
      <c r="T935" s="208"/>
      <c r="U935" s="189"/>
      <c r="V935" s="189"/>
      <c r="W935" s="189"/>
      <c r="X935" s="189"/>
      <c r="Y935" s="189"/>
      <c r="Z935" s="189"/>
    </row>
    <row r="936" spans="1:26">
      <c r="A936" s="189"/>
      <c r="B936" s="189"/>
      <c r="C936" s="189"/>
      <c r="D936" s="189"/>
      <c r="E936" s="189"/>
      <c r="F936" s="189"/>
      <c r="G936" s="189"/>
      <c r="H936" s="190"/>
      <c r="I936" s="189"/>
      <c r="J936" s="189"/>
      <c r="K936" s="189"/>
      <c r="L936" s="189"/>
      <c r="M936" s="189"/>
      <c r="N936" s="189"/>
      <c r="O936" s="189"/>
      <c r="P936" s="189"/>
      <c r="Q936" s="189"/>
      <c r="R936" s="189"/>
      <c r="S936" s="191"/>
      <c r="T936" s="208"/>
      <c r="U936" s="189"/>
      <c r="V936" s="189"/>
      <c r="W936" s="189"/>
      <c r="X936" s="189"/>
      <c r="Y936" s="189"/>
      <c r="Z936" s="189"/>
    </row>
    <row r="937" spans="1:26">
      <c r="A937" s="189"/>
      <c r="B937" s="189"/>
      <c r="C937" s="189"/>
      <c r="D937" s="189"/>
      <c r="E937" s="189"/>
      <c r="F937" s="189"/>
      <c r="G937" s="189"/>
      <c r="H937" s="190"/>
      <c r="I937" s="189"/>
      <c r="J937" s="189"/>
      <c r="K937" s="189"/>
      <c r="L937" s="189"/>
      <c r="M937" s="189"/>
      <c r="N937" s="189"/>
      <c r="O937" s="189"/>
      <c r="P937" s="189"/>
      <c r="Q937" s="189"/>
      <c r="R937" s="189"/>
      <c r="S937" s="191"/>
      <c r="T937" s="208"/>
      <c r="U937" s="189"/>
      <c r="V937" s="189"/>
      <c r="W937" s="189"/>
      <c r="X937" s="189"/>
      <c r="Y937" s="189"/>
      <c r="Z937" s="189"/>
    </row>
    <row r="938" spans="1:26">
      <c r="A938" s="189"/>
      <c r="B938" s="189"/>
      <c r="C938" s="189"/>
      <c r="D938" s="189"/>
      <c r="E938" s="189"/>
      <c r="F938" s="189"/>
      <c r="G938" s="189"/>
      <c r="H938" s="190"/>
      <c r="I938" s="189"/>
      <c r="J938" s="189"/>
      <c r="K938" s="189"/>
      <c r="L938" s="189"/>
      <c r="M938" s="189"/>
      <c r="N938" s="189"/>
      <c r="O938" s="189"/>
      <c r="P938" s="189"/>
      <c r="Q938" s="189"/>
      <c r="R938" s="189"/>
      <c r="S938" s="191"/>
      <c r="T938" s="208"/>
      <c r="U938" s="189"/>
      <c r="V938" s="189"/>
      <c r="W938" s="189"/>
      <c r="X938" s="189"/>
      <c r="Y938" s="189"/>
      <c r="Z938" s="189"/>
    </row>
    <row r="939" spans="1:26">
      <c r="A939" s="189"/>
      <c r="B939" s="189"/>
      <c r="C939" s="189"/>
      <c r="D939" s="189"/>
      <c r="E939" s="189"/>
      <c r="F939" s="189"/>
      <c r="G939" s="189"/>
      <c r="H939" s="190"/>
      <c r="I939" s="189"/>
      <c r="J939" s="189"/>
      <c r="K939" s="189"/>
      <c r="L939" s="189"/>
      <c r="M939" s="189"/>
      <c r="N939" s="189"/>
      <c r="O939" s="189"/>
      <c r="P939" s="189"/>
      <c r="Q939" s="189"/>
      <c r="R939" s="189"/>
      <c r="S939" s="191"/>
      <c r="T939" s="208"/>
      <c r="U939" s="189"/>
      <c r="V939" s="189"/>
      <c r="W939" s="189"/>
      <c r="X939" s="189"/>
      <c r="Y939" s="189"/>
      <c r="Z939" s="189"/>
    </row>
    <row r="940" spans="1:26">
      <c r="A940" s="189"/>
      <c r="B940" s="189"/>
      <c r="C940" s="189"/>
      <c r="D940" s="189"/>
      <c r="E940" s="189"/>
      <c r="F940" s="189"/>
      <c r="G940" s="189"/>
      <c r="H940" s="190"/>
      <c r="I940" s="189"/>
      <c r="J940" s="189"/>
      <c r="K940" s="189"/>
      <c r="L940" s="189"/>
      <c r="M940" s="189"/>
      <c r="N940" s="189"/>
      <c r="O940" s="189"/>
      <c r="P940" s="189"/>
      <c r="Q940" s="189"/>
      <c r="R940" s="189"/>
      <c r="S940" s="191"/>
      <c r="T940" s="208"/>
      <c r="U940" s="189"/>
      <c r="V940" s="189"/>
      <c r="W940" s="189"/>
      <c r="X940" s="189"/>
      <c r="Y940" s="189"/>
      <c r="Z940" s="189"/>
    </row>
    <row r="941" spans="1:26">
      <c r="A941" s="189"/>
      <c r="B941" s="189"/>
      <c r="C941" s="189"/>
      <c r="D941" s="189"/>
      <c r="E941" s="189"/>
      <c r="F941" s="189"/>
      <c r="G941" s="189"/>
      <c r="H941" s="190"/>
      <c r="I941" s="189"/>
      <c r="J941" s="189"/>
      <c r="K941" s="189"/>
      <c r="L941" s="189"/>
      <c r="M941" s="189"/>
      <c r="N941" s="189"/>
      <c r="O941" s="189"/>
      <c r="P941" s="189"/>
      <c r="Q941" s="189"/>
      <c r="R941" s="189"/>
      <c r="S941" s="191"/>
      <c r="T941" s="208"/>
      <c r="U941" s="189"/>
      <c r="V941" s="189"/>
      <c r="W941" s="189"/>
      <c r="X941" s="189"/>
      <c r="Y941" s="189"/>
      <c r="Z941" s="189"/>
    </row>
    <row r="942" spans="1:26">
      <c r="A942" s="189"/>
      <c r="B942" s="189"/>
      <c r="C942" s="189"/>
      <c r="D942" s="189"/>
      <c r="E942" s="189"/>
      <c r="F942" s="189"/>
      <c r="G942" s="189"/>
      <c r="H942" s="190"/>
      <c r="I942" s="189"/>
      <c r="J942" s="189"/>
      <c r="K942" s="189"/>
      <c r="L942" s="189"/>
      <c r="M942" s="189"/>
      <c r="N942" s="189"/>
      <c r="O942" s="189"/>
      <c r="P942" s="189"/>
      <c r="Q942" s="189"/>
      <c r="R942" s="189"/>
      <c r="S942" s="191"/>
      <c r="T942" s="208"/>
      <c r="U942" s="189"/>
      <c r="V942" s="189"/>
      <c r="W942" s="189"/>
      <c r="X942" s="189"/>
      <c r="Y942" s="189"/>
      <c r="Z942" s="189"/>
    </row>
    <row r="943" spans="1:26">
      <c r="A943" s="189"/>
      <c r="B943" s="189"/>
      <c r="C943" s="189"/>
      <c r="D943" s="189"/>
      <c r="E943" s="189"/>
      <c r="F943" s="189"/>
      <c r="G943" s="189"/>
      <c r="H943" s="190"/>
      <c r="I943" s="189"/>
      <c r="J943" s="189"/>
      <c r="K943" s="189"/>
      <c r="L943" s="189"/>
      <c r="M943" s="189"/>
      <c r="N943" s="189"/>
      <c r="O943" s="189"/>
      <c r="P943" s="189"/>
      <c r="Q943" s="189"/>
      <c r="R943" s="189"/>
      <c r="S943" s="191"/>
      <c r="T943" s="208"/>
      <c r="U943" s="189"/>
      <c r="V943" s="189"/>
      <c r="W943" s="189"/>
      <c r="X943" s="189"/>
      <c r="Y943" s="189"/>
      <c r="Z943" s="189"/>
    </row>
    <row r="944" spans="1:26">
      <c r="A944" s="189"/>
      <c r="B944" s="189"/>
      <c r="C944" s="189"/>
      <c r="D944" s="189"/>
      <c r="E944" s="189"/>
      <c r="F944" s="189"/>
      <c r="G944" s="189"/>
      <c r="H944" s="190"/>
      <c r="I944" s="189"/>
      <c r="J944" s="189"/>
      <c r="K944" s="189"/>
      <c r="L944" s="189"/>
      <c r="M944" s="189"/>
      <c r="N944" s="189"/>
      <c r="O944" s="189"/>
      <c r="P944" s="189"/>
      <c r="Q944" s="189"/>
      <c r="R944" s="189"/>
      <c r="S944" s="191"/>
      <c r="T944" s="208"/>
      <c r="U944" s="189"/>
      <c r="V944" s="189"/>
      <c r="W944" s="189"/>
      <c r="X944" s="189"/>
      <c r="Y944" s="189"/>
      <c r="Z944" s="189"/>
    </row>
    <row r="945" spans="1:26">
      <c r="A945" s="189"/>
      <c r="B945" s="189"/>
      <c r="C945" s="189"/>
      <c r="D945" s="189"/>
      <c r="E945" s="189"/>
      <c r="F945" s="189"/>
      <c r="G945" s="189"/>
      <c r="H945" s="190"/>
      <c r="I945" s="189"/>
      <c r="J945" s="189"/>
      <c r="K945" s="189"/>
      <c r="L945" s="189"/>
      <c r="M945" s="189"/>
      <c r="N945" s="189"/>
      <c r="O945" s="189"/>
      <c r="P945" s="189"/>
      <c r="Q945" s="189"/>
      <c r="R945" s="189"/>
      <c r="S945" s="191"/>
      <c r="T945" s="208"/>
      <c r="U945" s="189"/>
      <c r="V945" s="189"/>
      <c r="W945" s="189"/>
      <c r="X945" s="189"/>
      <c r="Y945" s="189"/>
      <c r="Z945" s="189"/>
    </row>
    <row r="946" spans="1:26">
      <c r="A946" s="189"/>
      <c r="B946" s="189"/>
      <c r="C946" s="189"/>
      <c r="D946" s="189"/>
      <c r="E946" s="189"/>
      <c r="F946" s="189"/>
      <c r="G946" s="189"/>
      <c r="H946" s="190"/>
      <c r="I946" s="189"/>
      <c r="J946" s="189"/>
      <c r="K946" s="189"/>
      <c r="L946" s="189"/>
      <c r="M946" s="189"/>
      <c r="N946" s="189"/>
      <c r="O946" s="189"/>
      <c r="P946" s="189"/>
      <c r="Q946" s="189"/>
      <c r="R946" s="189"/>
      <c r="S946" s="191"/>
      <c r="T946" s="208"/>
      <c r="U946" s="189"/>
      <c r="V946" s="189"/>
      <c r="W946" s="189"/>
      <c r="X946" s="189"/>
      <c r="Y946" s="189"/>
      <c r="Z946" s="189"/>
    </row>
    <row r="947" spans="1:26">
      <c r="A947" s="189"/>
      <c r="B947" s="189"/>
      <c r="C947" s="189"/>
      <c r="D947" s="189"/>
      <c r="E947" s="189"/>
      <c r="F947" s="189"/>
      <c r="G947" s="189"/>
      <c r="H947" s="190"/>
      <c r="I947" s="189"/>
      <c r="J947" s="189"/>
      <c r="K947" s="189"/>
      <c r="L947" s="189"/>
      <c r="M947" s="189"/>
      <c r="N947" s="189"/>
      <c r="O947" s="189"/>
      <c r="P947" s="189"/>
      <c r="Q947" s="189"/>
      <c r="R947" s="189"/>
      <c r="S947" s="191"/>
      <c r="T947" s="208"/>
      <c r="U947" s="189"/>
      <c r="V947" s="189"/>
      <c r="W947" s="189"/>
      <c r="X947" s="189"/>
      <c r="Y947" s="189"/>
      <c r="Z947" s="189"/>
    </row>
    <row r="948" spans="1:26">
      <c r="A948" s="189"/>
      <c r="B948" s="189"/>
      <c r="C948" s="189"/>
      <c r="D948" s="189"/>
      <c r="E948" s="189"/>
      <c r="F948" s="189"/>
      <c r="G948" s="189"/>
      <c r="H948" s="190"/>
      <c r="I948" s="189"/>
      <c r="J948" s="189"/>
      <c r="K948" s="189"/>
      <c r="L948" s="189"/>
      <c r="M948" s="189"/>
      <c r="N948" s="189"/>
      <c r="O948" s="189"/>
      <c r="P948" s="189"/>
      <c r="Q948" s="189"/>
      <c r="R948" s="189"/>
      <c r="S948" s="191"/>
      <c r="T948" s="208"/>
      <c r="U948" s="189"/>
      <c r="V948" s="189"/>
      <c r="W948" s="189"/>
      <c r="X948" s="189"/>
      <c r="Y948" s="189"/>
      <c r="Z948" s="189"/>
    </row>
    <row r="949" spans="1:26">
      <c r="A949" s="189"/>
      <c r="B949" s="189"/>
      <c r="C949" s="189"/>
      <c r="D949" s="189"/>
      <c r="E949" s="189"/>
      <c r="F949" s="189"/>
      <c r="G949" s="189"/>
      <c r="H949" s="190"/>
      <c r="I949" s="189"/>
      <c r="J949" s="189"/>
      <c r="K949" s="189"/>
      <c r="L949" s="189"/>
      <c r="M949" s="189"/>
      <c r="N949" s="189"/>
      <c r="O949" s="189"/>
      <c r="P949" s="189"/>
      <c r="Q949" s="189"/>
      <c r="R949" s="189"/>
      <c r="S949" s="191"/>
      <c r="T949" s="208"/>
      <c r="U949" s="189"/>
      <c r="V949" s="189"/>
      <c r="W949" s="189"/>
      <c r="X949" s="189"/>
      <c r="Y949" s="189"/>
      <c r="Z949" s="189"/>
    </row>
    <row r="950" spans="1:26">
      <c r="A950" s="189"/>
      <c r="B950" s="189"/>
      <c r="C950" s="189"/>
      <c r="D950" s="189"/>
      <c r="E950" s="189"/>
      <c r="F950" s="189"/>
      <c r="G950" s="189"/>
      <c r="H950" s="190"/>
      <c r="I950" s="189"/>
      <c r="J950" s="189"/>
      <c r="K950" s="189"/>
      <c r="L950" s="189"/>
      <c r="M950" s="189"/>
      <c r="N950" s="189"/>
      <c r="O950" s="189"/>
      <c r="P950" s="189"/>
      <c r="Q950" s="189"/>
      <c r="R950" s="189"/>
      <c r="S950" s="191"/>
      <c r="T950" s="208"/>
      <c r="U950" s="189"/>
      <c r="V950" s="189"/>
      <c r="W950" s="189"/>
      <c r="X950" s="189"/>
      <c r="Y950" s="189"/>
      <c r="Z950" s="189"/>
    </row>
    <row r="951" spans="1:26">
      <c r="A951" s="189"/>
      <c r="B951" s="189"/>
      <c r="C951" s="189"/>
      <c r="D951" s="189"/>
      <c r="E951" s="189"/>
      <c r="F951" s="189"/>
      <c r="G951" s="189"/>
      <c r="H951" s="190"/>
      <c r="I951" s="189"/>
      <c r="J951" s="189"/>
      <c r="K951" s="189"/>
      <c r="L951" s="189"/>
      <c r="M951" s="189"/>
      <c r="N951" s="189"/>
      <c r="O951" s="189"/>
      <c r="P951" s="189"/>
      <c r="Q951" s="189"/>
      <c r="R951" s="189"/>
      <c r="S951" s="191"/>
      <c r="T951" s="208"/>
      <c r="U951" s="189"/>
      <c r="V951" s="189"/>
      <c r="W951" s="189"/>
      <c r="X951" s="189"/>
      <c r="Y951" s="189"/>
      <c r="Z951" s="189"/>
    </row>
    <row r="952" spans="1:26">
      <c r="A952" s="189"/>
      <c r="B952" s="189"/>
      <c r="C952" s="189"/>
      <c r="D952" s="189"/>
      <c r="E952" s="189"/>
      <c r="F952" s="189"/>
      <c r="G952" s="189"/>
      <c r="H952" s="190"/>
      <c r="I952" s="189"/>
      <c r="J952" s="189"/>
      <c r="K952" s="189"/>
      <c r="L952" s="189"/>
      <c r="M952" s="189"/>
      <c r="N952" s="189"/>
      <c r="O952" s="189"/>
      <c r="P952" s="189"/>
      <c r="Q952" s="189"/>
      <c r="R952" s="189"/>
      <c r="S952" s="191"/>
      <c r="T952" s="208"/>
      <c r="U952" s="189"/>
      <c r="V952" s="189"/>
      <c r="W952" s="189"/>
      <c r="X952" s="189"/>
      <c r="Y952" s="189"/>
      <c r="Z952" s="189"/>
    </row>
    <row r="953" spans="1:26">
      <c r="A953" s="189"/>
      <c r="B953" s="189"/>
      <c r="C953" s="189"/>
      <c r="D953" s="189"/>
      <c r="E953" s="189"/>
      <c r="F953" s="189"/>
      <c r="G953" s="189"/>
      <c r="H953" s="190"/>
      <c r="I953" s="189"/>
      <c r="J953" s="189"/>
      <c r="K953" s="189"/>
      <c r="L953" s="189"/>
      <c r="M953" s="189"/>
      <c r="N953" s="189"/>
      <c r="O953" s="189"/>
      <c r="P953" s="189"/>
      <c r="Q953" s="189"/>
      <c r="R953" s="189"/>
      <c r="S953" s="191"/>
      <c r="T953" s="208"/>
      <c r="U953" s="189"/>
      <c r="V953" s="189"/>
      <c r="W953" s="189"/>
      <c r="X953" s="189"/>
      <c r="Y953" s="189"/>
      <c r="Z953" s="189"/>
    </row>
    <row r="954" spans="1:26">
      <c r="A954" s="189"/>
      <c r="B954" s="189"/>
      <c r="C954" s="189"/>
      <c r="D954" s="189"/>
      <c r="E954" s="189"/>
      <c r="F954" s="189"/>
      <c r="G954" s="189"/>
      <c r="H954" s="190"/>
      <c r="I954" s="189"/>
      <c r="J954" s="189"/>
      <c r="K954" s="189"/>
      <c r="L954" s="189"/>
      <c r="M954" s="189"/>
      <c r="N954" s="189"/>
      <c r="O954" s="189"/>
      <c r="P954" s="189"/>
      <c r="Q954" s="189"/>
      <c r="R954" s="189"/>
      <c r="S954" s="191"/>
      <c r="T954" s="208"/>
      <c r="U954" s="189"/>
      <c r="V954" s="189"/>
      <c r="W954" s="189"/>
      <c r="X954" s="189"/>
      <c r="Y954" s="189"/>
      <c r="Z954" s="189"/>
    </row>
    <row r="955" spans="1:26">
      <c r="A955" s="189"/>
      <c r="B955" s="189"/>
      <c r="C955" s="189"/>
      <c r="D955" s="189"/>
      <c r="E955" s="189"/>
      <c r="F955" s="189"/>
      <c r="G955" s="189"/>
      <c r="H955" s="190"/>
      <c r="I955" s="189"/>
      <c r="J955" s="189"/>
      <c r="K955" s="189"/>
      <c r="L955" s="189"/>
      <c r="M955" s="189"/>
      <c r="N955" s="189"/>
      <c r="O955" s="189"/>
      <c r="P955" s="189"/>
      <c r="Q955" s="189"/>
      <c r="R955" s="189"/>
      <c r="S955" s="191"/>
      <c r="T955" s="208"/>
      <c r="U955" s="189"/>
      <c r="V955" s="189"/>
      <c r="W955" s="189"/>
      <c r="X955" s="189"/>
      <c r="Y955" s="189"/>
      <c r="Z955" s="189"/>
    </row>
    <row r="956" spans="1:26">
      <c r="A956" s="189"/>
      <c r="B956" s="189"/>
      <c r="C956" s="189"/>
      <c r="D956" s="189"/>
      <c r="E956" s="189"/>
      <c r="F956" s="189"/>
      <c r="G956" s="189"/>
      <c r="H956" s="190"/>
      <c r="I956" s="189"/>
      <c r="J956" s="189"/>
      <c r="K956" s="189"/>
      <c r="L956" s="189"/>
      <c r="M956" s="189"/>
      <c r="N956" s="189"/>
      <c r="O956" s="189"/>
      <c r="P956" s="189"/>
      <c r="Q956" s="189"/>
      <c r="R956" s="189"/>
      <c r="S956" s="191"/>
      <c r="T956" s="208"/>
      <c r="U956" s="189"/>
      <c r="V956" s="189"/>
      <c r="W956" s="189"/>
      <c r="X956" s="189"/>
      <c r="Y956" s="189"/>
      <c r="Z956" s="189"/>
    </row>
    <row r="957" spans="1:26">
      <c r="A957" s="189"/>
      <c r="B957" s="189"/>
      <c r="C957" s="189"/>
      <c r="D957" s="189"/>
      <c r="E957" s="189"/>
      <c r="F957" s="189"/>
      <c r="G957" s="189"/>
      <c r="H957" s="190"/>
      <c r="I957" s="189"/>
      <c r="J957" s="189"/>
      <c r="K957" s="189"/>
      <c r="L957" s="189"/>
      <c r="M957" s="189"/>
      <c r="N957" s="189"/>
      <c r="O957" s="189"/>
      <c r="P957" s="189"/>
      <c r="Q957" s="189"/>
      <c r="R957" s="189"/>
      <c r="S957" s="191"/>
      <c r="T957" s="208"/>
      <c r="U957" s="189"/>
      <c r="V957" s="189"/>
      <c r="W957" s="189"/>
      <c r="X957" s="189"/>
      <c r="Y957" s="189"/>
      <c r="Z957" s="189"/>
    </row>
    <row r="958" spans="1:26">
      <c r="A958" s="189"/>
      <c r="B958" s="189"/>
      <c r="C958" s="189"/>
      <c r="D958" s="189"/>
      <c r="E958" s="189"/>
      <c r="F958" s="189"/>
      <c r="G958" s="189"/>
      <c r="H958" s="190"/>
      <c r="I958" s="189"/>
      <c r="J958" s="189"/>
      <c r="K958" s="189"/>
      <c r="L958" s="189"/>
      <c r="M958" s="189"/>
      <c r="N958" s="189"/>
      <c r="O958" s="189"/>
      <c r="P958" s="189"/>
      <c r="Q958" s="189"/>
      <c r="R958" s="189"/>
      <c r="S958" s="191"/>
      <c r="T958" s="208"/>
      <c r="U958" s="189"/>
      <c r="V958" s="189"/>
      <c r="W958" s="189"/>
      <c r="X958" s="189"/>
      <c r="Y958" s="189"/>
      <c r="Z958" s="189"/>
    </row>
    <row r="959" spans="1:26">
      <c r="A959" s="189"/>
      <c r="B959" s="189"/>
      <c r="C959" s="189"/>
      <c r="D959" s="189"/>
      <c r="E959" s="189"/>
      <c r="F959" s="189"/>
      <c r="G959" s="189"/>
      <c r="H959" s="190"/>
      <c r="I959" s="189"/>
      <c r="J959" s="189"/>
      <c r="K959" s="189"/>
      <c r="L959" s="189"/>
      <c r="M959" s="189"/>
      <c r="N959" s="189"/>
      <c r="O959" s="189"/>
      <c r="P959" s="189"/>
      <c r="Q959" s="189"/>
      <c r="R959" s="189"/>
      <c r="S959" s="191"/>
      <c r="T959" s="208"/>
      <c r="U959" s="189"/>
      <c r="V959" s="189"/>
      <c r="W959" s="189"/>
      <c r="X959" s="189"/>
      <c r="Y959" s="189"/>
      <c r="Z959" s="189"/>
    </row>
    <row r="960" spans="1:26">
      <c r="A960" s="189"/>
      <c r="B960" s="189"/>
      <c r="C960" s="189"/>
      <c r="D960" s="189"/>
      <c r="E960" s="189"/>
      <c r="F960" s="189"/>
      <c r="G960" s="189"/>
      <c r="H960" s="190"/>
      <c r="I960" s="189"/>
      <c r="J960" s="189"/>
      <c r="K960" s="189"/>
      <c r="L960" s="189"/>
      <c r="M960" s="189"/>
      <c r="N960" s="189"/>
      <c r="O960" s="189"/>
      <c r="P960" s="189"/>
      <c r="Q960" s="189"/>
      <c r="R960" s="189"/>
      <c r="S960" s="191"/>
      <c r="T960" s="208"/>
      <c r="U960" s="189"/>
      <c r="V960" s="189"/>
      <c r="W960" s="189"/>
      <c r="X960" s="189"/>
      <c r="Y960" s="189"/>
      <c r="Z960" s="189"/>
    </row>
    <row r="961" spans="1:26">
      <c r="A961" s="189"/>
      <c r="B961" s="189"/>
      <c r="C961" s="189"/>
      <c r="D961" s="189"/>
      <c r="E961" s="189"/>
      <c r="F961" s="189"/>
      <c r="G961" s="189"/>
      <c r="H961" s="190"/>
      <c r="I961" s="189"/>
      <c r="J961" s="189"/>
      <c r="K961" s="189"/>
      <c r="L961" s="189"/>
      <c r="M961" s="189"/>
      <c r="N961" s="189"/>
      <c r="O961" s="189"/>
      <c r="P961" s="189"/>
      <c r="Q961" s="189"/>
      <c r="R961" s="189"/>
      <c r="S961" s="191"/>
      <c r="T961" s="208"/>
      <c r="U961" s="189"/>
      <c r="V961" s="189"/>
      <c r="W961" s="189"/>
      <c r="X961" s="189"/>
      <c r="Y961" s="189"/>
      <c r="Z961" s="189"/>
    </row>
    <row r="962" spans="1:26">
      <c r="A962" s="189"/>
      <c r="B962" s="189"/>
      <c r="C962" s="189"/>
      <c r="D962" s="189"/>
      <c r="E962" s="189"/>
      <c r="F962" s="189"/>
      <c r="G962" s="189"/>
      <c r="H962" s="190"/>
      <c r="I962" s="189"/>
      <c r="J962" s="189"/>
      <c r="K962" s="189"/>
      <c r="L962" s="189"/>
      <c r="M962" s="189"/>
      <c r="N962" s="189"/>
      <c r="O962" s="189"/>
      <c r="P962" s="189"/>
      <c r="Q962" s="189"/>
      <c r="R962" s="189"/>
      <c r="S962" s="191"/>
      <c r="T962" s="208"/>
      <c r="U962" s="189"/>
      <c r="V962" s="189"/>
      <c r="W962" s="189"/>
      <c r="X962" s="189"/>
      <c r="Y962" s="189"/>
      <c r="Z962" s="189"/>
    </row>
    <row r="963" spans="1:26">
      <c r="A963" s="189"/>
      <c r="B963" s="189"/>
      <c r="C963" s="189"/>
      <c r="D963" s="189"/>
      <c r="E963" s="189"/>
      <c r="F963" s="189"/>
      <c r="G963" s="189"/>
      <c r="H963" s="190"/>
      <c r="I963" s="189"/>
      <c r="J963" s="189"/>
      <c r="K963" s="189"/>
      <c r="L963" s="189"/>
      <c r="M963" s="189"/>
      <c r="N963" s="189"/>
      <c r="O963" s="189"/>
      <c r="P963" s="189"/>
      <c r="Q963" s="189"/>
      <c r="R963" s="189"/>
      <c r="S963" s="191"/>
      <c r="T963" s="208"/>
      <c r="U963" s="189"/>
      <c r="V963" s="189"/>
      <c r="W963" s="189"/>
      <c r="X963" s="189"/>
      <c r="Y963" s="189"/>
      <c r="Z963" s="189"/>
    </row>
    <row r="964" spans="1:26">
      <c r="A964" s="189"/>
      <c r="B964" s="189"/>
      <c r="C964" s="189"/>
      <c r="D964" s="189"/>
      <c r="E964" s="189"/>
      <c r="F964" s="189"/>
      <c r="G964" s="189"/>
      <c r="H964" s="190"/>
      <c r="I964" s="189"/>
      <c r="J964" s="189"/>
      <c r="K964" s="189"/>
      <c r="L964" s="189"/>
      <c r="M964" s="189"/>
      <c r="N964" s="189"/>
      <c r="O964" s="189"/>
      <c r="P964" s="189"/>
      <c r="Q964" s="189"/>
      <c r="R964" s="189"/>
      <c r="S964" s="191"/>
      <c r="T964" s="208"/>
      <c r="U964" s="189"/>
      <c r="V964" s="189"/>
      <c r="W964" s="189"/>
      <c r="X964" s="189"/>
      <c r="Y964" s="189"/>
      <c r="Z964" s="189"/>
    </row>
    <row r="965" spans="1:26">
      <c r="A965" s="189"/>
      <c r="B965" s="189"/>
      <c r="C965" s="189"/>
      <c r="D965" s="189"/>
      <c r="E965" s="189"/>
      <c r="F965" s="189"/>
      <c r="G965" s="189"/>
      <c r="H965" s="190"/>
      <c r="I965" s="189"/>
      <c r="J965" s="189"/>
      <c r="K965" s="189"/>
      <c r="L965" s="189"/>
      <c r="M965" s="189"/>
      <c r="N965" s="189"/>
      <c r="O965" s="189"/>
      <c r="P965" s="189"/>
      <c r="Q965" s="189"/>
      <c r="R965" s="189"/>
      <c r="S965" s="191"/>
      <c r="T965" s="208"/>
      <c r="U965" s="189"/>
      <c r="V965" s="189"/>
      <c r="W965" s="189"/>
      <c r="X965" s="189"/>
      <c r="Y965" s="189"/>
      <c r="Z965" s="189"/>
    </row>
    <row r="966" spans="1:26">
      <c r="A966" s="189"/>
      <c r="B966" s="189"/>
      <c r="C966" s="189"/>
      <c r="D966" s="189"/>
      <c r="E966" s="189"/>
      <c r="F966" s="189"/>
      <c r="G966" s="189"/>
      <c r="H966" s="190"/>
      <c r="I966" s="189"/>
      <c r="J966" s="189"/>
      <c r="K966" s="189"/>
      <c r="L966" s="189"/>
      <c r="M966" s="189"/>
      <c r="N966" s="189"/>
      <c r="O966" s="189"/>
      <c r="P966" s="189"/>
      <c r="Q966" s="189"/>
      <c r="R966" s="189"/>
      <c r="S966" s="191"/>
      <c r="T966" s="208"/>
      <c r="U966" s="189"/>
      <c r="V966" s="189"/>
      <c r="W966" s="189"/>
      <c r="X966" s="189"/>
      <c r="Y966" s="189"/>
      <c r="Z966" s="189"/>
    </row>
    <row r="967" spans="1:26">
      <c r="A967" s="189"/>
      <c r="B967" s="189"/>
      <c r="C967" s="189"/>
      <c r="D967" s="189"/>
      <c r="E967" s="189"/>
      <c r="F967" s="189"/>
      <c r="G967" s="189"/>
      <c r="H967" s="190"/>
      <c r="I967" s="189"/>
      <c r="J967" s="189"/>
      <c r="K967" s="189"/>
      <c r="L967" s="189"/>
      <c r="M967" s="189"/>
      <c r="N967" s="189"/>
      <c r="O967" s="189"/>
      <c r="P967" s="189"/>
      <c r="Q967" s="189"/>
      <c r="R967" s="189"/>
      <c r="S967" s="191"/>
      <c r="T967" s="208"/>
      <c r="U967" s="189"/>
      <c r="V967" s="189"/>
      <c r="W967" s="189"/>
      <c r="X967" s="189"/>
      <c r="Y967" s="189"/>
      <c r="Z967" s="189"/>
    </row>
    <row r="968" spans="1:26">
      <c r="A968" s="189"/>
      <c r="B968" s="189"/>
      <c r="C968" s="189"/>
      <c r="D968" s="189"/>
      <c r="E968" s="189"/>
      <c r="F968" s="189"/>
      <c r="G968" s="189"/>
      <c r="H968" s="190"/>
      <c r="I968" s="189"/>
      <c r="J968" s="189"/>
      <c r="K968" s="189"/>
      <c r="L968" s="189"/>
      <c r="M968" s="189"/>
      <c r="N968" s="189"/>
      <c r="O968" s="189"/>
      <c r="P968" s="189"/>
      <c r="Q968" s="189"/>
      <c r="R968" s="189"/>
      <c r="S968" s="191"/>
      <c r="T968" s="208"/>
      <c r="U968" s="189"/>
      <c r="V968" s="189"/>
      <c r="W968" s="189"/>
      <c r="X968" s="189"/>
      <c r="Y968" s="189"/>
      <c r="Z968" s="189"/>
    </row>
    <row r="969" spans="1:26">
      <c r="A969" s="189"/>
      <c r="B969" s="189"/>
      <c r="C969" s="189"/>
      <c r="D969" s="189"/>
      <c r="E969" s="189"/>
      <c r="F969" s="189"/>
      <c r="G969" s="189"/>
      <c r="H969" s="190"/>
      <c r="I969" s="189"/>
      <c r="J969" s="189"/>
      <c r="K969" s="189"/>
      <c r="L969" s="189"/>
      <c r="M969" s="189"/>
      <c r="N969" s="189"/>
      <c r="O969" s="189"/>
      <c r="P969" s="189"/>
      <c r="Q969" s="189"/>
      <c r="R969" s="189"/>
      <c r="S969" s="191"/>
      <c r="T969" s="208"/>
      <c r="U969" s="189"/>
      <c r="V969" s="189"/>
      <c r="W969" s="189"/>
      <c r="X969" s="189"/>
      <c r="Y969" s="189"/>
      <c r="Z969" s="189"/>
    </row>
    <row r="970" spans="1:26">
      <c r="A970" s="189"/>
      <c r="B970" s="189"/>
      <c r="C970" s="189"/>
      <c r="D970" s="189"/>
      <c r="E970" s="189"/>
      <c r="F970" s="189"/>
      <c r="G970" s="189"/>
      <c r="H970" s="190"/>
      <c r="I970" s="189"/>
      <c r="J970" s="189"/>
      <c r="K970" s="189"/>
      <c r="L970" s="189"/>
      <c r="M970" s="189"/>
      <c r="N970" s="189"/>
      <c r="O970" s="189"/>
      <c r="P970" s="189"/>
      <c r="Q970" s="189"/>
      <c r="R970" s="189"/>
      <c r="S970" s="191"/>
      <c r="T970" s="208"/>
      <c r="U970" s="189"/>
      <c r="V970" s="189"/>
      <c r="W970" s="189"/>
      <c r="X970" s="189"/>
      <c r="Y970" s="189"/>
      <c r="Z970" s="189"/>
    </row>
    <row r="971" spans="1:26">
      <c r="A971" s="189"/>
      <c r="B971" s="189"/>
      <c r="C971" s="189"/>
      <c r="D971" s="189"/>
      <c r="E971" s="189"/>
      <c r="F971" s="189"/>
      <c r="G971" s="189"/>
      <c r="H971" s="190"/>
      <c r="I971" s="189"/>
      <c r="J971" s="189"/>
      <c r="K971" s="189"/>
      <c r="L971" s="189"/>
      <c r="M971" s="189"/>
      <c r="N971" s="189"/>
      <c r="O971" s="189"/>
      <c r="P971" s="189"/>
      <c r="Q971" s="189"/>
      <c r="R971" s="189"/>
      <c r="S971" s="191"/>
      <c r="T971" s="208"/>
      <c r="U971" s="189"/>
      <c r="V971" s="189"/>
      <c r="W971" s="189"/>
      <c r="X971" s="189"/>
      <c r="Y971" s="189"/>
      <c r="Z971" s="189"/>
    </row>
    <row r="972" spans="1:26">
      <c r="A972" s="189"/>
      <c r="B972" s="189"/>
      <c r="C972" s="189"/>
      <c r="D972" s="189"/>
      <c r="E972" s="189"/>
      <c r="F972" s="189"/>
      <c r="G972" s="189"/>
      <c r="H972" s="190"/>
      <c r="I972" s="189"/>
      <c r="J972" s="189"/>
      <c r="K972" s="189"/>
      <c r="L972" s="189"/>
      <c r="M972" s="189"/>
      <c r="N972" s="189"/>
      <c r="O972" s="189"/>
      <c r="P972" s="189"/>
      <c r="Q972" s="189"/>
      <c r="R972" s="189"/>
      <c r="S972" s="191"/>
      <c r="T972" s="208"/>
      <c r="U972" s="189"/>
      <c r="V972" s="189"/>
      <c r="W972" s="189"/>
      <c r="X972" s="189"/>
      <c r="Y972" s="189"/>
      <c r="Z972" s="189"/>
    </row>
    <row r="973" spans="1:26">
      <c r="A973" s="189"/>
      <c r="B973" s="189"/>
      <c r="C973" s="189"/>
      <c r="D973" s="189"/>
      <c r="E973" s="189"/>
      <c r="F973" s="189"/>
      <c r="G973" s="189"/>
      <c r="H973" s="190"/>
      <c r="I973" s="189"/>
      <c r="J973" s="189"/>
      <c r="K973" s="189"/>
      <c r="L973" s="189"/>
      <c r="M973" s="189"/>
      <c r="N973" s="189"/>
      <c r="O973" s="189"/>
      <c r="P973" s="189"/>
      <c r="Q973" s="189"/>
      <c r="R973" s="189"/>
      <c r="S973" s="191"/>
      <c r="T973" s="208"/>
      <c r="U973" s="189"/>
      <c r="V973" s="189"/>
      <c r="W973" s="189"/>
      <c r="X973" s="189"/>
      <c r="Y973" s="189"/>
      <c r="Z973" s="189"/>
    </row>
    <row r="974" spans="1:26">
      <c r="A974" s="189"/>
      <c r="B974" s="189"/>
      <c r="C974" s="189"/>
      <c r="D974" s="189"/>
      <c r="E974" s="189"/>
      <c r="F974" s="189"/>
      <c r="G974" s="189"/>
      <c r="H974" s="190"/>
      <c r="I974" s="189"/>
      <c r="J974" s="189"/>
      <c r="K974" s="189"/>
      <c r="L974" s="189"/>
      <c r="M974" s="189"/>
      <c r="N974" s="189"/>
      <c r="O974" s="189"/>
      <c r="P974" s="189"/>
      <c r="Q974" s="189"/>
      <c r="R974" s="189"/>
      <c r="S974" s="191"/>
      <c r="T974" s="208"/>
      <c r="U974" s="189"/>
      <c r="V974" s="189"/>
      <c r="W974" s="189"/>
      <c r="X974" s="189"/>
      <c r="Y974" s="189"/>
      <c r="Z974" s="189"/>
    </row>
    <row r="975" spans="1:26">
      <c r="A975" s="189"/>
      <c r="B975" s="189"/>
      <c r="C975" s="189"/>
      <c r="D975" s="189"/>
      <c r="E975" s="189"/>
      <c r="F975" s="189"/>
      <c r="G975" s="189"/>
      <c r="H975" s="190"/>
      <c r="I975" s="189"/>
      <c r="J975" s="189"/>
      <c r="K975" s="189"/>
      <c r="L975" s="189"/>
      <c r="M975" s="189"/>
      <c r="N975" s="189"/>
      <c r="O975" s="189"/>
      <c r="P975" s="189"/>
      <c r="Q975" s="189"/>
      <c r="R975" s="189"/>
      <c r="S975" s="191"/>
      <c r="T975" s="208"/>
      <c r="U975" s="189"/>
      <c r="V975" s="189"/>
      <c r="W975" s="189"/>
      <c r="X975" s="189"/>
      <c r="Y975" s="189"/>
      <c r="Z975" s="189"/>
    </row>
    <row r="976" spans="1:26">
      <c r="A976" s="189"/>
      <c r="B976" s="189"/>
      <c r="C976" s="189"/>
      <c r="D976" s="189"/>
      <c r="E976" s="189"/>
      <c r="F976" s="189"/>
      <c r="G976" s="189"/>
      <c r="H976" s="190"/>
      <c r="I976" s="189"/>
      <c r="J976" s="189"/>
      <c r="K976" s="189"/>
      <c r="L976" s="189"/>
      <c r="M976" s="189"/>
      <c r="N976" s="189"/>
      <c r="O976" s="189"/>
      <c r="P976" s="189"/>
      <c r="Q976" s="189"/>
      <c r="R976" s="189"/>
      <c r="S976" s="191"/>
      <c r="T976" s="208"/>
      <c r="U976" s="189"/>
      <c r="V976" s="189"/>
      <c r="W976" s="189"/>
      <c r="X976" s="189"/>
      <c r="Y976" s="189"/>
      <c r="Z976" s="189"/>
    </row>
    <row r="977" spans="1:26">
      <c r="A977" s="189"/>
      <c r="B977" s="189"/>
      <c r="C977" s="189"/>
      <c r="D977" s="189"/>
      <c r="E977" s="189"/>
      <c r="F977" s="189"/>
      <c r="G977" s="189"/>
      <c r="H977" s="190"/>
      <c r="I977" s="189"/>
      <c r="J977" s="189"/>
      <c r="K977" s="189"/>
      <c r="L977" s="189"/>
      <c r="M977" s="189"/>
      <c r="N977" s="189"/>
      <c r="O977" s="189"/>
      <c r="P977" s="189"/>
      <c r="Q977" s="189"/>
      <c r="R977" s="189"/>
      <c r="S977" s="191"/>
      <c r="T977" s="208"/>
      <c r="U977" s="189"/>
      <c r="V977" s="189"/>
      <c r="W977" s="189"/>
      <c r="X977" s="189"/>
      <c r="Y977" s="189"/>
      <c r="Z977" s="189"/>
    </row>
    <row r="978" spans="1:26">
      <c r="A978" s="189"/>
      <c r="B978" s="189"/>
      <c r="C978" s="189"/>
      <c r="D978" s="189"/>
      <c r="E978" s="189"/>
      <c r="F978" s="189"/>
      <c r="G978" s="189"/>
      <c r="H978" s="190"/>
      <c r="I978" s="189"/>
      <c r="J978" s="189"/>
      <c r="K978" s="189"/>
      <c r="L978" s="189"/>
      <c r="M978" s="189"/>
      <c r="N978" s="189"/>
      <c r="O978" s="189"/>
      <c r="P978" s="189"/>
      <c r="Q978" s="189"/>
      <c r="R978" s="189"/>
      <c r="S978" s="191"/>
      <c r="T978" s="208"/>
      <c r="U978" s="189"/>
      <c r="V978" s="189"/>
      <c r="W978" s="189"/>
      <c r="X978" s="189"/>
      <c r="Y978" s="189"/>
      <c r="Z978" s="189"/>
    </row>
    <row r="979" spans="1:26">
      <c r="A979" s="189"/>
      <c r="B979" s="189"/>
      <c r="C979" s="189"/>
      <c r="D979" s="189"/>
      <c r="E979" s="189"/>
      <c r="F979" s="189"/>
      <c r="G979" s="189"/>
      <c r="H979" s="190"/>
      <c r="I979" s="189"/>
      <c r="J979" s="189"/>
      <c r="K979" s="189"/>
      <c r="L979" s="189"/>
      <c r="M979" s="189"/>
      <c r="N979" s="189"/>
      <c r="O979" s="189"/>
      <c r="P979" s="189"/>
      <c r="Q979" s="189"/>
      <c r="R979" s="189"/>
      <c r="S979" s="191"/>
      <c r="T979" s="208"/>
      <c r="U979" s="189"/>
      <c r="V979" s="189"/>
      <c r="W979" s="189"/>
      <c r="X979" s="189"/>
      <c r="Y979" s="189"/>
      <c r="Z979" s="189"/>
    </row>
    <row r="980" spans="1:26">
      <c r="A980" s="189"/>
      <c r="B980" s="189"/>
      <c r="C980" s="189"/>
      <c r="D980" s="189"/>
      <c r="E980" s="189"/>
      <c r="F980" s="189"/>
      <c r="G980" s="189"/>
      <c r="H980" s="190"/>
      <c r="I980" s="189"/>
      <c r="J980" s="189"/>
      <c r="K980" s="189"/>
      <c r="L980" s="189"/>
      <c r="M980" s="189"/>
      <c r="N980" s="189"/>
      <c r="O980" s="189"/>
      <c r="P980" s="189"/>
      <c r="Q980" s="189"/>
      <c r="R980" s="189"/>
      <c r="S980" s="191"/>
      <c r="T980" s="208"/>
      <c r="U980" s="189"/>
      <c r="V980" s="189"/>
      <c r="W980" s="189"/>
      <c r="X980" s="189"/>
      <c r="Y980" s="189"/>
      <c r="Z980" s="189"/>
    </row>
    <row r="981" spans="1:26">
      <c r="A981" s="189"/>
      <c r="B981" s="189"/>
      <c r="C981" s="189"/>
      <c r="D981" s="189"/>
      <c r="E981" s="189"/>
      <c r="F981" s="189"/>
      <c r="G981" s="189"/>
      <c r="H981" s="190"/>
      <c r="I981" s="189"/>
      <c r="J981" s="189"/>
      <c r="K981" s="189"/>
      <c r="L981" s="189"/>
      <c r="M981" s="189"/>
      <c r="N981" s="189"/>
      <c r="O981" s="189"/>
      <c r="P981" s="189"/>
      <c r="Q981" s="189"/>
      <c r="R981" s="189"/>
      <c r="S981" s="191"/>
      <c r="T981" s="208"/>
      <c r="U981" s="189"/>
      <c r="V981" s="189"/>
      <c r="W981" s="189"/>
      <c r="X981" s="189"/>
      <c r="Y981" s="189"/>
      <c r="Z981" s="189"/>
    </row>
    <row r="982" spans="1:26">
      <c r="A982" s="189"/>
      <c r="B982" s="189"/>
      <c r="C982" s="189"/>
      <c r="D982" s="189"/>
      <c r="E982" s="189"/>
      <c r="F982" s="189"/>
      <c r="G982" s="189"/>
      <c r="H982" s="190"/>
      <c r="I982" s="189"/>
      <c r="J982" s="189"/>
      <c r="K982" s="189"/>
      <c r="L982" s="189"/>
      <c r="M982" s="189"/>
      <c r="N982" s="189"/>
      <c r="O982" s="189"/>
      <c r="P982" s="189"/>
      <c r="Q982" s="189"/>
      <c r="R982" s="189"/>
      <c r="S982" s="191"/>
      <c r="T982" s="208"/>
      <c r="U982" s="189"/>
      <c r="V982" s="189"/>
      <c r="W982" s="189"/>
      <c r="X982" s="189"/>
      <c r="Y982" s="189"/>
      <c r="Z982" s="189"/>
    </row>
    <row r="983" spans="1:26">
      <c r="A983" s="189"/>
      <c r="B983" s="189"/>
      <c r="C983" s="189"/>
      <c r="D983" s="189"/>
      <c r="E983" s="189"/>
      <c r="F983" s="189"/>
      <c r="G983" s="189"/>
      <c r="H983" s="190"/>
      <c r="I983" s="189"/>
      <c r="J983" s="189"/>
      <c r="K983" s="189"/>
      <c r="L983" s="189"/>
      <c r="M983" s="189"/>
      <c r="N983" s="189"/>
      <c r="O983" s="189"/>
      <c r="P983" s="189"/>
      <c r="Q983" s="189"/>
      <c r="R983" s="189"/>
      <c r="S983" s="191"/>
      <c r="T983" s="208"/>
      <c r="U983" s="189"/>
      <c r="V983" s="189"/>
      <c r="W983" s="189"/>
      <c r="X983" s="189"/>
      <c r="Y983" s="189"/>
      <c r="Z983" s="189"/>
    </row>
    <row r="984" spans="1:26">
      <c r="A984" s="189"/>
      <c r="B984" s="189"/>
      <c r="C984" s="189"/>
      <c r="D984" s="189"/>
      <c r="E984" s="189"/>
      <c r="F984" s="189"/>
      <c r="G984" s="189"/>
      <c r="H984" s="190"/>
      <c r="I984" s="189"/>
      <c r="J984" s="189"/>
      <c r="K984" s="189"/>
      <c r="L984" s="189"/>
      <c r="M984" s="189"/>
      <c r="N984" s="189"/>
      <c r="O984" s="189"/>
      <c r="P984" s="189"/>
      <c r="Q984" s="189"/>
      <c r="R984" s="189"/>
      <c r="S984" s="191"/>
      <c r="T984" s="208"/>
      <c r="U984" s="189"/>
      <c r="V984" s="189"/>
      <c r="W984" s="189"/>
      <c r="X984" s="189"/>
      <c r="Y984" s="189"/>
      <c r="Z984" s="189"/>
    </row>
    <row r="985" spans="1:26">
      <c r="A985" s="189"/>
      <c r="B985" s="189"/>
      <c r="C985" s="189"/>
      <c r="D985" s="189"/>
      <c r="E985" s="189"/>
      <c r="F985" s="189"/>
      <c r="G985" s="189"/>
      <c r="H985" s="190"/>
      <c r="I985" s="189"/>
      <c r="J985" s="189"/>
      <c r="K985" s="189"/>
      <c r="L985" s="189"/>
      <c r="M985" s="189"/>
      <c r="N985" s="189"/>
      <c r="O985" s="189"/>
      <c r="P985" s="189"/>
      <c r="Q985" s="189"/>
      <c r="R985" s="189"/>
      <c r="S985" s="191"/>
      <c r="T985" s="208"/>
      <c r="U985" s="189"/>
      <c r="V985" s="189"/>
      <c r="W985" s="189"/>
      <c r="X985" s="189"/>
      <c r="Y985" s="189"/>
      <c r="Z985" s="189"/>
    </row>
    <row r="986" spans="1:26">
      <c r="A986" s="189"/>
      <c r="B986" s="189"/>
      <c r="C986" s="189"/>
      <c r="D986" s="189"/>
      <c r="E986" s="189"/>
      <c r="F986" s="189"/>
      <c r="G986" s="189"/>
      <c r="H986" s="190"/>
      <c r="I986" s="189"/>
      <c r="J986" s="189"/>
      <c r="K986" s="189"/>
      <c r="L986" s="189"/>
      <c r="M986" s="189"/>
      <c r="N986" s="189"/>
      <c r="O986" s="189"/>
      <c r="P986" s="189"/>
      <c r="Q986" s="189"/>
      <c r="R986" s="189"/>
      <c r="S986" s="191"/>
      <c r="T986" s="208"/>
      <c r="U986" s="189"/>
      <c r="V986" s="189"/>
      <c r="W986" s="189"/>
      <c r="X986" s="189"/>
      <c r="Y986" s="189"/>
      <c r="Z986" s="189"/>
    </row>
    <row r="987" spans="1:26">
      <c r="A987" s="189"/>
      <c r="B987" s="189"/>
      <c r="C987" s="189"/>
      <c r="D987" s="189"/>
      <c r="E987" s="189"/>
      <c r="F987" s="189"/>
      <c r="G987" s="189"/>
      <c r="H987" s="190"/>
      <c r="I987" s="189"/>
      <c r="J987" s="189"/>
      <c r="K987" s="189"/>
      <c r="L987" s="189"/>
      <c r="M987" s="189"/>
      <c r="N987" s="189"/>
      <c r="O987" s="189"/>
      <c r="P987" s="189"/>
      <c r="Q987" s="189"/>
      <c r="R987" s="189"/>
      <c r="S987" s="191"/>
      <c r="T987" s="208"/>
      <c r="U987" s="189"/>
      <c r="V987" s="189"/>
      <c r="W987" s="189"/>
      <c r="X987" s="189"/>
      <c r="Y987" s="189"/>
      <c r="Z987" s="189"/>
    </row>
    <row r="988" spans="1:26">
      <c r="A988" s="189"/>
      <c r="B988" s="189"/>
      <c r="C988" s="189"/>
      <c r="D988" s="189"/>
      <c r="E988" s="189"/>
      <c r="F988" s="189"/>
      <c r="G988" s="189"/>
      <c r="H988" s="190"/>
      <c r="I988" s="189"/>
      <c r="J988" s="189"/>
      <c r="K988" s="189"/>
      <c r="L988" s="189"/>
      <c r="M988" s="189"/>
      <c r="N988" s="189"/>
      <c r="O988" s="189"/>
      <c r="P988" s="189"/>
      <c r="Q988" s="189"/>
      <c r="R988" s="189"/>
      <c r="S988" s="191"/>
      <c r="T988" s="208"/>
      <c r="U988" s="189"/>
      <c r="V988" s="189"/>
      <c r="W988" s="189"/>
      <c r="X988" s="189"/>
      <c r="Y988" s="189"/>
      <c r="Z988" s="189"/>
    </row>
    <row r="989" spans="1:26">
      <c r="A989" s="189"/>
      <c r="B989" s="189"/>
      <c r="C989" s="189"/>
      <c r="D989" s="189"/>
      <c r="E989" s="189"/>
      <c r="F989" s="189"/>
      <c r="G989" s="189"/>
      <c r="H989" s="190"/>
      <c r="I989" s="189"/>
      <c r="J989" s="189"/>
      <c r="K989" s="189"/>
      <c r="L989" s="189"/>
      <c r="M989" s="189"/>
      <c r="N989" s="189"/>
      <c r="O989" s="189"/>
      <c r="P989" s="189"/>
      <c r="Q989" s="189"/>
      <c r="R989" s="189"/>
      <c r="S989" s="191"/>
      <c r="T989" s="208"/>
      <c r="U989" s="189"/>
      <c r="V989" s="189"/>
      <c r="W989" s="189"/>
      <c r="X989" s="189"/>
      <c r="Y989" s="189"/>
      <c r="Z989" s="189"/>
    </row>
    <row r="990" spans="1:26">
      <c r="A990" s="189"/>
      <c r="B990" s="189"/>
      <c r="C990" s="189"/>
      <c r="D990" s="189"/>
      <c r="E990" s="189"/>
      <c r="F990" s="189"/>
      <c r="G990" s="189"/>
      <c r="H990" s="190"/>
      <c r="I990" s="189"/>
      <c r="J990" s="189"/>
      <c r="K990" s="189"/>
      <c r="L990" s="189"/>
      <c r="M990" s="189"/>
      <c r="N990" s="189"/>
      <c r="O990" s="189"/>
      <c r="P990" s="189"/>
      <c r="Q990" s="189"/>
      <c r="R990" s="189"/>
      <c r="S990" s="191"/>
      <c r="T990" s="208"/>
      <c r="U990" s="189"/>
      <c r="V990" s="189"/>
      <c r="W990" s="189"/>
      <c r="X990" s="189"/>
      <c r="Y990" s="189"/>
      <c r="Z990" s="189"/>
    </row>
    <row r="991" spans="1:26">
      <c r="A991" s="189"/>
      <c r="B991" s="189"/>
      <c r="C991" s="189"/>
      <c r="D991" s="189"/>
      <c r="E991" s="189"/>
      <c r="F991" s="189"/>
      <c r="G991" s="189"/>
      <c r="H991" s="190"/>
      <c r="I991" s="189"/>
      <c r="J991" s="189"/>
      <c r="K991" s="189"/>
      <c r="L991" s="189"/>
      <c r="M991" s="189"/>
      <c r="N991" s="189"/>
      <c r="O991" s="189"/>
      <c r="P991" s="189"/>
      <c r="Q991" s="189"/>
      <c r="R991" s="189"/>
      <c r="S991" s="191"/>
      <c r="T991" s="208"/>
      <c r="U991" s="189"/>
      <c r="V991" s="189"/>
      <c r="W991" s="189"/>
      <c r="X991" s="189"/>
      <c r="Y991" s="189"/>
      <c r="Z991" s="189"/>
    </row>
    <row r="992" spans="1:26">
      <c r="A992" s="189"/>
      <c r="B992" s="189"/>
      <c r="C992" s="189"/>
      <c r="D992" s="189"/>
      <c r="E992" s="189"/>
      <c r="F992" s="189"/>
      <c r="G992" s="189"/>
      <c r="H992" s="190"/>
      <c r="I992" s="189"/>
      <c r="J992" s="189"/>
      <c r="K992" s="189"/>
      <c r="L992" s="189"/>
      <c r="M992" s="189"/>
      <c r="N992" s="189"/>
      <c r="O992" s="189"/>
      <c r="P992" s="189"/>
      <c r="Q992" s="189"/>
      <c r="R992" s="189"/>
      <c r="S992" s="191"/>
      <c r="T992" s="208"/>
      <c r="U992" s="189"/>
      <c r="V992" s="189"/>
      <c r="W992" s="189"/>
      <c r="X992" s="189"/>
      <c r="Y992" s="189"/>
      <c r="Z992" s="189"/>
    </row>
    <row r="993" spans="1:26">
      <c r="A993" s="189"/>
      <c r="B993" s="189"/>
      <c r="C993" s="189"/>
      <c r="D993" s="189"/>
      <c r="E993" s="189"/>
      <c r="F993" s="189"/>
      <c r="G993" s="189"/>
      <c r="H993" s="190"/>
      <c r="I993" s="189"/>
      <c r="J993" s="189"/>
      <c r="K993" s="189"/>
      <c r="L993" s="189"/>
      <c r="M993" s="189"/>
      <c r="N993" s="189"/>
      <c r="O993" s="189"/>
      <c r="P993" s="189"/>
      <c r="Q993" s="189"/>
      <c r="R993" s="189"/>
      <c r="S993" s="191"/>
      <c r="T993" s="208"/>
      <c r="U993" s="189"/>
      <c r="V993" s="189"/>
      <c r="W993" s="189"/>
      <c r="X993" s="189"/>
      <c r="Y993" s="189"/>
      <c r="Z993" s="189"/>
    </row>
    <row r="994" spans="1:26">
      <c r="A994" s="189"/>
      <c r="B994" s="189"/>
      <c r="C994" s="189"/>
      <c r="D994" s="189"/>
      <c r="E994" s="189"/>
      <c r="F994" s="189"/>
      <c r="G994" s="189"/>
      <c r="H994" s="190"/>
      <c r="I994" s="189"/>
      <c r="J994" s="189"/>
      <c r="K994" s="189"/>
      <c r="L994" s="189"/>
      <c r="M994" s="189"/>
      <c r="N994" s="189"/>
      <c r="O994" s="189"/>
      <c r="P994" s="189"/>
      <c r="Q994" s="189"/>
      <c r="R994" s="189"/>
      <c r="S994" s="191"/>
      <c r="T994" s="208"/>
      <c r="U994" s="189"/>
      <c r="V994" s="189"/>
      <c r="W994" s="189"/>
      <c r="X994" s="189"/>
      <c r="Y994" s="189"/>
      <c r="Z994" s="189"/>
    </row>
    <row r="995" spans="1:26">
      <c r="A995" s="189"/>
      <c r="B995" s="189"/>
      <c r="C995" s="189"/>
      <c r="D995" s="189"/>
      <c r="E995" s="189"/>
      <c r="F995" s="189"/>
      <c r="G995" s="189"/>
      <c r="H995" s="190"/>
      <c r="I995" s="189"/>
      <c r="J995" s="189"/>
      <c r="K995" s="189"/>
      <c r="L995" s="189"/>
      <c r="M995" s="189"/>
      <c r="N995" s="189"/>
      <c r="O995" s="189"/>
      <c r="P995" s="189"/>
      <c r="Q995" s="189"/>
      <c r="R995" s="189"/>
      <c r="S995" s="191"/>
      <c r="T995" s="208"/>
      <c r="U995" s="189"/>
      <c r="V995" s="189"/>
      <c r="W995" s="189"/>
      <c r="X995" s="189"/>
      <c r="Y995" s="189"/>
      <c r="Z995" s="189"/>
    </row>
    <row r="996" spans="1:26">
      <c r="A996" s="189"/>
      <c r="B996" s="189"/>
      <c r="C996" s="189"/>
      <c r="D996" s="189"/>
      <c r="E996" s="189"/>
      <c r="F996" s="189"/>
      <c r="G996" s="189"/>
      <c r="H996" s="190"/>
      <c r="I996" s="189"/>
      <c r="J996" s="189"/>
      <c r="K996" s="189"/>
      <c r="L996" s="189"/>
      <c r="M996" s="189"/>
      <c r="N996" s="189"/>
      <c r="O996" s="189"/>
      <c r="P996" s="189"/>
      <c r="Q996" s="189"/>
      <c r="R996" s="189"/>
      <c r="S996" s="191"/>
      <c r="T996" s="208"/>
      <c r="U996" s="189"/>
      <c r="V996" s="189"/>
      <c r="W996" s="189"/>
      <c r="X996" s="189"/>
      <c r="Y996" s="189"/>
      <c r="Z996" s="189"/>
    </row>
    <row r="997" spans="1:26">
      <c r="A997" s="189"/>
      <c r="B997" s="189"/>
      <c r="C997" s="189"/>
      <c r="D997" s="189"/>
      <c r="E997" s="189"/>
      <c r="F997" s="189"/>
      <c r="G997" s="189"/>
      <c r="H997" s="190"/>
      <c r="I997" s="189"/>
      <c r="J997" s="189"/>
      <c r="K997" s="189"/>
      <c r="L997" s="189"/>
      <c r="M997" s="189"/>
      <c r="N997" s="189"/>
      <c r="O997" s="189"/>
      <c r="P997" s="189"/>
      <c r="Q997" s="189"/>
      <c r="R997" s="189"/>
      <c r="S997" s="191"/>
      <c r="T997" s="208"/>
      <c r="U997" s="189"/>
      <c r="V997" s="189"/>
      <c r="W997" s="189"/>
      <c r="X997" s="189"/>
      <c r="Y997" s="189"/>
      <c r="Z997" s="189"/>
    </row>
    <row r="998" spans="1:26">
      <c r="A998" s="189"/>
      <c r="B998" s="189"/>
      <c r="C998" s="189"/>
      <c r="D998" s="189"/>
      <c r="E998" s="189"/>
      <c r="F998" s="189"/>
      <c r="G998" s="189"/>
      <c r="H998" s="190"/>
      <c r="I998" s="189"/>
      <c r="J998" s="189"/>
      <c r="K998" s="189"/>
      <c r="L998" s="189"/>
      <c r="M998" s="189"/>
      <c r="N998" s="189"/>
      <c r="O998" s="189"/>
      <c r="P998" s="189"/>
      <c r="Q998" s="189"/>
      <c r="R998" s="189"/>
      <c r="S998" s="191"/>
      <c r="T998" s="208"/>
      <c r="U998" s="189"/>
      <c r="V998" s="189"/>
      <c r="W998" s="189"/>
      <c r="X998" s="189"/>
      <c r="Y998" s="189"/>
      <c r="Z998" s="189"/>
    </row>
    <row r="999" spans="1:26">
      <c r="A999" s="189"/>
      <c r="B999" s="189"/>
      <c r="C999" s="189"/>
      <c r="D999" s="189"/>
      <c r="E999" s="189"/>
      <c r="F999" s="189"/>
      <c r="G999" s="189"/>
      <c r="H999" s="190"/>
      <c r="I999" s="189"/>
      <c r="J999" s="189"/>
      <c r="K999" s="189"/>
      <c r="L999" s="189"/>
      <c r="M999" s="189"/>
      <c r="N999" s="189"/>
      <c r="O999" s="189"/>
      <c r="P999" s="189"/>
      <c r="Q999" s="189"/>
      <c r="R999" s="189"/>
      <c r="S999" s="191"/>
      <c r="T999" s="208"/>
      <c r="U999" s="189"/>
      <c r="V999" s="189"/>
      <c r="W999" s="189"/>
      <c r="X999" s="189"/>
      <c r="Y999" s="189"/>
      <c r="Z999" s="189"/>
    </row>
    <row r="1000" spans="1:26">
      <c r="A1000" s="189"/>
      <c r="B1000" s="189"/>
      <c r="C1000" s="189"/>
      <c r="D1000" s="189"/>
      <c r="E1000" s="189"/>
      <c r="F1000" s="189"/>
      <c r="G1000" s="189"/>
      <c r="H1000" s="190"/>
      <c r="I1000" s="189"/>
      <c r="J1000" s="189"/>
      <c r="K1000" s="189"/>
      <c r="L1000" s="189"/>
      <c r="M1000" s="189"/>
      <c r="N1000" s="189"/>
      <c r="O1000" s="189"/>
      <c r="P1000" s="189"/>
      <c r="Q1000" s="189"/>
      <c r="R1000" s="189"/>
      <c r="S1000" s="191"/>
      <c r="T1000" s="208"/>
      <c r="U1000" s="189"/>
      <c r="V1000" s="189"/>
      <c r="W1000" s="189"/>
      <c r="X1000" s="189"/>
      <c r="Y1000" s="189"/>
      <c r="Z1000" s="189"/>
    </row>
  </sheetData>
  <mergeCells count="2">
    <mergeCell ref="I2:T2"/>
    <mergeCell ref="A263:L26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8"/>
  <sheetViews>
    <sheetView showGridLines="0" zoomScale="87" zoomScaleNormal="87" workbookViewId="0">
      <pane ySplit="1" topLeftCell="A2" activePane="bottomLeft" state="frozen"/>
      <selection pane="bottomLeft" activeCell="S250" sqref="S250:S252"/>
    </sheetView>
  </sheetViews>
  <sheetFormatPr baseColWidth="10" defaultColWidth="15.140625" defaultRowHeight="15" customHeight="1"/>
  <cols>
    <col min="1" max="1" width="5.28515625" customWidth="1"/>
    <col min="2" max="2" width="4.42578125" customWidth="1"/>
    <col min="3" max="3" width="5.42578125" customWidth="1"/>
    <col min="4" max="4" width="21.42578125" customWidth="1"/>
    <col min="5" max="5" width="19.85546875" customWidth="1"/>
    <col min="6" max="6" width="6.28515625" customWidth="1"/>
    <col min="7" max="7" width="8.140625" bestFit="1" customWidth="1"/>
    <col min="8" max="8" width="7.140625" bestFit="1" customWidth="1"/>
    <col min="9" max="9" width="8.28515625" customWidth="1"/>
    <col min="10" max="11" width="8.42578125" customWidth="1"/>
    <col min="12" max="12" width="9.42578125" customWidth="1"/>
    <col min="13" max="13" width="9.140625" customWidth="1"/>
    <col min="14" max="15" width="8.42578125" customWidth="1"/>
    <col min="16" max="16" width="8.7109375" customWidth="1"/>
    <col min="17" max="17" width="8.28515625" customWidth="1"/>
    <col min="18" max="18" width="9.28515625" customWidth="1"/>
    <col min="19" max="19" width="11" customWidth="1"/>
    <col min="20" max="20" width="28.85546875" customWidth="1"/>
    <col min="21" max="21" width="20.5703125" customWidth="1"/>
    <col min="22" max="30" width="8" customWidth="1"/>
  </cols>
  <sheetData>
    <row r="1" spans="1:30" ht="13.5" customHeight="1">
      <c r="A1" s="189"/>
      <c r="B1" s="189"/>
      <c r="C1" s="189"/>
      <c r="D1" s="189"/>
      <c r="E1" s="229"/>
      <c r="F1" s="189"/>
      <c r="G1" s="230"/>
      <c r="H1" s="232"/>
      <c r="I1" s="234">
        <v>1</v>
      </c>
      <c r="J1" s="234">
        <v>2</v>
      </c>
      <c r="K1" s="234">
        <v>3</v>
      </c>
      <c r="L1" s="234">
        <v>4</v>
      </c>
      <c r="M1" s="234">
        <v>5</v>
      </c>
      <c r="N1" s="234">
        <v>6</v>
      </c>
      <c r="O1" s="234">
        <v>7</v>
      </c>
      <c r="P1" s="234">
        <v>8</v>
      </c>
      <c r="Q1" s="234">
        <v>9</v>
      </c>
      <c r="R1" s="234">
        <v>10</v>
      </c>
      <c r="S1" s="234" t="s">
        <v>21</v>
      </c>
      <c r="T1" s="234" t="s">
        <v>1</v>
      </c>
      <c r="U1" s="236"/>
      <c r="V1" s="236"/>
      <c r="W1" s="236"/>
      <c r="X1" s="236"/>
      <c r="Y1" s="236"/>
      <c r="Z1" s="236"/>
      <c r="AA1" s="236"/>
      <c r="AB1" s="236"/>
      <c r="AC1" s="236"/>
      <c r="AD1" s="236"/>
    </row>
    <row r="2" spans="1:30" ht="27" customHeight="1">
      <c r="A2" s="189"/>
      <c r="B2" s="189"/>
      <c r="C2" s="189"/>
      <c r="D2" s="189"/>
      <c r="E2" s="237"/>
      <c r="F2" s="238"/>
      <c r="G2" s="239"/>
      <c r="H2" s="240"/>
      <c r="I2" s="669" t="s">
        <v>249</v>
      </c>
      <c r="J2" s="670"/>
      <c r="K2" s="670"/>
      <c r="L2" s="670"/>
      <c r="M2" s="670"/>
      <c r="N2" s="670"/>
      <c r="O2" s="670"/>
      <c r="P2" s="670"/>
      <c r="Q2" s="670"/>
      <c r="R2" s="670"/>
      <c r="S2" s="670"/>
      <c r="T2" s="673"/>
      <c r="U2" s="236"/>
      <c r="V2" s="236"/>
      <c r="W2" s="236"/>
      <c r="X2" s="236"/>
      <c r="Y2" s="236"/>
      <c r="Z2" s="236"/>
      <c r="AA2" s="236"/>
      <c r="AB2" s="236"/>
      <c r="AC2" s="236"/>
      <c r="AD2" s="236"/>
    </row>
    <row r="3" spans="1:30" ht="24.75" customHeight="1">
      <c r="A3" s="244" t="s">
        <v>3</v>
      </c>
      <c r="B3" s="244" t="s">
        <v>4</v>
      </c>
      <c r="C3" s="244" t="s">
        <v>5</v>
      </c>
      <c r="D3" s="244" t="s">
        <v>6</v>
      </c>
      <c r="E3" s="246" t="s">
        <v>7</v>
      </c>
      <c r="F3" s="246" t="s">
        <v>8</v>
      </c>
      <c r="G3" s="247" t="s">
        <v>9</v>
      </c>
      <c r="H3" s="246" t="s">
        <v>10</v>
      </c>
      <c r="I3" s="248" t="s">
        <v>11</v>
      </c>
      <c r="J3" s="248" t="s">
        <v>12</v>
      </c>
      <c r="K3" s="248" t="s">
        <v>13</v>
      </c>
      <c r="L3" s="248" t="s">
        <v>14</v>
      </c>
      <c r="M3" s="248" t="s">
        <v>15</v>
      </c>
      <c r="N3" s="248" t="s">
        <v>16</v>
      </c>
      <c r="O3" s="248" t="s">
        <v>17</v>
      </c>
      <c r="P3" s="248" t="s">
        <v>18</v>
      </c>
      <c r="Q3" s="248" t="s">
        <v>19</v>
      </c>
      <c r="R3" s="248" t="s">
        <v>20</v>
      </c>
      <c r="S3" s="248" t="s">
        <v>21</v>
      </c>
      <c r="T3" s="246" t="s">
        <v>1</v>
      </c>
      <c r="U3" s="249"/>
      <c r="V3" s="249"/>
      <c r="W3" s="249"/>
      <c r="X3" s="249"/>
      <c r="Y3" s="249"/>
      <c r="Z3" s="249"/>
      <c r="AA3" s="249"/>
      <c r="AB3" s="249"/>
      <c r="AC3" s="249"/>
      <c r="AD3" s="249"/>
    </row>
    <row r="4" spans="1:30" ht="15.75" customHeight="1">
      <c r="A4" s="16">
        <v>2</v>
      </c>
      <c r="B4" s="16">
        <v>1</v>
      </c>
      <c r="C4" s="16">
        <v>1</v>
      </c>
      <c r="D4" s="16" t="s">
        <v>22</v>
      </c>
      <c r="E4" s="18" t="s">
        <v>23</v>
      </c>
      <c r="F4" s="16" t="s">
        <v>25</v>
      </c>
      <c r="G4" s="250">
        <v>30876</v>
      </c>
      <c r="H4" s="21">
        <v>510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16" t="s">
        <v>26</v>
      </c>
      <c r="U4" s="236"/>
      <c r="V4" s="236"/>
      <c r="W4" s="236"/>
      <c r="X4" s="236"/>
      <c r="Y4" s="236"/>
      <c r="Z4" s="236"/>
      <c r="AA4" s="236"/>
      <c r="AB4" s="236"/>
      <c r="AC4" s="236"/>
      <c r="AD4" s="236"/>
    </row>
    <row r="5" spans="1:30" ht="15.75" customHeight="1">
      <c r="A5" s="16">
        <v>2</v>
      </c>
      <c r="B5" s="16">
        <v>1</v>
      </c>
      <c r="C5" s="16">
        <v>2</v>
      </c>
      <c r="D5" s="16" t="s">
        <v>27</v>
      </c>
      <c r="E5" s="18" t="s">
        <v>28</v>
      </c>
      <c r="F5" s="16" t="s">
        <v>25</v>
      </c>
      <c r="G5" s="250">
        <v>30877</v>
      </c>
      <c r="H5" s="21">
        <v>250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16" t="s">
        <v>26</v>
      </c>
      <c r="U5" s="236"/>
      <c r="V5" s="236"/>
      <c r="W5" s="236"/>
      <c r="X5" s="236"/>
      <c r="Y5" s="236"/>
      <c r="Z5" s="236"/>
      <c r="AA5" s="236"/>
      <c r="AB5" s="236"/>
      <c r="AC5" s="236"/>
      <c r="AD5" s="236"/>
    </row>
    <row r="6" spans="1:30" ht="15.75" customHeight="1">
      <c r="A6" s="16">
        <v>2</v>
      </c>
      <c r="B6" s="16">
        <v>1</v>
      </c>
      <c r="C6" s="16">
        <v>2</v>
      </c>
      <c r="D6" s="16" t="s">
        <v>22</v>
      </c>
      <c r="E6" s="18" t="s">
        <v>23</v>
      </c>
      <c r="F6" s="16" t="s">
        <v>25</v>
      </c>
      <c r="G6" s="250">
        <v>30876</v>
      </c>
      <c r="H6" s="21">
        <v>290</v>
      </c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16" t="s">
        <v>26</v>
      </c>
      <c r="U6" s="236"/>
      <c r="V6" s="236"/>
      <c r="W6" s="236"/>
      <c r="X6" s="236"/>
      <c r="Y6" s="236"/>
      <c r="Z6" s="236"/>
      <c r="AA6" s="236"/>
      <c r="AB6" s="236"/>
      <c r="AC6" s="236"/>
      <c r="AD6" s="236"/>
    </row>
    <row r="7" spans="1:30" ht="15.75" customHeight="1">
      <c r="A7" s="25">
        <v>2</v>
      </c>
      <c r="B7" s="25">
        <v>1</v>
      </c>
      <c r="C7" s="25">
        <v>3</v>
      </c>
      <c r="D7" s="25" t="s">
        <v>29</v>
      </c>
      <c r="E7" s="26" t="s">
        <v>30</v>
      </c>
      <c r="F7" s="25" t="s">
        <v>31</v>
      </c>
      <c r="G7" s="251">
        <v>50759</v>
      </c>
      <c r="H7" s="31">
        <v>232</v>
      </c>
      <c r="I7" s="32">
        <v>1.18</v>
      </c>
      <c r="J7" s="32">
        <v>0.35</v>
      </c>
      <c r="K7" s="32">
        <v>1.47</v>
      </c>
      <c r="L7" s="32">
        <v>1.26</v>
      </c>
      <c r="M7" s="32">
        <v>1.87</v>
      </c>
      <c r="N7" s="32">
        <v>1.83</v>
      </c>
      <c r="O7" s="32">
        <v>1.18</v>
      </c>
      <c r="P7" s="32">
        <v>1.25</v>
      </c>
      <c r="Q7" s="32">
        <v>1.53</v>
      </c>
      <c r="R7" s="32">
        <v>2.3199999999999998</v>
      </c>
      <c r="S7" s="254">
        <f t="shared" ref="S7:S259" si="0">AVERAGE(I7:R7)</f>
        <v>1.4239999999999999</v>
      </c>
      <c r="T7" s="36"/>
      <c r="U7" s="236"/>
      <c r="V7" s="236"/>
      <c r="W7" s="236"/>
      <c r="X7" s="236"/>
      <c r="Y7" s="236"/>
      <c r="Z7" s="236"/>
      <c r="AA7" s="236"/>
      <c r="AB7" s="236"/>
      <c r="AC7" s="236"/>
      <c r="AD7" s="236"/>
    </row>
    <row r="8" spans="1:30" ht="15.75" customHeight="1">
      <c r="A8" s="25">
        <v>2</v>
      </c>
      <c r="B8" s="25">
        <v>1</v>
      </c>
      <c r="C8" s="25">
        <v>5</v>
      </c>
      <c r="D8" s="25" t="s">
        <v>32</v>
      </c>
      <c r="E8" s="26" t="s">
        <v>33</v>
      </c>
      <c r="F8" s="25" t="s">
        <v>34</v>
      </c>
      <c r="G8" s="251">
        <v>50616</v>
      </c>
      <c r="H8" s="31">
        <v>468</v>
      </c>
      <c r="I8" s="32">
        <v>0.63700000000000001</v>
      </c>
      <c r="J8" s="32">
        <v>0.85899999999999999</v>
      </c>
      <c r="K8" s="32">
        <v>0.95499999999999996</v>
      </c>
      <c r="L8" s="32">
        <v>1.464</v>
      </c>
      <c r="M8" s="32">
        <v>1.7509999999999999</v>
      </c>
      <c r="N8" s="32">
        <v>1.5920000000000001</v>
      </c>
      <c r="O8" s="32">
        <v>1.2729999999999999</v>
      </c>
      <c r="P8" s="32">
        <v>1.5920000000000001</v>
      </c>
      <c r="Q8" s="32">
        <v>1.8140000000000001</v>
      </c>
      <c r="R8" s="32">
        <v>1.56</v>
      </c>
      <c r="S8" s="254">
        <f t="shared" si="0"/>
        <v>1.3497000000000001</v>
      </c>
      <c r="T8" s="36"/>
      <c r="U8" s="236"/>
      <c r="V8" s="236"/>
      <c r="W8" s="236"/>
      <c r="X8" s="236"/>
      <c r="Y8" s="236"/>
      <c r="Z8" s="236"/>
      <c r="AA8" s="236"/>
      <c r="AB8" s="236"/>
      <c r="AC8" s="236"/>
      <c r="AD8" s="236"/>
    </row>
    <row r="9" spans="1:30" ht="15.75" customHeight="1">
      <c r="A9" s="25">
        <v>2</v>
      </c>
      <c r="B9" s="25">
        <v>1</v>
      </c>
      <c r="C9" s="25">
        <v>8</v>
      </c>
      <c r="D9" s="25" t="s">
        <v>35</v>
      </c>
      <c r="E9" s="26" t="s">
        <v>36</v>
      </c>
      <c r="F9" s="25" t="s">
        <v>31</v>
      </c>
      <c r="G9" s="251">
        <v>50794</v>
      </c>
      <c r="H9" s="31">
        <v>392</v>
      </c>
      <c r="I9" s="32">
        <v>1.56</v>
      </c>
      <c r="J9" s="32">
        <v>1.21</v>
      </c>
      <c r="K9" s="32">
        <v>1.369</v>
      </c>
      <c r="L9" s="32">
        <v>1.56</v>
      </c>
      <c r="M9" s="32">
        <v>1.3049999999999999</v>
      </c>
      <c r="N9" s="32">
        <v>1.8779999999999999</v>
      </c>
      <c r="O9" s="32">
        <v>1.4319999999999999</v>
      </c>
      <c r="P9" s="32">
        <v>1.2729999999999999</v>
      </c>
      <c r="Q9" s="32">
        <v>1.401</v>
      </c>
      <c r="R9" s="32">
        <v>1.7829999999999999</v>
      </c>
      <c r="S9" s="254">
        <f t="shared" si="0"/>
        <v>1.4770999999999999</v>
      </c>
      <c r="T9" s="36"/>
      <c r="U9" s="236"/>
      <c r="V9" s="236"/>
      <c r="W9" s="236"/>
      <c r="X9" s="236"/>
      <c r="Y9" s="236"/>
      <c r="Z9" s="236"/>
      <c r="AA9" s="236"/>
      <c r="AB9" s="236"/>
      <c r="AC9" s="236"/>
      <c r="AD9" s="236"/>
    </row>
    <row r="10" spans="1:30" ht="15.75" customHeight="1">
      <c r="A10" s="25">
        <v>2</v>
      </c>
      <c r="B10" s="25">
        <v>1</v>
      </c>
      <c r="C10" s="25">
        <v>9</v>
      </c>
      <c r="D10" s="25" t="s">
        <v>37</v>
      </c>
      <c r="E10" s="26" t="s">
        <v>38</v>
      </c>
      <c r="F10" s="25" t="s">
        <v>34</v>
      </c>
      <c r="G10" s="251">
        <v>50663</v>
      </c>
      <c r="H10" s="31">
        <v>127</v>
      </c>
      <c r="I10" s="32">
        <v>1.337</v>
      </c>
      <c r="J10" s="32">
        <v>1.2729999999999999</v>
      </c>
      <c r="K10" s="32">
        <v>1.05</v>
      </c>
      <c r="L10" s="32">
        <v>1.05</v>
      </c>
      <c r="M10" s="32">
        <v>1.0189999999999999</v>
      </c>
      <c r="N10" s="32">
        <v>1.7509999999999999</v>
      </c>
      <c r="O10" s="32">
        <v>0.60499999999999998</v>
      </c>
      <c r="P10" s="32">
        <v>0.85899999999999999</v>
      </c>
      <c r="Q10" s="36"/>
      <c r="R10" s="36"/>
      <c r="S10" s="254">
        <f t="shared" si="0"/>
        <v>1.1180000000000001</v>
      </c>
      <c r="T10" s="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</row>
    <row r="11" spans="1:30" ht="15.75" customHeight="1">
      <c r="A11" s="25">
        <v>2</v>
      </c>
      <c r="B11" s="25">
        <v>1</v>
      </c>
      <c r="C11" s="25">
        <v>9</v>
      </c>
      <c r="D11" s="25" t="s">
        <v>39</v>
      </c>
      <c r="E11" s="26" t="s">
        <v>40</v>
      </c>
      <c r="F11" s="25" t="s">
        <v>25</v>
      </c>
      <c r="G11" s="251">
        <v>50530</v>
      </c>
      <c r="H11" s="31">
        <v>48</v>
      </c>
      <c r="I11" s="32">
        <v>2.2599999999999998</v>
      </c>
      <c r="J11" s="32">
        <v>1.91</v>
      </c>
      <c r="K11" s="32">
        <v>1.528</v>
      </c>
      <c r="L11" s="36"/>
      <c r="M11" s="36"/>
      <c r="N11" s="36"/>
      <c r="O11" s="36"/>
      <c r="P11" s="36"/>
      <c r="Q11" s="36"/>
      <c r="R11" s="36"/>
      <c r="S11" s="254">
        <f t="shared" si="0"/>
        <v>1.8993333333333335</v>
      </c>
      <c r="T11" s="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</row>
    <row r="12" spans="1:30" ht="15.75" customHeight="1">
      <c r="A12" s="38">
        <v>2</v>
      </c>
      <c r="B12" s="38">
        <v>1</v>
      </c>
      <c r="C12" s="38">
        <v>9</v>
      </c>
      <c r="D12" s="38" t="s">
        <v>41</v>
      </c>
      <c r="E12" s="40" t="s">
        <v>42</v>
      </c>
      <c r="F12" s="38" t="s">
        <v>25</v>
      </c>
      <c r="G12" s="258">
        <v>50721</v>
      </c>
      <c r="H12" s="46">
        <v>23</v>
      </c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254"/>
      <c r="T12" s="38" t="s">
        <v>43</v>
      </c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</row>
    <row r="13" spans="1:30" ht="15.75" customHeight="1">
      <c r="A13" s="25">
        <v>2</v>
      </c>
      <c r="B13" s="25">
        <v>1</v>
      </c>
      <c r="C13" s="25">
        <v>11</v>
      </c>
      <c r="D13" s="25" t="s">
        <v>44</v>
      </c>
      <c r="E13" s="26" t="s">
        <v>45</v>
      </c>
      <c r="F13" s="25" t="s">
        <v>31</v>
      </c>
      <c r="G13" s="251">
        <v>50795</v>
      </c>
      <c r="H13" s="31">
        <v>754</v>
      </c>
      <c r="I13" s="32">
        <v>1.464</v>
      </c>
      <c r="J13" s="32">
        <v>1.401</v>
      </c>
      <c r="K13" s="32">
        <v>1.337</v>
      </c>
      <c r="L13" s="32">
        <v>1.2729999999999999</v>
      </c>
      <c r="M13" s="32">
        <v>1.496</v>
      </c>
      <c r="N13" s="32">
        <v>0.95499999999999996</v>
      </c>
      <c r="O13" s="32">
        <v>1.2729999999999999</v>
      </c>
      <c r="P13" s="32">
        <v>1.0189999999999999</v>
      </c>
      <c r="Q13" s="32">
        <v>0.79600000000000004</v>
      </c>
      <c r="R13" s="32">
        <v>1.369</v>
      </c>
      <c r="S13" s="254">
        <f t="shared" si="0"/>
        <v>1.2383</v>
      </c>
      <c r="T13" s="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</row>
    <row r="14" spans="1:30" ht="15.75" customHeight="1">
      <c r="A14" s="25">
        <v>2</v>
      </c>
      <c r="B14" s="25">
        <v>1</v>
      </c>
      <c r="C14" s="25">
        <v>12</v>
      </c>
      <c r="D14" s="25" t="s">
        <v>46</v>
      </c>
      <c r="E14" s="26" t="s">
        <v>47</v>
      </c>
      <c r="F14" s="25" t="s">
        <v>25</v>
      </c>
      <c r="G14" s="251">
        <v>50262</v>
      </c>
      <c r="H14" s="31">
        <v>472</v>
      </c>
      <c r="I14" s="32">
        <v>1.496</v>
      </c>
      <c r="J14" s="32">
        <v>1.8460000000000001</v>
      </c>
      <c r="K14" s="32">
        <v>1.91</v>
      </c>
      <c r="L14" s="32">
        <v>1.7829999999999999</v>
      </c>
      <c r="M14" s="32">
        <v>1.7509999999999999</v>
      </c>
      <c r="N14" s="32">
        <v>1.5920000000000001</v>
      </c>
      <c r="O14" s="32">
        <v>1.4319999999999999</v>
      </c>
      <c r="P14" s="32">
        <v>1.5920000000000001</v>
      </c>
      <c r="Q14" s="32">
        <v>1.2729999999999999</v>
      </c>
      <c r="R14" s="32">
        <v>1.528</v>
      </c>
      <c r="S14" s="254">
        <f t="shared" si="0"/>
        <v>1.6202999999999999</v>
      </c>
      <c r="T14" s="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</row>
    <row r="15" spans="1:30" ht="15.75" customHeight="1">
      <c r="A15" s="25">
        <v>2</v>
      </c>
      <c r="B15" s="25">
        <v>1</v>
      </c>
      <c r="C15" s="25">
        <v>13</v>
      </c>
      <c r="D15" s="25" t="s">
        <v>32</v>
      </c>
      <c r="E15" s="26" t="s">
        <v>33</v>
      </c>
      <c r="F15" s="25" t="s">
        <v>48</v>
      </c>
      <c r="G15" s="251">
        <v>50267</v>
      </c>
      <c r="H15" s="31">
        <v>442</v>
      </c>
      <c r="I15" s="32">
        <v>1.2729999999999999</v>
      </c>
      <c r="J15" s="32">
        <v>0.66800000000000004</v>
      </c>
      <c r="K15" s="32">
        <v>1.1140000000000001</v>
      </c>
      <c r="L15" s="32">
        <v>1.2729999999999999</v>
      </c>
      <c r="M15" s="32">
        <v>1.4319999999999999</v>
      </c>
      <c r="N15" s="32">
        <v>1.464</v>
      </c>
      <c r="O15" s="32">
        <v>1.2410000000000001</v>
      </c>
      <c r="P15" s="32">
        <v>1.5920000000000001</v>
      </c>
      <c r="Q15" s="32">
        <v>1.2729999999999999</v>
      </c>
      <c r="R15" s="32">
        <v>1.1140000000000001</v>
      </c>
      <c r="S15" s="254">
        <f t="shared" si="0"/>
        <v>1.2444000000000002</v>
      </c>
      <c r="T15" s="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</row>
    <row r="16" spans="1:30" ht="15.75" customHeight="1">
      <c r="A16" s="25">
        <v>2</v>
      </c>
      <c r="B16" s="25">
        <v>1</v>
      </c>
      <c r="C16" s="25">
        <v>13</v>
      </c>
      <c r="D16" s="25" t="s">
        <v>32</v>
      </c>
      <c r="E16" s="26" t="s">
        <v>33</v>
      </c>
      <c r="F16" s="25" t="s">
        <v>34</v>
      </c>
      <c r="G16" s="251">
        <v>50462</v>
      </c>
      <c r="H16" s="31">
        <v>206</v>
      </c>
      <c r="I16" s="32">
        <v>1.464</v>
      </c>
      <c r="J16" s="32">
        <v>1.6870000000000001</v>
      </c>
      <c r="K16" s="32">
        <v>1.8140000000000001</v>
      </c>
      <c r="L16" s="32">
        <v>1.1779999999999999</v>
      </c>
      <c r="M16" s="32">
        <v>1.464</v>
      </c>
      <c r="N16" s="32">
        <v>1.3049999999999999</v>
      </c>
      <c r="O16" s="36"/>
      <c r="P16" s="36"/>
      <c r="Q16" s="36"/>
      <c r="R16" s="36"/>
      <c r="S16" s="254">
        <f t="shared" si="0"/>
        <v>1.4853333333333332</v>
      </c>
      <c r="T16" s="36"/>
      <c r="U16" s="236"/>
      <c r="V16" s="236"/>
      <c r="W16" s="236"/>
      <c r="X16" s="236"/>
      <c r="Y16" s="236"/>
      <c r="Z16" s="236"/>
      <c r="AA16" s="236"/>
      <c r="AB16" s="236"/>
      <c r="AC16" s="236"/>
      <c r="AD16" s="236"/>
    </row>
    <row r="17" spans="1:30" ht="15.75" customHeight="1">
      <c r="A17" s="25">
        <v>2</v>
      </c>
      <c r="B17" s="25">
        <v>1</v>
      </c>
      <c r="C17" s="25">
        <v>13</v>
      </c>
      <c r="D17" s="25" t="s">
        <v>32</v>
      </c>
      <c r="E17" s="26" t="s">
        <v>33</v>
      </c>
      <c r="F17" s="25" t="s">
        <v>34</v>
      </c>
      <c r="G17" s="251">
        <v>50616</v>
      </c>
      <c r="H17" s="31">
        <v>21</v>
      </c>
      <c r="I17" s="32">
        <v>1.1140000000000001</v>
      </c>
      <c r="J17" s="32">
        <v>1.2410000000000001</v>
      </c>
      <c r="K17" s="36"/>
      <c r="L17" s="36"/>
      <c r="M17" s="36"/>
      <c r="N17" s="36"/>
      <c r="O17" s="36"/>
      <c r="P17" s="36"/>
      <c r="Q17" s="36"/>
      <c r="R17" s="36"/>
      <c r="S17" s="254">
        <f t="shared" si="0"/>
        <v>1.1775000000000002</v>
      </c>
      <c r="T17" s="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</row>
    <row r="18" spans="1:30" ht="15.75" customHeight="1">
      <c r="A18" s="25">
        <v>2</v>
      </c>
      <c r="B18" s="25">
        <v>1</v>
      </c>
      <c r="C18" s="25">
        <v>13</v>
      </c>
      <c r="D18" s="25" t="s">
        <v>32</v>
      </c>
      <c r="E18" s="26" t="s">
        <v>33</v>
      </c>
      <c r="F18" s="25" t="s">
        <v>31</v>
      </c>
      <c r="G18" s="251">
        <v>50184</v>
      </c>
      <c r="H18" s="31">
        <v>39</v>
      </c>
      <c r="I18" s="32">
        <v>0.95499999999999996</v>
      </c>
      <c r="J18" s="32">
        <v>1.0189999999999999</v>
      </c>
      <c r="K18" s="36"/>
      <c r="L18" s="36"/>
      <c r="M18" s="36"/>
      <c r="N18" s="36"/>
      <c r="O18" s="36"/>
      <c r="P18" s="36"/>
      <c r="Q18" s="36"/>
      <c r="R18" s="36"/>
      <c r="S18" s="254">
        <f t="shared" si="0"/>
        <v>0.98699999999999988</v>
      </c>
      <c r="T18" s="36"/>
      <c r="U18" s="236"/>
      <c r="V18" s="236"/>
      <c r="W18" s="236"/>
      <c r="X18" s="236"/>
      <c r="Y18" s="236"/>
      <c r="Z18" s="236"/>
      <c r="AA18" s="236"/>
      <c r="AB18" s="236"/>
      <c r="AC18" s="236"/>
      <c r="AD18" s="236"/>
    </row>
    <row r="19" spans="1:30" ht="15.75" customHeight="1">
      <c r="A19" s="25">
        <v>2</v>
      </c>
      <c r="B19" s="25">
        <v>1</v>
      </c>
      <c r="C19" s="25">
        <v>13</v>
      </c>
      <c r="D19" s="25" t="s">
        <v>32</v>
      </c>
      <c r="E19" s="26" t="s">
        <v>33</v>
      </c>
      <c r="F19" s="25" t="s">
        <v>34</v>
      </c>
      <c r="G19" s="251">
        <v>50104</v>
      </c>
      <c r="H19" s="31">
        <v>22</v>
      </c>
      <c r="I19" s="32">
        <v>1.496</v>
      </c>
      <c r="J19" s="36"/>
      <c r="K19" s="36"/>
      <c r="L19" s="36"/>
      <c r="M19" s="36"/>
      <c r="N19" s="36"/>
      <c r="O19" s="36"/>
      <c r="P19" s="36"/>
      <c r="Q19" s="36"/>
      <c r="R19" s="36"/>
      <c r="S19" s="254">
        <f t="shared" si="0"/>
        <v>1.496</v>
      </c>
      <c r="T19" s="36"/>
      <c r="U19" s="236"/>
      <c r="V19" s="236"/>
      <c r="W19" s="236"/>
      <c r="X19" s="236"/>
      <c r="Y19" s="236"/>
      <c r="Z19" s="236"/>
      <c r="AA19" s="236"/>
      <c r="AB19" s="236"/>
      <c r="AC19" s="236"/>
      <c r="AD19" s="236"/>
    </row>
    <row r="20" spans="1:30" ht="15.75" customHeight="1">
      <c r="A20" s="25">
        <v>2</v>
      </c>
      <c r="B20" s="25">
        <v>1</v>
      </c>
      <c r="C20" s="25">
        <v>14</v>
      </c>
      <c r="D20" s="25" t="s">
        <v>49</v>
      </c>
      <c r="E20" s="26" t="s">
        <v>50</v>
      </c>
      <c r="F20" s="25" t="s">
        <v>25</v>
      </c>
      <c r="G20" s="251">
        <v>50874</v>
      </c>
      <c r="H20" s="31">
        <v>282</v>
      </c>
      <c r="I20" s="32">
        <v>0.34</v>
      </c>
      <c r="J20" s="32">
        <v>0.49</v>
      </c>
      <c r="K20" s="32">
        <v>0.41</v>
      </c>
      <c r="L20" s="32">
        <v>0.25</v>
      </c>
      <c r="M20" s="32">
        <v>0.56999999999999995</v>
      </c>
      <c r="N20" s="32">
        <v>0.54</v>
      </c>
      <c r="O20" s="32">
        <v>0.41</v>
      </c>
      <c r="P20" s="32">
        <v>0.39</v>
      </c>
      <c r="Q20" s="32">
        <v>0.56999999999999995</v>
      </c>
      <c r="R20" s="32">
        <v>0.42</v>
      </c>
      <c r="S20" s="254">
        <f t="shared" si="0"/>
        <v>0.43900000000000006</v>
      </c>
      <c r="T20" s="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</row>
    <row r="21" spans="1:30" ht="15.75" customHeight="1">
      <c r="A21" s="25">
        <v>2</v>
      </c>
      <c r="B21" s="25">
        <v>1</v>
      </c>
      <c r="C21" s="25">
        <v>14</v>
      </c>
      <c r="D21" s="25" t="s">
        <v>51</v>
      </c>
      <c r="E21" s="26" t="s">
        <v>52</v>
      </c>
      <c r="F21" s="25" t="s">
        <v>25</v>
      </c>
      <c r="G21" s="251">
        <v>50875</v>
      </c>
      <c r="H21" s="31">
        <v>348</v>
      </c>
      <c r="I21" s="32">
        <v>0.11</v>
      </c>
      <c r="J21" s="32">
        <v>7.0000000000000007E-2</v>
      </c>
      <c r="K21" s="32">
        <v>0.13</v>
      </c>
      <c r="L21" s="32">
        <v>0.18</v>
      </c>
      <c r="M21" s="32">
        <v>0.12</v>
      </c>
      <c r="N21" s="32">
        <v>0.13</v>
      </c>
      <c r="O21" s="32">
        <v>0.16</v>
      </c>
      <c r="P21" s="32">
        <v>0.14000000000000001</v>
      </c>
      <c r="Q21" s="32">
        <v>0.16</v>
      </c>
      <c r="R21" s="32">
        <v>0.19</v>
      </c>
      <c r="S21" s="254">
        <f t="shared" si="0"/>
        <v>0.13899999999999998</v>
      </c>
      <c r="T21" s="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</row>
    <row r="22" spans="1:30" ht="15.75" customHeight="1">
      <c r="A22" s="53">
        <v>2</v>
      </c>
      <c r="B22" s="53">
        <v>1</v>
      </c>
      <c r="C22" s="53">
        <v>14</v>
      </c>
      <c r="D22" s="53" t="s">
        <v>53</v>
      </c>
      <c r="E22" s="54" t="s">
        <v>54</v>
      </c>
      <c r="F22" s="53" t="s">
        <v>25</v>
      </c>
      <c r="G22" s="262">
        <v>50877</v>
      </c>
      <c r="H22" s="57">
        <v>101</v>
      </c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254"/>
      <c r="T22" s="53" t="s">
        <v>55</v>
      </c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</row>
    <row r="23" spans="1:30" ht="15.75" customHeight="1">
      <c r="A23" s="25">
        <v>2</v>
      </c>
      <c r="B23" s="25">
        <v>1</v>
      </c>
      <c r="C23" s="25">
        <v>15</v>
      </c>
      <c r="D23" s="25" t="s">
        <v>56</v>
      </c>
      <c r="E23" s="26" t="s">
        <v>57</v>
      </c>
      <c r="F23" s="25" t="s">
        <v>34</v>
      </c>
      <c r="G23" s="251">
        <v>50594</v>
      </c>
      <c r="H23" s="31">
        <v>154</v>
      </c>
      <c r="I23" s="32">
        <v>1.7509999999999999</v>
      </c>
      <c r="J23" s="32">
        <v>1.2729999999999999</v>
      </c>
      <c r="K23" s="36"/>
      <c r="L23" s="36"/>
      <c r="M23" s="36"/>
      <c r="N23" s="36"/>
      <c r="O23" s="36"/>
      <c r="P23" s="36"/>
      <c r="Q23" s="36"/>
      <c r="R23" s="36"/>
      <c r="S23" s="254">
        <f t="shared" si="0"/>
        <v>1.512</v>
      </c>
      <c r="T23" s="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</row>
    <row r="24" spans="1:30" ht="15.75" customHeight="1">
      <c r="A24" s="25">
        <v>2</v>
      </c>
      <c r="B24" s="25">
        <v>1</v>
      </c>
      <c r="C24" s="25">
        <v>16</v>
      </c>
      <c r="D24" s="25" t="s">
        <v>58</v>
      </c>
      <c r="E24" s="26" t="s">
        <v>59</v>
      </c>
      <c r="F24" s="25" t="s">
        <v>31</v>
      </c>
      <c r="G24" s="251">
        <v>50797</v>
      </c>
      <c r="H24" s="31">
        <v>311</v>
      </c>
      <c r="I24" s="32">
        <v>2.0369999999999999</v>
      </c>
      <c r="J24" s="32">
        <v>1.8140000000000001</v>
      </c>
      <c r="K24" s="32">
        <v>1.464</v>
      </c>
      <c r="L24" s="32">
        <v>1.7190000000000001</v>
      </c>
      <c r="M24" s="32">
        <v>1.91</v>
      </c>
      <c r="N24" s="32">
        <v>1.3049999999999999</v>
      </c>
      <c r="O24" s="32">
        <v>1.8779999999999999</v>
      </c>
      <c r="P24" s="32">
        <v>1.369</v>
      </c>
      <c r="Q24" s="32">
        <v>1.7509999999999999</v>
      </c>
      <c r="R24" s="32">
        <v>1.2729999999999999</v>
      </c>
      <c r="S24" s="254">
        <f t="shared" si="0"/>
        <v>1.6519999999999999</v>
      </c>
      <c r="T24" s="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</row>
    <row r="25" spans="1:30" ht="15.75" customHeight="1">
      <c r="A25" s="25">
        <v>2</v>
      </c>
      <c r="B25" s="25">
        <v>1</v>
      </c>
      <c r="C25" s="25">
        <v>17</v>
      </c>
      <c r="D25" s="25" t="s">
        <v>60</v>
      </c>
      <c r="E25" s="26" t="s">
        <v>61</v>
      </c>
      <c r="F25" s="25" t="s">
        <v>34</v>
      </c>
      <c r="G25" s="251">
        <v>50467</v>
      </c>
      <c r="H25" s="31">
        <v>426</v>
      </c>
      <c r="I25" s="32">
        <v>2.61</v>
      </c>
      <c r="J25" s="32">
        <v>1.3049999999999999</v>
      </c>
      <c r="K25" s="32">
        <v>1.623</v>
      </c>
      <c r="L25" s="32">
        <v>1.4319999999999999</v>
      </c>
      <c r="M25" s="32">
        <v>1.1140000000000001</v>
      </c>
      <c r="N25" s="32">
        <v>1.369</v>
      </c>
      <c r="O25" s="32">
        <v>1.3049999999999999</v>
      </c>
      <c r="P25" s="32">
        <v>1.464</v>
      </c>
      <c r="Q25" s="32">
        <v>1.0820000000000001</v>
      </c>
      <c r="R25" s="32">
        <v>1.05</v>
      </c>
      <c r="S25" s="254">
        <f t="shared" si="0"/>
        <v>1.4354000000000002</v>
      </c>
      <c r="T25" s="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</row>
    <row r="26" spans="1:30" ht="15.75" customHeight="1">
      <c r="A26" s="25">
        <v>2</v>
      </c>
      <c r="B26" s="25">
        <v>1</v>
      </c>
      <c r="C26" s="25">
        <v>18</v>
      </c>
      <c r="D26" s="25" t="s">
        <v>46</v>
      </c>
      <c r="E26" s="26" t="s">
        <v>47</v>
      </c>
      <c r="F26" s="25" t="s">
        <v>25</v>
      </c>
      <c r="G26" s="251">
        <v>50262</v>
      </c>
      <c r="H26" s="31">
        <v>81</v>
      </c>
      <c r="I26" s="32">
        <v>1.8460000000000001</v>
      </c>
      <c r="J26" s="32">
        <v>1.7829999999999999</v>
      </c>
      <c r="K26" s="32">
        <v>1.8460000000000001</v>
      </c>
      <c r="L26" s="32">
        <v>1.8779999999999999</v>
      </c>
      <c r="M26" s="32">
        <v>1.974</v>
      </c>
      <c r="N26" s="32">
        <v>1.337</v>
      </c>
      <c r="O26" s="32">
        <v>1.56</v>
      </c>
      <c r="P26" s="32">
        <v>1.6870000000000001</v>
      </c>
      <c r="Q26" s="32">
        <v>1.974</v>
      </c>
      <c r="R26" s="32">
        <v>1.7829999999999999</v>
      </c>
      <c r="S26" s="254">
        <f t="shared" si="0"/>
        <v>1.7667999999999999</v>
      </c>
      <c r="T26" s="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</row>
    <row r="27" spans="1:30" ht="15.75" customHeight="1">
      <c r="A27" s="25">
        <v>2</v>
      </c>
      <c r="B27" s="25">
        <v>1</v>
      </c>
      <c r="C27" s="25">
        <v>18</v>
      </c>
      <c r="D27" s="25" t="s">
        <v>46</v>
      </c>
      <c r="E27" s="26" t="s">
        <v>47</v>
      </c>
      <c r="F27" s="25" t="s">
        <v>34</v>
      </c>
      <c r="G27" s="251">
        <v>50542</v>
      </c>
      <c r="H27" s="31">
        <v>109</v>
      </c>
      <c r="I27" s="32">
        <v>1.4319999999999999</v>
      </c>
      <c r="J27" s="32">
        <v>1.464</v>
      </c>
      <c r="K27" s="32">
        <v>1.401</v>
      </c>
      <c r="L27" s="32">
        <v>1.464</v>
      </c>
      <c r="M27" s="32">
        <v>1.337</v>
      </c>
      <c r="N27" s="32">
        <v>1.4319999999999999</v>
      </c>
      <c r="O27" s="32">
        <v>1.337</v>
      </c>
      <c r="P27" s="36"/>
      <c r="Q27" s="36"/>
      <c r="R27" s="36"/>
      <c r="S27" s="254">
        <f t="shared" si="0"/>
        <v>1.4095714285714285</v>
      </c>
      <c r="T27" s="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</row>
    <row r="28" spans="1:30" ht="15.75" customHeight="1">
      <c r="A28" s="25">
        <v>2</v>
      </c>
      <c r="B28" s="25">
        <v>2</v>
      </c>
      <c r="C28" s="25">
        <v>2</v>
      </c>
      <c r="D28" s="25" t="s">
        <v>62</v>
      </c>
      <c r="E28" s="26" t="s">
        <v>63</v>
      </c>
      <c r="F28" s="25" t="s">
        <v>34</v>
      </c>
      <c r="G28" s="251">
        <v>50752</v>
      </c>
      <c r="H28" s="31">
        <v>89</v>
      </c>
      <c r="I28" s="32">
        <v>1.06</v>
      </c>
      <c r="J28" s="32">
        <v>0.62</v>
      </c>
      <c r="K28" s="32">
        <v>0.55000000000000004</v>
      </c>
      <c r="L28" s="32">
        <v>1.04</v>
      </c>
      <c r="M28" s="36"/>
      <c r="N28" s="36"/>
      <c r="O28" s="36"/>
      <c r="P28" s="36"/>
      <c r="Q28" s="36"/>
      <c r="R28" s="36"/>
      <c r="S28" s="254">
        <f t="shared" si="0"/>
        <v>0.81750000000000012</v>
      </c>
      <c r="T28" s="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</row>
    <row r="29" spans="1:30" ht="15.75" customHeight="1">
      <c r="A29" s="38">
        <v>2</v>
      </c>
      <c r="B29" s="38">
        <v>2</v>
      </c>
      <c r="C29" s="38">
        <v>2</v>
      </c>
      <c r="D29" s="38" t="s">
        <v>64</v>
      </c>
      <c r="E29" s="40" t="s">
        <v>65</v>
      </c>
      <c r="F29" s="38" t="s">
        <v>31</v>
      </c>
      <c r="G29" s="258">
        <v>30869</v>
      </c>
      <c r="H29" s="46">
        <v>319</v>
      </c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254"/>
      <c r="T29" s="38" t="s">
        <v>43</v>
      </c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</row>
    <row r="30" spans="1:30" ht="15.75" customHeight="1">
      <c r="A30" s="25">
        <v>2</v>
      </c>
      <c r="B30" s="25">
        <v>2</v>
      </c>
      <c r="C30" s="25">
        <v>2</v>
      </c>
      <c r="D30" s="25" t="s">
        <v>62</v>
      </c>
      <c r="E30" s="26" t="s">
        <v>63</v>
      </c>
      <c r="F30" s="25" t="s">
        <v>34</v>
      </c>
      <c r="G30" s="251">
        <v>50719</v>
      </c>
      <c r="H30" s="31">
        <v>25</v>
      </c>
      <c r="I30" s="32">
        <v>1.46</v>
      </c>
      <c r="J30" s="36"/>
      <c r="K30" s="36"/>
      <c r="L30" s="36"/>
      <c r="M30" s="36"/>
      <c r="N30" s="36"/>
      <c r="O30" s="36"/>
      <c r="P30" s="36"/>
      <c r="Q30" s="36"/>
      <c r="R30" s="36"/>
      <c r="S30" s="254">
        <f t="shared" si="0"/>
        <v>1.46</v>
      </c>
      <c r="T30" s="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</row>
    <row r="31" spans="1:30" ht="15.75" customHeight="1">
      <c r="A31" s="25">
        <v>2</v>
      </c>
      <c r="B31" s="25">
        <v>2</v>
      </c>
      <c r="C31" s="25">
        <v>2</v>
      </c>
      <c r="D31" s="25" t="s">
        <v>62</v>
      </c>
      <c r="E31" s="26" t="s">
        <v>63</v>
      </c>
      <c r="F31" s="25" t="s">
        <v>25</v>
      </c>
      <c r="G31" s="251">
        <v>50188</v>
      </c>
      <c r="H31" s="31">
        <v>24</v>
      </c>
      <c r="I31" s="32">
        <v>0.53</v>
      </c>
      <c r="J31" s="32">
        <v>0.84</v>
      </c>
      <c r="K31" s="36"/>
      <c r="L31" s="36"/>
      <c r="M31" s="36"/>
      <c r="N31" s="36"/>
      <c r="O31" s="36"/>
      <c r="P31" s="36"/>
      <c r="Q31" s="36"/>
      <c r="R31" s="36"/>
      <c r="S31" s="254">
        <f t="shared" si="0"/>
        <v>0.68500000000000005</v>
      </c>
      <c r="T31" s="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</row>
    <row r="32" spans="1:30" ht="15.75" customHeight="1">
      <c r="A32" s="25">
        <v>2</v>
      </c>
      <c r="B32" s="25">
        <v>2</v>
      </c>
      <c r="C32" s="25">
        <v>3</v>
      </c>
      <c r="D32" s="25" t="s">
        <v>66</v>
      </c>
      <c r="E32" s="26" t="s">
        <v>67</v>
      </c>
      <c r="F32" s="25" t="s">
        <v>68</v>
      </c>
      <c r="G32" s="251">
        <v>50632</v>
      </c>
      <c r="H32" s="31">
        <v>220</v>
      </c>
      <c r="I32" s="32">
        <v>1.91</v>
      </c>
      <c r="J32" s="32">
        <v>1.5920000000000001</v>
      </c>
      <c r="K32" s="32">
        <v>1.9419999999999999</v>
      </c>
      <c r="L32" s="32">
        <v>2.2919999999999998</v>
      </c>
      <c r="M32" s="32">
        <v>1.5920000000000001</v>
      </c>
      <c r="N32" s="32">
        <v>1.8460000000000001</v>
      </c>
      <c r="O32" s="32">
        <v>1.9419999999999999</v>
      </c>
      <c r="P32" s="32">
        <v>1.2410000000000001</v>
      </c>
      <c r="Q32" s="32">
        <v>1.6870000000000001</v>
      </c>
      <c r="R32" s="32">
        <v>0.57299999999999995</v>
      </c>
      <c r="S32" s="254">
        <f t="shared" si="0"/>
        <v>1.6617000000000002</v>
      </c>
      <c r="T32" s="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</row>
    <row r="33" spans="1:30" ht="15.75" customHeight="1">
      <c r="A33" s="25">
        <v>2</v>
      </c>
      <c r="B33" s="25">
        <v>2</v>
      </c>
      <c r="C33" s="25">
        <v>3</v>
      </c>
      <c r="D33" s="25" t="s">
        <v>66</v>
      </c>
      <c r="E33" s="26" t="s">
        <v>67</v>
      </c>
      <c r="F33" s="25" t="s">
        <v>34</v>
      </c>
      <c r="G33" s="251">
        <v>50558</v>
      </c>
      <c r="H33" s="31">
        <v>227</v>
      </c>
      <c r="I33" s="32">
        <v>1.91</v>
      </c>
      <c r="J33" s="32">
        <v>1.401</v>
      </c>
      <c r="K33" s="32">
        <v>0.66</v>
      </c>
      <c r="L33" s="32">
        <v>0.43</v>
      </c>
      <c r="M33" s="32">
        <v>1.23</v>
      </c>
      <c r="N33" s="32">
        <v>1.24</v>
      </c>
      <c r="O33" s="32">
        <v>1.01</v>
      </c>
      <c r="P33" s="32">
        <v>1.87</v>
      </c>
      <c r="Q33" s="32">
        <v>1.36</v>
      </c>
      <c r="R33" s="32">
        <v>2.0499999999999998</v>
      </c>
      <c r="S33" s="254">
        <f t="shared" si="0"/>
        <v>1.3161</v>
      </c>
      <c r="T33" s="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</row>
    <row r="34" spans="1:30" ht="15.75" customHeight="1">
      <c r="A34" s="25">
        <v>2</v>
      </c>
      <c r="B34" s="25">
        <v>2</v>
      </c>
      <c r="C34" s="25">
        <v>4</v>
      </c>
      <c r="D34" s="25" t="s">
        <v>69</v>
      </c>
      <c r="E34" s="26" t="s">
        <v>70</v>
      </c>
      <c r="F34" s="25" t="s">
        <v>25</v>
      </c>
      <c r="G34" s="251">
        <v>50754</v>
      </c>
      <c r="H34" s="31">
        <v>205</v>
      </c>
      <c r="I34" s="32">
        <v>1.5920000000000001</v>
      </c>
      <c r="J34" s="32">
        <v>1.0820000000000001</v>
      </c>
      <c r="K34" s="32">
        <v>1.655</v>
      </c>
      <c r="L34" s="32">
        <v>1.8779999999999999</v>
      </c>
      <c r="M34" s="32">
        <v>2.2919999999999998</v>
      </c>
      <c r="N34" s="32">
        <v>1.401</v>
      </c>
      <c r="O34" s="32">
        <v>1.4319999999999999</v>
      </c>
      <c r="P34" s="32">
        <v>1.464</v>
      </c>
      <c r="Q34" s="32">
        <v>1.5920000000000001</v>
      </c>
      <c r="R34" s="32">
        <v>2.2280000000000002</v>
      </c>
      <c r="S34" s="254">
        <f t="shared" si="0"/>
        <v>1.6616000000000004</v>
      </c>
      <c r="T34" s="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</row>
    <row r="35" spans="1:30" ht="15.75" customHeight="1">
      <c r="A35" s="25">
        <v>2</v>
      </c>
      <c r="B35" s="25">
        <v>2</v>
      </c>
      <c r="C35" s="25">
        <v>4</v>
      </c>
      <c r="D35" s="25" t="s">
        <v>69</v>
      </c>
      <c r="E35" s="26" t="s">
        <v>70</v>
      </c>
      <c r="F35" s="25" t="s">
        <v>68</v>
      </c>
      <c r="G35" s="251">
        <v>50820</v>
      </c>
      <c r="H35" s="31">
        <v>9</v>
      </c>
      <c r="I35" s="32">
        <v>1.623</v>
      </c>
      <c r="J35" s="36"/>
      <c r="K35" s="36"/>
      <c r="L35" s="36"/>
      <c r="M35" s="36"/>
      <c r="N35" s="36"/>
      <c r="O35" s="36"/>
      <c r="P35" s="36"/>
      <c r="Q35" s="36"/>
      <c r="R35" s="36"/>
      <c r="S35" s="254">
        <f t="shared" si="0"/>
        <v>1.623</v>
      </c>
      <c r="T35" s="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</row>
    <row r="36" spans="1:30" ht="15.75" customHeight="1">
      <c r="A36" s="25">
        <v>2</v>
      </c>
      <c r="B36" s="25">
        <v>2</v>
      </c>
      <c r="C36" s="25">
        <v>5</v>
      </c>
      <c r="D36" s="25" t="s">
        <v>60</v>
      </c>
      <c r="E36" s="26" t="s">
        <v>71</v>
      </c>
      <c r="F36" s="25" t="s">
        <v>31</v>
      </c>
      <c r="G36" s="251">
        <v>50764</v>
      </c>
      <c r="H36" s="31">
        <v>175</v>
      </c>
      <c r="I36" s="32">
        <v>1.7190000000000001</v>
      </c>
      <c r="J36" s="32">
        <v>0.98699999999999999</v>
      </c>
      <c r="K36" s="32">
        <v>1.1459999999999999</v>
      </c>
      <c r="L36" s="32">
        <v>1.464</v>
      </c>
      <c r="M36" s="32">
        <v>1.1459999999999999</v>
      </c>
      <c r="N36" s="32">
        <v>1.2729999999999999</v>
      </c>
      <c r="O36" s="32">
        <v>1.7190000000000001</v>
      </c>
      <c r="P36" s="32">
        <v>1.05</v>
      </c>
      <c r="Q36" s="32">
        <v>1.8460000000000001</v>
      </c>
      <c r="R36" s="32">
        <v>1.1459999999999999</v>
      </c>
      <c r="S36" s="254">
        <f t="shared" si="0"/>
        <v>1.3495999999999999</v>
      </c>
      <c r="T36" s="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</row>
    <row r="37" spans="1:30" ht="15.75" customHeight="1">
      <c r="A37" s="25">
        <v>2</v>
      </c>
      <c r="B37" s="25">
        <v>2</v>
      </c>
      <c r="C37" s="25">
        <v>8</v>
      </c>
      <c r="D37" s="25" t="s">
        <v>72</v>
      </c>
      <c r="E37" s="26" t="s">
        <v>73</v>
      </c>
      <c r="F37" s="25" t="s">
        <v>34</v>
      </c>
      <c r="G37" s="251">
        <v>50426</v>
      </c>
      <c r="H37" s="31">
        <v>320</v>
      </c>
      <c r="I37" s="32">
        <v>0.19</v>
      </c>
      <c r="J37" s="32">
        <v>0.15</v>
      </c>
      <c r="K37" s="32">
        <v>0.48</v>
      </c>
      <c r="L37" s="32">
        <v>0.18</v>
      </c>
      <c r="M37" s="32">
        <v>0.28999999999999998</v>
      </c>
      <c r="N37" s="32">
        <v>0.25</v>
      </c>
      <c r="O37" s="32">
        <v>0.31</v>
      </c>
      <c r="P37" s="32">
        <v>0.33</v>
      </c>
      <c r="Q37" s="32">
        <v>0.64</v>
      </c>
      <c r="R37" s="32">
        <v>1.45</v>
      </c>
      <c r="S37" s="254">
        <f t="shared" si="0"/>
        <v>0.42700000000000005</v>
      </c>
      <c r="T37" s="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</row>
    <row r="38" spans="1:30" ht="15.75" customHeight="1">
      <c r="A38" s="25">
        <v>2</v>
      </c>
      <c r="B38" s="25">
        <v>2</v>
      </c>
      <c r="C38" s="25">
        <v>8</v>
      </c>
      <c r="D38" s="25" t="s">
        <v>72</v>
      </c>
      <c r="E38" s="26" t="s">
        <v>73</v>
      </c>
      <c r="F38" s="25" t="s">
        <v>34</v>
      </c>
      <c r="G38" s="251">
        <v>50760</v>
      </c>
      <c r="H38" s="31">
        <v>140</v>
      </c>
      <c r="I38" s="32">
        <v>1.1299999999999999</v>
      </c>
      <c r="J38" s="32">
        <v>0.83</v>
      </c>
      <c r="K38" s="32">
        <v>1.05</v>
      </c>
      <c r="L38" s="32">
        <v>1.43</v>
      </c>
      <c r="M38" s="32">
        <v>1.33</v>
      </c>
      <c r="N38" s="32">
        <v>1.27</v>
      </c>
      <c r="O38" s="32">
        <v>0.86</v>
      </c>
      <c r="P38" s="32">
        <v>1.21</v>
      </c>
      <c r="Q38" s="36"/>
      <c r="R38" s="36"/>
      <c r="S38" s="254">
        <f t="shared" si="0"/>
        <v>1.1387499999999999</v>
      </c>
      <c r="T38" s="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</row>
    <row r="39" spans="1:30" ht="15.75" customHeight="1">
      <c r="A39" s="25">
        <v>2</v>
      </c>
      <c r="B39" s="25">
        <v>2</v>
      </c>
      <c r="C39" s="25">
        <v>9</v>
      </c>
      <c r="D39" s="25" t="s">
        <v>60</v>
      </c>
      <c r="E39" s="26" t="s">
        <v>71</v>
      </c>
      <c r="F39" s="25" t="s">
        <v>31</v>
      </c>
      <c r="G39" s="251">
        <v>50764</v>
      </c>
      <c r="H39" s="31">
        <v>48</v>
      </c>
      <c r="I39" s="32">
        <v>1.3049999999999999</v>
      </c>
      <c r="J39" s="32">
        <v>1.0189999999999999</v>
      </c>
      <c r="K39" s="32">
        <v>1.3049999999999999</v>
      </c>
      <c r="L39" s="36"/>
      <c r="M39" s="36"/>
      <c r="N39" s="36"/>
      <c r="O39" s="36"/>
      <c r="P39" s="36"/>
      <c r="Q39" s="36"/>
      <c r="R39" s="36"/>
      <c r="S39" s="254">
        <f t="shared" si="0"/>
        <v>1.2096666666666664</v>
      </c>
      <c r="T39" s="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</row>
    <row r="40" spans="1:30" ht="15.75" customHeight="1">
      <c r="A40" s="25">
        <v>2</v>
      </c>
      <c r="B40" s="25">
        <v>2</v>
      </c>
      <c r="C40" s="25">
        <v>11</v>
      </c>
      <c r="D40" s="25" t="s">
        <v>74</v>
      </c>
      <c r="E40" s="26" t="s">
        <v>75</v>
      </c>
      <c r="F40" s="25" t="s">
        <v>25</v>
      </c>
      <c r="G40" s="251">
        <v>50736</v>
      </c>
      <c r="H40" s="31">
        <v>354</v>
      </c>
      <c r="I40" s="32">
        <v>1.05</v>
      </c>
      <c r="J40" s="32">
        <v>1.05</v>
      </c>
      <c r="K40" s="32">
        <v>1.337</v>
      </c>
      <c r="L40" s="32">
        <v>1.623</v>
      </c>
      <c r="M40" s="32">
        <v>1.6870000000000001</v>
      </c>
      <c r="N40" s="32">
        <v>1.369</v>
      </c>
      <c r="O40" s="32">
        <v>1.56</v>
      </c>
      <c r="P40" s="32">
        <v>1.4319999999999999</v>
      </c>
      <c r="Q40" s="32">
        <v>1.6870000000000001</v>
      </c>
      <c r="R40" s="32">
        <v>1.4319999999999999</v>
      </c>
      <c r="S40" s="254">
        <f t="shared" si="0"/>
        <v>1.4227000000000003</v>
      </c>
      <c r="T40" s="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</row>
    <row r="41" spans="1:30" ht="15.75" customHeight="1">
      <c r="A41" s="25">
        <v>2</v>
      </c>
      <c r="B41" s="25">
        <v>2</v>
      </c>
      <c r="C41" s="25">
        <v>11</v>
      </c>
      <c r="D41" s="25" t="s">
        <v>74</v>
      </c>
      <c r="E41" s="26" t="s">
        <v>75</v>
      </c>
      <c r="F41" s="25" t="s">
        <v>34</v>
      </c>
      <c r="G41" s="251">
        <v>50505</v>
      </c>
      <c r="H41" s="31">
        <v>15</v>
      </c>
      <c r="I41" s="32">
        <v>1.3049999999999999</v>
      </c>
      <c r="J41" s="36"/>
      <c r="K41" s="36"/>
      <c r="L41" s="36"/>
      <c r="M41" s="36"/>
      <c r="N41" s="36"/>
      <c r="O41" s="36"/>
      <c r="P41" s="36"/>
      <c r="Q41" s="36"/>
      <c r="R41" s="36"/>
      <c r="S41" s="254">
        <f t="shared" si="0"/>
        <v>1.3049999999999999</v>
      </c>
      <c r="T41" s="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</row>
    <row r="42" spans="1:30" ht="15.75" customHeight="1">
      <c r="A42" s="25">
        <v>2</v>
      </c>
      <c r="B42" s="25">
        <v>2</v>
      </c>
      <c r="C42" s="25">
        <v>13</v>
      </c>
      <c r="D42" s="25" t="s">
        <v>60</v>
      </c>
      <c r="E42" s="26" t="s">
        <v>61</v>
      </c>
      <c r="F42" s="25" t="s">
        <v>25</v>
      </c>
      <c r="G42" s="251">
        <v>50749</v>
      </c>
      <c r="H42" s="31">
        <v>200</v>
      </c>
      <c r="I42" s="272">
        <f>3/PI()</f>
        <v>0.95492965855137202</v>
      </c>
      <c r="J42" s="272">
        <f>3.3/PI()</f>
        <v>1.0504226244065091</v>
      </c>
      <c r="K42" s="272">
        <f>5.9/PI()</f>
        <v>1.8780283284843651</v>
      </c>
      <c r="L42" s="272">
        <f>5/PI()</f>
        <v>1.5915494309189535</v>
      </c>
      <c r="M42" s="272">
        <f>5.6/PI()</f>
        <v>1.7825353626292277</v>
      </c>
      <c r="N42" s="272">
        <f>4.2/PI()</f>
        <v>1.3369015219719209</v>
      </c>
      <c r="O42" s="272">
        <f>3.9/PI()</f>
        <v>1.2414085561167836</v>
      </c>
      <c r="P42" s="272">
        <f>5.2/PI()</f>
        <v>1.6552114081557117</v>
      </c>
      <c r="Q42" s="33" t="s">
        <v>80</v>
      </c>
      <c r="R42" s="33" t="s">
        <v>80</v>
      </c>
      <c r="S42" s="254">
        <f t="shared" si="0"/>
        <v>1.4363733614043555</v>
      </c>
      <c r="T42" s="33" t="s">
        <v>250</v>
      </c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</row>
    <row r="43" spans="1:30" ht="15.75" customHeight="1">
      <c r="A43" s="25">
        <v>2</v>
      </c>
      <c r="B43" s="25">
        <v>2</v>
      </c>
      <c r="C43" s="25">
        <v>13</v>
      </c>
      <c r="D43" s="25" t="s">
        <v>76</v>
      </c>
      <c r="E43" s="26" t="s">
        <v>77</v>
      </c>
      <c r="F43" s="25" t="s">
        <v>25</v>
      </c>
      <c r="G43" s="251">
        <v>50748</v>
      </c>
      <c r="H43" s="31">
        <v>296</v>
      </c>
      <c r="I43" s="33">
        <v>0.41</v>
      </c>
      <c r="J43" s="33">
        <v>0.41</v>
      </c>
      <c r="K43" s="33">
        <v>0.81</v>
      </c>
      <c r="L43" s="33">
        <v>0.36</v>
      </c>
      <c r="M43" s="33">
        <v>0.36</v>
      </c>
      <c r="N43" s="33">
        <v>0.31</v>
      </c>
      <c r="O43" s="33">
        <v>0.34</v>
      </c>
      <c r="P43" s="33">
        <v>0.36</v>
      </c>
      <c r="Q43" s="36"/>
      <c r="R43" s="36"/>
      <c r="S43" s="254">
        <f t="shared" si="0"/>
        <v>0.41999999999999993</v>
      </c>
      <c r="T43" s="33" t="s">
        <v>251</v>
      </c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</row>
    <row r="44" spans="1:30" ht="15.75" customHeight="1">
      <c r="A44" s="25">
        <v>2</v>
      </c>
      <c r="B44" s="25">
        <v>2</v>
      </c>
      <c r="C44" s="25">
        <v>18</v>
      </c>
      <c r="D44" s="25" t="s">
        <v>72</v>
      </c>
      <c r="E44" s="26" t="s">
        <v>73</v>
      </c>
      <c r="F44" s="25" t="s">
        <v>25</v>
      </c>
      <c r="G44" s="251">
        <v>50706</v>
      </c>
      <c r="H44" s="31">
        <v>71</v>
      </c>
      <c r="I44" s="33">
        <v>0.45</v>
      </c>
      <c r="J44" s="33">
        <v>0.4</v>
      </c>
      <c r="K44" s="33">
        <v>0.37</v>
      </c>
      <c r="L44" s="36"/>
      <c r="M44" s="36"/>
      <c r="N44" s="36"/>
      <c r="O44" s="36"/>
      <c r="P44" s="36"/>
      <c r="Q44" s="36"/>
      <c r="R44" s="36"/>
      <c r="S44" s="254">
        <f t="shared" si="0"/>
        <v>0.40666666666666673</v>
      </c>
      <c r="T44" s="33" t="s">
        <v>251</v>
      </c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</row>
    <row r="45" spans="1:30" ht="15.75" customHeight="1">
      <c r="A45" s="25">
        <v>2</v>
      </c>
      <c r="B45" s="25">
        <v>3</v>
      </c>
      <c r="C45" s="25">
        <v>1</v>
      </c>
      <c r="D45" s="25" t="s">
        <v>78</v>
      </c>
      <c r="E45" s="26" t="s">
        <v>79</v>
      </c>
      <c r="F45" s="25" t="s">
        <v>31</v>
      </c>
      <c r="G45" s="251">
        <v>50801</v>
      </c>
      <c r="H45" s="31">
        <v>371</v>
      </c>
      <c r="I45" s="281">
        <v>0.9</v>
      </c>
      <c r="J45" s="281">
        <v>0.73</v>
      </c>
      <c r="K45" s="281">
        <v>0.64</v>
      </c>
      <c r="L45" s="281">
        <v>0.63</v>
      </c>
      <c r="M45" s="281">
        <v>1.1399999999999999</v>
      </c>
      <c r="N45" s="281">
        <v>0.64</v>
      </c>
      <c r="O45" s="281">
        <v>0.66</v>
      </c>
      <c r="P45" s="281">
        <v>0.64</v>
      </c>
      <c r="Q45" s="33">
        <v>0.4</v>
      </c>
      <c r="R45" s="33">
        <v>0.44900000000000001</v>
      </c>
      <c r="S45" s="254">
        <f t="shared" si="0"/>
        <v>0.68289999999999995</v>
      </c>
      <c r="T45" s="33" t="s">
        <v>251</v>
      </c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</row>
    <row r="46" spans="1:30" ht="15.75" customHeight="1">
      <c r="A46" s="25">
        <v>2</v>
      </c>
      <c r="B46" s="25">
        <v>3</v>
      </c>
      <c r="C46" s="25">
        <v>1</v>
      </c>
      <c r="D46" s="25" t="s">
        <v>78</v>
      </c>
      <c r="E46" s="26" t="s">
        <v>79</v>
      </c>
      <c r="F46" s="25" t="s">
        <v>68</v>
      </c>
      <c r="G46" s="251">
        <v>50814</v>
      </c>
      <c r="H46" s="31">
        <v>218</v>
      </c>
      <c r="I46" s="33">
        <v>0.7</v>
      </c>
      <c r="J46" s="33">
        <v>0.74</v>
      </c>
      <c r="K46" s="33">
        <v>0.32</v>
      </c>
      <c r="L46" s="33">
        <v>0.6</v>
      </c>
      <c r="M46" s="33">
        <v>0.67</v>
      </c>
      <c r="N46" s="33">
        <v>0.66</v>
      </c>
      <c r="O46" s="33">
        <v>0.46</v>
      </c>
      <c r="P46" s="33">
        <v>0.5</v>
      </c>
      <c r="Q46" s="36"/>
      <c r="R46" s="36"/>
      <c r="S46" s="254">
        <f t="shared" si="0"/>
        <v>0.58125000000000004</v>
      </c>
      <c r="T46" s="33" t="s">
        <v>251</v>
      </c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</row>
    <row r="47" spans="1:30" ht="15.75" customHeight="1">
      <c r="A47" s="25">
        <v>2</v>
      </c>
      <c r="B47" s="25">
        <v>3</v>
      </c>
      <c r="C47" s="25">
        <v>1</v>
      </c>
      <c r="D47" s="25" t="s">
        <v>78</v>
      </c>
      <c r="E47" s="26" t="s">
        <v>79</v>
      </c>
      <c r="F47" s="25" t="s">
        <v>25</v>
      </c>
      <c r="G47" s="251">
        <v>50741</v>
      </c>
      <c r="H47" s="31">
        <v>55</v>
      </c>
      <c r="I47" s="33">
        <v>0.53</v>
      </c>
      <c r="J47" s="33">
        <v>0.5</v>
      </c>
      <c r="K47" s="33">
        <v>0.74</v>
      </c>
      <c r="L47" s="36"/>
      <c r="M47" s="36"/>
      <c r="N47" s="36"/>
      <c r="O47" s="36"/>
      <c r="P47" s="36"/>
      <c r="Q47" s="36"/>
      <c r="R47" s="36"/>
      <c r="S47" s="254">
        <f t="shared" si="0"/>
        <v>0.59</v>
      </c>
      <c r="T47" s="33" t="s">
        <v>251</v>
      </c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</row>
    <row r="48" spans="1:30" ht="15.75" customHeight="1">
      <c r="A48" s="25">
        <v>2</v>
      </c>
      <c r="B48" s="25">
        <v>3</v>
      </c>
      <c r="C48" s="25">
        <v>1</v>
      </c>
      <c r="D48" s="25" t="s">
        <v>78</v>
      </c>
      <c r="E48" s="26" t="s">
        <v>79</v>
      </c>
      <c r="F48" s="25" t="s">
        <v>31</v>
      </c>
      <c r="G48" s="251">
        <v>50791</v>
      </c>
      <c r="H48" s="31">
        <v>49</v>
      </c>
      <c r="I48" s="33">
        <v>0.65</v>
      </c>
      <c r="J48" s="33">
        <v>0.37</v>
      </c>
      <c r="K48" s="36"/>
      <c r="L48" s="36"/>
      <c r="M48" s="36"/>
      <c r="N48" s="36"/>
      <c r="O48" s="36"/>
      <c r="P48" s="36"/>
      <c r="Q48" s="36"/>
      <c r="R48" s="36"/>
      <c r="S48" s="254">
        <f t="shared" si="0"/>
        <v>0.51</v>
      </c>
      <c r="T48" s="33" t="s">
        <v>251</v>
      </c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</row>
    <row r="49" spans="1:30" ht="15.75" customHeight="1">
      <c r="A49" s="25">
        <v>2</v>
      </c>
      <c r="B49" s="25">
        <v>3</v>
      </c>
      <c r="C49" s="25">
        <v>1</v>
      </c>
      <c r="D49" s="25" t="s">
        <v>78</v>
      </c>
      <c r="E49" s="26" t="s">
        <v>79</v>
      </c>
      <c r="F49" s="25" t="s">
        <v>34</v>
      </c>
      <c r="G49" s="251">
        <v>50850</v>
      </c>
      <c r="H49" s="31">
        <v>46</v>
      </c>
      <c r="I49" s="33">
        <v>0.94</v>
      </c>
      <c r="J49" s="33">
        <v>0.97</v>
      </c>
      <c r="K49" s="36"/>
      <c r="L49" s="36"/>
      <c r="M49" s="36"/>
      <c r="N49" s="36"/>
      <c r="O49" s="36"/>
      <c r="P49" s="36"/>
      <c r="Q49" s="36"/>
      <c r="R49" s="36"/>
      <c r="S49" s="254">
        <f t="shared" si="0"/>
        <v>0.95499999999999996</v>
      </c>
      <c r="T49" s="33" t="s">
        <v>251</v>
      </c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</row>
    <row r="50" spans="1:30" ht="15.75" customHeight="1">
      <c r="A50" s="25">
        <v>2</v>
      </c>
      <c r="B50" s="25">
        <v>3</v>
      </c>
      <c r="C50" s="25">
        <v>2</v>
      </c>
      <c r="D50" s="25" t="s">
        <v>81</v>
      </c>
      <c r="E50" s="26" t="s">
        <v>82</v>
      </c>
      <c r="F50" s="25" t="s">
        <v>25</v>
      </c>
      <c r="G50" s="251">
        <v>50723</v>
      </c>
      <c r="H50" s="31">
        <v>44</v>
      </c>
      <c r="I50" s="33">
        <v>1.77</v>
      </c>
      <c r="J50" s="33">
        <v>0.83</v>
      </c>
      <c r="K50" s="36"/>
      <c r="L50" s="36"/>
      <c r="M50" s="36"/>
      <c r="N50" s="36"/>
      <c r="O50" s="36"/>
      <c r="P50" s="36"/>
      <c r="Q50" s="36"/>
      <c r="R50" s="36"/>
      <c r="S50" s="254">
        <f t="shared" si="0"/>
        <v>1.3</v>
      </c>
      <c r="T50" s="33" t="s">
        <v>251</v>
      </c>
      <c r="U50" s="236"/>
      <c r="V50" s="236"/>
      <c r="W50" s="236"/>
      <c r="X50" s="236"/>
      <c r="Y50" s="236"/>
      <c r="Z50" s="236"/>
      <c r="AA50" s="236"/>
      <c r="AB50" s="236"/>
      <c r="AC50" s="236"/>
      <c r="AD50" s="236"/>
    </row>
    <row r="51" spans="1:30" ht="15.75" customHeight="1">
      <c r="A51" s="25">
        <v>2</v>
      </c>
      <c r="B51" s="25">
        <v>3</v>
      </c>
      <c r="C51" s="25">
        <v>2</v>
      </c>
      <c r="D51" s="25" t="s">
        <v>81</v>
      </c>
      <c r="E51" s="26" t="s">
        <v>82</v>
      </c>
      <c r="F51" s="25" t="s">
        <v>34</v>
      </c>
      <c r="G51" s="251">
        <v>50518</v>
      </c>
      <c r="H51" s="31">
        <v>61</v>
      </c>
      <c r="I51" s="33">
        <v>0.92</v>
      </c>
      <c r="J51" s="33">
        <v>1.94</v>
      </c>
      <c r="K51" s="33">
        <v>1.7</v>
      </c>
      <c r="L51" s="36"/>
      <c r="M51" s="36"/>
      <c r="N51" s="36"/>
      <c r="O51" s="36"/>
      <c r="P51" s="36"/>
      <c r="Q51" s="36"/>
      <c r="R51" s="36"/>
      <c r="S51" s="254">
        <f t="shared" si="0"/>
        <v>1.5199999999999998</v>
      </c>
      <c r="T51" s="33" t="s">
        <v>251</v>
      </c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</row>
    <row r="52" spans="1:30" ht="15.75" customHeight="1">
      <c r="A52" s="68">
        <v>2</v>
      </c>
      <c r="B52" s="25">
        <v>3</v>
      </c>
      <c r="C52" s="25">
        <v>2</v>
      </c>
      <c r="D52" s="25" t="s">
        <v>85</v>
      </c>
      <c r="E52" s="26" t="s">
        <v>86</v>
      </c>
      <c r="F52" s="25" t="s">
        <v>68</v>
      </c>
      <c r="G52" s="251">
        <v>50832</v>
      </c>
      <c r="H52" s="31">
        <v>251</v>
      </c>
      <c r="I52" s="33">
        <v>0.4</v>
      </c>
      <c r="J52" s="33">
        <v>0.35</v>
      </c>
      <c r="K52" s="33">
        <v>0.44</v>
      </c>
      <c r="L52" s="33">
        <v>0.33</v>
      </c>
      <c r="M52" s="33">
        <v>0.5</v>
      </c>
      <c r="N52" s="33">
        <v>0.45</v>
      </c>
      <c r="O52" s="33">
        <v>0.64</v>
      </c>
      <c r="P52" s="33">
        <v>0.68</v>
      </c>
      <c r="Q52" s="33">
        <v>0.76</v>
      </c>
      <c r="R52" s="33">
        <v>0.45</v>
      </c>
      <c r="S52" s="254">
        <f t="shared" si="0"/>
        <v>0.50000000000000011</v>
      </c>
      <c r="T52" s="33" t="s">
        <v>251</v>
      </c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</row>
    <row r="53" spans="1:30" ht="15.75" customHeight="1">
      <c r="A53" s="25">
        <v>2</v>
      </c>
      <c r="B53" s="25">
        <v>3</v>
      </c>
      <c r="C53" s="25">
        <v>2</v>
      </c>
      <c r="D53" s="25" t="s">
        <v>81</v>
      </c>
      <c r="E53" s="26" t="s">
        <v>82</v>
      </c>
      <c r="F53" s="25" t="s">
        <v>34</v>
      </c>
      <c r="G53" s="251">
        <v>50628</v>
      </c>
      <c r="H53" s="31">
        <v>28</v>
      </c>
      <c r="I53" s="33">
        <v>1.6</v>
      </c>
      <c r="J53" s="36"/>
      <c r="K53" s="36"/>
      <c r="L53" s="36"/>
      <c r="M53" s="36"/>
      <c r="N53" s="36"/>
      <c r="O53" s="36"/>
      <c r="P53" s="36"/>
      <c r="Q53" s="36"/>
      <c r="R53" s="36"/>
      <c r="S53" s="254">
        <f t="shared" si="0"/>
        <v>1.6</v>
      </c>
      <c r="T53" s="33" t="s">
        <v>251</v>
      </c>
      <c r="U53" s="236"/>
      <c r="V53" s="236"/>
      <c r="W53" s="236"/>
      <c r="X53" s="236"/>
      <c r="Y53" s="236"/>
      <c r="Z53" s="236"/>
      <c r="AA53" s="236"/>
      <c r="AB53" s="236"/>
      <c r="AC53" s="236"/>
      <c r="AD53" s="236"/>
    </row>
    <row r="54" spans="1:30" ht="15.75" customHeight="1">
      <c r="A54" s="25">
        <v>2</v>
      </c>
      <c r="B54" s="25">
        <v>3</v>
      </c>
      <c r="C54" s="25">
        <v>2</v>
      </c>
      <c r="D54" s="25" t="s">
        <v>81</v>
      </c>
      <c r="E54" s="26" t="s">
        <v>82</v>
      </c>
      <c r="F54" s="25" t="s">
        <v>34</v>
      </c>
      <c r="G54" s="251">
        <v>50520</v>
      </c>
      <c r="H54" s="31">
        <v>142</v>
      </c>
      <c r="I54" s="33">
        <v>0.78</v>
      </c>
      <c r="J54" s="33">
        <v>1.33</v>
      </c>
      <c r="K54" s="33">
        <v>1.72</v>
      </c>
      <c r="L54" s="33">
        <v>0.75</v>
      </c>
      <c r="M54" s="33">
        <v>1.77</v>
      </c>
      <c r="N54" s="33">
        <v>1.04</v>
      </c>
      <c r="O54" s="36"/>
      <c r="P54" s="36"/>
      <c r="Q54" s="36"/>
      <c r="R54" s="36"/>
      <c r="S54" s="254">
        <f t="shared" si="0"/>
        <v>1.2316666666666667</v>
      </c>
      <c r="T54" s="33" t="s">
        <v>251</v>
      </c>
      <c r="U54" s="236"/>
      <c r="V54" s="236"/>
      <c r="W54" s="236"/>
      <c r="X54" s="236"/>
      <c r="Y54" s="236"/>
      <c r="Z54" s="236"/>
      <c r="AA54" s="236"/>
      <c r="AB54" s="236"/>
      <c r="AC54" s="236"/>
      <c r="AD54" s="236"/>
    </row>
    <row r="55" spans="1:30" ht="15.75" customHeight="1">
      <c r="A55" s="25">
        <v>2</v>
      </c>
      <c r="B55" s="25">
        <v>3</v>
      </c>
      <c r="C55" s="25">
        <v>2</v>
      </c>
      <c r="D55" s="25" t="s">
        <v>81</v>
      </c>
      <c r="E55" s="26" t="s">
        <v>82</v>
      </c>
      <c r="F55" s="25" t="s">
        <v>34</v>
      </c>
      <c r="G55" s="251">
        <v>50483</v>
      </c>
      <c r="H55" s="31">
        <v>3</v>
      </c>
      <c r="I55" s="33">
        <v>0.84</v>
      </c>
      <c r="J55" s="36"/>
      <c r="K55" s="36"/>
      <c r="L55" s="36"/>
      <c r="M55" s="36"/>
      <c r="N55" s="36"/>
      <c r="O55" s="36"/>
      <c r="P55" s="36"/>
      <c r="Q55" s="36"/>
      <c r="R55" s="36"/>
      <c r="S55" s="254">
        <f t="shared" si="0"/>
        <v>0.84</v>
      </c>
      <c r="T55" s="33" t="s">
        <v>251</v>
      </c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</row>
    <row r="56" spans="1:30" ht="15.75" customHeight="1">
      <c r="A56" s="70">
        <v>2</v>
      </c>
      <c r="B56" s="70">
        <v>3</v>
      </c>
      <c r="C56" s="70">
        <v>3</v>
      </c>
      <c r="D56" s="70" t="s">
        <v>72</v>
      </c>
      <c r="E56" s="72" t="s">
        <v>73</v>
      </c>
      <c r="F56" s="70" t="s">
        <v>68</v>
      </c>
      <c r="G56" s="283">
        <v>50618</v>
      </c>
      <c r="H56" s="76">
        <v>96</v>
      </c>
      <c r="I56" s="70">
        <v>0.26</v>
      </c>
      <c r="J56" s="70">
        <v>0.36</v>
      </c>
      <c r="K56" s="70">
        <v>0.27</v>
      </c>
      <c r="L56" s="70">
        <v>0.16</v>
      </c>
      <c r="M56" s="70">
        <v>0.28999999999999998</v>
      </c>
      <c r="N56" s="70">
        <v>0.22</v>
      </c>
      <c r="O56" s="81"/>
      <c r="P56" s="81"/>
      <c r="Q56" s="81"/>
      <c r="R56" s="81"/>
      <c r="S56" s="254">
        <f t="shared" si="0"/>
        <v>0.26</v>
      </c>
      <c r="T56" s="70" t="s">
        <v>87</v>
      </c>
      <c r="U56" s="236"/>
      <c r="V56" s="236"/>
      <c r="W56" s="236"/>
      <c r="X56" s="236"/>
      <c r="Y56" s="236"/>
      <c r="Z56" s="236"/>
      <c r="AA56" s="236"/>
      <c r="AB56" s="236"/>
      <c r="AC56" s="236"/>
      <c r="AD56" s="236"/>
    </row>
    <row r="57" spans="1:30" ht="15.75" customHeight="1">
      <c r="A57" s="25">
        <v>2</v>
      </c>
      <c r="B57" s="25">
        <v>3</v>
      </c>
      <c r="C57" s="25">
        <v>4</v>
      </c>
      <c r="D57" s="25" t="s">
        <v>72</v>
      </c>
      <c r="E57" s="26" t="s">
        <v>73</v>
      </c>
      <c r="F57" s="25" t="s">
        <v>31</v>
      </c>
      <c r="G57" s="251">
        <v>50803</v>
      </c>
      <c r="H57" s="31">
        <v>486</v>
      </c>
      <c r="I57" s="33">
        <v>0.16</v>
      </c>
      <c r="J57" s="33">
        <v>0.37</v>
      </c>
      <c r="K57" s="33">
        <v>0.54</v>
      </c>
      <c r="L57" s="33">
        <v>0.4</v>
      </c>
      <c r="M57" s="33">
        <v>0.44</v>
      </c>
      <c r="N57" s="33">
        <v>0.6</v>
      </c>
      <c r="O57" s="33">
        <v>0.84</v>
      </c>
      <c r="P57" s="33">
        <v>0.87</v>
      </c>
      <c r="Q57" s="36"/>
      <c r="R57" s="36"/>
      <c r="S57" s="254">
        <f t="shared" si="0"/>
        <v>0.52749999999999997</v>
      </c>
      <c r="T57" s="33" t="s">
        <v>251</v>
      </c>
      <c r="U57" s="236"/>
      <c r="V57" s="236"/>
      <c r="W57" s="236"/>
      <c r="X57" s="236"/>
      <c r="Y57" s="236"/>
      <c r="Z57" s="236"/>
      <c r="AA57" s="236"/>
      <c r="AB57" s="236"/>
      <c r="AC57" s="236"/>
      <c r="AD57" s="236"/>
    </row>
    <row r="58" spans="1:30" ht="15.75" customHeight="1">
      <c r="A58" s="70">
        <v>2</v>
      </c>
      <c r="B58" s="70">
        <v>3</v>
      </c>
      <c r="C58" s="70">
        <v>4</v>
      </c>
      <c r="D58" s="70" t="s">
        <v>72</v>
      </c>
      <c r="E58" s="72" t="s">
        <v>73</v>
      </c>
      <c r="F58" s="70" t="s">
        <v>68</v>
      </c>
      <c r="G58" s="283">
        <v>50618</v>
      </c>
      <c r="H58" s="76">
        <v>49</v>
      </c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254"/>
      <c r="T58" s="70" t="s">
        <v>87</v>
      </c>
      <c r="U58" s="236"/>
      <c r="V58" s="236"/>
      <c r="W58" s="236"/>
      <c r="X58" s="236"/>
      <c r="Y58" s="236"/>
      <c r="Z58" s="236"/>
      <c r="AA58" s="236"/>
      <c r="AB58" s="236"/>
      <c r="AC58" s="236"/>
      <c r="AD58" s="236"/>
    </row>
    <row r="59" spans="1:30" ht="15.75" customHeight="1">
      <c r="A59" s="25">
        <v>2</v>
      </c>
      <c r="B59" s="25">
        <v>3</v>
      </c>
      <c r="C59" s="25">
        <v>5</v>
      </c>
      <c r="D59" s="25" t="s">
        <v>89</v>
      </c>
      <c r="E59" s="26" t="s">
        <v>90</v>
      </c>
      <c r="F59" s="25" t="s">
        <v>34</v>
      </c>
      <c r="G59" s="251">
        <v>50854</v>
      </c>
      <c r="H59" s="31">
        <v>179</v>
      </c>
      <c r="I59" s="33">
        <f>10.3/10</f>
        <v>1.03</v>
      </c>
      <c r="J59" s="33">
        <f>13.31/10</f>
        <v>1.331</v>
      </c>
      <c r="K59" s="33">
        <f>6.44/10</f>
        <v>0.64400000000000002</v>
      </c>
      <c r="L59" s="33">
        <f>10.08/10</f>
        <v>1.008</v>
      </c>
      <c r="M59" s="33">
        <f>9.47/10</f>
        <v>0.94700000000000006</v>
      </c>
      <c r="N59" s="33">
        <f>9.07/10</f>
        <v>0.90700000000000003</v>
      </c>
      <c r="O59" s="33">
        <f>7.9/10</f>
        <v>0.79</v>
      </c>
      <c r="P59" s="33">
        <f>7.17/10</f>
        <v>0.71699999999999997</v>
      </c>
      <c r="Q59" s="33"/>
      <c r="R59" s="33"/>
      <c r="S59" s="254">
        <f t="shared" si="0"/>
        <v>0.92174999999999996</v>
      </c>
      <c r="T59" s="33" t="s">
        <v>252</v>
      </c>
      <c r="U59" s="236"/>
      <c r="V59" s="236"/>
      <c r="W59" s="236"/>
      <c r="X59" s="236"/>
      <c r="Y59" s="236"/>
      <c r="Z59" s="236"/>
      <c r="AA59" s="236"/>
      <c r="AB59" s="236"/>
      <c r="AC59" s="236"/>
      <c r="AD59" s="236"/>
    </row>
    <row r="60" spans="1:30" ht="15.75" customHeight="1">
      <c r="A60" s="25">
        <v>2</v>
      </c>
      <c r="B60" s="25">
        <v>3</v>
      </c>
      <c r="C60" s="25">
        <v>5</v>
      </c>
      <c r="D60" s="25" t="s">
        <v>89</v>
      </c>
      <c r="E60" s="26" t="s">
        <v>90</v>
      </c>
      <c r="F60" s="25" t="s">
        <v>25</v>
      </c>
      <c r="G60" s="251">
        <v>50846</v>
      </c>
      <c r="H60" s="31">
        <v>114</v>
      </c>
      <c r="I60" s="36">
        <f>18.9/10</f>
        <v>1.89</v>
      </c>
      <c r="J60" s="36">
        <f>16.33/10</f>
        <v>1.6329999999999998</v>
      </c>
      <c r="K60" s="36">
        <f>17.42/10</f>
        <v>1.7420000000000002</v>
      </c>
      <c r="L60" s="36">
        <f>16.07/10</f>
        <v>1.607</v>
      </c>
      <c r="M60" s="36">
        <f>11.81/10</f>
        <v>1.181</v>
      </c>
      <c r="N60" s="36">
        <f>10.98/10</f>
        <v>1.0980000000000001</v>
      </c>
      <c r="O60" s="36"/>
      <c r="P60" s="36"/>
      <c r="Q60" s="36"/>
      <c r="R60" s="36"/>
      <c r="S60" s="254">
        <f t="shared" si="0"/>
        <v>1.525166666666667</v>
      </c>
      <c r="T60" s="33" t="s">
        <v>252</v>
      </c>
      <c r="U60" s="236"/>
      <c r="V60" s="236"/>
      <c r="W60" s="236"/>
      <c r="X60" s="236"/>
      <c r="Y60" s="236"/>
      <c r="Z60" s="236"/>
      <c r="AA60" s="236"/>
      <c r="AB60" s="236"/>
      <c r="AC60" s="236"/>
      <c r="AD60" s="236"/>
    </row>
    <row r="61" spans="1:30" ht="15.75" customHeight="1">
      <c r="A61" s="25">
        <v>2</v>
      </c>
      <c r="B61" s="25">
        <v>3</v>
      </c>
      <c r="C61" s="25">
        <v>6</v>
      </c>
      <c r="D61" s="25" t="s">
        <v>58</v>
      </c>
      <c r="E61" s="26" t="s">
        <v>59</v>
      </c>
      <c r="F61" s="25" t="s">
        <v>68</v>
      </c>
      <c r="G61" s="251">
        <v>50816</v>
      </c>
      <c r="H61" s="31">
        <v>983</v>
      </c>
      <c r="I61" s="36">
        <f>7.42/10</f>
        <v>0.74199999999999999</v>
      </c>
      <c r="J61" s="36">
        <f>6.41/10</f>
        <v>0.64100000000000001</v>
      </c>
      <c r="K61" s="36">
        <f>10.53/10</f>
        <v>1.0529999999999999</v>
      </c>
      <c r="L61" s="36">
        <f>10.49/10</f>
        <v>1.0489999999999999</v>
      </c>
      <c r="M61" s="36">
        <f>12.15/10</f>
        <v>1.2150000000000001</v>
      </c>
      <c r="N61" s="36">
        <f>10.08/10</f>
        <v>1.008</v>
      </c>
      <c r="O61" s="36">
        <f>10.03/10</f>
        <v>1.0029999999999999</v>
      </c>
      <c r="P61" s="36">
        <f>11.69/10</f>
        <v>1.169</v>
      </c>
      <c r="Q61" s="36">
        <f>10.09/10</f>
        <v>1.0089999999999999</v>
      </c>
      <c r="R61" s="36">
        <f>10.43/10</f>
        <v>1.0429999999999999</v>
      </c>
      <c r="S61" s="254">
        <f t="shared" si="0"/>
        <v>0.99320000000000008</v>
      </c>
      <c r="T61" s="33" t="s">
        <v>252</v>
      </c>
      <c r="U61" s="236"/>
      <c r="V61" s="236"/>
      <c r="W61" s="236"/>
      <c r="X61" s="236"/>
      <c r="Y61" s="236"/>
      <c r="Z61" s="236"/>
      <c r="AA61" s="236"/>
      <c r="AB61" s="236"/>
      <c r="AC61" s="236"/>
      <c r="AD61" s="236"/>
    </row>
    <row r="62" spans="1:30" ht="15.75" customHeight="1">
      <c r="A62" s="25">
        <v>2</v>
      </c>
      <c r="B62" s="25">
        <v>3</v>
      </c>
      <c r="C62" s="25">
        <v>6</v>
      </c>
      <c r="D62" s="25" t="s">
        <v>58</v>
      </c>
      <c r="E62" s="26" t="s">
        <v>59</v>
      </c>
      <c r="F62" s="25" t="s">
        <v>34</v>
      </c>
      <c r="G62" s="251">
        <v>50773</v>
      </c>
      <c r="H62" s="31">
        <v>13</v>
      </c>
      <c r="I62" s="36">
        <f>9.92/10</f>
        <v>0.99199999999999999</v>
      </c>
      <c r="J62" s="36"/>
      <c r="K62" s="36"/>
      <c r="L62" s="36"/>
      <c r="M62" s="36"/>
      <c r="N62" s="36"/>
      <c r="O62" s="36"/>
      <c r="P62" s="36"/>
      <c r="Q62" s="36"/>
      <c r="R62" s="36"/>
      <c r="S62" s="254">
        <f t="shared" si="0"/>
        <v>0.99199999999999999</v>
      </c>
      <c r="T62" s="33" t="s">
        <v>252</v>
      </c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</row>
    <row r="63" spans="1:30" ht="15.75" customHeight="1">
      <c r="A63" s="25">
        <v>2</v>
      </c>
      <c r="B63" s="25">
        <v>3</v>
      </c>
      <c r="C63" s="25">
        <v>6</v>
      </c>
      <c r="D63" s="25" t="s">
        <v>91</v>
      </c>
      <c r="E63" s="26" t="s">
        <v>92</v>
      </c>
      <c r="F63" s="25" t="s">
        <v>31</v>
      </c>
      <c r="G63" s="251">
        <v>50784</v>
      </c>
      <c r="H63" s="31">
        <v>32</v>
      </c>
      <c r="I63" s="36">
        <f>11.31/10</f>
        <v>1.131</v>
      </c>
      <c r="J63" s="36"/>
      <c r="K63" s="36"/>
      <c r="L63" s="36"/>
      <c r="M63" s="36"/>
      <c r="N63" s="36"/>
      <c r="O63" s="36"/>
      <c r="P63" s="36"/>
      <c r="Q63" s="36"/>
      <c r="R63" s="36"/>
      <c r="S63" s="254">
        <f t="shared" si="0"/>
        <v>1.131</v>
      </c>
      <c r="T63" s="33" t="s">
        <v>252</v>
      </c>
      <c r="U63" s="236"/>
      <c r="V63" s="236"/>
      <c r="W63" s="236"/>
      <c r="X63" s="236"/>
      <c r="Y63" s="236"/>
      <c r="Z63" s="236"/>
      <c r="AA63" s="236"/>
      <c r="AB63" s="236"/>
      <c r="AC63" s="236"/>
      <c r="AD63" s="236"/>
    </row>
    <row r="64" spans="1:30" ht="15.75" customHeight="1">
      <c r="A64" s="25">
        <v>2</v>
      </c>
      <c r="B64" s="25">
        <v>3</v>
      </c>
      <c r="C64" s="25">
        <v>7</v>
      </c>
      <c r="D64" s="25" t="s">
        <v>93</v>
      </c>
      <c r="E64" s="26" t="s">
        <v>94</v>
      </c>
      <c r="F64" s="25" t="s">
        <v>34</v>
      </c>
      <c r="G64" s="251">
        <v>50604</v>
      </c>
      <c r="H64" s="31">
        <v>350</v>
      </c>
      <c r="I64" s="36">
        <f>10.63/10</f>
        <v>1.0630000000000002</v>
      </c>
      <c r="J64" s="36">
        <f>17.49/10</f>
        <v>1.7489999999999999</v>
      </c>
      <c r="K64" s="36">
        <f>14.16/10</f>
        <v>1.4159999999999999</v>
      </c>
      <c r="L64" s="36">
        <f>11.11/10</f>
        <v>1.111</v>
      </c>
      <c r="M64" s="36">
        <f>11.74/10</f>
        <v>1.1739999999999999</v>
      </c>
      <c r="N64" s="36">
        <f>12.6/10</f>
        <v>1.26</v>
      </c>
      <c r="O64" s="36">
        <f>12.46/10</f>
        <v>1.246</v>
      </c>
      <c r="P64" s="36">
        <f>13.25/10</f>
        <v>1.325</v>
      </c>
      <c r="Q64" s="36">
        <f>13.29/10</f>
        <v>1.329</v>
      </c>
      <c r="R64" s="36">
        <f>10.34/10</f>
        <v>1.034</v>
      </c>
      <c r="S64" s="254">
        <f t="shared" si="0"/>
        <v>1.2707000000000002</v>
      </c>
      <c r="T64" s="33" t="s">
        <v>252</v>
      </c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</row>
    <row r="65" spans="1:30" ht="15.75" customHeight="1">
      <c r="A65" s="53">
        <v>2</v>
      </c>
      <c r="B65" s="53">
        <v>3</v>
      </c>
      <c r="C65" s="53">
        <v>7</v>
      </c>
      <c r="D65" s="53" t="s">
        <v>72</v>
      </c>
      <c r="E65" s="54" t="s">
        <v>73</v>
      </c>
      <c r="F65" s="53" t="s">
        <v>31</v>
      </c>
      <c r="G65" s="262">
        <v>50803</v>
      </c>
      <c r="H65" s="57">
        <v>132</v>
      </c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254"/>
      <c r="T65" s="53" t="s">
        <v>55</v>
      </c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</row>
    <row r="66" spans="1:30" ht="15.75" customHeight="1">
      <c r="A66" s="25">
        <v>2</v>
      </c>
      <c r="B66" s="25">
        <v>3</v>
      </c>
      <c r="C66" s="25">
        <v>8</v>
      </c>
      <c r="D66" s="25" t="s">
        <v>95</v>
      </c>
      <c r="E66" s="26" t="s">
        <v>96</v>
      </c>
      <c r="F66" s="25" t="s">
        <v>34</v>
      </c>
      <c r="G66" s="251">
        <v>50886</v>
      </c>
      <c r="H66" s="31">
        <v>289</v>
      </c>
      <c r="I66" s="36">
        <f>5.02/10</f>
        <v>0.502</v>
      </c>
      <c r="J66" s="36">
        <f>3.25/10</f>
        <v>0.32500000000000001</v>
      </c>
      <c r="K66" s="36">
        <f>2.83/10</f>
        <v>0.28300000000000003</v>
      </c>
      <c r="L66" s="36">
        <f>2.53/10</f>
        <v>0.253</v>
      </c>
      <c r="M66" s="36">
        <f>3.61/10</f>
        <v>0.36099999999999999</v>
      </c>
      <c r="N66" s="36">
        <f>3.21/10</f>
        <v>0.32100000000000001</v>
      </c>
      <c r="O66" s="36">
        <f>3.14/10</f>
        <v>0.314</v>
      </c>
      <c r="P66" s="36">
        <f>3.32/10</f>
        <v>0.33199999999999996</v>
      </c>
      <c r="Q66" s="36">
        <f>3.99/10</f>
        <v>0.39900000000000002</v>
      </c>
      <c r="R66" s="36">
        <f>5.86/10</f>
        <v>0.58600000000000008</v>
      </c>
      <c r="S66" s="254">
        <f t="shared" si="0"/>
        <v>0.36760000000000004</v>
      </c>
      <c r="T66" s="33" t="s">
        <v>252</v>
      </c>
      <c r="U66" s="236"/>
      <c r="V66" s="236"/>
      <c r="W66" s="236"/>
      <c r="X66" s="236"/>
      <c r="Y66" s="236"/>
      <c r="Z66" s="236"/>
      <c r="AA66" s="236"/>
      <c r="AB66" s="236"/>
      <c r="AC66" s="236"/>
      <c r="AD66" s="236"/>
    </row>
    <row r="67" spans="1:30" ht="15.75" customHeight="1">
      <c r="A67" s="25">
        <v>2</v>
      </c>
      <c r="B67" s="25">
        <v>3</v>
      </c>
      <c r="C67" s="25">
        <v>8</v>
      </c>
      <c r="D67" s="25" t="s">
        <v>74</v>
      </c>
      <c r="E67" s="26" t="s">
        <v>75</v>
      </c>
      <c r="F67" s="25" t="s">
        <v>34</v>
      </c>
      <c r="G67" s="251">
        <v>50887</v>
      </c>
      <c r="H67" s="31">
        <v>179</v>
      </c>
      <c r="I67" s="36">
        <f>4.84/10</f>
        <v>0.48399999999999999</v>
      </c>
      <c r="J67" s="36">
        <f>3.32/10</f>
        <v>0.33199999999999996</v>
      </c>
      <c r="K67" s="36">
        <f>2.59/10</f>
        <v>0.25900000000000001</v>
      </c>
      <c r="L67" s="36">
        <f>2.77/10</f>
        <v>0.27700000000000002</v>
      </c>
      <c r="M67" s="36">
        <f>2.47/10</f>
        <v>0.24700000000000003</v>
      </c>
      <c r="N67" s="36">
        <f>1.88/10</f>
        <v>0.188</v>
      </c>
      <c r="O67" s="36">
        <f>2.27/10</f>
        <v>0.22700000000000001</v>
      </c>
      <c r="P67" s="36">
        <f>1.73/10</f>
        <v>0.17299999999999999</v>
      </c>
      <c r="Q67" s="36">
        <f>1.61/10</f>
        <v>0.161</v>
      </c>
      <c r="R67" s="33" t="s">
        <v>80</v>
      </c>
      <c r="S67" s="254">
        <f t="shared" si="0"/>
        <v>0.26088888888888889</v>
      </c>
      <c r="T67" s="33" t="s">
        <v>252</v>
      </c>
      <c r="U67" s="236"/>
      <c r="V67" s="236"/>
      <c r="W67" s="236"/>
      <c r="X67" s="236"/>
      <c r="Y67" s="236"/>
      <c r="Z67" s="236"/>
      <c r="AA67" s="236"/>
      <c r="AB67" s="236"/>
      <c r="AC67" s="236"/>
      <c r="AD67" s="236"/>
    </row>
    <row r="68" spans="1:30" ht="15.75" customHeight="1">
      <c r="A68" s="25">
        <v>2</v>
      </c>
      <c r="B68" s="25">
        <v>3</v>
      </c>
      <c r="C68" s="25">
        <v>9</v>
      </c>
      <c r="D68" s="25" t="s">
        <v>97</v>
      </c>
      <c r="E68" s="26" t="s">
        <v>98</v>
      </c>
      <c r="F68" s="25" t="s">
        <v>68</v>
      </c>
      <c r="G68" s="251">
        <v>50845</v>
      </c>
      <c r="H68" s="31">
        <v>459</v>
      </c>
      <c r="I68" s="36">
        <f>4.38/10</f>
        <v>0.438</v>
      </c>
      <c r="J68" s="36">
        <f>5.05/10</f>
        <v>0.505</v>
      </c>
      <c r="K68" s="36">
        <f>2.3/10</f>
        <v>0.22999999999999998</v>
      </c>
      <c r="L68" s="36">
        <f>5.85/10</f>
        <v>0.58499999999999996</v>
      </c>
      <c r="M68" s="36">
        <f>4.93/10</f>
        <v>0.49299999999999999</v>
      </c>
      <c r="N68" s="36">
        <f>2.91/10</f>
        <v>0.29100000000000004</v>
      </c>
      <c r="O68" s="36">
        <f>5.91/10</f>
        <v>0.59099999999999997</v>
      </c>
      <c r="P68" s="36">
        <f>6.25/10</f>
        <v>0.625</v>
      </c>
      <c r="Q68" s="36">
        <f>3.4/10</f>
        <v>0.33999999999999997</v>
      </c>
      <c r="R68" s="36">
        <f>7.44/10</f>
        <v>0.74399999999999999</v>
      </c>
      <c r="S68" s="254">
        <f t="shared" si="0"/>
        <v>0.48419999999999996</v>
      </c>
      <c r="T68" s="33" t="s">
        <v>252</v>
      </c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</row>
    <row r="69" spans="1:30" ht="15.75" customHeight="1">
      <c r="A69" s="38">
        <v>2</v>
      </c>
      <c r="B69" s="38">
        <v>3</v>
      </c>
      <c r="C69" s="38">
        <v>9</v>
      </c>
      <c r="D69" s="38" t="s">
        <v>97</v>
      </c>
      <c r="E69" s="40" t="s">
        <v>98</v>
      </c>
      <c r="F69" s="38" t="s">
        <v>34</v>
      </c>
      <c r="G69" s="258">
        <v>50590</v>
      </c>
      <c r="H69" s="46">
        <v>3</v>
      </c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254"/>
      <c r="T69" s="38" t="s">
        <v>43</v>
      </c>
      <c r="U69" s="236"/>
      <c r="V69" s="236"/>
      <c r="W69" s="236"/>
      <c r="X69" s="236"/>
      <c r="Y69" s="236"/>
      <c r="Z69" s="236"/>
      <c r="AA69" s="236"/>
      <c r="AB69" s="236"/>
      <c r="AC69" s="236"/>
      <c r="AD69" s="236"/>
    </row>
    <row r="70" spans="1:30" ht="15.75" customHeight="1">
      <c r="A70" s="25">
        <v>2</v>
      </c>
      <c r="B70" s="25">
        <v>3</v>
      </c>
      <c r="C70" s="25">
        <v>9</v>
      </c>
      <c r="D70" s="25" t="s">
        <v>99</v>
      </c>
      <c r="E70" s="96"/>
      <c r="F70" s="25" t="s">
        <v>25</v>
      </c>
      <c r="G70" s="251">
        <v>50848</v>
      </c>
      <c r="H70" s="31">
        <v>217</v>
      </c>
      <c r="I70" s="36">
        <f>4.61/10</f>
        <v>0.46100000000000002</v>
      </c>
      <c r="J70" s="36">
        <f>5.56/10</f>
        <v>0.55599999999999994</v>
      </c>
      <c r="K70" s="36">
        <f>7.12/10</f>
        <v>0.71199999999999997</v>
      </c>
      <c r="L70" s="36">
        <f>3.12/10</f>
        <v>0.312</v>
      </c>
      <c r="M70" s="36">
        <f>4.55/10</f>
        <v>0.45499999999999996</v>
      </c>
      <c r="N70" s="36">
        <f>5.82/10</f>
        <v>0.58200000000000007</v>
      </c>
      <c r="O70" s="36">
        <f>4.7/10</f>
        <v>0.47000000000000003</v>
      </c>
      <c r="P70" s="36">
        <f>4.76/10</f>
        <v>0.47599999999999998</v>
      </c>
      <c r="Q70" s="36"/>
      <c r="R70" s="36"/>
      <c r="S70" s="254">
        <f t="shared" si="0"/>
        <v>0.50300000000000011</v>
      </c>
      <c r="T70" s="33" t="s">
        <v>252</v>
      </c>
      <c r="U70" s="236"/>
      <c r="V70" s="236"/>
      <c r="W70" s="236"/>
      <c r="X70" s="236"/>
      <c r="Y70" s="236"/>
      <c r="Z70" s="236"/>
      <c r="AA70" s="236"/>
      <c r="AB70" s="236"/>
      <c r="AC70" s="236"/>
      <c r="AD70" s="236"/>
    </row>
    <row r="71" spans="1:30" ht="15.75" customHeight="1">
      <c r="A71" s="53">
        <v>2</v>
      </c>
      <c r="B71" s="53">
        <v>3</v>
      </c>
      <c r="C71" s="53">
        <v>9</v>
      </c>
      <c r="D71" s="53" t="s">
        <v>100</v>
      </c>
      <c r="E71" s="54" t="s">
        <v>101</v>
      </c>
      <c r="F71" s="53" t="s">
        <v>68</v>
      </c>
      <c r="G71" s="262">
        <v>50645</v>
      </c>
      <c r="H71" s="57">
        <v>102</v>
      </c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254"/>
      <c r="T71" s="53" t="s">
        <v>55</v>
      </c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</row>
    <row r="72" spans="1:30" ht="15.75" customHeight="1">
      <c r="A72" s="25">
        <v>2</v>
      </c>
      <c r="B72" s="25">
        <v>3</v>
      </c>
      <c r="C72" s="25">
        <v>9</v>
      </c>
      <c r="D72" s="25" t="s">
        <v>100</v>
      </c>
      <c r="E72" s="26" t="s">
        <v>101</v>
      </c>
      <c r="F72" s="25" t="s">
        <v>25</v>
      </c>
      <c r="G72" s="251">
        <v>50746</v>
      </c>
      <c r="H72" s="31">
        <v>53</v>
      </c>
      <c r="I72" s="36">
        <f>7.65/10</f>
        <v>0.76500000000000001</v>
      </c>
      <c r="J72" s="36">
        <f>4.83/10</f>
        <v>0.48299999999999998</v>
      </c>
      <c r="K72" s="36">
        <f>3.52/10</f>
        <v>0.35199999999999998</v>
      </c>
      <c r="L72" s="36"/>
      <c r="M72" s="36"/>
      <c r="N72" s="36"/>
      <c r="O72" s="36"/>
      <c r="P72" s="36"/>
      <c r="Q72" s="36"/>
      <c r="R72" s="36"/>
      <c r="S72" s="254">
        <f t="shared" si="0"/>
        <v>0.53333333333333333</v>
      </c>
      <c r="T72" s="33" t="s">
        <v>252</v>
      </c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</row>
    <row r="73" spans="1:30" ht="15.75" customHeight="1">
      <c r="A73" s="25">
        <v>2</v>
      </c>
      <c r="B73" s="25">
        <v>3</v>
      </c>
      <c r="C73" s="25">
        <v>9</v>
      </c>
      <c r="D73" s="25" t="s">
        <v>100</v>
      </c>
      <c r="E73" s="26" t="s">
        <v>101</v>
      </c>
      <c r="F73" s="25" t="s">
        <v>31</v>
      </c>
      <c r="G73" s="251">
        <v>50804</v>
      </c>
      <c r="H73" s="31">
        <v>29</v>
      </c>
      <c r="I73" s="33">
        <v>0.69799999999999995</v>
      </c>
      <c r="J73" s="36"/>
      <c r="K73" s="36"/>
      <c r="L73" s="36"/>
      <c r="M73" s="36"/>
      <c r="N73" s="36"/>
      <c r="O73" s="36"/>
      <c r="P73" s="36"/>
      <c r="Q73" s="36"/>
      <c r="R73" s="36"/>
      <c r="S73" s="254">
        <f t="shared" si="0"/>
        <v>0.69799999999999995</v>
      </c>
      <c r="T73" s="33" t="s">
        <v>252</v>
      </c>
      <c r="U73" s="236"/>
      <c r="V73" s="236"/>
      <c r="W73" s="236"/>
      <c r="X73" s="236"/>
      <c r="Y73" s="236"/>
      <c r="Z73" s="236"/>
      <c r="AA73" s="236"/>
      <c r="AB73" s="236"/>
      <c r="AC73" s="236"/>
      <c r="AD73" s="236"/>
    </row>
    <row r="74" spans="1:30" ht="15.75" customHeight="1">
      <c r="A74" s="25">
        <v>2</v>
      </c>
      <c r="B74" s="25">
        <v>3</v>
      </c>
      <c r="C74" s="25">
        <v>11</v>
      </c>
      <c r="D74" s="25" t="s">
        <v>102</v>
      </c>
      <c r="E74" s="26" t="s">
        <v>103</v>
      </c>
      <c r="F74" s="25" t="s">
        <v>31</v>
      </c>
      <c r="G74" s="251">
        <v>50821</v>
      </c>
      <c r="H74" s="31">
        <v>369</v>
      </c>
      <c r="I74" s="36">
        <f>5.88/10</f>
        <v>0.58799999999999997</v>
      </c>
      <c r="J74" s="36">
        <f>9.76/10</f>
        <v>0.97599999999999998</v>
      </c>
      <c r="K74" s="36">
        <f>7.6/10</f>
        <v>0.76</v>
      </c>
      <c r="L74" s="36">
        <f>10.78/10</f>
        <v>1.0779999999999998</v>
      </c>
      <c r="M74" s="36">
        <f>5.69/10</f>
        <v>0.56900000000000006</v>
      </c>
      <c r="N74" s="36">
        <f>8.29/10</f>
        <v>0.82899999999999996</v>
      </c>
      <c r="O74" s="36">
        <f>11.1/10</f>
        <v>1.1099999999999999</v>
      </c>
      <c r="P74" s="36">
        <f>8.94/10</f>
        <v>0.89399999999999991</v>
      </c>
      <c r="Q74" s="36">
        <f>7.68/10</f>
        <v>0.76800000000000002</v>
      </c>
      <c r="R74" s="36">
        <f>9.65/10</f>
        <v>0.96500000000000008</v>
      </c>
      <c r="S74" s="254">
        <f t="shared" si="0"/>
        <v>0.85370000000000013</v>
      </c>
      <c r="T74" s="33" t="s">
        <v>252</v>
      </c>
      <c r="U74" s="236"/>
      <c r="V74" s="236"/>
      <c r="W74" s="236"/>
      <c r="X74" s="236"/>
      <c r="Y74" s="236"/>
      <c r="Z74" s="236"/>
      <c r="AA74" s="236"/>
      <c r="AB74" s="236"/>
      <c r="AC74" s="236"/>
      <c r="AD74" s="236"/>
    </row>
    <row r="75" spans="1:30" ht="15.75" customHeight="1">
      <c r="A75" s="53">
        <v>2</v>
      </c>
      <c r="B75" s="53">
        <v>3</v>
      </c>
      <c r="C75" s="53">
        <v>11</v>
      </c>
      <c r="D75" s="53" t="s">
        <v>102</v>
      </c>
      <c r="E75" s="54" t="s">
        <v>103</v>
      </c>
      <c r="F75" s="53" t="s">
        <v>34</v>
      </c>
      <c r="G75" s="262">
        <v>50415</v>
      </c>
      <c r="H75" s="57">
        <v>4</v>
      </c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254"/>
      <c r="T75" s="53" t="s">
        <v>55</v>
      </c>
      <c r="U75" s="236"/>
      <c r="V75" s="236"/>
      <c r="W75" s="236"/>
      <c r="X75" s="236"/>
      <c r="Y75" s="236"/>
      <c r="Z75" s="236"/>
      <c r="AA75" s="236"/>
      <c r="AB75" s="236"/>
      <c r="AC75" s="236"/>
      <c r="AD75" s="236"/>
    </row>
    <row r="76" spans="1:30" ht="15.75" customHeight="1">
      <c r="A76" s="25">
        <v>2</v>
      </c>
      <c r="B76" s="25">
        <v>3</v>
      </c>
      <c r="C76" s="25">
        <v>11</v>
      </c>
      <c r="D76" s="25" t="s">
        <v>102</v>
      </c>
      <c r="E76" s="26" t="s">
        <v>104</v>
      </c>
      <c r="F76" s="25" t="s">
        <v>68</v>
      </c>
      <c r="G76" s="251">
        <v>50658</v>
      </c>
      <c r="H76" s="31">
        <v>136</v>
      </c>
      <c r="I76" s="33">
        <f>9.17/10</f>
        <v>0.91700000000000004</v>
      </c>
      <c r="J76" s="33">
        <f>11.09/10</f>
        <v>1.109</v>
      </c>
      <c r="K76" s="36">
        <f>10.32/10</f>
        <v>1.032</v>
      </c>
      <c r="L76" s="36">
        <f>5.56/10</f>
        <v>0.55599999999999994</v>
      </c>
      <c r="M76" s="36">
        <f>7.49/10</f>
        <v>0.749</v>
      </c>
      <c r="N76" s="36"/>
      <c r="O76" s="36"/>
      <c r="P76" s="36"/>
      <c r="Q76" s="36"/>
      <c r="R76" s="36"/>
      <c r="S76" s="254">
        <f t="shared" si="0"/>
        <v>0.87259999999999993</v>
      </c>
      <c r="T76" s="33" t="s">
        <v>252</v>
      </c>
      <c r="U76" s="236"/>
      <c r="V76" s="236"/>
      <c r="W76" s="236"/>
      <c r="X76" s="236"/>
      <c r="Y76" s="236"/>
      <c r="Z76" s="236"/>
      <c r="AA76" s="236"/>
      <c r="AB76" s="236"/>
      <c r="AC76" s="236"/>
      <c r="AD76" s="236"/>
    </row>
    <row r="77" spans="1:30" ht="15.75" customHeight="1">
      <c r="A77" s="25">
        <v>2</v>
      </c>
      <c r="B77" s="25">
        <v>3</v>
      </c>
      <c r="C77" s="25">
        <v>12</v>
      </c>
      <c r="D77" s="25" t="s">
        <v>102</v>
      </c>
      <c r="E77" s="26" t="s">
        <v>103</v>
      </c>
      <c r="F77" s="25" t="s">
        <v>68</v>
      </c>
      <c r="G77" s="251">
        <v>50817</v>
      </c>
      <c r="H77" s="31">
        <v>1429</v>
      </c>
      <c r="I77" s="36">
        <f>12.43/10</f>
        <v>1.2429999999999999</v>
      </c>
      <c r="J77" s="36">
        <f>7.69/10</f>
        <v>0.76900000000000002</v>
      </c>
      <c r="K77" s="36">
        <f>7.35/10</f>
        <v>0.73499999999999999</v>
      </c>
      <c r="L77" s="36">
        <f>7.16/10</f>
        <v>0.71599999999999997</v>
      </c>
      <c r="M77" s="36">
        <f>5.56/10</f>
        <v>0.55599999999999994</v>
      </c>
      <c r="N77" s="36">
        <f>7.67/10</f>
        <v>0.76700000000000002</v>
      </c>
      <c r="O77" s="36">
        <f>4.99/10</f>
        <v>0.499</v>
      </c>
      <c r="P77" s="36">
        <f>4.5/10</f>
        <v>0.45</v>
      </c>
      <c r="Q77" s="36">
        <f>5.84/10</f>
        <v>0.58399999999999996</v>
      </c>
      <c r="R77" s="36">
        <f>3.11/10</f>
        <v>0.311</v>
      </c>
      <c r="S77" s="254">
        <f t="shared" si="0"/>
        <v>0.66300000000000003</v>
      </c>
      <c r="T77" s="33" t="s">
        <v>252</v>
      </c>
      <c r="U77" s="236"/>
      <c r="V77" s="236"/>
      <c r="W77" s="236"/>
      <c r="X77" s="236"/>
      <c r="Y77" s="236"/>
      <c r="Z77" s="236"/>
      <c r="AA77" s="236"/>
      <c r="AB77" s="236"/>
      <c r="AC77" s="236"/>
      <c r="AD77" s="236"/>
    </row>
    <row r="78" spans="1:30" ht="15.75" customHeight="1">
      <c r="A78" s="25">
        <v>2</v>
      </c>
      <c r="B78" s="25">
        <v>3</v>
      </c>
      <c r="C78" s="25">
        <v>13</v>
      </c>
      <c r="D78" s="25" t="s">
        <v>105</v>
      </c>
      <c r="E78" s="26" t="s">
        <v>106</v>
      </c>
      <c r="F78" s="25" t="s">
        <v>25</v>
      </c>
      <c r="G78" s="251">
        <v>50859</v>
      </c>
      <c r="H78" s="31">
        <v>349</v>
      </c>
      <c r="I78" s="36">
        <f>8.81/10</f>
        <v>0.88100000000000001</v>
      </c>
      <c r="J78" s="36">
        <f>8.16/10</f>
        <v>0.81600000000000006</v>
      </c>
      <c r="K78" s="36">
        <f>5.68/10</f>
        <v>0.56799999999999995</v>
      </c>
      <c r="L78" s="36">
        <f>5.84/10</f>
        <v>0.58399999999999996</v>
      </c>
      <c r="M78" s="36">
        <f>4.84/10</f>
        <v>0.48399999999999999</v>
      </c>
      <c r="N78" s="36">
        <f>5.67/10</f>
        <v>0.56699999999999995</v>
      </c>
      <c r="O78" s="36">
        <f>6.29/10</f>
        <v>0.629</v>
      </c>
      <c r="P78" s="36">
        <f>4.32/10</f>
        <v>0.43200000000000005</v>
      </c>
      <c r="Q78" s="36">
        <f>8.39/10</f>
        <v>0.83900000000000008</v>
      </c>
      <c r="R78" s="36">
        <f>9.03/10</f>
        <v>0.90299999999999991</v>
      </c>
      <c r="S78" s="254">
        <f t="shared" si="0"/>
        <v>0.67030000000000001</v>
      </c>
      <c r="T78" s="33" t="s">
        <v>252</v>
      </c>
      <c r="U78" s="236"/>
      <c r="V78" s="236"/>
      <c r="W78" s="236"/>
      <c r="X78" s="236"/>
      <c r="Y78" s="236"/>
      <c r="Z78" s="236"/>
      <c r="AA78" s="236"/>
      <c r="AB78" s="236"/>
      <c r="AC78" s="236"/>
      <c r="AD78" s="236"/>
    </row>
    <row r="79" spans="1:30" ht="15.75" customHeight="1">
      <c r="A79" s="25">
        <v>2</v>
      </c>
      <c r="B79" s="25">
        <v>3</v>
      </c>
      <c r="C79" s="25">
        <v>13</v>
      </c>
      <c r="D79" s="25" t="s">
        <v>105</v>
      </c>
      <c r="E79" s="26" t="s">
        <v>106</v>
      </c>
      <c r="F79" s="25" t="s">
        <v>25</v>
      </c>
      <c r="G79" s="251">
        <v>50735</v>
      </c>
      <c r="H79" s="31">
        <v>22</v>
      </c>
      <c r="I79" s="33">
        <v>0.68100000000000005</v>
      </c>
      <c r="J79" s="36"/>
      <c r="K79" s="36"/>
      <c r="L79" s="36"/>
      <c r="M79" s="36"/>
      <c r="N79" s="36"/>
      <c r="O79" s="36"/>
      <c r="P79" s="36"/>
      <c r="Q79" s="36"/>
      <c r="R79" s="36"/>
      <c r="S79" s="254">
        <f t="shared" si="0"/>
        <v>0.68100000000000005</v>
      </c>
      <c r="T79" s="33" t="s">
        <v>252</v>
      </c>
      <c r="U79" s="236"/>
      <c r="V79" s="236"/>
      <c r="W79" s="236"/>
      <c r="X79" s="236"/>
      <c r="Y79" s="236"/>
      <c r="Z79" s="236"/>
      <c r="AA79" s="236"/>
      <c r="AB79" s="236"/>
      <c r="AC79" s="236"/>
      <c r="AD79" s="236"/>
    </row>
    <row r="80" spans="1:30" ht="15.75" customHeight="1">
      <c r="A80" s="25">
        <v>2</v>
      </c>
      <c r="B80" s="25">
        <v>3</v>
      </c>
      <c r="C80" s="25">
        <v>13</v>
      </c>
      <c r="D80" s="25" t="s">
        <v>105</v>
      </c>
      <c r="E80" s="26" t="s">
        <v>106</v>
      </c>
      <c r="F80" s="25" t="s">
        <v>25</v>
      </c>
      <c r="G80" s="251">
        <v>50756</v>
      </c>
      <c r="H80" s="31">
        <v>37</v>
      </c>
      <c r="I80" s="32">
        <v>1.075</v>
      </c>
      <c r="J80" s="36"/>
      <c r="K80" s="36"/>
      <c r="L80" s="36"/>
      <c r="M80" s="36"/>
      <c r="N80" s="36"/>
      <c r="O80" s="36"/>
      <c r="P80" s="36"/>
      <c r="Q80" s="36"/>
      <c r="R80" s="36"/>
      <c r="S80" s="254">
        <f t="shared" si="0"/>
        <v>1.075</v>
      </c>
      <c r="T80" s="36"/>
      <c r="U80" s="236"/>
      <c r="V80" s="236"/>
      <c r="W80" s="236"/>
      <c r="X80" s="236"/>
      <c r="Y80" s="236"/>
      <c r="Z80" s="236"/>
      <c r="AA80" s="236"/>
      <c r="AB80" s="236"/>
      <c r="AC80" s="236"/>
      <c r="AD80" s="236"/>
    </row>
    <row r="81" spans="1:30" ht="15.75" customHeight="1">
      <c r="A81" s="25">
        <v>2</v>
      </c>
      <c r="B81" s="25">
        <v>3</v>
      </c>
      <c r="C81" s="25">
        <v>13</v>
      </c>
      <c r="D81" s="25" t="s">
        <v>105</v>
      </c>
      <c r="E81" s="26" t="s">
        <v>106</v>
      </c>
      <c r="F81" s="25" t="s">
        <v>68</v>
      </c>
      <c r="G81" s="251">
        <v>50836</v>
      </c>
      <c r="H81" s="31">
        <v>172</v>
      </c>
      <c r="I81" s="32">
        <v>0.95799999999999996</v>
      </c>
      <c r="J81" s="32">
        <v>0.96499999999999997</v>
      </c>
      <c r="K81" s="32">
        <v>0.875</v>
      </c>
      <c r="L81" s="32">
        <v>0.93100000000000005</v>
      </c>
      <c r="M81" s="32">
        <v>0.96899999999999997</v>
      </c>
      <c r="N81" s="32">
        <v>0.79600000000000004</v>
      </c>
      <c r="O81" s="32">
        <v>0.66700000000000004</v>
      </c>
      <c r="P81" s="32">
        <v>0.83699999999999997</v>
      </c>
      <c r="Q81" s="36"/>
      <c r="R81" s="36"/>
      <c r="S81" s="254">
        <f t="shared" si="0"/>
        <v>0.87475000000000003</v>
      </c>
      <c r="T81" s="36"/>
      <c r="U81" s="236"/>
      <c r="V81" s="236"/>
      <c r="W81" s="236"/>
      <c r="X81" s="236"/>
      <c r="Y81" s="236"/>
      <c r="Z81" s="236"/>
      <c r="AA81" s="236"/>
      <c r="AB81" s="236"/>
      <c r="AC81" s="236"/>
      <c r="AD81" s="236"/>
    </row>
    <row r="82" spans="1:30" ht="15.75" customHeight="1">
      <c r="A82" s="25">
        <v>2</v>
      </c>
      <c r="B82" s="25">
        <v>3</v>
      </c>
      <c r="C82" s="25">
        <v>14</v>
      </c>
      <c r="D82" s="25" t="s">
        <v>107</v>
      </c>
      <c r="E82" s="26" t="s">
        <v>108</v>
      </c>
      <c r="F82" s="25" t="s">
        <v>25</v>
      </c>
      <c r="G82" s="251">
        <v>50847</v>
      </c>
      <c r="H82" s="31">
        <v>371</v>
      </c>
      <c r="I82" s="32">
        <v>0.57399999999999995</v>
      </c>
      <c r="J82" s="32">
        <v>0.45500000000000002</v>
      </c>
      <c r="K82" s="32">
        <v>0.33800000000000002</v>
      </c>
      <c r="L82" s="32">
        <v>0.311</v>
      </c>
      <c r="M82" s="32">
        <v>0.42899999999999999</v>
      </c>
      <c r="N82" s="32">
        <v>0.216</v>
      </c>
      <c r="O82" s="32">
        <v>0.42399999999999999</v>
      </c>
      <c r="P82" s="32">
        <v>0.53700000000000003</v>
      </c>
      <c r="Q82" s="32">
        <v>0.54200000000000004</v>
      </c>
      <c r="R82" s="32">
        <v>0.68899999999999995</v>
      </c>
      <c r="S82" s="254">
        <f t="shared" si="0"/>
        <v>0.45149999999999996</v>
      </c>
      <c r="T82" s="36"/>
      <c r="U82" s="236"/>
      <c r="V82" s="236"/>
      <c r="W82" s="236"/>
      <c r="X82" s="236"/>
      <c r="Y82" s="236"/>
      <c r="Z82" s="236"/>
      <c r="AA82" s="236"/>
      <c r="AB82" s="236"/>
      <c r="AC82" s="236"/>
      <c r="AD82" s="236"/>
    </row>
    <row r="83" spans="1:30" ht="15.75" customHeight="1">
      <c r="A83" s="25">
        <v>2</v>
      </c>
      <c r="B83" s="25">
        <v>3</v>
      </c>
      <c r="C83" s="25">
        <v>14</v>
      </c>
      <c r="D83" s="25" t="s">
        <v>107</v>
      </c>
      <c r="E83" s="26" t="s">
        <v>108</v>
      </c>
      <c r="F83" s="25" t="s">
        <v>109</v>
      </c>
      <c r="G83" s="251">
        <v>50743</v>
      </c>
      <c r="H83" s="31">
        <v>88</v>
      </c>
      <c r="I83" s="32">
        <v>0.503</v>
      </c>
      <c r="J83" s="36"/>
      <c r="K83" s="36"/>
      <c r="L83" s="36"/>
      <c r="M83" s="36"/>
      <c r="N83" s="36"/>
      <c r="O83" s="36"/>
      <c r="P83" s="36"/>
      <c r="Q83" s="36"/>
      <c r="R83" s="36"/>
      <c r="S83" s="254">
        <f t="shared" si="0"/>
        <v>0.503</v>
      </c>
      <c r="T83" s="36"/>
      <c r="U83" s="236"/>
      <c r="V83" s="236"/>
      <c r="W83" s="236"/>
      <c r="X83" s="236"/>
      <c r="Y83" s="236"/>
      <c r="Z83" s="236"/>
      <c r="AA83" s="236"/>
      <c r="AB83" s="236"/>
      <c r="AC83" s="236"/>
      <c r="AD83" s="236"/>
    </row>
    <row r="84" spans="1:30" ht="15.75" customHeight="1">
      <c r="A84" s="25">
        <v>2</v>
      </c>
      <c r="B84" s="25">
        <v>3</v>
      </c>
      <c r="C84" s="25">
        <v>17</v>
      </c>
      <c r="D84" s="25" t="s">
        <v>60</v>
      </c>
      <c r="E84" s="26" t="s">
        <v>71</v>
      </c>
      <c r="F84" s="25" t="s">
        <v>25</v>
      </c>
      <c r="G84" s="251">
        <v>50747</v>
      </c>
      <c r="H84" s="31">
        <v>1</v>
      </c>
      <c r="I84" s="32">
        <v>1.5920000000000001</v>
      </c>
      <c r="J84" s="36"/>
      <c r="K84" s="36"/>
      <c r="L84" s="36"/>
      <c r="M84" s="36"/>
      <c r="N84" s="36"/>
      <c r="O84" s="36"/>
      <c r="P84" s="36"/>
      <c r="Q84" s="36"/>
      <c r="R84" s="36"/>
      <c r="S84" s="254">
        <f t="shared" si="0"/>
        <v>1.5920000000000001</v>
      </c>
      <c r="T84" s="36"/>
      <c r="U84" s="236"/>
      <c r="V84" s="236"/>
      <c r="W84" s="236"/>
      <c r="X84" s="236"/>
      <c r="Y84" s="236"/>
      <c r="Z84" s="236"/>
      <c r="AA84" s="236"/>
      <c r="AB84" s="236"/>
      <c r="AC84" s="236"/>
      <c r="AD84" s="236"/>
    </row>
    <row r="85" spans="1:30" ht="15.75" customHeight="1">
      <c r="A85" s="101">
        <v>2</v>
      </c>
      <c r="B85" s="101">
        <v>3</v>
      </c>
      <c r="C85" s="101">
        <v>17</v>
      </c>
      <c r="D85" s="101" t="s">
        <v>60</v>
      </c>
      <c r="E85" s="104" t="s">
        <v>61</v>
      </c>
      <c r="F85" s="101" t="s">
        <v>25</v>
      </c>
      <c r="G85" s="286">
        <v>50733</v>
      </c>
      <c r="H85" s="110">
        <v>114</v>
      </c>
      <c r="I85" s="111">
        <v>1.0820000000000001</v>
      </c>
      <c r="J85" s="112"/>
      <c r="K85" s="112"/>
      <c r="L85" s="112"/>
      <c r="M85" s="112"/>
      <c r="N85" s="112"/>
      <c r="O85" s="112"/>
      <c r="P85" s="112"/>
      <c r="Q85" s="112"/>
      <c r="R85" s="112"/>
      <c r="S85" s="254">
        <f t="shared" si="0"/>
        <v>1.0820000000000001</v>
      </c>
      <c r="T85" s="287" t="s">
        <v>111</v>
      </c>
      <c r="U85" s="288"/>
      <c r="V85" s="288"/>
      <c r="W85" s="288"/>
      <c r="X85" s="288"/>
      <c r="Y85" s="288"/>
      <c r="Z85" s="288"/>
      <c r="AA85" s="288"/>
      <c r="AB85" s="288"/>
      <c r="AC85" s="288"/>
      <c r="AD85" s="288"/>
    </row>
    <row r="86" spans="1:30" ht="15.75" customHeight="1">
      <c r="A86" s="25">
        <v>2</v>
      </c>
      <c r="B86" s="25">
        <v>3</v>
      </c>
      <c r="C86" s="25">
        <v>17</v>
      </c>
      <c r="D86" s="25" t="s">
        <v>60</v>
      </c>
      <c r="E86" s="26" t="s">
        <v>61</v>
      </c>
      <c r="F86" s="25" t="s">
        <v>68</v>
      </c>
      <c r="G86" s="251">
        <v>50636</v>
      </c>
      <c r="H86" s="31">
        <v>36</v>
      </c>
      <c r="I86" s="32">
        <v>1.1140000000000001</v>
      </c>
      <c r="J86" s="32">
        <v>1.56</v>
      </c>
      <c r="K86" s="36"/>
      <c r="L86" s="36"/>
      <c r="M86" s="36"/>
      <c r="N86" s="36"/>
      <c r="O86" s="36"/>
      <c r="P86" s="36"/>
      <c r="Q86" s="36"/>
      <c r="R86" s="36"/>
      <c r="S86" s="254">
        <f t="shared" si="0"/>
        <v>1.3370000000000002</v>
      </c>
      <c r="T86" s="36"/>
      <c r="U86" s="236"/>
      <c r="V86" s="236"/>
      <c r="W86" s="236"/>
      <c r="X86" s="236"/>
      <c r="Y86" s="236"/>
      <c r="Z86" s="236"/>
      <c r="AA86" s="236"/>
      <c r="AB86" s="236"/>
      <c r="AC86" s="236"/>
      <c r="AD86" s="236"/>
    </row>
    <row r="87" spans="1:30" ht="15.75" customHeight="1">
      <c r="A87" s="38">
        <v>2</v>
      </c>
      <c r="B87" s="38">
        <v>3</v>
      </c>
      <c r="C87" s="38">
        <v>17</v>
      </c>
      <c r="D87" s="38" t="s">
        <v>60</v>
      </c>
      <c r="E87" s="40" t="s">
        <v>61</v>
      </c>
      <c r="F87" s="38" t="s">
        <v>68</v>
      </c>
      <c r="G87" s="258">
        <v>50668</v>
      </c>
      <c r="H87" s="46">
        <v>34</v>
      </c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254"/>
      <c r="T87" s="38" t="s">
        <v>43</v>
      </c>
      <c r="U87" s="236"/>
      <c r="V87" s="236"/>
      <c r="W87" s="236"/>
      <c r="X87" s="236"/>
      <c r="Y87" s="236"/>
      <c r="Z87" s="236"/>
      <c r="AA87" s="236"/>
      <c r="AB87" s="236"/>
      <c r="AC87" s="236"/>
      <c r="AD87" s="236"/>
    </row>
    <row r="88" spans="1:30" ht="15.75" customHeight="1">
      <c r="A88" s="25">
        <v>2</v>
      </c>
      <c r="B88" s="25">
        <v>3</v>
      </c>
      <c r="C88" s="25">
        <v>17</v>
      </c>
      <c r="D88" s="25" t="s">
        <v>60</v>
      </c>
      <c r="E88" s="26" t="s">
        <v>61</v>
      </c>
      <c r="F88" s="25" t="s">
        <v>68</v>
      </c>
      <c r="G88" s="251">
        <v>50626</v>
      </c>
      <c r="H88" s="31">
        <v>8</v>
      </c>
      <c r="I88" s="32">
        <v>1.1779999999999999</v>
      </c>
      <c r="J88" s="36"/>
      <c r="K88" s="36"/>
      <c r="L88" s="36"/>
      <c r="M88" s="36"/>
      <c r="N88" s="36"/>
      <c r="O88" s="36"/>
      <c r="P88" s="36"/>
      <c r="Q88" s="36"/>
      <c r="R88" s="36"/>
      <c r="S88" s="254">
        <f t="shared" si="0"/>
        <v>1.1779999999999999</v>
      </c>
      <c r="T88" s="36"/>
      <c r="U88" s="236"/>
      <c r="V88" s="236"/>
      <c r="W88" s="236"/>
      <c r="X88" s="236"/>
      <c r="Y88" s="236"/>
      <c r="Z88" s="236"/>
      <c r="AA88" s="236"/>
      <c r="AB88" s="236"/>
      <c r="AC88" s="236"/>
      <c r="AD88" s="236"/>
    </row>
    <row r="89" spans="1:30" ht="15.75" customHeight="1">
      <c r="A89" s="25">
        <v>2</v>
      </c>
      <c r="B89" s="25">
        <v>3</v>
      </c>
      <c r="C89" s="25">
        <v>17</v>
      </c>
      <c r="D89" s="25" t="s">
        <v>60</v>
      </c>
      <c r="E89" s="26" t="s">
        <v>61</v>
      </c>
      <c r="F89" s="25" t="s">
        <v>34</v>
      </c>
      <c r="G89" s="251">
        <v>50595</v>
      </c>
      <c r="H89" s="31">
        <v>45</v>
      </c>
      <c r="I89" s="32">
        <v>1.302</v>
      </c>
      <c r="J89" s="32">
        <v>2.0049999999999999</v>
      </c>
      <c r="K89" s="32">
        <v>1.91</v>
      </c>
      <c r="L89" s="36"/>
      <c r="M89" s="36"/>
      <c r="N89" s="36"/>
      <c r="O89" s="36"/>
      <c r="P89" s="36"/>
      <c r="Q89" s="36"/>
      <c r="R89" s="36"/>
      <c r="S89" s="254">
        <f t="shared" si="0"/>
        <v>1.7389999999999999</v>
      </c>
      <c r="T89" s="36"/>
      <c r="U89" s="236"/>
      <c r="V89" s="236"/>
      <c r="W89" s="236"/>
      <c r="X89" s="236"/>
      <c r="Y89" s="236"/>
      <c r="Z89" s="236"/>
      <c r="AA89" s="236"/>
      <c r="AB89" s="236"/>
      <c r="AC89" s="236"/>
      <c r="AD89" s="236"/>
    </row>
    <row r="90" spans="1:30" ht="15.75" customHeight="1">
      <c r="A90" s="25">
        <v>2</v>
      </c>
      <c r="B90" s="25">
        <v>3</v>
      </c>
      <c r="C90" s="25">
        <v>17</v>
      </c>
      <c r="D90" s="25" t="s">
        <v>60</v>
      </c>
      <c r="E90" s="26" t="s">
        <v>61</v>
      </c>
      <c r="F90" s="25" t="s">
        <v>68</v>
      </c>
      <c r="G90" s="251">
        <v>50818</v>
      </c>
      <c r="H90" s="31">
        <v>67</v>
      </c>
      <c r="I90" s="32">
        <v>1.1140000000000001</v>
      </c>
      <c r="J90" s="32">
        <v>1.21</v>
      </c>
      <c r="K90" s="32">
        <v>1.1140000000000001</v>
      </c>
      <c r="L90" s="36"/>
      <c r="M90" s="36"/>
      <c r="N90" s="36"/>
      <c r="O90" s="36"/>
      <c r="P90" s="36"/>
      <c r="Q90" s="36"/>
      <c r="R90" s="36"/>
      <c r="S90" s="254">
        <f t="shared" si="0"/>
        <v>1.1459999999999999</v>
      </c>
      <c r="T90" s="36"/>
      <c r="U90" s="236"/>
      <c r="V90" s="236"/>
      <c r="W90" s="236"/>
      <c r="X90" s="236"/>
      <c r="Y90" s="236"/>
      <c r="Z90" s="236"/>
      <c r="AA90" s="236"/>
      <c r="AB90" s="236"/>
      <c r="AC90" s="236"/>
      <c r="AD90" s="236"/>
    </row>
    <row r="91" spans="1:30" ht="15.75" customHeight="1">
      <c r="A91" s="25">
        <v>2</v>
      </c>
      <c r="B91" s="25">
        <v>3</v>
      </c>
      <c r="C91" s="25">
        <v>17</v>
      </c>
      <c r="D91" s="25" t="s">
        <v>60</v>
      </c>
      <c r="E91" s="26" t="s">
        <v>61</v>
      </c>
      <c r="F91" s="25" t="s">
        <v>31</v>
      </c>
      <c r="G91" s="251">
        <v>50810</v>
      </c>
      <c r="H91" s="31">
        <v>127</v>
      </c>
      <c r="I91" s="32">
        <v>1.91</v>
      </c>
      <c r="J91" s="32">
        <v>1.974</v>
      </c>
      <c r="K91" s="32">
        <v>1.56</v>
      </c>
      <c r="L91" s="32">
        <v>1.7190000000000001</v>
      </c>
      <c r="M91" s="32">
        <v>1.8779999999999999</v>
      </c>
      <c r="N91" s="32">
        <v>2.4830000000000001</v>
      </c>
      <c r="O91" s="32">
        <v>1.8460000000000001</v>
      </c>
      <c r="P91" s="32">
        <v>2.165</v>
      </c>
      <c r="Q91" s="36"/>
      <c r="R91" s="36"/>
      <c r="S91" s="254">
        <f t="shared" si="0"/>
        <v>1.941875</v>
      </c>
      <c r="T91" s="36"/>
      <c r="U91" s="236"/>
      <c r="V91" s="236"/>
      <c r="W91" s="236"/>
      <c r="X91" s="236"/>
      <c r="Y91" s="236"/>
      <c r="Z91" s="236"/>
      <c r="AA91" s="236"/>
      <c r="AB91" s="236"/>
      <c r="AC91" s="236"/>
      <c r="AD91" s="236"/>
    </row>
    <row r="92" spans="1:30" ht="15.75" customHeight="1">
      <c r="A92" s="25">
        <v>2</v>
      </c>
      <c r="B92" s="25">
        <v>3</v>
      </c>
      <c r="C92" s="25">
        <v>17</v>
      </c>
      <c r="D92" s="25" t="s">
        <v>60</v>
      </c>
      <c r="E92" s="26" t="s">
        <v>61</v>
      </c>
      <c r="F92" s="25" t="s">
        <v>25</v>
      </c>
      <c r="G92" s="251">
        <v>50749</v>
      </c>
      <c r="H92" s="31">
        <v>29</v>
      </c>
      <c r="I92" s="32">
        <v>1.4319999999999999</v>
      </c>
      <c r="J92" s="36"/>
      <c r="K92" s="36"/>
      <c r="L92" s="36"/>
      <c r="M92" s="36"/>
      <c r="N92" s="36"/>
      <c r="O92" s="36"/>
      <c r="P92" s="36"/>
      <c r="Q92" s="36"/>
      <c r="R92" s="36"/>
      <c r="S92" s="254">
        <f t="shared" si="0"/>
        <v>1.4319999999999999</v>
      </c>
      <c r="T92" s="36"/>
      <c r="U92" s="236"/>
      <c r="V92" s="236"/>
      <c r="W92" s="236"/>
      <c r="X92" s="236"/>
      <c r="Y92" s="236"/>
      <c r="Z92" s="236"/>
      <c r="AA92" s="236"/>
      <c r="AB92" s="236"/>
      <c r="AC92" s="236"/>
      <c r="AD92" s="236"/>
    </row>
    <row r="93" spans="1:30" ht="15.75" customHeight="1">
      <c r="A93" s="25">
        <v>2</v>
      </c>
      <c r="B93" s="25">
        <v>3</v>
      </c>
      <c r="C93" s="25">
        <v>18</v>
      </c>
      <c r="D93" s="25" t="s">
        <v>112</v>
      </c>
      <c r="E93" s="26" t="s">
        <v>113</v>
      </c>
      <c r="F93" s="25" t="s">
        <v>25</v>
      </c>
      <c r="G93" s="251">
        <v>50758</v>
      </c>
      <c r="H93" s="31">
        <v>246</v>
      </c>
      <c r="I93" s="32">
        <v>1.1100000000000001</v>
      </c>
      <c r="J93" s="32">
        <v>0.91400000000000003</v>
      </c>
      <c r="K93" s="32">
        <v>1.524</v>
      </c>
      <c r="L93" s="32">
        <v>1.03</v>
      </c>
      <c r="M93" s="32">
        <v>1.135</v>
      </c>
      <c r="N93" s="32">
        <v>1.218</v>
      </c>
      <c r="O93" s="32">
        <v>0.97699999999999998</v>
      </c>
      <c r="P93" s="32">
        <v>1.113</v>
      </c>
      <c r="Q93" s="32">
        <v>1.2270000000000001</v>
      </c>
      <c r="R93" s="32">
        <v>1.2210000000000001</v>
      </c>
      <c r="S93" s="254">
        <f t="shared" si="0"/>
        <v>1.1469</v>
      </c>
      <c r="T93" s="36"/>
      <c r="U93" s="236"/>
      <c r="V93" s="236"/>
      <c r="W93" s="236"/>
      <c r="X93" s="236"/>
      <c r="Y93" s="236"/>
      <c r="Z93" s="236"/>
      <c r="AA93" s="236"/>
      <c r="AB93" s="236"/>
      <c r="AC93" s="236"/>
      <c r="AD93" s="236"/>
    </row>
    <row r="94" spans="1:30" ht="15.75" customHeight="1">
      <c r="A94" s="25">
        <v>2</v>
      </c>
      <c r="B94" s="25">
        <v>3</v>
      </c>
      <c r="C94" s="25">
        <v>18</v>
      </c>
      <c r="D94" s="25" t="s">
        <v>114</v>
      </c>
      <c r="E94" s="26" t="s">
        <v>115</v>
      </c>
      <c r="F94" s="25" t="s">
        <v>25</v>
      </c>
      <c r="G94" s="251">
        <v>50858</v>
      </c>
      <c r="H94" s="31">
        <v>98</v>
      </c>
      <c r="I94" s="32">
        <v>0.154</v>
      </c>
      <c r="J94" s="32">
        <v>0.17399999999999999</v>
      </c>
      <c r="K94" s="32">
        <v>0.183</v>
      </c>
      <c r="L94" s="36"/>
      <c r="M94" s="36"/>
      <c r="N94" s="36"/>
      <c r="O94" s="36"/>
      <c r="P94" s="36"/>
      <c r="Q94" s="36"/>
      <c r="R94" s="36"/>
      <c r="S94" s="254">
        <f t="shared" si="0"/>
        <v>0.17033333333333331</v>
      </c>
      <c r="T94" s="36"/>
      <c r="U94" s="236"/>
      <c r="V94" s="236"/>
      <c r="W94" s="236"/>
      <c r="X94" s="236"/>
      <c r="Y94" s="236"/>
      <c r="Z94" s="236"/>
      <c r="AA94" s="236"/>
      <c r="AB94" s="236"/>
      <c r="AC94" s="236"/>
      <c r="AD94" s="236"/>
    </row>
    <row r="95" spans="1:30" ht="15.75" customHeight="1">
      <c r="A95" s="25">
        <v>2</v>
      </c>
      <c r="B95" s="25">
        <v>3</v>
      </c>
      <c r="C95" s="25">
        <v>18</v>
      </c>
      <c r="D95" s="25" t="s">
        <v>112</v>
      </c>
      <c r="E95" s="26" t="s">
        <v>113</v>
      </c>
      <c r="F95" s="25" t="s">
        <v>25</v>
      </c>
      <c r="G95" s="251">
        <v>50812</v>
      </c>
      <c r="H95" s="31">
        <v>29</v>
      </c>
      <c r="I95" s="32">
        <v>0.64500000000000002</v>
      </c>
      <c r="J95" s="36"/>
      <c r="K95" s="36"/>
      <c r="L95" s="36"/>
      <c r="M95" s="36"/>
      <c r="N95" s="36"/>
      <c r="O95" s="36"/>
      <c r="P95" s="36"/>
      <c r="Q95" s="36"/>
      <c r="R95" s="36"/>
      <c r="S95" s="254">
        <f t="shared" si="0"/>
        <v>0.64500000000000002</v>
      </c>
      <c r="T95" s="36"/>
      <c r="U95" s="236"/>
      <c r="V95" s="236"/>
      <c r="W95" s="236"/>
      <c r="X95" s="236"/>
      <c r="Y95" s="236"/>
      <c r="Z95" s="236"/>
      <c r="AA95" s="236"/>
      <c r="AB95" s="236"/>
      <c r="AC95" s="236"/>
      <c r="AD95" s="236"/>
    </row>
    <row r="96" spans="1:30" ht="15.75" customHeight="1">
      <c r="A96" s="38">
        <v>2</v>
      </c>
      <c r="B96" s="38">
        <v>3</v>
      </c>
      <c r="C96" s="38">
        <v>18</v>
      </c>
      <c r="D96" s="38" t="s">
        <v>112</v>
      </c>
      <c r="E96" s="40" t="s">
        <v>113</v>
      </c>
      <c r="F96" s="38" t="s">
        <v>116</v>
      </c>
      <c r="G96" s="258">
        <v>50065</v>
      </c>
      <c r="H96" s="46">
        <v>10</v>
      </c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254"/>
      <c r="T96" s="38" t="s">
        <v>43</v>
      </c>
      <c r="U96" s="236"/>
      <c r="V96" s="236"/>
      <c r="W96" s="236"/>
      <c r="X96" s="236"/>
      <c r="Y96" s="236"/>
      <c r="Z96" s="236"/>
      <c r="AA96" s="236"/>
      <c r="AB96" s="236"/>
      <c r="AC96" s="236"/>
      <c r="AD96" s="236"/>
    </row>
    <row r="97" spans="1:30" ht="15.75" customHeight="1">
      <c r="A97" s="25">
        <v>2</v>
      </c>
      <c r="B97" s="25">
        <v>3</v>
      </c>
      <c r="C97" s="25">
        <v>18</v>
      </c>
      <c r="D97" s="25" t="s">
        <v>114</v>
      </c>
      <c r="E97" s="26" t="s">
        <v>115</v>
      </c>
      <c r="F97" s="25" t="s">
        <v>117</v>
      </c>
      <c r="G97" s="251">
        <v>50535</v>
      </c>
      <c r="H97" s="31">
        <v>24</v>
      </c>
      <c r="I97" s="32">
        <v>0.185</v>
      </c>
      <c r="J97" s="36"/>
      <c r="K97" s="36"/>
      <c r="L97" s="36"/>
      <c r="M97" s="36"/>
      <c r="N97" s="36"/>
      <c r="O97" s="36"/>
      <c r="P97" s="36"/>
      <c r="Q97" s="36"/>
      <c r="R97" s="36"/>
      <c r="S97" s="254">
        <f t="shared" si="0"/>
        <v>0.185</v>
      </c>
      <c r="T97" s="36"/>
      <c r="U97" s="236"/>
      <c r="V97" s="236"/>
      <c r="W97" s="236"/>
      <c r="X97" s="236"/>
      <c r="Y97" s="236"/>
      <c r="Z97" s="236"/>
      <c r="AA97" s="236"/>
      <c r="AB97" s="236"/>
      <c r="AC97" s="236"/>
      <c r="AD97" s="236"/>
    </row>
    <row r="98" spans="1:30" ht="15.75" customHeight="1">
      <c r="A98" s="25">
        <v>2</v>
      </c>
      <c r="B98" s="25">
        <v>3</v>
      </c>
      <c r="C98" s="25">
        <v>19</v>
      </c>
      <c r="D98" s="25" t="s">
        <v>32</v>
      </c>
      <c r="E98" s="26" t="s">
        <v>33</v>
      </c>
      <c r="F98" s="25" t="s">
        <v>34</v>
      </c>
      <c r="G98" s="251">
        <v>50563</v>
      </c>
      <c r="H98" s="31">
        <v>338</v>
      </c>
      <c r="I98" s="32">
        <v>1.657</v>
      </c>
      <c r="J98" s="32">
        <v>0.87</v>
      </c>
      <c r="K98" s="32">
        <v>1.131</v>
      </c>
      <c r="L98" s="32">
        <v>0.16300000000000001</v>
      </c>
      <c r="M98" s="32">
        <v>0.872</v>
      </c>
      <c r="N98" s="32">
        <v>1.214</v>
      </c>
      <c r="O98" s="32">
        <v>1.0629999999999999</v>
      </c>
      <c r="P98" s="32">
        <v>0.746</v>
      </c>
      <c r="Q98" s="32">
        <v>0.61699999999999999</v>
      </c>
      <c r="R98" s="32">
        <v>0.83499999999999996</v>
      </c>
      <c r="S98" s="254">
        <f t="shared" si="0"/>
        <v>0.91679999999999995</v>
      </c>
      <c r="T98" s="36"/>
      <c r="U98" s="236"/>
      <c r="V98" s="236"/>
      <c r="W98" s="236"/>
      <c r="X98" s="236"/>
      <c r="Y98" s="236"/>
      <c r="Z98" s="236"/>
      <c r="AA98" s="236"/>
      <c r="AB98" s="236"/>
      <c r="AC98" s="236"/>
      <c r="AD98" s="236"/>
    </row>
    <row r="99" spans="1:30" ht="15.75" customHeight="1">
      <c r="A99" s="144">
        <v>2</v>
      </c>
      <c r="B99" s="144">
        <v>3</v>
      </c>
      <c r="C99" s="144">
        <v>19</v>
      </c>
      <c r="D99" s="144" t="s">
        <v>112</v>
      </c>
      <c r="E99" s="290" t="s">
        <v>113</v>
      </c>
      <c r="F99" s="144" t="s">
        <v>34</v>
      </c>
      <c r="G99" s="291">
        <v>50688</v>
      </c>
      <c r="H99" s="292">
        <v>113</v>
      </c>
      <c r="I99" s="143">
        <v>1.151</v>
      </c>
      <c r="J99" s="143">
        <v>1.135</v>
      </c>
      <c r="K99" s="143">
        <v>1.1339999999999999</v>
      </c>
      <c r="L99" s="143">
        <v>1.2330000000000001</v>
      </c>
      <c r="M99" s="143">
        <v>1.115</v>
      </c>
      <c r="N99" s="143">
        <v>1.1679999999999999</v>
      </c>
      <c r="O99" s="143">
        <v>1.024</v>
      </c>
      <c r="P99" s="143">
        <v>1.038</v>
      </c>
      <c r="Q99" s="148"/>
      <c r="R99" s="148"/>
      <c r="S99" s="254">
        <f t="shared" si="0"/>
        <v>1.1247500000000001</v>
      </c>
      <c r="T99" s="294" t="s">
        <v>118</v>
      </c>
      <c r="U99" s="236"/>
      <c r="V99" s="236"/>
      <c r="W99" s="236"/>
      <c r="X99" s="236"/>
      <c r="Y99" s="236"/>
      <c r="Z99" s="236"/>
      <c r="AA99" s="236"/>
      <c r="AB99" s="236"/>
      <c r="AC99" s="236"/>
      <c r="AD99" s="236"/>
    </row>
    <row r="100" spans="1:30" ht="15.75" customHeight="1">
      <c r="A100" s="68">
        <v>2</v>
      </c>
      <c r="B100" s="25">
        <v>3</v>
      </c>
      <c r="C100" s="25">
        <v>19</v>
      </c>
      <c r="D100" s="25" t="s">
        <v>112</v>
      </c>
      <c r="E100" s="26" t="s">
        <v>113</v>
      </c>
      <c r="F100" s="25" t="s">
        <v>68</v>
      </c>
      <c r="G100" s="251">
        <v>50146</v>
      </c>
      <c r="H100" s="31">
        <v>9</v>
      </c>
      <c r="I100" s="32">
        <v>1.3049999999999999</v>
      </c>
      <c r="J100" s="36"/>
      <c r="K100" s="36"/>
      <c r="L100" s="36"/>
      <c r="M100" s="36"/>
      <c r="N100" s="36"/>
      <c r="O100" s="36"/>
      <c r="P100" s="36"/>
      <c r="Q100" s="36"/>
      <c r="R100" s="36"/>
      <c r="S100" s="254">
        <f t="shared" si="0"/>
        <v>1.3049999999999999</v>
      </c>
      <c r="T100" s="36"/>
      <c r="U100" s="236"/>
      <c r="V100" s="236"/>
      <c r="W100" s="236"/>
      <c r="X100" s="236"/>
      <c r="Y100" s="236"/>
      <c r="Z100" s="236"/>
      <c r="AA100" s="236"/>
      <c r="AB100" s="236"/>
      <c r="AC100" s="236"/>
      <c r="AD100" s="236"/>
    </row>
    <row r="101" spans="1:30" ht="15.75" customHeight="1">
      <c r="A101" s="144">
        <v>2</v>
      </c>
      <c r="B101" s="144">
        <v>3</v>
      </c>
      <c r="C101" s="144">
        <v>19</v>
      </c>
      <c r="D101" s="144" t="s">
        <v>112</v>
      </c>
      <c r="E101" s="290" t="s">
        <v>113</v>
      </c>
      <c r="F101" s="144" t="s">
        <v>25</v>
      </c>
      <c r="G101" s="291">
        <v>50758</v>
      </c>
      <c r="H101" s="292">
        <v>133</v>
      </c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254"/>
      <c r="T101" s="294" t="s">
        <v>119</v>
      </c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</row>
    <row r="102" spans="1:30" ht="15.75" customHeight="1">
      <c r="A102" s="25">
        <v>2</v>
      </c>
      <c r="B102" s="25">
        <v>3</v>
      </c>
      <c r="C102" s="25">
        <v>21</v>
      </c>
      <c r="D102" s="25" t="s">
        <v>120</v>
      </c>
      <c r="E102" s="26" t="s">
        <v>121</v>
      </c>
      <c r="F102" s="25" t="s">
        <v>25</v>
      </c>
      <c r="G102" s="251">
        <v>50745</v>
      </c>
      <c r="H102" s="31">
        <v>131</v>
      </c>
      <c r="I102" s="32">
        <v>1.655</v>
      </c>
      <c r="J102" s="32">
        <v>1.5920000000000001</v>
      </c>
      <c r="K102" s="32">
        <v>1.7190000000000001</v>
      </c>
      <c r="L102" s="32">
        <v>1.7509999999999999</v>
      </c>
      <c r="M102" s="32">
        <v>1.91</v>
      </c>
      <c r="N102" s="32">
        <v>1.8779999999999999</v>
      </c>
      <c r="O102" s="36"/>
      <c r="P102" s="36"/>
      <c r="Q102" s="36"/>
      <c r="R102" s="36"/>
      <c r="S102" s="254">
        <f t="shared" si="0"/>
        <v>1.7508333333333335</v>
      </c>
      <c r="T102" s="36"/>
      <c r="U102" s="236"/>
      <c r="V102" s="236"/>
      <c r="W102" s="236"/>
      <c r="X102" s="236"/>
      <c r="Y102" s="236"/>
      <c r="Z102" s="236"/>
      <c r="AA102" s="236"/>
      <c r="AB102" s="236"/>
      <c r="AC102" s="236"/>
      <c r="AD102" s="236"/>
    </row>
    <row r="103" spans="1:30" ht="15.75" customHeight="1">
      <c r="A103" s="25">
        <v>2</v>
      </c>
      <c r="B103" s="25">
        <v>3</v>
      </c>
      <c r="C103" s="25">
        <v>21</v>
      </c>
      <c r="D103" s="25" t="s">
        <v>120</v>
      </c>
      <c r="E103" s="26" t="s">
        <v>121</v>
      </c>
      <c r="F103" s="25" t="s">
        <v>31</v>
      </c>
      <c r="G103" s="251">
        <v>50718</v>
      </c>
      <c r="H103" s="31">
        <v>168</v>
      </c>
      <c r="I103" s="32">
        <v>9.9000000000000005E-2</v>
      </c>
      <c r="J103" s="32">
        <v>1.2410000000000001</v>
      </c>
      <c r="K103" s="32">
        <v>1.8779999999999999</v>
      </c>
      <c r="L103" s="32">
        <v>1.6870000000000001</v>
      </c>
      <c r="M103" s="32">
        <v>1.464</v>
      </c>
      <c r="N103" s="32">
        <v>1.7509999999999999</v>
      </c>
      <c r="O103" s="32">
        <v>1.6870000000000001</v>
      </c>
      <c r="P103" s="32">
        <v>1.5920000000000001</v>
      </c>
      <c r="Q103" s="36"/>
      <c r="R103" s="36"/>
      <c r="S103" s="254">
        <f t="shared" si="0"/>
        <v>1.4248749999999999</v>
      </c>
      <c r="T103" s="36"/>
      <c r="U103" s="236"/>
      <c r="V103" s="236"/>
      <c r="W103" s="236"/>
      <c r="X103" s="236"/>
      <c r="Y103" s="236"/>
      <c r="Z103" s="236"/>
      <c r="AA103" s="236"/>
      <c r="AB103" s="236"/>
      <c r="AC103" s="236"/>
      <c r="AD103" s="236"/>
    </row>
    <row r="104" spans="1:30" ht="15.75" customHeight="1">
      <c r="A104" s="25">
        <v>2</v>
      </c>
      <c r="B104" s="25">
        <v>3</v>
      </c>
      <c r="C104" s="25">
        <v>21</v>
      </c>
      <c r="D104" s="25" t="s">
        <v>120</v>
      </c>
      <c r="E104" s="26" t="s">
        <v>121</v>
      </c>
      <c r="F104" s="25" t="s">
        <v>25</v>
      </c>
      <c r="G104" s="251">
        <v>50681</v>
      </c>
      <c r="H104" s="31">
        <v>9</v>
      </c>
      <c r="I104" s="32">
        <v>1.2729999999999999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254">
        <f t="shared" si="0"/>
        <v>1.2729999999999999</v>
      </c>
      <c r="T104" s="36"/>
      <c r="U104" s="236"/>
      <c r="V104" s="236"/>
      <c r="W104" s="236"/>
      <c r="X104" s="236"/>
      <c r="Y104" s="236"/>
      <c r="Z104" s="236"/>
      <c r="AA104" s="236"/>
      <c r="AB104" s="236"/>
      <c r="AC104" s="236"/>
      <c r="AD104" s="236"/>
    </row>
    <row r="105" spans="1:30" ht="15.75" customHeight="1">
      <c r="A105" s="25">
        <v>2</v>
      </c>
      <c r="B105" s="25">
        <v>3</v>
      </c>
      <c r="C105" s="25">
        <v>22</v>
      </c>
      <c r="D105" s="25" t="s">
        <v>122</v>
      </c>
      <c r="E105" s="26" t="s">
        <v>123</v>
      </c>
      <c r="F105" s="25" t="s">
        <v>34</v>
      </c>
      <c r="G105" s="251">
        <v>50732</v>
      </c>
      <c r="H105" s="31">
        <v>274</v>
      </c>
      <c r="I105" s="32">
        <v>1.373</v>
      </c>
      <c r="J105" s="32">
        <v>1.111</v>
      </c>
      <c r="K105" s="32">
        <v>1.327</v>
      </c>
      <c r="L105" s="32">
        <v>1.218</v>
      </c>
      <c r="M105" s="32">
        <v>1.31</v>
      </c>
      <c r="N105" s="32">
        <v>1.5269999999999999</v>
      </c>
      <c r="O105" s="32">
        <v>1.355</v>
      </c>
      <c r="P105" s="32">
        <v>1.429</v>
      </c>
      <c r="Q105" s="32">
        <v>1.32</v>
      </c>
      <c r="R105" s="32">
        <v>1.5309999999999999</v>
      </c>
      <c r="S105" s="254">
        <f t="shared" si="0"/>
        <v>1.3501000000000001</v>
      </c>
      <c r="T105" s="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36"/>
    </row>
    <row r="106" spans="1:30" ht="15.75" customHeight="1">
      <c r="A106" s="25">
        <v>2</v>
      </c>
      <c r="B106" s="25">
        <v>3</v>
      </c>
      <c r="C106" s="25">
        <v>22</v>
      </c>
      <c r="D106" s="25" t="s">
        <v>122</v>
      </c>
      <c r="E106" s="26" t="s">
        <v>123</v>
      </c>
      <c r="F106" s="25" t="s">
        <v>34</v>
      </c>
      <c r="G106" s="251">
        <v>50545</v>
      </c>
      <c r="H106" s="31">
        <v>13</v>
      </c>
      <c r="I106" s="32">
        <v>1.3660000000000001</v>
      </c>
      <c r="J106" s="32">
        <v>0.83799999999999997</v>
      </c>
      <c r="K106" s="32">
        <v>0.53100000000000003</v>
      </c>
      <c r="L106" s="32">
        <v>0.88</v>
      </c>
      <c r="M106" s="32">
        <v>1.173</v>
      </c>
      <c r="N106" s="36"/>
      <c r="O106" s="36"/>
      <c r="P106" s="36"/>
      <c r="Q106" s="36"/>
      <c r="R106" s="36"/>
      <c r="S106" s="254">
        <f t="shared" si="0"/>
        <v>0.95760000000000001</v>
      </c>
      <c r="T106" s="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36"/>
    </row>
    <row r="107" spans="1:30" ht="15.75" customHeight="1">
      <c r="A107" s="25">
        <v>2</v>
      </c>
      <c r="B107" s="25">
        <v>3</v>
      </c>
      <c r="C107" s="25">
        <v>22</v>
      </c>
      <c r="D107" s="25" t="s">
        <v>122</v>
      </c>
      <c r="E107" s="26" t="s">
        <v>123</v>
      </c>
      <c r="F107" s="25" t="s">
        <v>25</v>
      </c>
      <c r="G107" s="251">
        <v>50833</v>
      </c>
      <c r="H107" s="31">
        <v>204</v>
      </c>
      <c r="I107" s="32">
        <v>0.50600000000000001</v>
      </c>
      <c r="J107" s="32">
        <v>0.72199999999999998</v>
      </c>
      <c r="K107" s="32">
        <v>0.67100000000000004</v>
      </c>
      <c r="L107" s="32">
        <v>0.69099999999999995</v>
      </c>
      <c r="M107" s="32">
        <v>0.93899999999999995</v>
      </c>
      <c r="N107" s="32">
        <v>1.0009999999999999</v>
      </c>
      <c r="O107" s="32">
        <v>0.98599999999999999</v>
      </c>
      <c r="P107" s="32">
        <v>1.1459999999999999</v>
      </c>
      <c r="Q107" s="36"/>
      <c r="R107" s="36"/>
      <c r="S107" s="254">
        <f t="shared" si="0"/>
        <v>0.83274999999999988</v>
      </c>
      <c r="T107" s="36"/>
      <c r="U107" s="236"/>
      <c r="V107" s="236"/>
      <c r="W107" s="236"/>
      <c r="X107" s="236"/>
      <c r="Y107" s="236"/>
      <c r="Z107" s="236"/>
      <c r="AA107" s="236"/>
      <c r="AB107" s="236"/>
      <c r="AC107" s="236"/>
      <c r="AD107" s="236"/>
    </row>
    <row r="108" spans="1:30" ht="15.75" customHeight="1">
      <c r="A108" s="25">
        <v>2</v>
      </c>
      <c r="B108" s="25">
        <v>3</v>
      </c>
      <c r="C108" s="25">
        <v>22</v>
      </c>
      <c r="D108" s="25" t="s">
        <v>122</v>
      </c>
      <c r="E108" s="26" t="s">
        <v>123</v>
      </c>
      <c r="F108" s="25" t="s">
        <v>25</v>
      </c>
      <c r="G108" s="251">
        <v>50725</v>
      </c>
      <c r="H108" s="31">
        <v>62</v>
      </c>
      <c r="I108" s="32">
        <v>0.98199999999999998</v>
      </c>
      <c r="J108" s="32">
        <v>1.1970000000000001</v>
      </c>
      <c r="K108" s="32">
        <v>1.1579999999999999</v>
      </c>
      <c r="L108" s="36"/>
      <c r="M108" s="36"/>
      <c r="N108" s="36"/>
      <c r="O108" s="36"/>
      <c r="P108" s="36"/>
      <c r="Q108" s="36"/>
      <c r="R108" s="36"/>
      <c r="S108" s="254">
        <f t="shared" si="0"/>
        <v>1.1123333333333334</v>
      </c>
      <c r="T108" s="36"/>
      <c r="U108" s="236"/>
      <c r="V108" s="236"/>
      <c r="W108" s="236"/>
      <c r="X108" s="236"/>
      <c r="Y108" s="236"/>
      <c r="Z108" s="236"/>
      <c r="AA108" s="236"/>
      <c r="AB108" s="236"/>
      <c r="AC108" s="236"/>
      <c r="AD108" s="236"/>
    </row>
    <row r="109" spans="1:30" ht="15.75" customHeight="1">
      <c r="A109" s="25">
        <v>2</v>
      </c>
      <c r="B109" s="25">
        <v>4</v>
      </c>
      <c r="C109" s="25">
        <v>2</v>
      </c>
      <c r="D109" s="25" t="s">
        <v>124</v>
      </c>
      <c r="E109" s="26" t="s">
        <v>125</v>
      </c>
      <c r="F109" s="25" t="s">
        <v>31</v>
      </c>
      <c r="G109" s="251">
        <v>50761</v>
      </c>
      <c r="H109" s="31">
        <v>250</v>
      </c>
      <c r="I109" s="32">
        <v>1.0840000000000001</v>
      </c>
      <c r="J109" s="32">
        <v>0.88600000000000001</v>
      </c>
      <c r="K109" s="32">
        <v>1.2130000000000001</v>
      </c>
      <c r="L109" s="32">
        <v>1.0740000000000001</v>
      </c>
      <c r="M109" s="32">
        <v>1.1259999999999999</v>
      </c>
      <c r="N109" s="32">
        <v>1.2230000000000001</v>
      </c>
      <c r="O109" s="32">
        <v>0.86099999999999999</v>
      </c>
      <c r="P109" s="32">
        <v>0.86199999999999999</v>
      </c>
      <c r="Q109" s="32">
        <v>0.751</v>
      </c>
      <c r="R109" s="32">
        <v>0.59699999999999998</v>
      </c>
      <c r="S109" s="254">
        <f t="shared" si="0"/>
        <v>0.9677</v>
      </c>
      <c r="T109" s="36"/>
      <c r="U109" s="236"/>
      <c r="V109" s="236"/>
      <c r="W109" s="236"/>
      <c r="X109" s="236"/>
      <c r="Y109" s="236"/>
      <c r="Z109" s="236"/>
      <c r="AA109" s="236"/>
      <c r="AB109" s="236"/>
      <c r="AC109" s="236"/>
      <c r="AD109" s="236"/>
    </row>
    <row r="110" spans="1:30" ht="15.75" customHeight="1">
      <c r="A110" s="25">
        <v>2</v>
      </c>
      <c r="B110" s="25">
        <v>4</v>
      </c>
      <c r="C110" s="25">
        <v>2</v>
      </c>
      <c r="D110" s="25" t="s">
        <v>124</v>
      </c>
      <c r="E110" s="26" t="s">
        <v>125</v>
      </c>
      <c r="F110" s="25" t="s">
        <v>25</v>
      </c>
      <c r="G110" s="251">
        <v>50113</v>
      </c>
      <c r="H110" s="31">
        <v>172</v>
      </c>
      <c r="I110" s="32">
        <v>1.403</v>
      </c>
      <c r="J110" s="32">
        <v>1.333</v>
      </c>
      <c r="K110" s="32">
        <v>1.0469999999999999</v>
      </c>
      <c r="L110" s="32">
        <v>1.343</v>
      </c>
      <c r="M110" s="32">
        <v>1</v>
      </c>
      <c r="N110" s="32">
        <v>1.133</v>
      </c>
      <c r="O110" s="32">
        <v>1.0409999999999999</v>
      </c>
      <c r="P110" s="32">
        <v>1.0229999999999999</v>
      </c>
      <c r="Q110" s="36"/>
      <c r="R110" s="36"/>
      <c r="S110" s="254">
        <f t="shared" si="0"/>
        <v>1.1653749999999998</v>
      </c>
      <c r="T110" s="36"/>
      <c r="U110" s="236"/>
      <c r="V110" s="236"/>
      <c r="W110" s="236"/>
      <c r="X110" s="236"/>
      <c r="Y110" s="236"/>
      <c r="Z110" s="236"/>
      <c r="AA110" s="236"/>
      <c r="AB110" s="236"/>
      <c r="AC110" s="236"/>
      <c r="AD110" s="236"/>
    </row>
    <row r="111" spans="1:30" ht="15.75" customHeight="1">
      <c r="A111" s="38">
        <v>2</v>
      </c>
      <c r="B111" s="38">
        <v>4</v>
      </c>
      <c r="C111" s="38">
        <v>2</v>
      </c>
      <c r="D111" s="38" t="s">
        <v>124</v>
      </c>
      <c r="E111" s="40" t="s">
        <v>125</v>
      </c>
      <c r="F111" s="38" t="s">
        <v>25</v>
      </c>
      <c r="G111" s="258">
        <v>50659</v>
      </c>
      <c r="H111" s="46">
        <v>63</v>
      </c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254"/>
      <c r="T111" s="38" t="s">
        <v>43</v>
      </c>
      <c r="U111" s="236"/>
      <c r="V111" s="236"/>
      <c r="W111" s="236"/>
      <c r="X111" s="236"/>
      <c r="Y111" s="236"/>
      <c r="Z111" s="236"/>
      <c r="AA111" s="236"/>
      <c r="AB111" s="236"/>
      <c r="AC111" s="236"/>
      <c r="AD111" s="236"/>
    </row>
    <row r="112" spans="1:30" ht="15.75" customHeight="1">
      <c r="A112" s="295">
        <v>2</v>
      </c>
      <c r="B112" s="295">
        <v>4</v>
      </c>
      <c r="C112" s="295">
        <v>2</v>
      </c>
      <c r="D112" s="295" t="s">
        <v>126</v>
      </c>
      <c r="E112" s="296" t="s">
        <v>127</v>
      </c>
      <c r="F112" s="295" t="s">
        <v>25</v>
      </c>
      <c r="G112" s="297">
        <v>50767</v>
      </c>
      <c r="H112" s="298">
        <v>145</v>
      </c>
      <c r="I112" s="299">
        <v>0.97699999999999998</v>
      </c>
      <c r="J112" s="300"/>
      <c r="K112" s="300"/>
      <c r="L112" s="300"/>
      <c r="M112" s="300"/>
      <c r="N112" s="300"/>
      <c r="O112" s="300"/>
      <c r="P112" s="300"/>
      <c r="Q112" s="300"/>
      <c r="R112" s="300"/>
      <c r="S112" s="254">
        <f t="shared" si="0"/>
        <v>0.97699999999999998</v>
      </c>
      <c r="T112" s="301" t="s">
        <v>128</v>
      </c>
      <c r="U112" s="236"/>
      <c r="V112" s="236"/>
      <c r="W112" s="236"/>
      <c r="X112" s="236"/>
      <c r="Y112" s="236"/>
      <c r="Z112" s="236"/>
      <c r="AA112" s="236"/>
      <c r="AB112" s="236"/>
      <c r="AC112" s="236"/>
      <c r="AD112" s="236"/>
    </row>
    <row r="113" spans="1:30" ht="15.75" customHeight="1">
      <c r="A113" s="25">
        <v>2</v>
      </c>
      <c r="B113" s="25">
        <v>4</v>
      </c>
      <c r="C113" s="25">
        <v>3</v>
      </c>
      <c r="D113" s="25" t="s">
        <v>60</v>
      </c>
      <c r="E113" s="26" t="s">
        <v>61</v>
      </c>
      <c r="F113" s="25" t="s">
        <v>31</v>
      </c>
      <c r="G113" s="251">
        <v>50810</v>
      </c>
      <c r="H113" s="31">
        <v>482</v>
      </c>
      <c r="I113" s="32">
        <v>1.4319999999999999</v>
      </c>
      <c r="J113" s="32">
        <v>1.464</v>
      </c>
      <c r="K113" s="32">
        <v>1.2729999999999999</v>
      </c>
      <c r="L113" s="32">
        <v>1.6870000000000001</v>
      </c>
      <c r="M113" s="32">
        <v>2.0049999999999999</v>
      </c>
      <c r="N113" s="32">
        <v>1.464</v>
      </c>
      <c r="O113" s="32">
        <v>1.5920000000000001</v>
      </c>
      <c r="P113" s="32">
        <v>1.9419999999999999</v>
      </c>
      <c r="Q113" s="32">
        <v>1.623</v>
      </c>
      <c r="R113" s="32">
        <v>1.464</v>
      </c>
      <c r="S113" s="254">
        <f t="shared" si="0"/>
        <v>1.5946</v>
      </c>
      <c r="T113" s="36"/>
      <c r="U113" s="236"/>
      <c r="V113" s="236"/>
      <c r="W113" s="236"/>
      <c r="X113" s="236"/>
      <c r="Y113" s="236"/>
      <c r="Z113" s="236"/>
      <c r="AA113" s="236"/>
      <c r="AB113" s="236"/>
      <c r="AC113" s="236"/>
      <c r="AD113" s="236"/>
    </row>
    <row r="114" spans="1:30" ht="15.75" customHeight="1">
      <c r="A114" s="25">
        <v>2</v>
      </c>
      <c r="B114" s="25">
        <v>4</v>
      </c>
      <c r="C114" s="25">
        <v>4</v>
      </c>
      <c r="D114" s="25" t="s">
        <v>129</v>
      </c>
      <c r="E114" s="26" t="s">
        <v>130</v>
      </c>
      <c r="F114" s="25" t="s">
        <v>31</v>
      </c>
      <c r="G114" s="251">
        <v>50827</v>
      </c>
      <c r="H114" s="31">
        <v>654</v>
      </c>
      <c r="I114" s="32">
        <v>0.73399999999999999</v>
      </c>
      <c r="J114" s="32">
        <v>0.28899999999999998</v>
      </c>
      <c r="K114" s="32">
        <v>0.34300000000000003</v>
      </c>
      <c r="L114" s="32">
        <v>0.45800000000000002</v>
      </c>
      <c r="M114" s="32">
        <v>0.55600000000000005</v>
      </c>
      <c r="N114" s="32">
        <v>0.66200000000000003</v>
      </c>
      <c r="O114" s="32">
        <v>0.33300000000000002</v>
      </c>
      <c r="P114" s="32">
        <v>0.59199999999999997</v>
      </c>
      <c r="Q114" s="32">
        <v>0.52300000000000002</v>
      </c>
      <c r="R114" s="32">
        <v>0.54100000000000004</v>
      </c>
      <c r="S114" s="254">
        <f t="shared" si="0"/>
        <v>0.5031000000000001</v>
      </c>
      <c r="T114" s="36"/>
      <c r="U114" s="236"/>
      <c r="V114" s="236"/>
      <c r="W114" s="236"/>
      <c r="X114" s="236"/>
      <c r="Y114" s="236"/>
      <c r="Z114" s="236"/>
      <c r="AA114" s="236"/>
      <c r="AB114" s="236"/>
      <c r="AC114" s="236"/>
      <c r="AD114" s="236"/>
    </row>
    <row r="115" spans="1:30" ht="15.75" customHeight="1">
      <c r="A115" s="295">
        <v>2</v>
      </c>
      <c r="B115" s="295">
        <v>4</v>
      </c>
      <c r="C115" s="295">
        <v>4</v>
      </c>
      <c r="D115" s="295" t="s">
        <v>60</v>
      </c>
      <c r="E115" s="296" t="s">
        <v>61</v>
      </c>
      <c r="F115" s="295" t="s">
        <v>31</v>
      </c>
      <c r="G115" s="297">
        <v>50860</v>
      </c>
      <c r="H115" s="298">
        <v>214</v>
      </c>
      <c r="I115" s="299">
        <v>0.57099999999999995</v>
      </c>
      <c r="J115" s="299">
        <v>1.0920000000000001</v>
      </c>
      <c r="K115" s="299">
        <v>0.55900000000000005</v>
      </c>
      <c r="L115" s="299">
        <v>0.73499999999999999</v>
      </c>
      <c r="M115" s="299">
        <v>0.86199999999999999</v>
      </c>
      <c r="N115" s="299">
        <v>0.71599999999999997</v>
      </c>
      <c r="O115" s="299">
        <v>0.39600000000000002</v>
      </c>
      <c r="P115" s="299">
        <v>0.73599999999999999</v>
      </c>
      <c r="Q115" s="299">
        <v>0.66700000000000004</v>
      </c>
      <c r="R115" s="300"/>
      <c r="S115" s="254">
        <f t="shared" si="0"/>
        <v>0.70377777777777772</v>
      </c>
      <c r="T115" s="301" t="s">
        <v>131</v>
      </c>
      <c r="U115" s="236"/>
      <c r="V115" s="236"/>
      <c r="W115" s="236"/>
      <c r="X115" s="236"/>
      <c r="Y115" s="236"/>
      <c r="Z115" s="236"/>
      <c r="AA115" s="236"/>
      <c r="AB115" s="236"/>
      <c r="AC115" s="236"/>
      <c r="AD115" s="236"/>
    </row>
    <row r="116" spans="1:30" ht="15.75" customHeight="1">
      <c r="A116" s="25">
        <v>2</v>
      </c>
      <c r="B116" s="25">
        <v>4</v>
      </c>
      <c r="C116" s="25">
        <v>5</v>
      </c>
      <c r="D116" s="25" t="s">
        <v>56</v>
      </c>
      <c r="E116" s="26" t="s">
        <v>57</v>
      </c>
      <c r="F116" s="25" t="s">
        <v>31</v>
      </c>
      <c r="G116" s="251">
        <v>50712</v>
      </c>
      <c r="H116" s="31">
        <v>621</v>
      </c>
      <c r="I116" s="32">
        <v>0.66900000000000004</v>
      </c>
      <c r="J116" s="32">
        <v>0.70899999999999996</v>
      </c>
      <c r="K116" s="32">
        <v>0.52900000000000003</v>
      </c>
      <c r="L116" s="32">
        <v>0.59599999999999997</v>
      </c>
      <c r="M116" s="32">
        <v>0.45600000000000002</v>
      </c>
      <c r="N116" s="32">
        <v>0.80400000000000005</v>
      </c>
      <c r="O116" s="32">
        <v>0.89</v>
      </c>
      <c r="P116" s="32">
        <v>0.7</v>
      </c>
      <c r="Q116" s="32">
        <v>1.4910000000000001</v>
      </c>
      <c r="R116" s="32">
        <v>0.504</v>
      </c>
      <c r="S116" s="254">
        <f t="shared" si="0"/>
        <v>0.7347999999999999</v>
      </c>
      <c r="T116" s="36"/>
      <c r="U116" s="236"/>
      <c r="V116" s="236"/>
      <c r="W116" s="236"/>
      <c r="X116" s="236"/>
      <c r="Y116" s="236"/>
      <c r="Z116" s="236"/>
      <c r="AA116" s="236"/>
      <c r="AB116" s="236"/>
      <c r="AC116" s="236"/>
      <c r="AD116" s="236"/>
    </row>
    <row r="117" spans="1:30" ht="15.75" customHeight="1">
      <c r="A117" s="25">
        <v>2</v>
      </c>
      <c r="B117" s="25">
        <v>4</v>
      </c>
      <c r="C117" s="25">
        <v>6</v>
      </c>
      <c r="D117" s="25" t="s">
        <v>132</v>
      </c>
      <c r="E117" s="26" t="s">
        <v>133</v>
      </c>
      <c r="F117" s="25" t="s">
        <v>109</v>
      </c>
      <c r="G117" s="251">
        <v>50716</v>
      </c>
      <c r="H117" s="31">
        <v>82</v>
      </c>
      <c r="I117" s="32">
        <v>0.23899999999999999</v>
      </c>
      <c r="J117" s="32">
        <v>0.26100000000000001</v>
      </c>
      <c r="K117" s="32">
        <v>0.28599999999999998</v>
      </c>
      <c r="L117" s="32">
        <v>0.158</v>
      </c>
      <c r="M117" s="36"/>
      <c r="N117" s="36"/>
      <c r="O117" s="36"/>
      <c r="P117" s="36"/>
      <c r="Q117" s="36"/>
      <c r="R117" s="36"/>
      <c r="S117" s="254">
        <f t="shared" si="0"/>
        <v>0.23600000000000002</v>
      </c>
      <c r="T117" s="36"/>
      <c r="U117" s="236"/>
      <c r="V117" s="236"/>
      <c r="W117" s="236"/>
      <c r="X117" s="236"/>
      <c r="Y117" s="236"/>
      <c r="Z117" s="236"/>
      <c r="AA117" s="236"/>
      <c r="AB117" s="236"/>
      <c r="AC117" s="236"/>
      <c r="AD117" s="236"/>
    </row>
    <row r="118" spans="1:30" ht="15.75" customHeight="1">
      <c r="A118" s="25">
        <v>2</v>
      </c>
      <c r="B118" s="25">
        <v>4</v>
      </c>
      <c r="C118" s="25">
        <v>6</v>
      </c>
      <c r="D118" s="25" t="s">
        <v>132</v>
      </c>
      <c r="E118" s="26" t="s">
        <v>133</v>
      </c>
      <c r="F118" s="25" t="s">
        <v>109</v>
      </c>
      <c r="G118" s="251">
        <v>50789</v>
      </c>
      <c r="H118" s="31">
        <v>327</v>
      </c>
      <c r="I118" s="36">
        <f>12.43/10</f>
        <v>1.2429999999999999</v>
      </c>
      <c r="J118" s="36">
        <f>14.21/10</f>
        <v>1.421</v>
      </c>
      <c r="K118" s="36">
        <f>13.89/10</f>
        <v>1.389</v>
      </c>
      <c r="L118" s="36">
        <f>9.27/10</f>
        <v>0.92699999999999994</v>
      </c>
      <c r="M118" s="36">
        <f>14.78/10</f>
        <v>1.478</v>
      </c>
      <c r="N118" s="36">
        <f>10.57/10</f>
        <v>1.0569999999999999</v>
      </c>
      <c r="O118" s="36">
        <f>10.83/10</f>
        <v>1.083</v>
      </c>
      <c r="P118" s="36">
        <f>9.56/10</f>
        <v>0.95600000000000007</v>
      </c>
      <c r="Q118" s="36">
        <f>8.64/10</f>
        <v>0.8640000000000001</v>
      </c>
      <c r="R118" s="36">
        <f>2.52/10</f>
        <v>0.252</v>
      </c>
      <c r="S118" s="254">
        <f t="shared" si="0"/>
        <v>1.0669999999999999</v>
      </c>
      <c r="T118" s="33" t="s">
        <v>252</v>
      </c>
      <c r="U118" s="236"/>
      <c r="V118" s="236"/>
      <c r="W118" s="236"/>
      <c r="X118" s="236"/>
      <c r="Y118" s="236"/>
      <c r="Z118" s="236"/>
      <c r="AA118" s="236"/>
      <c r="AB118" s="236"/>
      <c r="AC118" s="236"/>
      <c r="AD118" s="236"/>
    </row>
    <row r="119" spans="1:30" ht="15.75" customHeight="1">
      <c r="A119" s="25">
        <v>2</v>
      </c>
      <c r="B119" s="25">
        <v>4</v>
      </c>
      <c r="C119" s="25">
        <v>6</v>
      </c>
      <c r="D119" s="25" t="s">
        <v>132</v>
      </c>
      <c r="E119" s="26" t="s">
        <v>133</v>
      </c>
      <c r="F119" s="25" t="s">
        <v>34</v>
      </c>
      <c r="G119" s="251">
        <v>50710</v>
      </c>
      <c r="H119" s="31">
        <v>15</v>
      </c>
      <c r="I119" s="33">
        <f>11.23/10</f>
        <v>1.123</v>
      </c>
      <c r="J119" s="36">
        <f>11.33/10</f>
        <v>1.133</v>
      </c>
      <c r="K119" s="33">
        <v>1.49</v>
      </c>
      <c r="L119" s="36"/>
      <c r="M119" s="36"/>
      <c r="N119" s="36"/>
      <c r="O119" s="36"/>
      <c r="P119" s="36"/>
      <c r="Q119" s="36"/>
      <c r="R119" s="36"/>
      <c r="S119" s="254">
        <f t="shared" si="0"/>
        <v>1.2486666666666668</v>
      </c>
      <c r="T119" s="33" t="s">
        <v>252</v>
      </c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</row>
    <row r="120" spans="1:30" ht="15.75" customHeight="1">
      <c r="A120" s="25">
        <v>2</v>
      </c>
      <c r="B120" s="25">
        <v>4</v>
      </c>
      <c r="C120" s="25">
        <v>7</v>
      </c>
      <c r="D120" s="25" t="s">
        <v>134</v>
      </c>
      <c r="E120" s="26" t="s">
        <v>135</v>
      </c>
      <c r="F120" s="25" t="s">
        <v>25</v>
      </c>
      <c r="G120" s="251">
        <v>50268</v>
      </c>
      <c r="H120" s="31">
        <v>411</v>
      </c>
      <c r="I120" s="36">
        <f>4.29/10</f>
        <v>0.42899999999999999</v>
      </c>
      <c r="J120" s="36">
        <f>3.81/10</f>
        <v>0.38100000000000001</v>
      </c>
      <c r="K120" s="36">
        <f>10.21/10</f>
        <v>1.0210000000000001</v>
      </c>
      <c r="L120" s="36">
        <f>10.86/10</f>
        <v>1.0859999999999999</v>
      </c>
      <c r="M120" s="36">
        <f>7.96/10</f>
        <v>0.79600000000000004</v>
      </c>
      <c r="N120" s="36">
        <f>5.78/10</f>
        <v>0.57800000000000007</v>
      </c>
      <c r="O120" s="36">
        <f>11.13/10</f>
        <v>1.113</v>
      </c>
      <c r="P120" s="36">
        <f>14.01/10</f>
        <v>1.401</v>
      </c>
      <c r="Q120" s="36">
        <f>13.19/10</f>
        <v>1.319</v>
      </c>
      <c r="R120" s="36">
        <f>6.59/10</f>
        <v>0.65900000000000003</v>
      </c>
      <c r="S120" s="254">
        <f t="shared" si="0"/>
        <v>0.87829999999999997</v>
      </c>
      <c r="T120" s="33" t="s">
        <v>252</v>
      </c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</row>
    <row r="121" spans="1:30" ht="15.75" customHeight="1">
      <c r="A121" s="53">
        <v>2</v>
      </c>
      <c r="B121" s="53">
        <v>4</v>
      </c>
      <c r="C121" s="53">
        <v>7</v>
      </c>
      <c r="D121" s="53" t="s">
        <v>134</v>
      </c>
      <c r="E121" s="54" t="s">
        <v>135</v>
      </c>
      <c r="F121" s="53" t="s">
        <v>68</v>
      </c>
      <c r="G121" s="262">
        <v>50169</v>
      </c>
      <c r="H121" s="57">
        <v>10</v>
      </c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254"/>
      <c r="T121" s="53" t="s">
        <v>55</v>
      </c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</row>
    <row r="122" spans="1:30" ht="15.75" customHeight="1">
      <c r="A122" s="25">
        <v>2</v>
      </c>
      <c r="B122" s="25">
        <v>4</v>
      </c>
      <c r="C122" s="25">
        <v>9</v>
      </c>
      <c r="D122" s="25" t="s">
        <v>136</v>
      </c>
      <c r="E122" s="26" t="s">
        <v>137</v>
      </c>
      <c r="F122" s="25" t="s">
        <v>68</v>
      </c>
      <c r="G122" s="251">
        <v>50830</v>
      </c>
      <c r="H122" s="31">
        <v>329</v>
      </c>
      <c r="I122" s="36">
        <f>7.8/10</f>
        <v>0.78</v>
      </c>
      <c r="J122" s="36">
        <f>9.41/10</f>
        <v>0.94100000000000006</v>
      </c>
      <c r="K122" s="36">
        <f>9.16/10</f>
        <v>0.91600000000000004</v>
      </c>
      <c r="L122" s="36">
        <f>8.71/10</f>
        <v>0.87100000000000011</v>
      </c>
      <c r="M122" s="36">
        <f>8.09/10</f>
        <v>0.80899999999999994</v>
      </c>
      <c r="N122" s="36">
        <f>6.57/10</f>
        <v>0.65700000000000003</v>
      </c>
      <c r="O122" s="36">
        <f>8.06/10</f>
        <v>0.80600000000000005</v>
      </c>
      <c r="P122" s="36">
        <f>9.27/10</f>
        <v>0.92699999999999994</v>
      </c>
      <c r="Q122" s="36">
        <f>7.52/10</f>
        <v>0.752</v>
      </c>
      <c r="R122" s="36">
        <f>7.58/10</f>
        <v>0.75800000000000001</v>
      </c>
      <c r="S122" s="254">
        <f t="shared" si="0"/>
        <v>0.82169999999999987</v>
      </c>
      <c r="T122" s="33" t="s">
        <v>252</v>
      </c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</row>
    <row r="123" spans="1:30" ht="15.75" customHeight="1">
      <c r="A123" s="25">
        <v>2</v>
      </c>
      <c r="B123" s="25">
        <v>4</v>
      </c>
      <c r="C123" s="25">
        <v>9</v>
      </c>
      <c r="D123" s="25" t="s">
        <v>136</v>
      </c>
      <c r="E123" s="26" t="s">
        <v>137</v>
      </c>
      <c r="F123" s="25" t="s">
        <v>25</v>
      </c>
      <c r="G123" s="251">
        <v>50757</v>
      </c>
      <c r="H123" s="31">
        <v>10</v>
      </c>
      <c r="I123" s="33">
        <f>5.73/10</f>
        <v>0.57300000000000006</v>
      </c>
      <c r="J123" s="36"/>
      <c r="K123" s="36"/>
      <c r="L123" s="36"/>
      <c r="M123" s="36"/>
      <c r="N123" s="36"/>
      <c r="O123" s="36"/>
      <c r="P123" s="36"/>
      <c r="Q123" s="36"/>
      <c r="R123" s="36"/>
      <c r="S123" s="254">
        <f t="shared" si="0"/>
        <v>0.57300000000000006</v>
      </c>
      <c r="T123" s="33" t="s">
        <v>252</v>
      </c>
      <c r="U123" s="236"/>
      <c r="V123" s="236"/>
      <c r="W123" s="236"/>
      <c r="X123" s="236"/>
      <c r="Y123" s="236"/>
      <c r="Z123" s="236"/>
      <c r="AA123" s="236"/>
      <c r="AB123" s="236"/>
      <c r="AC123" s="236"/>
      <c r="AD123" s="236"/>
    </row>
    <row r="124" spans="1:30" ht="15.75" customHeight="1">
      <c r="A124" s="25">
        <v>2</v>
      </c>
      <c r="B124" s="25">
        <v>4</v>
      </c>
      <c r="C124" s="25">
        <v>10</v>
      </c>
      <c r="D124" s="25" t="s">
        <v>138</v>
      </c>
      <c r="E124" s="26" t="s">
        <v>139</v>
      </c>
      <c r="F124" s="25" t="s">
        <v>68</v>
      </c>
      <c r="G124" s="251">
        <v>50828</v>
      </c>
      <c r="H124" s="31">
        <v>954</v>
      </c>
      <c r="I124" s="36">
        <f>8.15/10</f>
        <v>0.81500000000000006</v>
      </c>
      <c r="J124" s="36">
        <f>7.83/10</f>
        <v>0.78300000000000003</v>
      </c>
      <c r="K124" s="36">
        <f>5.38/10</f>
        <v>0.53800000000000003</v>
      </c>
      <c r="L124" s="36">
        <f>7.83/10</f>
        <v>0.78300000000000003</v>
      </c>
      <c r="M124" s="36">
        <f>4.36/10</f>
        <v>0.43600000000000005</v>
      </c>
      <c r="N124" s="36">
        <f>6.23/10</f>
        <v>0.623</v>
      </c>
      <c r="O124" s="36">
        <f>7.1/10</f>
        <v>0.71</v>
      </c>
      <c r="P124" s="36">
        <f>5.03/10</f>
        <v>0.503</v>
      </c>
      <c r="Q124" s="36">
        <f>4.75/10</f>
        <v>0.47499999999999998</v>
      </c>
      <c r="R124" s="36">
        <f>3.95/10</f>
        <v>0.39500000000000002</v>
      </c>
      <c r="S124" s="254">
        <f t="shared" si="0"/>
        <v>0.60609999999999997</v>
      </c>
      <c r="T124" s="33" t="s">
        <v>252</v>
      </c>
      <c r="U124" s="236"/>
      <c r="V124" s="236"/>
      <c r="W124" s="236"/>
      <c r="X124" s="236"/>
      <c r="Y124" s="236"/>
      <c r="Z124" s="236"/>
      <c r="AA124" s="236"/>
      <c r="AB124" s="236"/>
      <c r="AC124" s="236"/>
      <c r="AD124" s="236"/>
    </row>
    <row r="125" spans="1:30" ht="15.75" customHeight="1">
      <c r="A125" s="25">
        <v>2</v>
      </c>
      <c r="B125" s="25">
        <v>4</v>
      </c>
      <c r="C125" s="25">
        <v>10</v>
      </c>
      <c r="D125" s="25" t="s">
        <v>140</v>
      </c>
      <c r="E125" s="26" t="s">
        <v>141</v>
      </c>
      <c r="F125" s="25" t="s">
        <v>25</v>
      </c>
      <c r="G125" s="251">
        <v>50763</v>
      </c>
      <c r="H125" s="31">
        <v>19</v>
      </c>
      <c r="I125" s="36">
        <f>13.54/10</f>
        <v>1.3539999999999999</v>
      </c>
      <c r="J125" s="36"/>
      <c r="K125" s="36"/>
      <c r="L125" s="36"/>
      <c r="M125" s="36"/>
      <c r="N125" s="36"/>
      <c r="O125" s="36"/>
      <c r="P125" s="36"/>
      <c r="Q125" s="36"/>
      <c r="R125" s="36"/>
      <c r="S125" s="254">
        <f t="shared" si="0"/>
        <v>1.3539999999999999</v>
      </c>
      <c r="T125" s="33" t="s">
        <v>252</v>
      </c>
      <c r="U125" s="236"/>
      <c r="V125" s="236"/>
      <c r="W125" s="236"/>
      <c r="X125" s="236"/>
      <c r="Y125" s="236"/>
      <c r="Z125" s="236"/>
      <c r="AA125" s="236"/>
      <c r="AB125" s="236"/>
      <c r="AC125" s="236"/>
      <c r="AD125" s="236"/>
    </row>
    <row r="126" spans="1:30" ht="15.75" customHeight="1">
      <c r="A126" s="25">
        <v>2</v>
      </c>
      <c r="B126" s="25">
        <v>4</v>
      </c>
      <c r="C126" s="25">
        <v>10</v>
      </c>
      <c r="D126" s="25" t="s">
        <v>138</v>
      </c>
      <c r="E126" s="26" t="s">
        <v>139</v>
      </c>
      <c r="F126" s="25" t="s">
        <v>68</v>
      </c>
      <c r="G126" s="251">
        <v>50295</v>
      </c>
      <c r="H126" s="31">
        <v>11</v>
      </c>
      <c r="I126" s="36">
        <f>10.1/10</f>
        <v>1.01</v>
      </c>
      <c r="J126" s="36">
        <f>7.14/10</f>
        <v>0.71399999999999997</v>
      </c>
      <c r="K126" s="36"/>
      <c r="L126" s="36"/>
      <c r="M126" s="36"/>
      <c r="N126" s="36"/>
      <c r="O126" s="36"/>
      <c r="P126" s="36"/>
      <c r="Q126" s="36"/>
      <c r="R126" s="36"/>
      <c r="S126" s="254">
        <f t="shared" si="0"/>
        <v>0.86199999999999999</v>
      </c>
      <c r="T126" s="33" t="s">
        <v>252</v>
      </c>
      <c r="U126" s="236"/>
      <c r="V126" s="236"/>
      <c r="W126" s="236"/>
      <c r="X126" s="236"/>
      <c r="Y126" s="236"/>
      <c r="Z126" s="236"/>
      <c r="AA126" s="236"/>
      <c r="AB126" s="236"/>
      <c r="AC126" s="236"/>
      <c r="AD126" s="236"/>
    </row>
    <row r="127" spans="1:30" ht="15.75" customHeight="1">
      <c r="A127" s="25">
        <v>2</v>
      </c>
      <c r="B127" s="25">
        <v>4</v>
      </c>
      <c r="C127" s="25">
        <v>10</v>
      </c>
      <c r="D127" s="25" t="s">
        <v>140</v>
      </c>
      <c r="E127" s="26" t="s">
        <v>141</v>
      </c>
      <c r="F127" s="25" t="s">
        <v>68</v>
      </c>
      <c r="G127" s="251">
        <v>50638</v>
      </c>
      <c r="H127" s="31">
        <v>52</v>
      </c>
      <c r="I127" s="36">
        <f>4.47/10</f>
        <v>0.44699999999999995</v>
      </c>
      <c r="J127" s="36">
        <f>8.39/10</f>
        <v>0.83900000000000008</v>
      </c>
      <c r="K127" s="36">
        <f>5.4/10</f>
        <v>0.54</v>
      </c>
      <c r="L127" s="36"/>
      <c r="M127" s="36"/>
      <c r="N127" s="36"/>
      <c r="O127" s="36"/>
      <c r="P127" s="36"/>
      <c r="Q127" s="36"/>
      <c r="R127" s="36"/>
      <c r="S127" s="254">
        <f t="shared" si="0"/>
        <v>0.60866666666666669</v>
      </c>
      <c r="T127" s="33" t="s">
        <v>252</v>
      </c>
      <c r="U127" s="236"/>
      <c r="V127" s="236"/>
      <c r="W127" s="236"/>
      <c r="X127" s="236"/>
      <c r="Y127" s="236"/>
      <c r="Z127" s="236"/>
      <c r="AA127" s="236"/>
      <c r="AB127" s="236"/>
      <c r="AC127" s="236"/>
      <c r="AD127" s="236"/>
    </row>
    <row r="128" spans="1:30" ht="15.75" customHeight="1">
      <c r="A128" s="25">
        <v>2</v>
      </c>
      <c r="B128" s="25">
        <v>4</v>
      </c>
      <c r="C128" s="25">
        <v>10</v>
      </c>
      <c r="D128" s="25" t="s">
        <v>138</v>
      </c>
      <c r="E128" s="26" t="s">
        <v>139</v>
      </c>
      <c r="F128" s="25" t="s">
        <v>25</v>
      </c>
      <c r="G128" s="251">
        <v>50750</v>
      </c>
      <c r="H128" s="31">
        <v>82</v>
      </c>
      <c r="I128" s="36">
        <f>12.49/10</f>
        <v>1.2490000000000001</v>
      </c>
      <c r="J128" s="36"/>
      <c r="K128" s="36"/>
      <c r="L128" s="36"/>
      <c r="M128" s="36"/>
      <c r="N128" s="36"/>
      <c r="O128" s="36"/>
      <c r="P128" s="36"/>
      <c r="Q128" s="36"/>
      <c r="R128" s="36"/>
      <c r="S128" s="254">
        <f t="shared" si="0"/>
        <v>1.2490000000000001</v>
      </c>
      <c r="T128" s="33" t="s">
        <v>252</v>
      </c>
      <c r="U128" s="236"/>
      <c r="V128" s="236"/>
      <c r="W128" s="236"/>
      <c r="X128" s="236"/>
      <c r="Y128" s="236"/>
      <c r="Z128" s="236"/>
      <c r="AA128" s="236"/>
      <c r="AB128" s="236"/>
      <c r="AC128" s="236"/>
      <c r="AD128" s="236"/>
    </row>
    <row r="129" spans="1:30" ht="15.75" customHeight="1">
      <c r="A129" s="38">
        <v>2</v>
      </c>
      <c r="B129" s="38">
        <v>4</v>
      </c>
      <c r="C129" s="38">
        <v>11</v>
      </c>
      <c r="D129" s="38" t="s">
        <v>142</v>
      </c>
      <c r="E129" s="40" t="s">
        <v>143</v>
      </c>
      <c r="F129" s="38" t="s">
        <v>144</v>
      </c>
      <c r="G129" s="258">
        <v>50769</v>
      </c>
      <c r="H129" s="46">
        <v>2</v>
      </c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254"/>
      <c r="T129" s="38" t="s">
        <v>43</v>
      </c>
      <c r="U129" s="236"/>
      <c r="V129" s="236"/>
      <c r="W129" s="236"/>
      <c r="X129" s="236"/>
      <c r="Y129" s="236"/>
      <c r="Z129" s="236"/>
      <c r="AA129" s="236"/>
      <c r="AB129" s="236"/>
      <c r="AC129" s="236"/>
      <c r="AD129" s="236"/>
    </row>
    <row r="130" spans="1:30" ht="15.75" customHeight="1">
      <c r="A130" s="25">
        <v>2</v>
      </c>
      <c r="B130" s="25">
        <v>4</v>
      </c>
      <c r="C130" s="25">
        <v>13</v>
      </c>
      <c r="D130" s="25" t="s">
        <v>32</v>
      </c>
      <c r="E130" s="26" t="s">
        <v>33</v>
      </c>
      <c r="F130" s="25" t="s">
        <v>68</v>
      </c>
      <c r="G130" s="251">
        <v>50819</v>
      </c>
      <c r="H130" s="31">
        <v>1285</v>
      </c>
      <c r="I130" s="36">
        <f>12.14/10</f>
        <v>1.214</v>
      </c>
      <c r="J130" s="36">
        <f>9.69/10</f>
        <v>0.96899999999999997</v>
      </c>
      <c r="K130" s="36">
        <f>11.96/10</f>
        <v>1.1960000000000002</v>
      </c>
      <c r="L130" s="36">
        <f>6.93/10</f>
        <v>0.69299999999999995</v>
      </c>
      <c r="M130" s="36">
        <f>9.94/10</f>
        <v>0.99399999999999999</v>
      </c>
      <c r="N130" s="36">
        <f>10.02/10</f>
        <v>1.002</v>
      </c>
      <c r="O130" s="36">
        <f>10.85/10</f>
        <v>1.085</v>
      </c>
      <c r="P130" s="36">
        <f>9.79/10</f>
        <v>0.97899999999999987</v>
      </c>
      <c r="Q130" s="36">
        <f>8.93/10</f>
        <v>0.89300000000000002</v>
      </c>
      <c r="R130" s="36">
        <f>6.24/10</f>
        <v>0.624</v>
      </c>
      <c r="S130" s="254">
        <f t="shared" si="0"/>
        <v>0.96490000000000009</v>
      </c>
      <c r="T130" s="33" t="s">
        <v>252</v>
      </c>
      <c r="U130" s="236"/>
      <c r="V130" s="236"/>
      <c r="W130" s="236"/>
      <c r="X130" s="236"/>
      <c r="Y130" s="236"/>
      <c r="Z130" s="236"/>
      <c r="AA130" s="236"/>
      <c r="AB130" s="236"/>
      <c r="AC130" s="236"/>
      <c r="AD130" s="236"/>
    </row>
    <row r="131" spans="1:30" ht="15.75" customHeight="1">
      <c r="A131" s="25">
        <v>2</v>
      </c>
      <c r="B131" s="25">
        <v>4</v>
      </c>
      <c r="C131" s="25">
        <v>14</v>
      </c>
      <c r="D131" s="25" t="s">
        <v>145</v>
      </c>
      <c r="E131" s="26" t="s">
        <v>146</v>
      </c>
      <c r="F131" s="25" t="s">
        <v>31</v>
      </c>
      <c r="G131" s="251">
        <v>50809</v>
      </c>
      <c r="H131" s="31">
        <v>664</v>
      </c>
      <c r="I131" s="36">
        <f>11.23/10</f>
        <v>1.123</v>
      </c>
      <c r="J131" s="36">
        <f>10.66/10</f>
        <v>1.0660000000000001</v>
      </c>
      <c r="K131" s="36">
        <f>7.61/10</f>
        <v>0.76100000000000001</v>
      </c>
      <c r="L131" s="36">
        <f>9.34/10</f>
        <v>0.93399999999999994</v>
      </c>
      <c r="M131" s="36">
        <f>13.01/10</f>
        <v>1.3009999999999999</v>
      </c>
      <c r="N131" s="36">
        <f>16.16/10</f>
        <v>1.6160000000000001</v>
      </c>
      <c r="O131" s="36">
        <f>10.32/10</f>
        <v>1.032</v>
      </c>
      <c r="P131" s="36">
        <f>10.13/10</f>
        <v>1.0130000000000001</v>
      </c>
      <c r="Q131" s="36">
        <f>12.89/10</f>
        <v>1.2890000000000001</v>
      </c>
      <c r="R131" s="36">
        <f>7.92/10</f>
        <v>0.79200000000000004</v>
      </c>
      <c r="S131" s="254">
        <f t="shared" si="0"/>
        <v>1.0927</v>
      </c>
      <c r="T131" s="33" t="s">
        <v>252</v>
      </c>
      <c r="U131" s="236"/>
      <c r="V131" s="236"/>
      <c r="W131" s="236"/>
      <c r="X131" s="236"/>
      <c r="Y131" s="236"/>
      <c r="Z131" s="236"/>
      <c r="AA131" s="236"/>
      <c r="AB131" s="236"/>
      <c r="AC131" s="236"/>
      <c r="AD131" s="236"/>
    </row>
    <row r="132" spans="1:30" ht="15.75" customHeight="1">
      <c r="A132" s="38">
        <v>2</v>
      </c>
      <c r="B132" s="38">
        <v>4</v>
      </c>
      <c r="C132" s="38">
        <v>15</v>
      </c>
      <c r="D132" s="38" t="s">
        <v>147</v>
      </c>
      <c r="E132" s="40" t="s">
        <v>148</v>
      </c>
      <c r="F132" s="38" t="s">
        <v>25</v>
      </c>
      <c r="G132" s="258">
        <v>50376</v>
      </c>
      <c r="H132" s="46">
        <v>6</v>
      </c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254"/>
      <c r="T132" s="38" t="s">
        <v>43</v>
      </c>
      <c r="U132" s="236"/>
      <c r="V132" s="236"/>
      <c r="W132" s="236"/>
      <c r="X132" s="236"/>
      <c r="Y132" s="236"/>
      <c r="Z132" s="236"/>
      <c r="AA132" s="236"/>
      <c r="AB132" s="236"/>
      <c r="AC132" s="236"/>
      <c r="AD132" s="236"/>
    </row>
    <row r="133" spans="1:30" ht="15.75" customHeight="1">
      <c r="A133" s="25">
        <v>2</v>
      </c>
      <c r="B133" s="25">
        <v>4</v>
      </c>
      <c r="C133" s="25">
        <v>15</v>
      </c>
      <c r="D133" s="25" t="s">
        <v>149</v>
      </c>
      <c r="E133" s="26" t="s">
        <v>150</v>
      </c>
      <c r="F133" s="25" t="s">
        <v>31</v>
      </c>
      <c r="G133" s="251">
        <v>50815</v>
      </c>
      <c r="H133" s="31">
        <v>81</v>
      </c>
      <c r="I133" s="36">
        <f>12.61/10</f>
        <v>1.2609999999999999</v>
      </c>
      <c r="J133" s="36">
        <f>17.05/10</f>
        <v>1.7050000000000001</v>
      </c>
      <c r="K133" s="36">
        <f>11.27/10</f>
        <v>1.127</v>
      </c>
      <c r="L133" s="36"/>
      <c r="M133" s="36"/>
      <c r="N133" s="36"/>
      <c r="O133" s="36"/>
      <c r="P133" s="36"/>
      <c r="Q133" s="36"/>
      <c r="R133" s="36"/>
      <c r="S133" s="254">
        <f t="shared" si="0"/>
        <v>1.3643333333333334</v>
      </c>
      <c r="T133" s="33" t="s">
        <v>252</v>
      </c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</row>
    <row r="134" spans="1:30" ht="15.75" customHeight="1">
      <c r="A134" s="25">
        <v>2</v>
      </c>
      <c r="B134" s="25">
        <v>4</v>
      </c>
      <c r="C134" s="25">
        <v>15</v>
      </c>
      <c r="D134" s="25" t="s">
        <v>145</v>
      </c>
      <c r="E134" s="26" t="s">
        <v>146</v>
      </c>
      <c r="F134" s="25" t="s">
        <v>31</v>
      </c>
      <c r="G134" s="251">
        <v>50711</v>
      </c>
      <c r="H134" s="31">
        <v>100</v>
      </c>
      <c r="I134" s="36">
        <f>10.94/10</f>
        <v>1.0939999999999999</v>
      </c>
      <c r="J134" s="36">
        <f>10.37/10</f>
        <v>1.0369999999999999</v>
      </c>
      <c r="K134" s="33">
        <v>1.2589999999999999</v>
      </c>
      <c r="L134" s="36"/>
      <c r="M134" s="36"/>
      <c r="N134" s="36"/>
      <c r="O134" s="36"/>
      <c r="P134" s="36"/>
      <c r="Q134" s="36"/>
      <c r="R134" s="36"/>
      <c r="S134" s="254">
        <f t="shared" si="0"/>
        <v>1.1299999999999999</v>
      </c>
      <c r="T134" s="33" t="s">
        <v>252</v>
      </c>
      <c r="U134" s="236"/>
      <c r="V134" s="236"/>
      <c r="W134" s="236"/>
      <c r="X134" s="236"/>
      <c r="Y134" s="236"/>
      <c r="Z134" s="236"/>
      <c r="AA134" s="236"/>
      <c r="AB134" s="236"/>
      <c r="AC134" s="236"/>
      <c r="AD134" s="236"/>
    </row>
    <row r="135" spans="1:30" ht="15.75" customHeight="1">
      <c r="A135" s="25">
        <v>2</v>
      </c>
      <c r="B135" s="25">
        <v>4</v>
      </c>
      <c r="C135" s="25">
        <v>15</v>
      </c>
      <c r="D135" s="25" t="s">
        <v>145</v>
      </c>
      <c r="E135" s="26" t="s">
        <v>146</v>
      </c>
      <c r="F135" s="25" t="s">
        <v>68</v>
      </c>
      <c r="G135" s="251">
        <v>50701</v>
      </c>
      <c r="H135" s="31">
        <v>70</v>
      </c>
      <c r="I135" s="36">
        <f>3.31/10</f>
        <v>0.33100000000000002</v>
      </c>
      <c r="J135" s="36">
        <f>3.67/10</f>
        <v>0.36699999999999999</v>
      </c>
      <c r="K135" s="36">
        <f>3.72/10</f>
        <v>0.372</v>
      </c>
      <c r="L135" s="36"/>
      <c r="M135" s="36"/>
      <c r="N135" s="36"/>
      <c r="O135" s="36"/>
      <c r="P135" s="36"/>
      <c r="Q135" s="36"/>
      <c r="R135" s="36"/>
      <c r="S135" s="254">
        <f t="shared" si="0"/>
        <v>0.35666666666666663</v>
      </c>
      <c r="T135" s="33" t="s">
        <v>252</v>
      </c>
      <c r="U135" s="236"/>
      <c r="V135" s="236"/>
      <c r="W135" s="236"/>
      <c r="X135" s="236"/>
      <c r="Y135" s="236"/>
      <c r="Z135" s="236"/>
      <c r="AA135" s="236"/>
      <c r="AB135" s="236"/>
      <c r="AC135" s="236"/>
      <c r="AD135" s="236"/>
    </row>
    <row r="136" spans="1:30" ht="15.75" customHeight="1">
      <c r="A136" s="25">
        <v>2</v>
      </c>
      <c r="B136" s="25">
        <v>4</v>
      </c>
      <c r="C136" s="25">
        <v>15</v>
      </c>
      <c r="D136" s="25" t="s">
        <v>151</v>
      </c>
      <c r="E136" s="26" t="s">
        <v>152</v>
      </c>
      <c r="F136" s="25" t="s">
        <v>144</v>
      </c>
      <c r="G136" s="251">
        <v>50776</v>
      </c>
      <c r="H136" s="31">
        <v>28</v>
      </c>
      <c r="I136" s="33">
        <f>6.28/10</f>
        <v>0.628</v>
      </c>
      <c r="J136" s="36"/>
      <c r="K136" s="36"/>
      <c r="L136" s="36"/>
      <c r="M136" s="36"/>
      <c r="N136" s="36"/>
      <c r="O136" s="36"/>
      <c r="P136" s="36"/>
      <c r="Q136" s="36"/>
      <c r="R136" s="36"/>
      <c r="S136" s="254">
        <f t="shared" si="0"/>
        <v>0.628</v>
      </c>
      <c r="T136" s="33" t="s">
        <v>252</v>
      </c>
      <c r="U136" s="236"/>
      <c r="V136" s="236"/>
      <c r="W136" s="236"/>
      <c r="X136" s="236"/>
      <c r="Y136" s="236"/>
      <c r="Z136" s="236"/>
      <c r="AA136" s="236"/>
      <c r="AB136" s="236"/>
      <c r="AC136" s="236"/>
      <c r="AD136" s="236"/>
    </row>
    <row r="137" spans="1:30" ht="15.75" customHeight="1">
      <c r="A137" s="38">
        <v>2</v>
      </c>
      <c r="B137" s="38">
        <v>4</v>
      </c>
      <c r="C137" s="38">
        <v>15</v>
      </c>
      <c r="D137" s="38" t="s">
        <v>151</v>
      </c>
      <c r="E137" s="40" t="s">
        <v>152</v>
      </c>
      <c r="F137" s="38" t="s">
        <v>31</v>
      </c>
      <c r="G137" s="258">
        <v>50811</v>
      </c>
      <c r="H137" s="46">
        <v>4</v>
      </c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254"/>
      <c r="T137" s="38" t="s">
        <v>43</v>
      </c>
      <c r="U137" s="236"/>
      <c r="V137" s="236"/>
      <c r="W137" s="236"/>
      <c r="X137" s="236"/>
      <c r="Y137" s="236"/>
      <c r="Z137" s="236"/>
      <c r="AA137" s="236"/>
      <c r="AB137" s="236"/>
      <c r="AC137" s="236"/>
      <c r="AD137" s="236"/>
    </row>
    <row r="138" spans="1:30" ht="15.75" customHeight="1">
      <c r="A138" s="25">
        <v>2</v>
      </c>
      <c r="B138" s="25">
        <v>4</v>
      </c>
      <c r="C138" s="25">
        <v>15</v>
      </c>
      <c r="D138" s="25" t="s">
        <v>153</v>
      </c>
      <c r="E138" s="26" t="s">
        <v>154</v>
      </c>
      <c r="F138" s="25" t="s">
        <v>155</v>
      </c>
      <c r="G138" s="251">
        <v>50851</v>
      </c>
      <c r="H138" s="31">
        <v>15</v>
      </c>
      <c r="I138" s="36">
        <f>5.43/10</f>
        <v>0.54299999999999993</v>
      </c>
      <c r="J138" s="36"/>
      <c r="K138" s="36"/>
      <c r="L138" s="36"/>
      <c r="M138" s="36"/>
      <c r="N138" s="36"/>
      <c r="O138" s="36"/>
      <c r="P138" s="36"/>
      <c r="Q138" s="36"/>
      <c r="R138" s="36"/>
      <c r="S138" s="254">
        <f t="shared" si="0"/>
        <v>0.54299999999999993</v>
      </c>
      <c r="T138" s="33" t="s">
        <v>252</v>
      </c>
      <c r="U138" s="236"/>
      <c r="V138" s="236"/>
      <c r="W138" s="236"/>
      <c r="X138" s="236"/>
      <c r="Y138" s="236"/>
      <c r="Z138" s="236"/>
      <c r="AA138" s="236"/>
      <c r="AB138" s="236"/>
      <c r="AC138" s="236"/>
      <c r="AD138" s="236"/>
    </row>
    <row r="139" spans="1:30" ht="15.75" customHeight="1">
      <c r="A139" s="25">
        <v>2</v>
      </c>
      <c r="B139" s="25">
        <v>4</v>
      </c>
      <c r="C139" s="25">
        <v>15</v>
      </c>
      <c r="D139" s="25" t="s">
        <v>156</v>
      </c>
      <c r="E139" s="26" t="s">
        <v>157</v>
      </c>
      <c r="F139" s="25" t="s">
        <v>31</v>
      </c>
      <c r="G139" s="251">
        <v>50805</v>
      </c>
      <c r="H139" s="31">
        <v>15</v>
      </c>
      <c r="I139" s="36">
        <f>3.7/10</f>
        <v>0.37</v>
      </c>
      <c r="J139" s="36"/>
      <c r="K139" s="36"/>
      <c r="L139" s="36"/>
      <c r="M139" s="36"/>
      <c r="N139" s="36"/>
      <c r="O139" s="36"/>
      <c r="P139" s="36"/>
      <c r="Q139" s="36"/>
      <c r="R139" s="36"/>
      <c r="S139" s="254">
        <f t="shared" si="0"/>
        <v>0.37</v>
      </c>
      <c r="T139" s="33" t="s">
        <v>252</v>
      </c>
      <c r="U139" s="236"/>
      <c r="V139" s="236"/>
      <c r="W139" s="236"/>
      <c r="X139" s="236"/>
      <c r="Y139" s="236"/>
      <c r="Z139" s="236"/>
      <c r="AA139" s="236"/>
      <c r="AB139" s="236"/>
      <c r="AC139" s="236"/>
      <c r="AD139" s="236"/>
    </row>
    <row r="140" spans="1:30" ht="15.75" customHeight="1">
      <c r="A140" s="25">
        <v>2</v>
      </c>
      <c r="B140" s="25">
        <v>4</v>
      </c>
      <c r="C140" s="25">
        <v>15</v>
      </c>
      <c r="D140" s="25" t="s">
        <v>158</v>
      </c>
      <c r="E140" s="26" t="s">
        <v>159</v>
      </c>
      <c r="F140" s="25" t="s">
        <v>31</v>
      </c>
      <c r="G140" s="251">
        <v>50849</v>
      </c>
      <c r="H140" s="31">
        <v>27</v>
      </c>
      <c r="I140" s="36">
        <f>6.03/10</f>
        <v>0.60299999999999998</v>
      </c>
      <c r="J140" s="36"/>
      <c r="K140" s="36"/>
      <c r="L140" s="36"/>
      <c r="M140" s="36"/>
      <c r="N140" s="36"/>
      <c r="O140" s="36"/>
      <c r="P140" s="36"/>
      <c r="Q140" s="36"/>
      <c r="R140" s="36"/>
      <c r="S140" s="254">
        <f t="shared" si="0"/>
        <v>0.60299999999999998</v>
      </c>
      <c r="T140" s="33" t="s">
        <v>252</v>
      </c>
      <c r="U140" s="236"/>
      <c r="V140" s="236"/>
      <c r="W140" s="236"/>
      <c r="X140" s="236"/>
      <c r="Y140" s="236"/>
      <c r="Z140" s="236"/>
      <c r="AA140" s="236"/>
      <c r="AB140" s="236"/>
      <c r="AC140" s="236"/>
      <c r="AD140" s="236"/>
    </row>
    <row r="141" spans="1:30" ht="15.75" customHeight="1">
      <c r="A141" s="25">
        <v>2</v>
      </c>
      <c r="B141" s="25">
        <v>4</v>
      </c>
      <c r="C141" s="25">
        <v>15</v>
      </c>
      <c r="D141" s="25" t="s">
        <v>160</v>
      </c>
      <c r="E141" s="26" t="s">
        <v>161</v>
      </c>
      <c r="F141" s="25" t="s">
        <v>34</v>
      </c>
      <c r="G141" s="251">
        <v>50707</v>
      </c>
      <c r="H141" s="31">
        <v>30</v>
      </c>
      <c r="I141" s="36">
        <f>6.81/10</f>
        <v>0.68099999999999994</v>
      </c>
      <c r="J141" s="36"/>
      <c r="K141" s="36"/>
      <c r="L141" s="36"/>
      <c r="M141" s="36"/>
      <c r="N141" s="36"/>
      <c r="O141" s="36"/>
      <c r="P141" s="36"/>
      <c r="Q141" s="36"/>
      <c r="R141" s="36"/>
      <c r="S141" s="254">
        <f t="shared" si="0"/>
        <v>0.68099999999999994</v>
      </c>
      <c r="T141" s="33" t="s">
        <v>252</v>
      </c>
      <c r="U141" s="236"/>
      <c r="V141" s="236"/>
      <c r="W141" s="236"/>
      <c r="X141" s="236"/>
      <c r="Y141" s="236"/>
      <c r="Z141" s="236"/>
      <c r="AA141" s="236"/>
      <c r="AB141" s="236"/>
      <c r="AC141" s="236"/>
      <c r="AD141" s="236"/>
    </row>
    <row r="142" spans="1:30" ht="15.75" customHeight="1">
      <c r="A142" s="25">
        <v>2</v>
      </c>
      <c r="B142" s="25">
        <v>4</v>
      </c>
      <c r="C142" s="25">
        <v>15</v>
      </c>
      <c r="D142" s="25" t="s">
        <v>162</v>
      </c>
      <c r="E142" s="26" t="s">
        <v>163</v>
      </c>
      <c r="F142" s="25" t="s">
        <v>34</v>
      </c>
      <c r="G142" s="251">
        <v>50840</v>
      </c>
      <c r="H142" s="31">
        <v>1</v>
      </c>
      <c r="I142" s="36">
        <f>2.85/10</f>
        <v>0.28500000000000003</v>
      </c>
      <c r="J142" s="36"/>
      <c r="K142" s="36"/>
      <c r="L142" s="36"/>
      <c r="M142" s="36"/>
      <c r="N142" s="36"/>
      <c r="O142" s="36"/>
      <c r="P142" s="36"/>
      <c r="Q142" s="36"/>
      <c r="R142" s="36"/>
      <c r="S142" s="254">
        <f t="shared" si="0"/>
        <v>0.28500000000000003</v>
      </c>
      <c r="T142" s="33" t="s">
        <v>252</v>
      </c>
      <c r="U142" s="236"/>
      <c r="V142" s="236"/>
      <c r="W142" s="236"/>
      <c r="X142" s="236"/>
      <c r="Y142" s="236"/>
      <c r="Z142" s="236"/>
      <c r="AA142" s="236"/>
      <c r="AB142" s="236"/>
      <c r="AC142" s="236"/>
      <c r="AD142" s="236"/>
    </row>
    <row r="143" spans="1:30" ht="15.75" customHeight="1">
      <c r="A143" s="53">
        <v>2</v>
      </c>
      <c r="B143" s="53">
        <v>4</v>
      </c>
      <c r="C143" s="53">
        <v>15</v>
      </c>
      <c r="D143" s="53" t="s">
        <v>164</v>
      </c>
      <c r="E143" s="54" t="s">
        <v>165</v>
      </c>
      <c r="F143" s="53" t="s">
        <v>166</v>
      </c>
      <c r="G143" s="262">
        <v>50775</v>
      </c>
      <c r="H143" s="57">
        <v>1</v>
      </c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254"/>
      <c r="T143" s="53" t="s">
        <v>55</v>
      </c>
      <c r="U143" s="236"/>
      <c r="V143" s="236"/>
      <c r="W143" s="236"/>
      <c r="X143" s="236"/>
      <c r="Y143" s="236"/>
      <c r="Z143" s="236"/>
      <c r="AA143" s="236"/>
      <c r="AB143" s="236"/>
      <c r="AC143" s="236"/>
      <c r="AD143" s="236"/>
    </row>
    <row r="144" spans="1:30" ht="15.75" customHeight="1">
      <c r="A144" s="38">
        <v>2</v>
      </c>
      <c r="B144" s="38">
        <v>4</v>
      </c>
      <c r="C144" s="38">
        <v>15</v>
      </c>
      <c r="D144" s="38" t="s">
        <v>149</v>
      </c>
      <c r="E144" s="40" t="s">
        <v>150</v>
      </c>
      <c r="F144" s="38" t="s">
        <v>68</v>
      </c>
      <c r="G144" s="258">
        <v>50669</v>
      </c>
      <c r="H144" s="46">
        <v>4</v>
      </c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254"/>
      <c r="T144" s="38" t="s">
        <v>43</v>
      </c>
      <c r="U144" s="236"/>
      <c r="V144" s="236"/>
      <c r="W144" s="236"/>
      <c r="X144" s="236"/>
      <c r="Y144" s="236"/>
      <c r="Z144" s="236"/>
      <c r="AA144" s="236"/>
      <c r="AB144" s="236"/>
      <c r="AC144" s="236"/>
      <c r="AD144" s="236"/>
    </row>
    <row r="145" spans="1:30" ht="15.75" customHeight="1">
      <c r="A145" s="38">
        <v>2</v>
      </c>
      <c r="B145" s="38">
        <v>4</v>
      </c>
      <c r="C145" s="38">
        <v>15</v>
      </c>
      <c r="D145" s="38" t="s">
        <v>149</v>
      </c>
      <c r="E145" s="40" t="s">
        <v>150</v>
      </c>
      <c r="F145" s="38" t="s">
        <v>34</v>
      </c>
      <c r="G145" s="258">
        <v>50433</v>
      </c>
      <c r="H145" s="46">
        <v>3</v>
      </c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254"/>
      <c r="T145" s="38" t="s">
        <v>43</v>
      </c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</row>
    <row r="146" spans="1:30" ht="15.75" customHeight="1">
      <c r="A146" s="25">
        <v>2</v>
      </c>
      <c r="B146" s="25">
        <v>4</v>
      </c>
      <c r="C146" s="25">
        <v>16</v>
      </c>
      <c r="D146" s="25" t="s">
        <v>167</v>
      </c>
      <c r="E146" s="26" t="s">
        <v>168</v>
      </c>
      <c r="F146" s="25" t="s">
        <v>31</v>
      </c>
      <c r="G146" s="251">
        <v>50865</v>
      </c>
      <c r="H146" s="31">
        <v>628</v>
      </c>
      <c r="I146" s="36">
        <f>7.54/10</f>
        <v>0.754</v>
      </c>
      <c r="J146" s="36">
        <f>10.62/10</f>
        <v>1.0619999999999998</v>
      </c>
      <c r="K146" s="36">
        <f>7.93/10</f>
        <v>0.79299999999999993</v>
      </c>
      <c r="L146" s="36">
        <f>5.17/10</f>
        <v>0.51700000000000002</v>
      </c>
      <c r="M146" s="36">
        <f>8.37/10</f>
        <v>0.83699999999999997</v>
      </c>
      <c r="N146" s="36">
        <f>8.83/10</f>
        <v>0.88300000000000001</v>
      </c>
      <c r="O146" s="36">
        <f>3.71/10</f>
        <v>0.371</v>
      </c>
      <c r="P146" s="36">
        <f>7.42/10</f>
        <v>0.74199999999999999</v>
      </c>
      <c r="Q146" s="36">
        <f>9.11/10</f>
        <v>0.91099999999999992</v>
      </c>
      <c r="R146" s="36">
        <f>5.17/10</f>
        <v>0.51700000000000002</v>
      </c>
      <c r="S146" s="254">
        <f t="shared" si="0"/>
        <v>0.73870000000000002</v>
      </c>
      <c r="T146" s="33" t="s">
        <v>252</v>
      </c>
      <c r="U146" s="236"/>
      <c r="V146" s="236"/>
      <c r="W146" s="236"/>
      <c r="X146" s="236"/>
      <c r="Y146" s="236"/>
      <c r="Z146" s="236"/>
      <c r="AA146" s="236"/>
      <c r="AB146" s="236"/>
      <c r="AC146" s="236"/>
      <c r="AD146" s="236"/>
    </row>
    <row r="147" spans="1:30" ht="15.75" customHeight="1">
      <c r="A147" s="25">
        <v>2</v>
      </c>
      <c r="B147" s="25">
        <v>4</v>
      </c>
      <c r="C147" s="25">
        <v>16</v>
      </c>
      <c r="D147" s="25" t="s">
        <v>145</v>
      </c>
      <c r="E147" s="26" t="s">
        <v>146</v>
      </c>
      <c r="F147" s="25" t="s">
        <v>31</v>
      </c>
      <c r="G147" s="251">
        <v>50866</v>
      </c>
      <c r="H147" s="31">
        <v>86</v>
      </c>
      <c r="I147" s="36">
        <f>9.81/10</f>
        <v>0.98100000000000009</v>
      </c>
      <c r="J147" s="36">
        <f>8.08/10</f>
        <v>0.80800000000000005</v>
      </c>
      <c r="K147" s="36">
        <f>6.56/10</f>
        <v>0.65599999999999992</v>
      </c>
      <c r="L147" s="36">
        <f>7.02/10</f>
        <v>0.70199999999999996</v>
      </c>
      <c r="M147" s="36"/>
      <c r="N147" s="36"/>
      <c r="O147" s="36"/>
      <c r="P147" s="36"/>
      <c r="Q147" s="36"/>
      <c r="R147" s="36"/>
      <c r="S147" s="254">
        <f t="shared" si="0"/>
        <v>0.78675000000000006</v>
      </c>
      <c r="T147" s="33" t="s">
        <v>252</v>
      </c>
      <c r="U147" s="236"/>
      <c r="V147" s="236"/>
      <c r="W147" s="236"/>
      <c r="X147" s="236"/>
      <c r="Y147" s="236"/>
      <c r="Z147" s="236"/>
      <c r="AA147" s="236"/>
      <c r="AB147" s="236"/>
      <c r="AC147" s="236"/>
      <c r="AD147" s="236"/>
    </row>
    <row r="148" spans="1:30" ht="15.75" customHeight="1">
      <c r="A148" s="68">
        <v>2</v>
      </c>
      <c r="B148" s="25">
        <v>4</v>
      </c>
      <c r="C148" s="25">
        <v>17</v>
      </c>
      <c r="D148" s="25" t="s">
        <v>169</v>
      </c>
      <c r="E148" s="26" t="s">
        <v>170</v>
      </c>
      <c r="F148" s="25" t="s">
        <v>34</v>
      </c>
      <c r="G148" s="251">
        <v>50596</v>
      </c>
      <c r="H148" s="31">
        <v>110</v>
      </c>
      <c r="I148" s="36">
        <f>13.16/10</f>
        <v>1.3160000000000001</v>
      </c>
      <c r="J148" s="36">
        <f>8.59/10</f>
        <v>0.85899999999999999</v>
      </c>
      <c r="K148" s="36">
        <f>12.14/10</f>
        <v>1.214</v>
      </c>
      <c r="L148" s="36">
        <f>6.6/10</f>
        <v>0.65999999999999992</v>
      </c>
      <c r="M148" s="36">
        <f>12.7/10</f>
        <v>1.27</v>
      </c>
      <c r="N148" s="36">
        <f>13.07/10</f>
        <v>1.3069999999999999</v>
      </c>
      <c r="O148" s="36"/>
      <c r="P148" s="36"/>
      <c r="Q148" s="36"/>
      <c r="R148" s="36"/>
      <c r="S148" s="254">
        <f t="shared" si="0"/>
        <v>1.1043333333333332</v>
      </c>
      <c r="T148" s="33" t="s">
        <v>252</v>
      </c>
      <c r="U148" s="236"/>
      <c r="V148" s="236"/>
      <c r="W148" s="236"/>
      <c r="X148" s="236"/>
      <c r="Y148" s="236"/>
      <c r="Z148" s="236"/>
      <c r="AA148" s="236"/>
      <c r="AB148" s="236"/>
      <c r="AC148" s="236"/>
      <c r="AD148" s="236"/>
    </row>
    <row r="149" spans="1:30" ht="15.75" customHeight="1">
      <c r="A149" s="25">
        <v>2</v>
      </c>
      <c r="B149" s="25">
        <v>4</v>
      </c>
      <c r="C149" s="25">
        <v>17</v>
      </c>
      <c r="D149" s="25" t="s">
        <v>169</v>
      </c>
      <c r="E149" s="26" t="s">
        <v>170</v>
      </c>
      <c r="F149" s="25" t="s">
        <v>34</v>
      </c>
      <c r="G149" s="251">
        <v>50571</v>
      </c>
      <c r="H149" s="31">
        <v>223</v>
      </c>
      <c r="I149" s="36">
        <f>7.03/10</f>
        <v>0.70300000000000007</v>
      </c>
      <c r="J149" s="36">
        <f>7.91/10</f>
        <v>0.79100000000000004</v>
      </c>
      <c r="K149" s="36">
        <f>10.21/10</f>
        <v>1.0210000000000001</v>
      </c>
      <c r="L149" s="36">
        <f>10.64/10</f>
        <v>1.0640000000000001</v>
      </c>
      <c r="M149" s="36">
        <f>7.77/10</f>
        <v>0.77699999999999991</v>
      </c>
      <c r="N149" s="36">
        <f>9.54/10</f>
        <v>0.95399999999999996</v>
      </c>
      <c r="O149" s="36">
        <f>7.58/10</f>
        <v>0.75800000000000001</v>
      </c>
      <c r="P149" s="36">
        <f>9.31/10</f>
        <v>0.93100000000000005</v>
      </c>
      <c r="Q149" s="36"/>
      <c r="R149" s="36"/>
      <c r="S149" s="254">
        <f t="shared" si="0"/>
        <v>0.87487500000000007</v>
      </c>
      <c r="T149" s="33" t="s">
        <v>252</v>
      </c>
      <c r="U149" s="236"/>
      <c r="V149" s="236"/>
      <c r="W149" s="236"/>
      <c r="X149" s="236"/>
      <c r="Y149" s="236"/>
      <c r="Z149" s="236"/>
      <c r="AA149" s="236"/>
      <c r="AB149" s="236"/>
      <c r="AC149" s="236"/>
      <c r="AD149" s="236"/>
    </row>
    <row r="150" spans="1:30" ht="15.75" customHeight="1">
      <c r="A150" s="25">
        <v>2</v>
      </c>
      <c r="B150" s="25">
        <v>4</v>
      </c>
      <c r="C150" s="25">
        <v>18</v>
      </c>
      <c r="D150" s="25" t="s">
        <v>171</v>
      </c>
      <c r="E150" s="26" t="s">
        <v>172</v>
      </c>
      <c r="F150" s="25" t="s">
        <v>25</v>
      </c>
      <c r="G150" s="251">
        <v>50831</v>
      </c>
      <c r="H150" s="31">
        <v>249</v>
      </c>
      <c r="I150" s="36">
        <f>11.1/10</f>
        <v>1.1099999999999999</v>
      </c>
      <c r="J150" s="36">
        <f>11.11/10</f>
        <v>1.111</v>
      </c>
      <c r="K150" s="36">
        <f>12.46/10</f>
        <v>1.246</v>
      </c>
      <c r="L150" s="36">
        <f>13.49/10</f>
        <v>1.349</v>
      </c>
      <c r="M150" s="36">
        <f>12.63/10</f>
        <v>1.2630000000000001</v>
      </c>
      <c r="N150" s="36">
        <f>12.86/10</f>
        <v>1.286</v>
      </c>
      <c r="O150" s="36">
        <f>9.23/10</f>
        <v>0.92300000000000004</v>
      </c>
      <c r="P150" s="36">
        <f>18/10</f>
        <v>1.8</v>
      </c>
      <c r="Q150" s="36">
        <f>14.71/10</f>
        <v>1.4710000000000001</v>
      </c>
      <c r="R150" s="36">
        <f>10.36/10</f>
        <v>1.036</v>
      </c>
      <c r="S150" s="254">
        <f t="shared" si="0"/>
        <v>1.2595000000000001</v>
      </c>
      <c r="T150" s="33" t="s">
        <v>252</v>
      </c>
      <c r="U150" s="236"/>
      <c r="V150" s="236"/>
      <c r="W150" s="236"/>
      <c r="X150" s="236"/>
      <c r="Y150" s="236"/>
      <c r="Z150" s="236"/>
      <c r="AA150" s="236"/>
      <c r="AB150" s="236"/>
      <c r="AC150" s="236"/>
      <c r="AD150" s="236"/>
    </row>
    <row r="151" spans="1:30" ht="15.75" customHeight="1">
      <c r="A151" s="25">
        <v>2</v>
      </c>
      <c r="B151" s="25">
        <v>4</v>
      </c>
      <c r="C151" s="25">
        <v>19</v>
      </c>
      <c r="D151" s="25" t="s">
        <v>107</v>
      </c>
      <c r="E151" s="26" t="s">
        <v>108</v>
      </c>
      <c r="F151" s="25" t="s">
        <v>31</v>
      </c>
      <c r="G151" s="251">
        <v>50862</v>
      </c>
      <c r="H151" s="31">
        <v>714</v>
      </c>
      <c r="I151" s="36">
        <f>7.58/10</f>
        <v>0.75800000000000001</v>
      </c>
      <c r="J151" s="36">
        <f>6.42/10</f>
        <v>0.64200000000000002</v>
      </c>
      <c r="K151" s="36">
        <f>7.35/10</f>
        <v>0.73499999999999999</v>
      </c>
      <c r="L151" s="36">
        <f>6.49/10</f>
        <v>0.64900000000000002</v>
      </c>
      <c r="M151" s="36">
        <f>9.07/10</f>
        <v>0.90700000000000003</v>
      </c>
      <c r="N151" s="36">
        <f>7.16/10</f>
        <v>0.71599999999999997</v>
      </c>
      <c r="O151" s="36">
        <f>6.89/10</f>
        <v>0.68899999999999995</v>
      </c>
      <c r="P151" s="36">
        <f>5.95/10</f>
        <v>0.59499999999999997</v>
      </c>
      <c r="Q151" s="36">
        <f>1.73/10</f>
        <v>0.17299999999999999</v>
      </c>
      <c r="R151" s="36">
        <f>5.62/10</f>
        <v>0.56200000000000006</v>
      </c>
      <c r="S151" s="254">
        <f t="shared" si="0"/>
        <v>0.64260000000000006</v>
      </c>
      <c r="T151" s="33" t="s">
        <v>252</v>
      </c>
      <c r="U151" s="236"/>
      <c r="V151" s="236"/>
      <c r="W151" s="236"/>
      <c r="X151" s="236"/>
      <c r="Y151" s="236"/>
      <c r="Z151" s="236"/>
      <c r="AA151" s="236"/>
      <c r="AB151" s="236"/>
      <c r="AC151" s="236"/>
      <c r="AD151" s="236"/>
    </row>
    <row r="152" spans="1:30" ht="15.75" customHeight="1">
      <c r="A152" s="25">
        <v>2</v>
      </c>
      <c r="B152" s="25">
        <v>4</v>
      </c>
      <c r="C152" s="25">
        <v>20</v>
      </c>
      <c r="D152" s="25" t="s">
        <v>173</v>
      </c>
      <c r="E152" s="26" t="s">
        <v>174</v>
      </c>
      <c r="F152" s="25" t="s">
        <v>25</v>
      </c>
      <c r="G152" s="251">
        <v>50678</v>
      </c>
      <c r="H152" s="31">
        <v>4</v>
      </c>
      <c r="I152" s="36">
        <f>10.61/10</f>
        <v>1.0609999999999999</v>
      </c>
      <c r="J152" s="36"/>
      <c r="K152" s="36"/>
      <c r="L152" s="36"/>
      <c r="M152" s="36"/>
      <c r="N152" s="36"/>
      <c r="O152" s="36"/>
      <c r="P152" s="36"/>
      <c r="Q152" s="36"/>
      <c r="R152" s="36"/>
      <c r="S152" s="254">
        <f t="shared" si="0"/>
        <v>1.0609999999999999</v>
      </c>
      <c r="T152" s="33" t="s">
        <v>252</v>
      </c>
      <c r="U152" s="236"/>
      <c r="V152" s="236"/>
      <c r="W152" s="236"/>
      <c r="X152" s="236"/>
      <c r="Y152" s="236"/>
      <c r="Z152" s="236"/>
      <c r="AA152" s="236"/>
      <c r="AB152" s="236"/>
      <c r="AC152" s="236"/>
      <c r="AD152" s="236"/>
    </row>
    <row r="153" spans="1:30" ht="15.75" customHeight="1">
      <c r="A153" s="25">
        <v>2</v>
      </c>
      <c r="B153" s="25">
        <v>4</v>
      </c>
      <c r="C153" s="25">
        <v>20</v>
      </c>
      <c r="D153" s="25" t="s">
        <v>175</v>
      </c>
      <c r="E153" s="26" t="s">
        <v>176</v>
      </c>
      <c r="F153" s="25" t="s">
        <v>31</v>
      </c>
      <c r="G153" s="251">
        <v>50867</v>
      </c>
      <c r="H153" s="31">
        <v>303</v>
      </c>
      <c r="I153" s="36">
        <f>5.41/10</f>
        <v>0.54100000000000004</v>
      </c>
      <c r="J153" s="36">
        <f>7.13/10</f>
        <v>0.71299999999999997</v>
      </c>
      <c r="K153" s="36">
        <f>5.49/10</f>
        <v>0.54900000000000004</v>
      </c>
      <c r="L153" s="36">
        <f>6.1/10</f>
        <v>0.61</v>
      </c>
      <c r="M153" s="36">
        <f>4.99/10</f>
        <v>0.499</v>
      </c>
      <c r="N153" s="36">
        <f>6.33/10</f>
        <v>0.63300000000000001</v>
      </c>
      <c r="O153" s="36">
        <f>4.71/10</f>
        <v>0.47099999999999997</v>
      </c>
      <c r="P153" s="36">
        <f>5.26/10</f>
        <v>0.52600000000000002</v>
      </c>
      <c r="Q153" s="36"/>
      <c r="R153" s="36"/>
      <c r="S153" s="254">
        <f t="shared" si="0"/>
        <v>0.56774999999999998</v>
      </c>
      <c r="T153" s="33" t="s">
        <v>252</v>
      </c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</row>
    <row r="154" spans="1:30" ht="15.75" customHeight="1">
      <c r="A154" s="25">
        <v>2</v>
      </c>
      <c r="B154" s="25">
        <v>4</v>
      </c>
      <c r="C154" s="25">
        <v>21</v>
      </c>
      <c r="D154" s="25" t="s">
        <v>177</v>
      </c>
      <c r="E154" s="26" t="s">
        <v>178</v>
      </c>
      <c r="F154" s="25" t="s">
        <v>31</v>
      </c>
      <c r="G154" s="251">
        <v>50861</v>
      </c>
      <c r="H154" s="31">
        <v>714</v>
      </c>
      <c r="I154" s="36">
        <f>4.57/10</f>
        <v>0.45700000000000002</v>
      </c>
      <c r="J154" s="36">
        <f>6.15/10</f>
        <v>0.61499999999999999</v>
      </c>
      <c r="K154" s="36">
        <f>5.23/10</f>
        <v>0.52300000000000002</v>
      </c>
      <c r="L154" s="36">
        <f>3.56/10</f>
        <v>0.35599999999999998</v>
      </c>
      <c r="M154" s="36">
        <f>4.15/10</f>
        <v>0.41500000000000004</v>
      </c>
      <c r="N154" s="36">
        <f>3.96/10</f>
        <v>0.39600000000000002</v>
      </c>
      <c r="O154" s="36">
        <f>2.57/10</f>
        <v>0.25700000000000001</v>
      </c>
      <c r="P154" s="36">
        <f>5.26/10</f>
        <v>0.52600000000000002</v>
      </c>
      <c r="Q154" s="36">
        <f>3.58/10</f>
        <v>0.35799999999999998</v>
      </c>
      <c r="R154" s="36">
        <f>3.2/10</f>
        <v>0.32</v>
      </c>
      <c r="S154" s="254">
        <f t="shared" si="0"/>
        <v>0.42230000000000001</v>
      </c>
      <c r="T154" s="33" t="s">
        <v>252</v>
      </c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</row>
    <row r="155" spans="1:30" ht="15.75" customHeight="1">
      <c r="A155" s="25">
        <v>2</v>
      </c>
      <c r="B155" s="25">
        <v>4</v>
      </c>
      <c r="C155" s="25">
        <v>22</v>
      </c>
      <c r="D155" s="25" t="s">
        <v>179</v>
      </c>
      <c r="E155" s="26" t="s">
        <v>180</v>
      </c>
      <c r="F155" s="25" t="s">
        <v>31</v>
      </c>
      <c r="G155" s="251">
        <v>50843</v>
      </c>
      <c r="H155" s="31">
        <v>330</v>
      </c>
      <c r="I155" s="36">
        <f>3.89/10</f>
        <v>0.38900000000000001</v>
      </c>
      <c r="J155" s="36">
        <f>8.08/10</f>
        <v>0.80800000000000005</v>
      </c>
      <c r="K155" s="36">
        <f>6.27/10</f>
        <v>0.627</v>
      </c>
      <c r="L155" s="36">
        <f>6.7/10</f>
        <v>0.67</v>
      </c>
      <c r="M155" s="36">
        <f>5.87/10</f>
        <v>0.58699999999999997</v>
      </c>
      <c r="N155" s="36">
        <f>6.49/10</f>
        <v>0.64900000000000002</v>
      </c>
      <c r="O155" s="36">
        <f>5.1/10</f>
        <v>0.51</v>
      </c>
      <c r="P155" s="36">
        <f>10.96/10</f>
        <v>1.0960000000000001</v>
      </c>
      <c r="Q155" s="36">
        <f>7.66/10</f>
        <v>0.76600000000000001</v>
      </c>
      <c r="R155" s="36">
        <f>6.92/10</f>
        <v>0.69199999999999995</v>
      </c>
      <c r="S155" s="254">
        <f t="shared" si="0"/>
        <v>0.6794</v>
      </c>
      <c r="T155" s="33" t="s">
        <v>252</v>
      </c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</row>
    <row r="156" spans="1:30" ht="15.75" customHeight="1">
      <c r="A156" s="25">
        <v>2</v>
      </c>
      <c r="B156" s="25">
        <v>5</v>
      </c>
      <c r="C156" s="25">
        <v>1</v>
      </c>
      <c r="D156" s="25" t="s">
        <v>95</v>
      </c>
      <c r="E156" s="26" t="s">
        <v>96</v>
      </c>
      <c r="F156" s="25" t="s">
        <v>68</v>
      </c>
      <c r="G156" s="251">
        <v>50620</v>
      </c>
      <c r="H156" s="31">
        <v>260</v>
      </c>
      <c r="I156" s="32">
        <v>1.6</v>
      </c>
      <c r="J156" s="32">
        <v>1.63</v>
      </c>
      <c r="K156" s="32">
        <v>1.35</v>
      </c>
      <c r="L156" s="32">
        <v>1.45</v>
      </c>
      <c r="M156" s="32">
        <v>1.96</v>
      </c>
      <c r="N156" s="32">
        <v>1.01</v>
      </c>
      <c r="O156" s="36"/>
      <c r="P156" s="36"/>
      <c r="Q156" s="36"/>
      <c r="R156" s="36"/>
      <c r="S156" s="254">
        <f t="shared" si="0"/>
        <v>1.5</v>
      </c>
      <c r="T156" s="36"/>
      <c r="U156" s="236"/>
      <c r="V156" s="236"/>
      <c r="W156" s="236"/>
      <c r="X156" s="236"/>
      <c r="Y156" s="236"/>
      <c r="Z156" s="236"/>
      <c r="AA156" s="236"/>
      <c r="AB156" s="236"/>
      <c r="AC156" s="236"/>
      <c r="AD156" s="236"/>
    </row>
    <row r="157" spans="1:30" ht="15.75" customHeight="1">
      <c r="A157" s="25">
        <v>2</v>
      </c>
      <c r="B157" s="25">
        <v>5</v>
      </c>
      <c r="C157" s="25">
        <v>1</v>
      </c>
      <c r="D157" s="25" t="s">
        <v>181</v>
      </c>
      <c r="E157" s="26" t="s">
        <v>182</v>
      </c>
      <c r="F157" s="25" t="s">
        <v>31</v>
      </c>
      <c r="G157" s="251">
        <v>50782</v>
      </c>
      <c r="H157" s="31">
        <v>162</v>
      </c>
      <c r="I157" s="32">
        <v>0.74</v>
      </c>
      <c r="J157" s="32">
        <v>1.32</v>
      </c>
      <c r="K157" s="32">
        <v>1.6</v>
      </c>
      <c r="L157" s="32">
        <v>1.24</v>
      </c>
      <c r="M157" s="36"/>
      <c r="N157" s="36"/>
      <c r="O157" s="36"/>
      <c r="P157" s="36"/>
      <c r="Q157" s="36"/>
      <c r="R157" s="36"/>
      <c r="S157" s="254">
        <f t="shared" si="0"/>
        <v>1.2250000000000001</v>
      </c>
      <c r="T157" s="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</row>
    <row r="158" spans="1:30" ht="15.75" customHeight="1">
      <c r="A158" s="25">
        <v>2</v>
      </c>
      <c r="B158" s="25">
        <v>5</v>
      </c>
      <c r="C158" s="25">
        <v>2</v>
      </c>
      <c r="D158" s="25" t="s">
        <v>56</v>
      </c>
      <c r="E158" s="26" t="s">
        <v>57</v>
      </c>
      <c r="F158" s="25" t="s">
        <v>68</v>
      </c>
      <c r="G158" s="251">
        <v>50664</v>
      </c>
      <c r="H158" s="31">
        <v>125</v>
      </c>
      <c r="I158" s="32">
        <v>0.88</v>
      </c>
      <c r="J158" s="32">
        <v>0.15</v>
      </c>
      <c r="K158" s="32">
        <v>0.66</v>
      </c>
      <c r="L158" s="32">
        <v>0.44</v>
      </c>
      <c r="M158" s="32">
        <v>0.91</v>
      </c>
      <c r="N158" s="32">
        <v>0.66</v>
      </c>
      <c r="O158" s="36"/>
      <c r="P158" s="36"/>
      <c r="Q158" s="36"/>
      <c r="R158" s="36"/>
      <c r="S158" s="254">
        <f t="shared" si="0"/>
        <v>0.6166666666666667</v>
      </c>
      <c r="T158" s="36"/>
      <c r="U158" s="236"/>
      <c r="V158" s="236"/>
      <c r="W158" s="236"/>
      <c r="X158" s="236"/>
      <c r="Y158" s="236"/>
      <c r="Z158" s="236"/>
      <c r="AA158" s="236"/>
      <c r="AB158" s="236"/>
      <c r="AC158" s="236"/>
      <c r="AD158" s="236"/>
    </row>
    <row r="159" spans="1:30" ht="15.75" customHeight="1">
      <c r="A159" s="25">
        <v>2</v>
      </c>
      <c r="B159" s="25">
        <v>5</v>
      </c>
      <c r="C159" s="25">
        <v>3</v>
      </c>
      <c r="D159" s="25" t="s">
        <v>37</v>
      </c>
      <c r="E159" s="26" t="s">
        <v>38</v>
      </c>
      <c r="F159" s="25" t="s">
        <v>31</v>
      </c>
      <c r="G159" s="251">
        <v>50785</v>
      </c>
      <c r="H159" s="31">
        <v>128</v>
      </c>
      <c r="I159" s="32">
        <v>0.96</v>
      </c>
      <c r="J159" s="32">
        <v>1.06</v>
      </c>
      <c r="K159" s="32">
        <v>1.51</v>
      </c>
      <c r="L159" s="32">
        <v>1.01</v>
      </c>
      <c r="M159" s="32">
        <v>0.87</v>
      </c>
      <c r="N159" s="32">
        <v>1.21</v>
      </c>
      <c r="O159" s="32">
        <v>0.91</v>
      </c>
      <c r="P159" s="32">
        <v>0.91</v>
      </c>
      <c r="Q159" s="36"/>
      <c r="R159" s="36"/>
      <c r="S159" s="254">
        <f t="shared" si="0"/>
        <v>1.0549999999999999</v>
      </c>
      <c r="T159" s="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</row>
    <row r="160" spans="1:30" ht="15.75" customHeight="1">
      <c r="A160" s="25">
        <v>2</v>
      </c>
      <c r="B160" s="25">
        <v>5</v>
      </c>
      <c r="C160" s="25">
        <v>4</v>
      </c>
      <c r="D160" s="25" t="s">
        <v>35</v>
      </c>
      <c r="E160" s="26" t="s">
        <v>36</v>
      </c>
      <c r="F160" s="25" t="s">
        <v>31</v>
      </c>
      <c r="G160" s="251">
        <v>50806</v>
      </c>
      <c r="H160" s="31">
        <v>284</v>
      </c>
      <c r="I160" s="32">
        <v>0.92</v>
      </c>
      <c r="J160" s="32">
        <v>0.96</v>
      </c>
      <c r="K160" s="32">
        <v>1.42</v>
      </c>
      <c r="L160" s="32">
        <v>1.1599999999999999</v>
      </c>
      <c r="M160" s="32">
        <v>1.21</v>
      </c>
      <c r="N160" s="32">
        <v>1.37</v>
      </c>
      <c r="O160" s="32">
        <v>1.23</v>
      </c>
      <c r="P160" s="32">
        <v>1.24</v>
      </c>
      <c r="Q160" s="32">
        <v>1.41</v>
      </c>
      <c r="R160" s="32">
        <v>1.3</v>
      </c>
      <c r="S160" s="254">
        <f t="shared" si="0"/>
        <v>1.222</v>
      </c>
      <c r="T160" s="36"/>
      <c r="U160" s="236"/>
      <c r="V160" s="236"/>
      <c r="W160" s="236"/>
      <c r="X160" s="236"/>
      <c r="Y160" s="236"/>
      <c r="Z160" s="236"/>
      <c r="AA160" s="236"/>
      <c r="AB160" s="236"/>
      <c r="AC160" s="236"/>
      <c r="AD160" s="236"/>
    </row>
    <row r="161" spans="1:30" ht="15.75" customHeight="1">
      <c r="A161" s="25">
        <v>2</v>
      </c>
      <c r="B161" s="25">
        <v>5</v>
      </c>
      <c r="C161" s="25">
        <v>4</v>
      </c>
      <c r="D161" s="25" t="s">
        <v>35</v>
      </c>
      <c r="E161" s="26" t="s">
        <v>36</v>
      </c>
      <c r="F161" s="25" t="s">
        <v>68</v>
      </c>
      <c r="G161" s="251">
        <v>50829</v>
      </c>
      <c r="H161" s="31">
        <v>418</v>
      </c>
      <c r="I161" s="32">
        <v>1.41</v>
      </c>
      <c r="J161" s="32">
        <v>0.91</v>
      </c>
      <c r="K161" s="32">
        <v>1.95</v>
      </c>
      <c r="L161" s="32">
        <v>1.24</v>
      </c>
      <c r="M161" s="32">
        <v>0.75</v>
      </c>
      <c r="N161" s="32">
        <v>1.04</v>
      </c>
      <c r="O161" s="32">
        <v>1.01</v>
      </c>
      <c r="P161" s="32">
        <v>0.63</v>
      </c>
      <c r="Q161" s="32">
        <v>0.8</v>
      </c>
      <c r="R161" s="32">
        <v>0.89</v>
      </c>
      <c r="S161" s="254">
        <f t="shared" si="0"/>
        <v>1.0630000000000002</v>
      </c>
      <c r="T161" s="36"/>
      <c r="U161" s="236"/>
      <c r="V161" s="236"/>
      <c r="W161" s="236"/>
      <c r="X161" s="236"/>
      <c r="Y161" s="236"/>
      <c r="Z161" s="236"/>
      <c r="AA161" s="236"/>
      <c r="AB161" s="236"/>
      <c r="AC161" s="236"/>
      <c r="AD161" s="236"/>
    </row>
    <row r="162" spans="1:30" ht="15.75" customHeight="1">
      <c r="A162" s="25">
        <v>2</v>
      </c>
      <c r="B162" s="25">
        <v>5</v>
      </c>
      <c r="C162" s="25">
        <v>5</v>
      </c>
      <c r="D162" s="25" t="s">
        <v>183</v>
      </c>
      <c r="E162" s="26" t="s">
        <v>184</v>
      </c>
      <c r="F162" s="25" t="s">
        <v>31</v>
      </c>
      <c r="G162" s="251">
        <v>50808</v>
      </c>
      <c r="H162" s="31">
        <v>363</v>
      </c>
      <c r="I162" s="32">
        <v>1.03</v>
      </c>
      <c r="J162" s="32">
        <v>0.93</v>
      </c>
      <c r="K162" s="32">
        <v>1.04</v>
      </c>
      <c r="L162" s="32">
        <v>0.93</v>
      </c>
      <c r="M162" s="32">
        <v>1.02</v>
      </c>
      <c r="N162" s="32">
        <v>1.1100000000000001</v>
      </c>
      <c r="O162" s="32">
        <v>1.45</v>
      </c>
      <c r="P162" s="32">
        <v>1.1599999999999999</v>
      </c>
      <c r="Q162" s="32">
        <v>1.04</v>
      </c>
      <c r="R162" s="32">
        <v>0.96</v>
      </c>
      <c r="S162" s="254">
        <f t="shared" si="0"/>
        <v>1.0670000000000002</v>
      </c>
      <c r="T162" s="36"/>
      <c r="U162" s="236"/>
      <c r="V162" s="236"/>
      <c r="W162" s="236"/>
      <c r="X162" s="236"/>
      <c r="Y162" s="236"/>
      <c r="Z162" s="236"/>
      <c r="AA162" s="236"/>
      <c r="AB162" s="236"/>
      <c r="AC162" s="236"/>
      <c r="AD162" s="236"/>
    </row>
    <row r="163" spans="1:30" ht="15.75" customHeight="1">
      <c r="A163" s="25">
        <v>2</v>
      </c>
      <c r="B163" s="25">
        <v>5</v>
      </c>
      <c r="C163" s="25">
        <v>5</v>
      </c>
      <c r="D163" s="25" t="s">
        <v>183</v>
      </c>
      <c r="E163" s="26" t="s">
        <v>184</v>
      </c>
      <c r="F163" s="25" t="s">
        <v>25</v>
      </c>
      <c r="G163" s="251">
        <v>50774</v>
      </c>
      <c r="H163" s="31">
        <v>2</v>
      </c>
      <c r="I163" s="32">
        <v>1.35</v>
      </c>
      <c r="J163" s="32">
        <v>1</v>
      </c>
      <c r="K163" s="36"/>
      <c r="L163" s="36"/>
      <c r="M163" s="36"/>
      <c r="N163" s="36"/>
      <c r="O163" s="36"/>
      <c r="P163" s="36"/>
      <c r="Q163" s="36"/>
      <c r="R163" s="36"/>
      <c r="S163" s="254">
        <f t="shared" si="0"/>
        <v>1.175</v>
      </c>
      <c r="T163" s="36"/>
      <c r="U163" s="236"/>
      <c r="V163" s="236"/>
      <c r="W163" s="236"/>
      <c r="X163" s="236"/>
      <c r="Y163" s="236"/>
      <c r="Z163" s="236"/>
      <c r="AA163" s="236"/>
      <c r="AB163" s="236"/>
      <c r="AC163" s="236"/>
      <c r="AD163" s="236"/>
    </row>
    <row r="164" spans="1:30" ht="15.75" customHeight="1">
      <c r="A164" s="25">
        <v>2</v>
      </c>
      <c r="B164" s="25">
        <v>5</v>
      </c>
      <c r="C164" s="25">
        <v>6</v>
      </c>
      <c r="D164" s="25" t="s">
        <v>49</v>
      </c>
      <c r="E164" s="26" t="s">
        <v>50</v>
      </c>
      <c r="F164" s="25" t="s">
        <v>68</v>
      </c>
      <c r="G164" s="251">
        <v>50838</v>
      </c>
      <c r="H164" s="31">
        <v>1374</v>
      </c>
      <c r="I164" s="32">
        <v>0.5</v>
      </c>
      <c r="J164" s="32">
        <v>0.51</v>
      </c>
      <c r="K164" s="32">
        <v>0.71</v>
      </c>
      <c r="L164" s="32">
        <v>0.61</v>
      </c>
      <c r="M164" s="32">
        <v>0.57999999999999996</v>
      </c>
      <c r="N164" s="32">
        <v>0.66</v>
      </c>
      <c r="O164" s="32">
        <v>0.61</v>
      </c>
      <c r="P164" s="32">
        <v>0.64</v>
      </c>
      <c r="Q164" s="32">
        <v>0.37</v>
      </c>
      <c r="R164" s="32">
        <v>0.84</v>
      </c>
      <c r="S164" s="254">
        <f t="shared" si="0"/>
        <v>0.60299999999999998</v>
      </c>
      <c r="T164" s="36"/>
      <c r="U164" s="236"/>
      <c r="V164" s="236"/>
      <c r="W164" s="236"/>
      <c r="X164" s="236"/>
      <c r="Y164" s="236"/>
      <c r="Z164" s="236"/>
      <c r="AA164" s="236"/>
      <c r="AB164" s="236"/>
      <c r="AC164" s="236"/>
      <c r="AD164" s="236"/>
    </row>
    <row r="165" spans="1:30" ht="15.75" customHeight="1">
      <c r="A165" s="25">
        <v>2</v>
      </c>
      <c r="B165" s="25">
        <v>5</v>
      </c>
      <c r="C165" s="25">
        <v>7</v>
      </c>
      <c r="D165" s="25" t="s">
        <v>185</v>
      </c>
      <c r="E165" s="26" t="s">
        <v>186</v>
      </c>
      <c r="F165" s="25" t="s">
        <v>31</v>
      </c>
      <c r="G165" s="251">
        <v>50844</v>
      </c>
      <c r="H165" s="31">
        <v>515</v>
      </c>
      <c r="I165" s="32">
        <v>0.32</v>
      </c>
      <c r="J165" s="32">
        <v>0.66</v>
      </c>
      <c r="K165" s="32">
        <v>0.75</v>
      </c>
      <c r="L165" s="32">
        <v>0.46</v>
      </c>
      <c r="M165" s="32">
        <v>0.94</v>
      </c>
      <c r="N165" s="32">
        <v>0.64</v>
      </c>
      <c r="O165" s="32">
        <v>0.35</v>
      </c>
      <c r="P165" s="32">
        <v>0.41</v>
      </c>
      <c r="Q165" s="32">
        <v>0.33</v>
      </c>
      <c r="R165" s="32">
        <v>0.36</v>
      </c>
      <c r="S165" s="254">
        <f t="shared" si="0"/>
        <v>0.52200000000000002</v>
      </c>
      <c r="T165" s="36"/>
      <c r="U165" s="236"/>
      <c r="V165" s="236"/>
      <c r="W165" s="236"/>
      <c r="X165" s="236"/>
      <c r="Y165" s="236"/>
      <c r="Z165" s="236"/>
      <c r="AA165" s="236"/>
      <c r="AB165" s="236"/>
      <c r="AC165" s="236"/>
      <c r="AD165" s="236"/>
    </row>
    <row r="166" spans="1:30" ht="15.75" customHeight="1">
      <c r="A166" s="25">
        <v>2</v>
      </c>
      <c r="B166" s="25">
        <v>5</v>
      </c>
      <c r="C166" s="25">
        <v>8</v>
      </c>
      <c r="D166" s="25" t="s">
        <v>187</v>
      </c>
      <c r="E166" s="26" t="s">
        <v>188</v>
      </c>
      <c r="F166" s="25" t="s">
        <v>68</v>
      </c>
      <c r="G166" s="251">
        <v>50881</v>
      </c>
      <c r="H166" s="31">
        <v>738</v>
      </c>
      <c r="I166" s="32">
        <v>0.42</v>
      </c>
      <c r="J166" s="32">
        <v>0.34</v>
      </c>
      <c r="K166" s="32">
        <v>0.41</v>
      </c>
      <c r="L166" s="32">
        <v>0.21</v>
      </c>
      <c r="M166" s="32">
        <v>0.22</v>
      </c>
      <c r="N166" s="32">
        <v>0.28999999999999998</v>
      </c>
      <c r="O166" s="32">
        <v>0.24</v>
      </c>
      <c r="P166" s="32">
        <v>0.17</v>
      </c>
      <c r="Q166" s="32">
        <v>0.16</v>
      </c>
      <c r="R166" s="32">
        <v>0.15</v>
      </c>
      <c r="S166" s="254">
        <f t="shared" si="0"/>
        <v>0.26100000000000001</v>
      </c>
      <c r="T166" s="36"/>
      <c r="U166" s="236"/>
      <c r="V166" s="236"/>
      <c r="W166" s="236"/>
      <c r="X166" s="236"/>
      <c r="Y166" s="236"/>
      <c r="Z166" s="236"/>
      <c r="AA166" s="236"/>
      <c r="AB166" s="236"/>
      <c r="AC166" s="236"/>
      <c r="AD166" s="236"/>
    </row>
    <row r="167" spans="1:30" ht="15.75" customHeight="1">
      <c r="A167" s="25">
        <v>2</v>
      </c>
      <c r="B167" s="25">
        <v>5</v>
      </c>
      <c r="C167" s="25">
        <v>8</v>
      </c>
      <c r="D167" s="25" t="s">
        <v>102</v>
      </c>
      <c r="E167" s="26" t="s">
        <v>103</v>
      </c>
      <c r="F167" s="25" t="s">
        <v>68</v>
      </c>
      <c r="G167" s="251">
        <v>50882</v>
      </c>
      <c r="H167" s="31">
        <v>549</v>
      </c>
      <c r="I167" s="32">
        <v>0.21</v>
      </c>
      <c r="J167" s="32">
        <v>0.2</v>
      </c>
      <c r="K167" s="32">
        <v>0.18</v>
      </c>
      <c r="L167" s="32">
        <v>0.17</v>
      </c>
      <c r="M167" s="32">
        <v>0.41</v>
      </c>
      <c r="N167" s="32">
        <v>0.21</v>
      </c>
      <c r="O167" s="32">
        <v>0.24</v>
      </c>
      <c r="P167" s="32">
        <v>0.31</v>
      </c>
      <c r="Q167" s="32">
        <v>0.24</v>
      </c>
      <c r="R167" s="36"/>
      <c r="S167" s="254">
        <f t="shared" si="0"/>
        <v>0.24111111111111111</v>
      </c>
      <c r="T167" s="36"/>
      <c r="U167" s="236"/>
      <c r="V167" s="236"/>
      <c r="W167" s="236"/>
      <c r="X167" s="236"/>
      <c r="Y167" s="236"/>
      <c r="Z167" s="236"/>
      <c r="AA167" s="236"/>
      <c r="AB167" s="236"/>
      <c r="AC167" s="236"/>
      <c r="AD167" s="236"/>
    </row>
    <row r="168" spans="1:30" ht="15.75" customHeight="1">
      <c r="A168" s="25">
        <v>2</v>
      </c>
      <c r="B168" s="25">
        <v>5</v>
      </c>
      <c r="C168" s="25">
        <v>9</v>
      </c>
      <c r="D168" s="25" t="s">
        <v>189</v>
      </c>
      <c r="E168" s="26" t="s">
        <v>190</v>
      </c>
      <c r="F168" s="25" t="s">
        <v>31</v>
      </c>
      <c r="G168" s="251">
        <v>50798</v>
      </c>
      <c r="H168" s="31">
        <v>182</v>
      </c>
      <c r="I168" s="32">
        <v>0.64</v>
      </c>
      <c r="J168" s="32">
        <v>0.85</v>
      </c>
      <c r="K168" s="32">
        <v>0.73</v>
      </c>
      <c r="L168" s="32">
        <v>0.81</v>
      </c>
      <c r="M168" s="32">
        <v>0.77</v>
      </c>
      <c r="N168" s="32">
        <v>0.61</v>
      </c>
      <c r="O168" s="36"/>
      <c r="P168" s="36"/>
      <c r="Q168" s="36"/>
      <c r="R168" s="36"/>
      <c r="S168" s="254">
        <f t="shared" si="0"/>
        <v>0.73499999999999999</v>
      </c>
      <c r="T168" s="36"/>
      <c r="U168" s="236"/>
      <c r="V168" s="236"/>
      <c r="W168" s="236"/>
      <c r="X168" s="236"/>
      <c r="Y168" s="236"/>
      <c r="Z168" s="236"/>
      <c r="AA168" s="236"/>
      <c r="AB168" s="236"/>
      <c r="AC168" s="236"/>
      <c r="AD168" s="236"/>
    </row>
    <row r="169" spans="1:30" ht="15.75" customHeight="1">
      <c r="A169" s="25">
        <v>2</v>
      </c>
      <c r="B169" s="25">
        <v>5</v>
      </c>
      <c r="C169" s="25">
        <v>9</v>
      </c>
      <c r="D169" s="25" t="s">
        <v>189</v>
      </c>
      <c r="E169" s="26" t="s">
        <v>190</v>
      </c>
      <c r="F169" s="25" t="s">
        <v>31</v>
      </c>
      <c r="G169" s="251">
        <v>50856</v>
      </c>
      <c r="H169" s="31">
        <v>162</v>
      </c>
      <c r="I169" s="32">
        <v>0.63</v>
      </c>
      <c r="J169" s="32">
        <v>0.81</v>
      </c>
      <c r="K169" s="32">
        <v>0.63</v>
      </c>
      <c r="L169" s="32">
        <v>0.52</v>
      </c>
      <c r="M169" s="32">
        <v>0.64</v>
      </c>
      <c r="N169" s="32">
        <v>0.74</v>
      </c>
      <c r="O169" s="36"/>
      <c r="P169" s="36"/>
      <c r="Q169" s="36"/>
      <c r="R169" s="36"/>
      <c r="S169" s="254">
        <f t="shared" si="0"/>
        <v>0.66166666666666663</v>
      </c>
      <c r="T169" s="36"/>
      <c r="U169" s="236"/>
      <c r="V169" s="236"/>
      <c r="W169" s="236"/>
      <c r="X169" s="236"/>
      <c r="Y169" s="236"/>
      <c r="Z169" s="236"/>
      <c r="AA169" s="236"/>
      <c r="AB169" s="236"/>
      <c r="AC169" s="236"/>
      <c r="AD169" s="236"/>
    </row>
    <row r="170" spans="1:30" ht="15.75" customHeight="1">
      <c r="A170" s="25">
        <v>2</v>
      </c>
      <c r="B170" s="25">
        <v>5</v>
      </c>
      <c r="C170" s="25">
        <v>9</v>
      </c>
      <c r="D170" s="25" t="s">
        <v>189</v>
      </c>
      <c r="E170" s="26" t="s">
        <v>190</v>
      </c>
      <c r="F170" s="25" t="s">
        <v>68</v>
      </c>
      <c r="G170" s="251">
        <v>50698</v>
      </c>
      <c r="H170" s="31">
        <v>87</v>
      </c>
      <c r="I170" s="32">
        <v>0.72</v>
      </c>
      <c r="J170" s="32">
        <v>0.49</v>
      </c>
      <c r="K170" s="32">
        <v>1.05</v>
      </c>
      <c r="L170" s="32">
        <v>0.57999999999999996</v>
      </c>
      <c r="M170" s="32">
        <v>0.55000000000000004</v>
      </c>
      <c r="N170" s="36"/>
      <c r="O170" s="36"/>
      <c r="P170" s="36"/>
      <c r="Q170" s="36"/>
      <c r="R170" s="36"/>
      <c r="S170" s="254">
        <f t="shared" si="0"/>
        <v>0.67799999999999994</v>
      </c>
      <c r="T170" s="36"/>
      <c r="U170" s="236"/>
      <c r="V170" s="236"/>
      <c r="W170" s="236"/>
      <c r="X170" s="236"/>
      <c r="Y170" s="236"/>
      <c r="Z170" s="236"/>
      <c r="AA170" s="236"/>
      <c r="AB170" s="236"/>
      <c r="AC170" s="236"/>
      <c r="AD170" s="236"/>
    </row>
    <row r="171" spans="1:30" ht="15.75" customHeight="1">
      <c r="A171" s="38">
        <v>2</v>
      </c>
      <c r="B171" s="38">
        <v>5</v>
      </c>
      <c r="C171" s="38">
        <v>10</v>
      </c>
      <c r="D171" s="38" t="s">
        <v>112</v>
      </c>
      <c r="E171" s="40" t="s">
        <v>113</v>
      </c>
      <c r="F171" s="38" t="s">
        <v>31</v>
      </c>
      <c r="G171" s="258">
        <v>50538</v>
      </c>
      <c r="H171" s="150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254"/>
      <c r="T171" s="38" t="s">
        <v>43</v>
      </c>
      <c r="U171" s="236"/>
      <c r="V171" s="236"/>
      <c r="W171" s="236"/>
      <c r="X171" s="236"/>
      <c r="Y171" s="236"/>
      <c r="Z171" s="236"/>
      <c r="AA171" s="236"/>
      <c r="AB171" s="236"/>
      <c r="AC171" s="236"/>
      <c r="AD171" s="236"/>
    </row>
    <row r="172" spans="1:30" ht="15.75" customHeight="1">
      <c r="A172" s="25">
        <v>2</v>
      </c>
      <c r="B172" s="25">
        <v>5</v>
      </c>
      <c r="C172" s="25">
        <v>10</v>
      </c>
      <c r="D172" s="25" t="s">
        <v>191</v>
      </c>
      <c r="E172" s="26" t="s">
        <v>192</v>
      </c>
      <c r="F172" s="25" t="s">
        <v>68</v>
      </c>
      <c r="G172" s="251">
        <v>50837</v>
      </c>
      <c r="H172" s="31">
        <v>330</v>
      </c>
      <c r="I172" s="32">
        <v>0.57999999999999996</v>
      </c>
      <c r="J172" s="32">
        <v>0.57999999999999996</v>
      </c>
      <c r="K172" s="32">
        <v>0.44</v>
      </c>
      <c r="L172" s="32">
        <v>0.56000000000000005</v>
      </c>
      <c r="M172" s="32">
        <v>0.55000000000000004</v>
      </c>
      <c r="N172" s="32">
        <v>0.55000000000000004</v>
      </c>
      <c r="O172" s="32">
        <v>0.55000000000000004</v>
      </c>
      <c r="P172" s="32">
        <v>0.71</v>
      </c>
      <c r="Q172" s="32">
        <v>0.53</v>
      </c>
      <c r="R172" s="32">
        <v>0.38</v>
      </c>
      <c r="S172" s="254">
        <f t="shared" si="0"/>
        <v>0.54299999999999993</v>
      </c>
      <c r="T172" s="36"/>
      <c r="U172" s="236"/>
      <c r="V172" s="236"/>
      <c r="W172" s="236"/>
      <c r="X172" s="236"/>
      <c r="Y172" s="236"/>
      <c r="Z172" s="236"/>
      <c r="AA172" s="236"/>
      <c r="AB172" s="236"/>
      <c r="AC172" s="236"/>
      <c r="AD172" s="236"/>
    </row>
    <row r="173" spans="1:30" ht="15.75" customHeight="1">
      <c r="A173" s="153">
        <v>2</v>
      </c>
      <c r="B173" s="153">
        <v>5</v>
      </c>
      <c r="C173" s="153">
        <v>12</v>
      </c>
      <c r="D173" s="153" t="s">
        <v>49</v>
      </c>
      <c r="E173" s="155" t="s">
        <v>50</v>
      </c>
      <c r="F173" s="153" t="s">
        <v>31</v>
      </c>
      <c r="G173" s="307">
        <v>50566</v>
      </c>
      <c r="H173" s="157">
        <v>90</v>
      </c>
      <c r="I173" s="159">
        <v>1.1599999999999999</v>
      </c>
      <c r="J173" s="160"/>
      <c r="K173" s="160"/>
      <c r="L173" s="160"/>
      <c r="M173" s="160"/>
      <c r="N173" s="160"/>
      <c r="O173" s="160"/>
      <c r="P173" s="160"/>
      <c r="Q173" s="160"/>
      <c r="R173" s="160"/>
      <c r="S173" s="254">
        <f t="shared" si="0"/>
        <v>1.1599999999999999</v>
      </c>
      <c r="T173" s="128" t="s">
        <v>193</v>
      </c>
      <c r="U173" s="288"/>
      <c r="V173" s="288"/>
      <c r="W173" s="288"/>
      <c r="X173" s="288"/>
      <c r="Y173" s="288"/>
      <c r="Z173" s="288"/>
      <c r="AA173" s="288"/>
      <c r="AB173" s="288"/>
      <c r="AC173" s="288"/>
      <c r="AD173" s="288"/>
    </row>
    <row r="174" spans="1:30" ht="15.75" customHeight="1">
      <c r="A174" s="25">
        <v>2</v>
      </c>
      <c r="B174" s="25">
        <v>5</v>
      </c>
      <c r="C174" s="25">
        <v>12</v>
      </c>
      <c r="D174" s="25" t="s">
        <v>49</v>
      </c>
      <c r="E174" s="26" t="s">
        <v>50</v>
      </c>
      <c r="F174" s="25" t="s">
        <v>34</v>
      </c>
      <c r="G174" s="251">
        <v>50476</v>
      </c>
      <c r="H174" s="31">
        <v>192</v>
      </c>
      <c r="I174" s="32">
        <v>1.17</v>
      </c>
      <c r="J174" s="32">
        <v>0.46</v>
      </c>
      <c r="K174" s="32">
        <v>0.61</v>
      </c>
      <c r="L174" s="32">
        <v>0.97</v>
      </c>
      <c r="M174" s="32">
        <v>0.74</v>
      </c>
      <c r="N174" s="32">
        <v>0.61</v>
      </c>
      <c r="O174" s="32">
        <v>0.56999999999999995</v>
      </c>
      <c r="P174" s="32">
        <v>0.4</v>
      </c>
      <c r="Q174" s="36"/>
      <c r="R174" s="36"/>
      <c r="S174" s="254">
        <f t="shared" si="0"/>
        <v>0.69125000000000014</v>
      </c>
      <c r="T174" s="36"/>
      <c r="U174" s="236"/>
      <c r="V174" s="236"/>
      <c r="W174" s="236"/>
      <c r="X174" s="236"/>
      <c r="Y174" s="236"/>
      <c r="Z174" s="236"/>
      <c r="AA174" s="236"/>
      <c r="AB174" s="236"/>
      <c r="AC174" s="236"/>
      <c r="AD174" s="236"/>
    </row>
    <row r="175" spans="1:30" ht="15.75" customHeight="1">
      <c r="A175" s="25">
        <v>2</v>
      </c>
      <c r="B175" s="25">
        <v>5</v>
      </c>
      <c r="C175" s="25">
        <v>12</v>
      </c>
      <c r="D175" s="25" t="s">
        <v>49</v>
      </c>
      <c r="E175" s="26" t="s">
        <v>194</v>
      </c>
      <c r="F175" s="25" t="s">
        <v>34</v>
      </c>
      <c r="G175" s="251">
        <v>50634</v>
      </c>
      <c r="H175" s="31">
        <v>74</v>
      </c>
      <c r="I175" s="32">
        <v>0.32</v>
      </c>
      <c r="J175" s="32">
        <v>0.6</v>
      </c>
      <c r="K175" s="36"/>
      <c r="L175" s="36"/>
      <c r="M175" s="36"/>
      <c r="N175" s="36"/>
      <c r="O175" s="36"/>
      <c r="P175" s="36"/>
      <c r="Q175" s="36"/>
      <c r="R175" s="36"/>
      <c r="S175" s="254">
        <f t="shared" si="0"/>
        <v>0.45999999999999996</v>
      </c>
      <c r="T175" s="36"/>
      <c r="U175" s="236"/>
      <c r="V175" s="236"/>
      <c r="W175" s="236"/>
      <c r="X175" s="236"/>
      <c r="Y175" s="236"/>
      <c r="Z175" s="236"/>
      <c r="AA175" s="236"/>
      <c r="AB175" s="236"/>
      <c r="AC175" s="236"/>
      <c r="AD175" s="236"/>
    </row>
    <row r="176" spans="1:30" ht="15.75" customHeight="1">
      <c r="A176" s="25">
        <v>2</v>
      </c>
      <c r="B176" s="25">
        <v>5</v>
      </c>
      <c r="C176" s="25">
        <v>12</v>
      </c>
      <c r="D176" s="25" t="s">
        <v>49</v>
      </c>
      <c r="E176" s="26" t="s">
        <v>50</v>
      </c>
      <c r="F176" s="25" t="s">
        <v>68</v>
      </c>
      <c r="G176" s="251">
        <v>50633</v>
      </c>
      <c r="H176" s="31">
        <v>158</v>
      </c>
      <c r="I176" s="32">
        <v>0.35</v>
      </c>
      <c r="J176" s="32">
        <v>0.41</v>
      </c>
      <c r="K176" s="32">
        <v>0.4</v>
      </c>
      <c r="L176" s="32">
        <v>0.51</v>
      </c>
      <c r="M176" s="32">
        <v>0.42</v>
      </c>
      <c r="N176" s="32">
        <v>0.63</v>
      </c>
      <c r="O176" s="36"/>
      <c r="P176" s="36"/>
      <c r="Q176" s="36"/>
      <c r="R176" s="36"/>
      <c r="S176" s="254">
        <f t="shared" si="0"/>
        <v>0.45333333333333337</v>
      </c>
      <c r="T176" s="36"/>
      <c r="U176" s="236"/>
      <c r="V176" s="236"/>
      <c r="W176" s="236"/>
      <c r="X176" s="236"/>
      <c r="Y176" s="236"/>
      <c r="Z176" s="236"/>
      <c r="AA176" s="236"/>
      <c r="AB176" s="236"/>
      <c r="AC176" s="236"/>
      <c r="AD176" s="236"/>
    </row>
    <row r="177" spans="1:30" ht="15.75" customHeight="1">
      <c r="A177" s="25">
        <v>2</v>
      </c>
      <c r="B177" s="25">
        <v>5</v>
      </c>
      <c r="C177" s="25">
        <v>13</v>
      </c>
      <c r="D177" s="25" t="s">
        <v>37</v>
      </c>
      <c r="E177" s="26" t="s">
        <v>38</v>
      </c>
      <c r="F177" s="25" t="s">
        <v>25</v>
      </c>
      <c r="G177" s="251">
        <v>50342</v>
      </c>
      <c r="H177" s="31">
        <v>3</v>
      </c>
      <c r="I177" s="32">
        <v>1.2</v>
      </c>
      <c r="J177" s="36"/>
      <c r="K177" s="36"/>
      <c r="L177" s="36"/>
      <c r="M177" s="36"/>
      <c r="N177" s="36"/>
      <c r="O177" s="36"/>
      <c r="P177" s="36"/>
      <c r="Q177" s="36"/>
      <c r="R177" s="36"/>
      <c r="S177" s="254">
        <f t="shared" si="0"/>
        <v>1.2</v>
      </c>
      <c r="T177" s="36"/>
      <c r="U177" s="236"/>
      <c r="V177" s="236"/>
      <c r="W177" s="236"/>
      <c r="X177" s="236"/>
      <c r="Y177" s="236"/>
      <c r="Z177" s="236"/>
      <c r="AA177" s="236"/>
      <c r="AB177" s="236"/>
      <c r="AC177" s="236"/>
      <c r="AD177" s="236"/>
    </row>
    <row r="178" spans="1:30" ht="15.75" customHeight="1">
      <c r="A178" s="25">
        <v>2</v>
      </c>
      <c r="B178" s="25">
        <v>5</v>
      </c>
      <c r="C178" s="25">
        <v>13</v>
      </c>
      <c r="D178" s="25" t="s">
        <v>37</v>
      </c>
      <c r="E178" s="26" t="s">
        <v>38</v>
      </c>
      <c r="F178" s="25" t="s">
        <v>31</v>
      </c>
      <c r="G178" s="251">
        <v>50785</v>
      </c>
      <c r="H178" s="31">
        <v>131</v>
      </c>
      <c r="I178" s="32">
        <v>0.77</v>
      </c>
      <c r="J178" s="32">
        <v>0.95</v>
      </c>
      <c r="K178" s="32">
        <v>0.81</v>
      </c>
      <c r="L178" s="32">
        <v>0.85</v>
      </c>
      <c r="M178" s="32">
        <v>0.87</v>
      </c>
      <c r="N178" s="36"/>
      <c r="O178" s="36"/>
      <c r="P178" s="36"/>
      <c r="Q178" s="36"/>
      <c r="R178" s="36"/>
      <c r="S178" s="254">
        <f t="shared" si="0"/>
        <v>0.85</v>
      </c>
      <c r="T178" s="36"/>
      <c r="U178" s="236"/>
      <c r="V178" s="236"/>
      <c r="W178" s="236"/>
      <c r="X178" s="236"/>
      <c r="Y178" s="236"/>
      <c r="Z178" s="236"/>
      <c r="AA178" s="236"/>
      <c r="AB178" s="236"/>
      <c r="AC178" s="236"/>
      <c r="AD178" s="236"/>
    </row>
    <row r="179" spans="1:30" ht="15.75" customHeight="1">
      <c r="A179" s="25">
        <v>2</v>
      </c>
      <c r="B179" s="25">
        <v>5</v>
      </c>
      <c r="C179" s="25">
        <v>13</v>
      </c>
      <c r="D179" s="25" t="s">
        <v>37</v>
      </c>
      <c r="E179" s="26" t="s">
        <v>38</v>
      </c>
      <c r="F179" s="25" t="s">
        <v>25</v>
      </c>
      <c r="G179" s="251">
        <v>50694</v>
      </c>
      <c r="H179" s="31">
        <v>161</v>
      </c>
      <c r="I179" s="32">
        <v>1.34</v>
      </c>
      <c r="J179" s="32">
        <v>0.74</v>
      </c>
      <c r="K179" s="32">
        <v>1</v>
      </c>
      <c r="L179" s="36"/>
      <c r="M179" s="36"/>
      <c r="N179" s="36"/>
      <c r="O179" s="36"/>
      <c r="P179" s="36"/>
      <c r="Q179" s="36"/>
      <c r="R179" s="36"/>
      <c r="S179" s="254">
        <f t="shared" si="0"/>
        <v>1.0266666666666666</v>
      </c>
      <c r="T179" s="36"/>
      <c r="U179" s="236"/>
      <c r="V179" s="236"/>
      <c r="W179" s="236"/>
      <c r="X179" s="236"/>
      <c r="Y179" s="236"/>
      <c r="Z179" s="236"/>
      <c r="AA179" s="236"/>
      <c r="AB179" s="236"/>
      <c r="AC179" s="236"/>
      <c r="AD179" s="236"/>
    </row>
    <row r="180" spans="1:30" ht="15.75" customHeight="1">
      <c r="A180" s="25">
        <v>2</v>
      </c>
      <c r="B180" s="25">
        <v>5</v>
      </c>
      <c r="C180" s="25">
        <v>13</v>
      </c>
      <c r="D180" s="25" t="s">
        <v>37</v>
      </c>
      <c r="E180" s="26" t="s">
        <v>38</v>
      </c>
      <c r="F180" s="25" t="s">
        <v>68</v>
      </c>
      <c r="G180" s="251">
        <v>50600</v>
      </c>
      <c r="H180" s="31">
        <v>36</v>
      </c>
      <c r="I180" s="32">
        <v>0.94</v>
      </c>
      <c r="J180" s="36"/>
      <c r="K180" s="36"/>
      <c r="L180" s="36"/>
      <c r="M180" s="36"/>
      <c r="N180" s="36"/>
      <c r="O180" s="36"/>
      <c r="P180" s="36"/>
      <c r="Q180" s="36"/>
      <c r="R180" s="36"/>
      <c r="S180" s="254">
        <f t="shared" si="0"/>
        <v>0.94</v>
      </c>
      <c r="T180" s="36"/>
      <c r="U180" s="236"/>
      <c r="V180" s="236"/>
      <c r="W180" s="236"/>
      <c r="X180" s="236"/>
      <c r="Y180" s="236"/>
      <c r="Z180" s="236"/>
      <c r="AA180" s="236"/>
      <c r="AB180" s="236"/>
      <c r="AC180" s="236"/>
      <c r="AD180" s="236"/>
    </row>
    <row r="181" spans="1:30" ht="15.75" customHeight="1">
      <c r="A181" s="25">
        <v>2</v>
      </c>
      <c r="B181" s="25">
        <v>5</v>
      </c>
      <c r="C181" s="25">
        <v>13</v>
      </c>
      <c r="D181" s="25" t="s">
        <v>37</v>
      </c>
      <c r="E181" s="26" t="s">
        <v>38</v>
      </c>
      <c r="F181" s="25" t="s">
        <v>34</v>
      </c>
      <c r="G181" s="251">
        <v>50663</v>
      </c>
      <c r="H181" s="31">
        <v>14</v>
      </c>
      <c r="I181" s="32">
        <v>0.63</v>
      </c>
      <c r="J181" s="36"/>
      <c r="K181" s="36"/>
      <c r="L181" s="36"/>
      <c r="M181" s="36"/>
      <c r="N181" s="36"/>
      <c r="O181" s="36"/>
      <c r="P181" s="36"/>
      <c r="Q181" s="36"/>
      <c r="R181" s="36"/>
      <c r="S181" s="254">
        <f t="shared" si="0"/>
        <v>0.63</v>
      </c>
      <c r="T181" s="36"/>
      <c r="U181" s="236"/>
      <c r="V181" s="236"/>
      <c r="W181" s="236"/>
      <c r="X181" s="236"/>
      <c r="Y181" s="236"/>
      <c r="Z181" s="236"/>
      <c r="AA181" s="236"/>
      <c r="AB181" s="236"/>
      <c r="AC181" s="236"/>
      <c r="AD181" s="236"/>
    </row>
    <row r="182" spans="1:30" ht="15.75" customHeight="1">
      <c r="A182" s="25">
        <v>2</v>
      </c>
      <c r="B182" s="25">
        <v>5</v>
      </c>
      <c r="C182" s="25">
        <v>13</v>
      </c>
      <c r="D182" s="25" t="s">
        <v>37</v>
      </c>
      <c r="E182" s="26" t="s">
        <v>38</v>
      </c>
      <c r="F182" s="25" t="s">
        <v>68</v>
      </c>
      <c r="G182" s="251">
        <v>50696</v>
      </c>
      <c r="H182" s="31">
        <v>45</v>
      </c>
      <c r="I182" s="32">
        <v>0.74</v>
      </c>
      <c r="J182" s="36"/>
      <c r="K182" s="36"/>
      <c r="L182" s="36"/>
      <c r="M182" s="36"/>
      <c r="N182" s="36"/>
      <c r="O182" s="36"/>
      <c r="P182" s="36"/>
      <c r="Q182" s="36"/>
      <c r="R182" s="36"/>
      <c r="S182" s="254">
        <f t="shared" si="0"/>
        <v>0.74</v>
      </c>
      <c r="T182" s="36"/>
      <c r="U182" s="236"/>
      <c r="V182" s="236"/>
      <c r="W182" s="236"/>
      <c r="X182" s="236"/>
      <c r="Y182" s="236"/>
      <c r="Z182" s="236"/>
      <c r="AA182" s="236"/>
      <c r="AB182" s="236"/>
      <c r="AC182" s="236"/>
      <c r="AD182" s="236"/>
    </row>
    <row r="183" spans="1:30" ht="15.75" customHeight="1">
      <c r="A183" s="25">
        <v>2</v>
      </c>
      <c r="B183" s="25">
        <v>6</v>
      </c>
      <c r="C183" s="25">
        <v>1</v>
      </c>
      <c r="D183" s="25" t="s">
        <v>195</v>
      </c>
      <c r="E183" s="26" t="s">
        <v>196</v>
      </c>
      <c r="F183" s="25" t="s">
        <v>34</v>
      </c>
      <c r="G183" s="251">
        <v>50703</v>
      </c>
      <c r="H183" s="31">
        <v>190</v>
      </c>
      <c r="I183" s="32">
        <v>1.2330000000000001</v>
      </c>
      <c r="J183" s="32">
        <v>0.98899999999999999</v>
      </c>
      <c r="K183" s="32">
        <v>1.3220000000000001</v>
      </c>
      <c r="L183" s="32">
        <v>1.5329999999999999</v>
      </c>
      <c r="M183" s="32">
        <v>1.5489999999999999</v>
      </c>
      <c r="N183" s="32">
        <v>1.458</v>
      </c>
      <c r="O183" s="32">
        <v>1.048</v>
      </c>
      <c r="P183" s="36"/>
      <c r="Q183" s="36"/>
      <c r="R183" s="36"/>
      <c r="S183" s="254">
        <f t="shared" si="0"/>
        <v>1.3045714285714285</v>
      </c>
      <c r="T183" s="36"/>
      <c r="U183" s="236"/>
      <c r="V183" s="236"/>
      <c r="W183" s="236"/>
      <c r="X183" s="236"/>
      <c r="Y183" s="236"/>
      <c r="Z183" s="236"/>
      <c r="AA183" s="236"/>
      <c r="AB183" s="236"/>
      <c r="AC183" s="236"/>
      <c r="AD183" s="236"/>
    </row>
    <row r="184" spans="1:30" ht="15.75" customHeight="1">
      <c r="A184" s="25">
        <v>2</v>
      </c>
      <c r="B184" s="25">
        <v>6</v>
      </c>
      <c r="C184" s="25">
        <v>2</v>
      </c>
      <c r="D184" s="25" t="s">
        <v>197</v>
      </c>
      <c r="E184" s="26" t="s">
        <v>198</v>
      </c>
      <c r="F184" s="25" t="s">
        <v>25</v>
      </c>
      <c r="G184" s="251">
        <v>50771</v>
      </c>
      <c r="H184" s="31">
        <v>9</v>
      </c>
      <c r="I184" s="32">
        <v>0.68700000000000006</v>
      </c>
      <c r="J184" s="36"/>
      <c r="K184" s="36"/>
      <c r="L184" s="36"/>
      <c r="M184" s="36"/>
      <c r="N184" s="36"/>
      <c r="O184" s="36"/>
      <c r="P184" s="36"/>
      <c r="Q184" s="36"/>
      <c r="R184" s="36"/>
      <c r="S184" s="254">
        <f t="shared" si="0"/>
        <v>0.68700000000000006</v>
      </c>
      <c r="T184" s="36"/>
      <c r="U184" s="236"/>
      <c r="V184" s="236"/>
      <c r="W184" s="236"/>
      <c r="X184" s="236"/>
      <c r="Y184" s="236"/>
      <c r="Z184" s="236"/>
      <c r="AA184" s="236"/>
      <c r="AB184" s="236"/>
      <c r="AC184" s="236"/>
      <c r="AD184" s="236"/>
    </row>
    <row r="185" spans="1:30" ht="15.75" customHeight="1">
      <c r="A185" s="25">
        <v>2</v>
      </c>
      <c r="B185" s="25">
        <v>6</v>
      </c>
      <c r="C185" s="25">
        <v>2</v>
      </c>
      <c r="D185" s="25" t="s">
        <v>37</v>
      </c>
      <c r="E185" s="26" t="s">
        <v>38</v>
      </c>
      <c r="F185" s="25" t="s">
        <v>34</v>
      </c>
      <c r="G185" s="251">
        <v>50622</v>
      </c>
      <c r="H185" s="31">
        <v>47</v>
      </c>
      <c r="I185" s="32">
        <v>0.58299999999999996</v>
      </c>
      <c r="J185" s="36"/>
      <c r="K185" s="36"/>
      <c r="L185" s="36"/>
      <c r="M185" s="36"/>
      <c r="N185" s="36"/>
      <c r="O185" s="36"/>
      <c r="P185" s="36"/>
      <c r="Q185" s="36"/>
      <c r="R185" s="36"/>
      <c r="S185" s="254">
        <f t="shared" si="0"/>
        <v>0.58299999999999996</v>
      </c>
      <c r="T185" s="36"/>
      <c r="U185" s="236"/>
      <c r="V185" s="236"/>
      <c r="W185" s="236"/>
      <c r="X185" s="236"/>
      <c r="Y185" s="236"/>
      <c r="Z185" s="236"/>
      <c r="AA185" s="236"/>
      <c r="AB185" s="236"/>
      <c r="AC185" s="236"/>
      <c r="AD185" s="236"/>
    </row>
    <row r="186" spans="1:30" ht="15.75" customHeight="1">
      <c r="A186" s="53">
        <v>2</v>
      </c>
      <c r="B186" s="53">
        <v>6</v>
      </c>
      <c r="C186" s="53">
        <v>2</v>
      </c>
      <c r="D186" s="53" t="s">
        <v>37</v>
      </c>
      <c r="E186" s="54" t="s">
        <v>38</v>
      </c>
      <c r="F186" s="53" t="s">
        <v>25</v>
      </c>
      <c r="G186" s="262">
        <v>50694</v>
      </c>
      <c r="H186" s="57">
        <v>81</v>
      </c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254"/>
      <c r="T186" s="53" t="s">
        <v>55</v>
      </c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6"/>
    </row>
    <row r="187" spans="1:30" ht="15.75" customHeight="1">
      <c r="A187" s="53">
        <v>2</v>
      </c>
      <c r="B187" s="53">
        <v>6</v>
      </c>
      <c r="C187" s="53">
        <v>2</v>
      </c>
      <c r="D187" s="53" t="s">
        <v>199</v>
      </c>
      <c r="E187" s="54" t="s">
        <v>200</v>
      </c>
      <c r="F187" s="53" t="s">
        <v>34</v>
      </c>
      <c r="G187" s="262">
        <v>50603</v>
      </c>
      <c r="H187" s="57">
        <v>65</v>
      </c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254"/>
      <c r="T187" s="53" t="s">
        <v>55</v>
      </c>
      <c r="U187" s="236"/>
      <c r="V187" s="236"/>
      <c r="W187" s="236"/>
      <c r="X187" s="236"/>
      <c r="Y187" s="236"/>
      <c r="Z187" s="236"/>
      <c r="AA187" s="236"/>
      <c r="AB187" s="236"/>
      <c r="AC187" s="236"/>
      <c r="AD187" s="236"/>
    </row>
    <row r="188" spans="1:30" ht="15.75" customHeight="1">
      <c r="A188" s="53">
        <v>2</v>
      </c>
      <c r="B188" s="53">
        <v>6</v>
      </c>
      <c r="C188" s="53">
        <v>2</v>
      </c>
      <c r="D188" s="53" t="s">
        <v>199</v>
      </c>
      <c r="E188" s="54" t="s">
        <v>200</v>
      </c>
      <c r="F188" s="53" t="s">
        <v>34</v>
      </c>
      <c r="G188" s="262">
        <v>50656</v>
      </c>
      <c r="H188" s="57">
        <v>23</v>
      </c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254"/>
      <c r="T188" s="53" t="s">
        <v>55</v>
      </c>
      <c r="U188" s="236"/>
      <c r="V188" s="236"/>
      <c r="W188" s="236"/>
      <c r="X188" s="236"/>
      <c r="Y188" s="236"/>
      <c r="Z188" s="236"/>
      <c r="AA188" s="236"/>
      <c r="AB188" s="236"/>
      <c r="AC188" s="236"/>
      <c r="AD188" s="236"/>
    </row>
    <row r="189" spans="1:30" ht="15.75" customHeight="1">
      <c r="A189" s="25">
        <v>2</v>
      </c>
      <c r="B189" s="25">
        <v>6</v>
      </c>
      <c r="C189" s="25">
        <v>3</v>
      </c>
      <c r="D189" s="25" t="s">
        <v>201</v>
      </c>
      <c r="E189" s="26" t="s">
        <v>202</v>
      </c>
      <c r="F189" s="25" t="s">
        <v>34</v>
      </c>
      <c r="G189" s="251">
        <v>50601</v>
      </c>
      <c r="H189" s="31">
        <v>146</v>
      </c>
      <c r="I189" s="32">
        <v>0.96399999999999997</v>
      </c>
      <c r="J189" s="32">
        <v>0.99199999999999999</v>
      </c>
      <c r="K189" s="32">
        <v>0.91400000000000003</v>
      </c>
      <c r="L189" s="32">
        <v>1.073</v>
      </c>
      <c r="M189" s="32">
        <v>0.76100000000000001</v>
      </c>
      <c r="N189" s="32">
        <v>0.76300000000000001</v>
      </c>
      <c r="O189" s="36"/>
      <c r="P189" s="36"/>
      <c r="Q189" s="36"/>
      <c r="R189" s="36"/>
      <c r="S189" s="254">
        <f t="shared" si="0"/>
        <v>0.91116666666666657</v>
      </c>
      <c r="T189" s="36"/>
      <c r="U189" s="236"/>
      <c r="V189" s="236"/>
      <c r="W189" s="236"/>
      <c r="X189" s="236"/>
      <c r="Y189" s="236"/>
      <c r="Z189" s="236"/>
      <c r="AA189" s="236"/>
      <c r="AB189" s="236"/>
      <c r="AC189" s="236"/>
      <c r="AD189" s="236"/>
    </row>
    <row r="190" spans="1:30" ht="15.75" customHeight="1">
      <c r="A190" s="25">
        <v>2</v>
      </c>
      <c r="B190" s="25">
        <v>6</v>
      </c>
      <c r="C190" s="25">
        <v>3</v>
      </c>
      <c r="D190" s="25" t="s">
        <v>201</v>
      </c>
      <c r="E190" s="26" t="s">
        <v>202</v>
      </c>
      <c r="F190" s="25" t="s">
        <v>25</v>
      </c>
      <c r="G190" s="251">
        <v>50525</v>
      </c>
      <c r="H190" s="31">
        <v>42</v>
      </c>
      <c r="I190" s="32">
        <v>1.081</v>
      </c>
      <c r="J190" s="32">
        <v>0.66400000000000003</v>
      </c>
      <c r="K190" s="36"/>
      <c r="L190" s="36"/>
      <c r="M190" s="36"/>
      <c r="N190" s="36"/>
      <c r="O190" s="36"/>
      <c r="P190" s="36"/>
      <c r="Q190" s="36"/>
      <c r="R190" s="36"/>
      <c r="S190" s="254">
        <f t="shared" si="0"/>
        <v>0.87250000000000005</v>
      </c>
      <c r="T190" s="36"/>
      <c r="U190" s="236"/>
      <c r="V190" s="236"/>
      <c r="W190" s="236"/>
      <c r="X190" s="236"/>
      <c r="Y190" s="236"/>
      <c r="Z190" s="236"/>
      <c r="AA190" s="236"/>
      <c r="AB190" s="236"/>
      <c r="AC190" s="236"/>
      <c r="AD190" s="236"/>
    </row>
    <row r="191" spans="1:30" ht="15.75" customHeight="1">
      <c r="A191" s="25">
        <v>2</v>
      </c>
      <c r="B191" s="25">
        <v>6</v>
      </c>
      <c r="C191" s="25">
        <v>3</v>
      </c>
      <c r="D191" s="25" t="s">
        <v>199</v>
      </c>
      <c r="E191" s="26" t="s">
        <v>200</v>
      </c>
      <c r="F191" s="25" t="s">
        <v>34</v>
      </c>
      <c r="G191" s="251">
        <v>50603</v>
      </c>
      <c r="H191" s="31">
        <v>32</v>
      </c>
      <c r="I191" s="32">
        <v>1.718</v>
      </c>
      <c r="J191" s="32">
        <v>1.6180000000000001</v>
      </c>
      <c r="K191" s="36"/>
      <c r="L191" s="36"/>
      <c r="M191" s="36"/>
      <c r="N191" s="36"/>
      <c r="O191" s="36"/>
      <c r="P191" s="36"/>
      <c r="Q191" s="36"/>
      <c r="R191" s="36"/>
      <c r="S191" s="254">
        <f t="shared" si="0"/>
        <v>1.6680000000000001</v>
      </c>
      <c r="T191" s="36"/>
      <c r="U191" s="236"/>
      <c r="V191" s="236"/>
      <c r="W191" s="236"/>
      <c r="X191" s="236"/>
      <c r="Y191" s="236"/>
      <c r="Z191" s="236"/>
      <c r="AA191" s="236"/>
      <c r="AB191" s="236"/>
      <c r="AC191" s="236"/>
      <c r="AD191" s="236"/>
    </row>
    <row r="192" spans="1:30" ht="15.75" customHeight="1">
      <c r="A192" s="25">
        <v>2</v>
      </c>
      <c r="B192" s="25">
        <v>6</v>
      </c>
      <c r="C192" s="25">
        <v>4</v>
      </c>
      <c r="D192" s="25" t="s">
        <v>203</v>
      </c>
      <c r="E192" s="26" t="s">
        <v>204</v>
      </c>
      <c r="F192" s="25" t="s">
        <v>68</v>
      </c>
      <c r="G192" s="251">
        <v>50835</v>
      </c>
      <c r="H192" s="31">
        <v>580</v>
      </c>
      <c r="I192" s="32">
        <v>1.206</v>
      </c>
      <c r="J192" s="32">
        <v>0.78900000000000003</v>
      </c>
      <c r="K192" s="32">
        <v>0.75800000000000001</v>
      </c>
      <c r="L192" s="32">
        <v>0.746</v>
      </c>
      <c r="M192" s="32">
        <v>0.74299999999999999</v>
      </c>
      <c r="N192" s="32">
        <v>0.85099999999999998</v>
      </c>
      <c r="O192" s="32">
        <v>0.91500000000000004</v>
      </c>
      <c r="P192" s="32">
        <v>0.51800000000000002</v>
      </c>
      <c r="Q192" s="32">
        <v>0.82599999999999996</v>
      </c>
      <c r="R192" s="32">
        <v>0.85799999999999998</v>
      </c>
      <c r="S192" s="254">
        <f t="shared" si="0"/>
        <v>0.82099999999999995</v>
      </c>
      <c r="T192" s="36"/>
      <c r="U192" s="236"/>
      <c r="V192" s="236"/>
      <c r="W192" s="236"/>
      <c r="X192" s="236"/>
      <c r="Y192" s="236"/>
      <c r="Z192" s="236"/>
      <c r="AA192" s="236"/>
      <c r="AB192" s="236"/>
      <c r="AC192" s="236"/>
      <c r="AD192" s="236"/>
    </row>
    <row r="193" spans="1:30" ht="15.75" customHeight="1">
      <c r="A193" s="25">
        <v>2</v>
      </c>
      <c r="B193" s="25">
        <v>6</v>
      </c>
      <c r="C193" s="25">
        <v>5</v>
      </c>
      <c r="D193" s="25" t="s">
        <v>203</v>
      </c>
      <c r="E193" s="26" t="s">
        <v>204</v>
      </c>
      <c r="F193" s="25" t="s">
        <v>68</v>
      </c>
      <c r="G193" s="251">
        <v>50835</v>
      </c>
      <c r="H193" s="31">
        <v>308</v>
      </c>
      <c r="I193" s="32">
        <v>0.81399999999999995</v>
      </c>
      <c r="J193" s="32">
        <v>0.86599999999999999</v>
      </c>
      <c r="K193" s="32">
        <v>0.86399999999999999</v>
      </c>
      <c r="L193" s="32">
        <v>0.64400000000000002</v>
      </c>
      <c r="M193" s="32">
        <v>0.50600000000000001</v>
      </c>
      <c r="N193" s="32">
        <v>0.64200000000000002</v>
      </c>
      <c r="O193" s="32">
        <v>0.66100000000000003</v>
      </c>
      <c r="P193" s="32">
        <v>0.746</v>
      </c>
      <c r="Q193" s="36"/>
      <c r="R193" s="36"/>
      <c r="S193" s="254">
        <f t="shared" si="0"/>
        <v>0.71787500000000004</v>
      </c>
      <c r="T193" s="36"/>
      <c r="U193" s="236"/>
      <c r="V193" s="236"/>
      <c r="W193" s="236"/>
      <c r="X193" s="236"/>
      <c r="Y193" s="236"/>
      <c r="Z193" s="236"/>
      <c r="AA193" s="236"/>
      <c r="AB193" s="236"/>
      <c r="AC193" s="236"/>
      <c r="AD193" s="236"/>
    </row>
    <row r="194" spans="1:30" ht="15.75" customHeight="1">
      <c r="A194" s="25">
        <v>2</v>
      </c>
      <c r="B194" s="25">
        <v>6</v>
      </c>
      <c r="C194" s="25">
        <v>5</v>
      </c>
      <c r="D194" s="25" t="s">
        <v>167</v>
      </c>
      <c r="E194" s="26" t="s">
        <v>168</v>
      </c>
      <c r="F194" s="25" t="s">
        <v>25</v>
      </c>
      <c r="G194" s="251">
        <v>50744</v>
      </c>
      <c r="H194" s="31">
        <v>1</v>
      </c>
      <c r="I194" s="308">
        <f>4.7/PI()</f>
        <v>1.4960564650638162</v>
      </c>
      <c r="J194" s="36"/>
      <c r="K194" s="36"/>
      <c r="L194" s="36"/>
      <c r="M194" s="36"/>
      <c r="N194" s="36"/>
      <c r="O194" s="36"/>
      <c r="P194" s="36"/>
      <c r="Q194" s="36"/>
      <c r="R194" s="36"/>
      <c r="S194" s="254">
        <f t="shared" si="0"/>
        <v>1.4960564650638162</v>
      </c>
      <c r="T194" s="33" t="s">
        <v>250</v>
      </c>
      <c r="U194" s="236"/>
      <c r="V194" s="236"/>
      <c r="W194" s="236"/>
      <c r="X194" s="236"/>
      <c r="Y194" s="236"/>
      <c r="Z194" s="236"/>
      <c r="AA194" s="236"/>
      <c r="AB194" s="236"/>
      <c r="AC194" s="236"/>
      <c r="AD194" s="236"/>
    </row>
    <row r="195" spans="1:30" ht="15.75" customHeight="1">
      <c r="A195" s="25">
        <v>2</v>
      </c>
      <c r="B195" s="25">
        <v>7</v>
      </c>
      <c r="C195" s="25">
        <v>1</v>
      </c>
      <c r="D195" s="25" t="s">
        <v>177</v>
      </c>
      <c r="E195" s="26" t="s">
        <v>178</v>
      </c>
      <c r="F195" s="25" t="s">
        <v>68</v>
      </c>
      <c r="G195" s="251">
        <v>50852</v>
      </c>
      <c r="H195" s="31">
        <v>256</v>
      </c>
      <c r="I195" s="36">
        <f>5.23/10</f>
        <v>0.52300000000000002</v>
      </c>
      <c r="J195" s="36">
        <f>6.2/10</f>
        <v>0.62</v>
      </c>
      <c r="K195" s="36">
        <f>7.39/10</f>
        <v>0.73899999999999999</v>
      </c>
      <c r="L195" s="36">
        <f>6.51/10</f>
        <v>0.65100000000000002</v>
      </c>
      <c r="M195" s="36">
        <f>6.2/10</f>
        <v>0.62</v>
      </c>
      <c r="N195" s="36">
        <f>6.31/10</f>
        <v>0.63100000000000001</v>
      </c>
      <c r="O195" s="36">
        <f>3.74/10</f>
        <v>0.374</v>
      </c>
      <c r="P195" s="36">
        <f>3.4/10</f>
        <v>0.33999999999999997</v>
      </c>
      <c r="Q195" s="36"/>
      <c r="R195" s="36"/>
      <c r="S195" s="254">
        <f t="shared" si="0"/>
        <v>0.56225000000000003</v>
      </c>
      <c r="T195" s="33" t="s">
        <v>252</v>
      </c>
      <c r="U195" s="236"/>
      <c r="V195" s="236"/>
      <c r="W195" s="236"/>
      <c r="X195" s="236"/>
      <c r="Y195" s="236"/>
      <c r="Z195" s="236"/>
      <c r="AA195" s="236"/>
      <c r="AB195" s="236"/>
      <c r="AC195" s="236"/>
      <c r="AD195" s="236"/>
    </row>
    <row r="196" spans="1:30" ht="15.75" customHeight="1">
      <c r="A196" s="68">
        <v>2</v>
      </c>
      <c r="B196" s="25">
        <v>7</v>
      </c>
      <c r="C196" s="25">
        <v>2</v>
      </c>
      <c r="D196" s="25" t="s">
        <v>205</v>
      </c>
      <c r="E196" s="26" t="s">
        <v>206</v>
      </c>
      <c r="F196" s="25" t="s">
        <v>34</v>
      </c>
      <c r="G196" s="251">
        <v>50853</v>
      </c>
      <c r="H196" s="31">
        <v>642</v>
      </c>
      <c r="I196" s="36">
        <f>8.01/10</f>
        <v>0.80099999999999993</v>
      </c>
      <c r="J196" s="36">
        <f>8.75/10</f>
        <v>0.875</v>
      </c>
      <c r="K196" s="36">
        <f>7.64/10</f>
        <v>0.76400000000000001</v>
      </c>
      <c r="L196" s="36">
        <f>6.33/10</f>
        <v>0.63300000000000001</v>
      </c>
      <c r="M196" s="36">
        <f>6.07/10</f>
        <v>0.60699999999999998</v>
      </c>
      <c r="N196" s="36">
        <f>8.94/10</f>
        <v>0.89399999999999991</v>
      </c>
      <c r="O196" s="36">
        <f>6.52/10</f>
        <v>0.65199999999999991</v>
      </c>
      <c r="P196" s="36">
        <f>5.68/10</f>
        <v>0.56799999999999995</v>
      </c>
      <c r="Q196" s="36">
        <f>5.41/10</f>
        <v>0.54100000000000004</v>
      </c>
      <c r="R196" s="36">
        <f>3.28/10</f>
        <v>0.32799999999999996</v>
      </c>
      <c r="S196" s="254">
        <f t="shared" si="0"/>
        <v>0.6663</v>
      </c>
      <c r="T196" s="33" t="s">
        <v>252</v>
      </c>
      <c r="U196" s="236"/>
      <c r="V196" s="236"/>
      <c r="W196" s="236"/>
      <c r="X196" s="236"/>
      <c r="Y196" s="236"/>
      <c r="Z196" s="236"/>
      <c r="AA196" s="236"/>
      <c r="AB196" s="236"/>
      <c r="AC196" s="236"/>
      <c r="AD196" s="236"/>
    </row>
    <row r="197" spans="1:30" ht="15.75" customHeight="1">
      <c r="A197" s="25">
        <v>2</v>
      </c>
      <c r="B197" s="25">
        <v>7</v>
      </c>
      <c r="C197" s="25">
        <v>3</v>
      </c>
      <c r="D197" s="25" t="s">
        <v>208</v>
      </c>
      <c r="E197" s="26" t="s">
        <v>209</v>
      </c>
      <c r="F197" s="25" t="s">
        <v>68</v>
      </c>
      <c r="G197" s="251">
        <v>50635</v>
      </c>
      <c r="H197" s="31">
        <v>311</v>
      </c>
      <c r="I197" s="36">
        <f>12.65/10</f>
        <v>1.2650000000000001</v>
      </c>
      <c r="J197" s="36">
        <f>8.47/10</f>
        <v>0.84700000000000009</v>
      </c>
      <c r="K197" s="36">
        <f>9.52/10</f>
        <v>0.95199999999999996</v>
      </c>
      <c r="L197" s="36">
        <f>6.52/10</f>
        <v>0.65199999999999991</v>
      </c>
      <c r="M197" s="36">
        <f>5.64/10</f>
        <v>0.56399999999999995</v>
      </c>
      <c r="N197" s="36">
        <f>18.34/10</f>
        <v>1.8340000000000001</v>
      </c>
      <c r="O197" s="36">
        <f>15.25/10</f>
        <v>1.5249999999999999</v>
      </c>
      <c r="P197" s="36">
        <f>12.86/10</f>
        <v>1.286</v>
      </c>
      <c r="Q197" s="36">
        <f>10.2/10</f>
        <v>1.02</v>
      </c>
      <c r="R197" s="36">
        <f>11.85/10</f>
        <v>1.1850000000000001</v>
      </c>
      <c r="S197" s="254">
        <f t="shared" si="0"/>
        <v>1.113</v>
      </c>
      <c r="T197" s="33" t="s">
        <v>252</v>
      </c>
      <c r="U197" s="236"/>
      <c r="V197" s="236"/>
      <c r="W197" s="236"/>
      <c r="X197" s="236"/>
      <c r="Y197" s="236"/>
      <c r="Z197" s="236"/>
      <c r="AA197" s="236"/>
      <c r="AB197" s="236"/>
      <c r="AC197" s="236"/>
      <c r="AD197" s="236"/>
    </row>
    <row r="198" spans="1:30" ht="15.75" customHeight="1">
      <c r="A198" s="25">
        <v>2</v>
      </c>
      <c r="B198" s="25">
        <v>7</v>
      </c>
      <c r="C198" s="25">
        <v>3</v>
      </c>
      <c r="D198" s="25" t="s">
        <v>81</v>
      </c>
      <c r="E198" s="26" t="s">
        <v>82</v>
      </c>
      <c r="F198" s="25" t="s">
        <v>34</v>
      </c>
      <c r="G198" s="251">
        <v>50555</v>
      </c>
      <c r="H198" s="31">
        <v>5</v>
      </c>
      <c r="I198" s="36">
        <f>10.89/10</f>
        <v>1.089</v>
      </c>
      <c r="J198" s="36"/>
      <c r="K198" s="36"/>
      <c r="L198" s="36"/>
      <c r="M198" s="36"/>
      <c r="N198" s="36"/>
      <c r="O198" s="36"/>
      <c r="P198" s="36"/>
      <c r="Q198" s="36"/>
      <c r="R198" s="36"/>
      <c r="S198" s="254">
        <f t="shared" si="0"/>
        <v>1.089</v>
      </c>
      <c r="T198" s="33" t="s">
        <v>252</v>
      </c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6"/>
    </row>
    <row r="199" spans="1:30" ht="15.75" customHeight="1">
      <c r="A199" s="25">
        <v>2</v>
      </c>
      <c r="B199" s="25">
        <v>7</v>
      </c>
      <c r="C199" s="25">
        <v>3</v>
      </c>
      <c r="D199" s="25" t="s">
        <v>208</v>
      </c>
      <c r="E199" s="26" t="s">
        <v>209</v>
      </c>
      <c r="F199" s="25" t="s">
        <v>34</v>
      </c>
      <c r="G199" s="251">
        <v>50617</v>
      </c>
      <c r="H199" s="31">
        <v>75</v>
      </c>
      <c r="I199" s="308">
        <f>6.6/PI()</f>
        <v>2.1008452488130183</v>
      </c>
      <c r="J199" s="36"/>
      <c r="K199" s="36"/>
      <c r="L199" s="36"/>
      <c r="M199" s="36"/>
      <c r="N199" s="36"/>
      <c r="O199" s="36"/>
      <c r="P199" s="36"/>
      <c r="Q199" s="36"/>
      <c r="R199" s="36"/>
      <c r="S199" s="254">
        <f t="shared" si="0"/>
        <v>2.1008452488130183</v>
      </c>
      <c r="T199" s="33" t="s">
        <v>250</v>
      </c>
      <c r="U199" s="236"/>
      <c r="V199" s="236"/>
      <c r="W199" s="236"/>
      <c r="X199" s="236"/>
      <c r="Y199" s="236"/>
      <c r="Z199" s="236"/>
      <c r="AA199" s="236"/>
      <c r="AB199" s="236"/>
      <c r="AC199" s="236"/>
      <c r="AD199" s="236"/>
    </row>
    <row r="200" spans="1:30" ht="15.75" customHeight="1">
      <c r="A200" s="53">
        <v>2</v>
      </c>
      <c r="B200" s="53">
        <v>7</v>
      </c>
      <c r="C200" s="53">
        <v>4</v>
      </c>
      <c r="D200" s="53" t="s">
        <v>210</v>
      </c>
      <c r="E200" s="54" t="s">
        <v>211</v>
      </c>
      <c r="F200" s="53" t="s">
        <v>34</v>
      </c>
      <c r="G200" s="262">
        <v>50578</v>
      </c>
      <c r="H200" s="57">
        <v>4</v>
      </c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254"/>
      <c r="T200" s="53" t="s">
        <v>55</v>
      </c>
      <c r="U200" s="236"/>
      <c r="V200" s="236"/>
      <c r="W200" s="236"/>
      <c r="X200" s="236"/>
      <c r="Y200" s="236"/>
      <c r="Z200" s="236"/>
      <c r="AA200" s="236"/>
      <c r="AB200" s="236"/>
      <c r="AC200" s="236"/>
      <c r="AD200" s="236"/>
    </row>
    <row r="201" spans="1:30" ht="15.75" customHeight="1">
      <c r="A201" s="53">
        <v>2</v>
      </c>
      <c r="B201" s="53">
        <v>7</v>
      </c>
      <c r="C201" s="53">
        <v>4</v>
      </c>
      <c r="D201" s="53" t="s">
        <v>212</v>
      </c>
      <c r="E201" s="54" t="s">
        <v>213</v>
      </c>
      <c r="F201" s="53" t="s">
        <v>34</v>
      </c>
      <c r="G201" s="262">
        <v>50579</v>
      </c>
      <c r="H201" s="57">
        <v>1</v>
      </c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254"/>
      <c r="T201" s="53" t="s">
        <v>55</v>
      </c>
      <c r="U201" s="236"/>
      <c r="V201" s="236"/>
      <c r="W201" s="236"/>
      <c r="X201" s="236"/>
      <c r="Y201" s="236"/>
      <c r="Z201" s="236"/>
      <c r="AA201" s="236"/>
      <c r="AB201" s="236"/>
      <c r="AC201" s="236"/>
      <c r="AD201" s="236"/>
    </row>
    <row r="202" spans="1:30" ht="15.75" customHeight="1">
      <c r="A202" s="25">
        <v>2</v>
      </c>
      <c r="B202" s="25">
        <v>7</v>
      </c>
      <c r="C202" s="25">
        <v>4</v>
      </c>
      <c r="D202" s="25" t="s">
        <v>214</v>
      </c>
      <c r="E202" s="26" t="s">
        <v>215</v>
      </c>
      <c r="F202" s="25" t="s">
        <v>34</v>
      </c>
      <c r="G202" s="251">
        <v>50580</v>
      </c>
      <c r="H202" s="31">
        <v>25</v>
      </c>
      <c r="I202" s="36">
        <f>17.65/10</f>
        <v>1.7649999999999999</v>
      </c>
      <c r="J202" s="36"/>
      <c r="K202" s="36"/>
      <c r="L202" s="36"/>
      <c r="M202" s="36"/>
      <c r="N202" s="36"/>
      <c r="O202" s="36"/>
      <c r="P202" s="36"/>
      <c r="Q202" s="36"/>
      <c r="R202" s="36"/>
      <c r="S202" s="254">
        <f t="shared" si="0"/>
        <v>1.7649999999999999</v>
      </c>
      <c r="T202" s="33" t="s">
        <v>252</v>
      </c>
      <c r="U202" s="236"/>
      <c r="V202" s="236"/>
      <c r="W202" s="236"/>
      <c r="X202" s="236"/>
      <c r="Y202" s="236"/>
      <c r="Z202" s="236"/>
      <c r="AA202" s="236"/>
      <c r="AB202" s="236"/>
      <c r="AC202" s="236"/>
      <c r="AD202" s="236"/>
    </row>
    <row r="203" spans="1:30" ht="15.75" customHeight="1">
      <c r="A203" s="25">
        <v>2</v>
      </c>
      <c r="B203" s="25">
        <v>7</v>
      </c>
      <c r="C203" s="25">
        <v>4</v>
      </c>
      <c r="D203" s="25" t="s">
        <v>216</v>
      </c>
      <c r="E203" s="26" t="s">
        <v>217</v>
      </c>
      <c r="F203" s="25" t="s">
        <v>34</v>
      </c>
      <c r="G203" s="251">
        <v>50584</v>
      </c>
      <c r="H203" s="31">
        <v>92</v>
      </c>
      <c r="I203" s="308">
        <f>4.2/PI()</f>
        <v>1.3369015219719209</v>
      </c>
      <c r="J203" s="308">
        <f>4/PI()</f>
        <v>1.2732395447351628</v>
      </c>
      <c r="K203" s="308">
        <f>3/PI()</f>
        <v>0.95492965855137202</v>
      </c>
      <c r="L203" s="308">
        <f>3.3/PI()</f>
        <v>1.0504226244065091</v>
      </c>
      <c r="M203" s="36"/>
      <c r="N203" s="36"/>
      <c r="O203" s="36"/>
      <c r="P203" s="36"/>
      <c r="Q203" s="36"/>
      <c r="R203" s="36"/>
      <c r="S203" s="254">
        <f t="shared" si="0"/>
        <v>1.1538733374162413</v>
      </c>
      <c r="T203" s="33" t="s">
        <v>250</v>
      </c>
      <c r="U203" s="236"/>
      <c r="V203" s="236"/>
      <c r="W203" s="236"/>
      <c r="X203" s="236"/>
      <c r="Y203" s="236"/>
      <c r="Z203" s="236"/>
      <c r="AA203" s="236"/>
      <c r="AB203" s="236"/>
      <c r="AC203" s="236"/>
      <c r="AD203" s="236"/>
    </row>
    <row r="204" spans="1:30" ht="15.75" customHeight="1">
      <c r="A204" s="25">
        <v>2</v>
      </c>
      <c r="B204" s="25">
        <v>7</v>
      </c>
      <c r="C204" s="25">
        <v>4</v>
      </c>
      <c r="D204" s="25" t="s">
        <v>218</v>
      </c>
      <c r="E204" s="26" t="s">
        <v>219</v>
      </c>
      <c r="F204" s="25" t="s">
        <v>34</v>
      </c>
      <c r="G204" s="251">
        <v>50547</v>
      </c>
      <c r="H204" s="31">
        <v>73</v>
      </c>
      <c r="I204" s="308">
        <f>5.7/PI()</f>
        <v>1.8143663512476069</v>
      </c>
      <c r="J204" s="308">
        <f>2.7/PI()</f>
        <v>0.85943669269623491</v>
      </c>
      <c r="K204" s="308">
        <f>3.3/PI()</f>
        <v>1.0504226244065091</v>
      </c>
      <c r="L204" s="36"/>
      <c r="M204" s="36"/>
      <c r="N204" s="36"/>
      <c r="O204" s="36"/>
      <c r="P204" s="36"/>
      <c r="Q204" s="36"/>
      <c r="R204" s="36"/>
      <c r="S204" s="254">
        <f t="shared" si="0"/>
        <v>1.2414085561167836</v>
      </c>
      <c r="T204" s="33" t="s">
        <v>250</v>
      </c>
      <c r="U204" s="236"/>
      <c r="V204" s="236"/>
      <c r="W204" s="236"/>
      <c r="X204" s="236"/>
      <c r="Y204" s="236"/>
      <c r="Z204" s="236"/>
      <c r="AA204" s="236"/>
      <c r="AB204" s="236"/>
      <c r="AC204" s="236"/>
      <c r="AD204" s="236"/>
    </row>
    <row r="205" spans="1:30" ht="15.75" customHeight="1">
      <c r="A205" s="25">
        <v>2</v>
      </c>
      <c r="B205" s="25">
        <v>7</v>
      </c>
      <c r="C205" s="25">
        <v>4</v>
      </c>
      <c r="D205" s="25" t="s">
        <v>218</v>
      </c>
      <c r="E205" s="26" t="s">
        <v>219</v>
      </c>
      <c r="F205" s="25" t="s">
        <v>25</v>
      </c>
      <c r="G205" s="251">
        <v>50389</v>
      </c>
      <c r="H205" s="31">
        <v>14</v>
      </c>
      <c r="I205" s="308">
        <f>5.2/PI()</f>
        <v>1.6552114081557117</v>
      </c>
      <c r="J205" s="36"/>
      <c r="K205" s="36"/>
      <c r="L205" s="36"/>
      <c r="M205" s="36"/>
      <c r="N205" s="36"/>
      <c r="O205" s="36"/>
      <c r="P205" s="36"/>
      <c r="Q205" s="36"/>
      <c r="R205" s="36"/>
      <c r="S205" s="254">
        <f t="shared" si="0"/>
        <v>1.6552114081557117</v>
      </c>
      <c r="T205" s="33" t="s">
        <v>250</v>
      </c>
      <c r="U205" s="236"/>
      <c r="V205" s="236"/>
      <c r="W205" s="236"/>
      <c r="X205" s="236"/>
      <c r="Y205" s="236"/>
      <c r="Z205" s="236"/>
      <c r="AA205" s="236"/>
      <c r="AB205" s="236"/>
      <c r="AC205" s="236"/>
      <c r="AD205" s="236"/>
    </row>
    <row r="206" spans="1:30" ht="15.75" customHeight="1">
      <c r="A206" s="25">
        <v>2</v>
      </c>
      <c r="B206" s="25">
        <v>7</v>
      </c>
      <c r="C206" s="25">
        <v>4</v>
      </c>
      <c r="D206" s="25" t="s">
        <v>218</v>
      </c>
      <c r="E206" s="26" t="s">
        <v>219</v>
      </c>
      <c r="F206" s="25" t="s">
        <v>25</v>
      </c>
      <c r="G206" s="251">
        <v>50676</v>
      </c>
      <c r="H206" s="31">
        <v>3</v>
      </c>
      <c r="I206" s="308">
        <f>9.08/PI()</f>
        <v>2.8902537665488195</v>
      </c>
      <c r="J206" s="36"/>
      <c r="K206" s="36"/>
      <c r="L206" s="36"/>
      <c r="M206" s="36"/>
      <c r="N206" s="36"/>
      <c r="O206" s="36"/>
      <c r="P206" s="36"/>
      <c r="Q206" s="36"/>
      <c r="R206" s="36"/>
      <c r="S206" s="254">
        <f t="shared" si="0"/>
        <v>2.8902537665488195</v>
      </c>
      <c r="T206" s="33" t="s">
        <v>250</v>
      </c>
      <c r="U206" s="236"/>
      <c r="V206" s="236"/>
      <c r="W206" s="236"/>
      <c r="X206" s="236"/>
      <c r="Y206" s="236"/>
      <c r="Z206" s="236"/>
      <c r="AA206" s="236"/>
      <c r="AB206" s="236"/>
      <c r="AC206" s="236"/>
      <c r="AD206" s="236"/>
    </row>
    <row r="207" spans="1:30" ht="15.75" customHeight="1">
      <c r="A207" s="25">
        <v>2</v>
      </c>
      <c r="B207" s="25">
        <v>7</v>
      </c>
      <c r="C207" s="25">
        <v>5</v>
      </c>
      <c r="D207" s="25" t="s">
        <v>160</v>
      </c>
      <c r="E207" s="26" t="s">
        <v>161</v>
      </c>
      <c r="F207" s="25" t="s">
        <v>25</v>
      </c>
      <c r="G207" s="251">
        <v>50863</v>
      </c>
      <c r="H207" s="31">
        <v>168</v>
      </c>
      <c r="I207" s="36">
        <f>3.15/10</f>
        <v>0.315</v>
      </c>
      <c r="J207" s="36">
        <f>3.83/10</f>
        <v>0.38300000000000001</v>
      </c>
      <c r="K207" s="36">
        <f>10.44/10</f>
        <v>1.044</v>
      </c>
      <c r="L207" s="36">
        <f>9.01/10</f>
        <v>0.90100000000000002</v>
      </c>
      <c r="M207" s="36">
        <f>6.04/10</f>
        <v>0.60399999999999998</v>
      </c>
      <c r="N207" s="36"/>
      <c r="O207" s="36"/>
      <c r="P207" s="36"/>
      <c r="Q207" s="36"/>
      <c r="R207" s="36"/>
      <c r="S207" s="254">
        <f t="shared" si="0"/>
        <v>0.64939999999999998</v>
      </c>
      <c r="T207" s="33" t="s">
        <v>252</v>
      </c>
      <c r="U207" s="236"/>
      <c r="V207" s="236"/>
      <c r="W207" s="236"/>
      <c r="X207" s="236"/>
      <c r="Y207" s="236"/>
      <c r="Z207" s="236"/>
      <c r="AA207" s="236"/>
      <c r="AB207" s="236"/>
      <c r="AC207" s="236"/>
      <c r="AD207" s="236"/>
    </row>
    <row r="208" spans="1:30" ht="15.75" customHeight="1">
      <c r="A208" s="25">
        <v>2</v>
      </c>
      <c r="B208" s="25">
        <v>7</v>
      </c>
      <c r="C208" s="25">
        <v>5</v>
      </c>
      <c r="D208" s="25" t="s">
        <v>189</v>
      </c>
      <c r="E208" s="26" t="s">
        <v>190</v>
      </c>
      <c r="F208" s="25" t="s">
        <v>25</v>
      </c>
      <c r="G208" s="251">
        <v>50864</v>
      </c>
      <c r="H208" s="31">
        <v>279</v>
      </c>
      <c r="I208" s="36">
        <f>6.5/10</f>
        <v>0.65</v>
      </c>
      <c r="J208" s="36">
        <f>9.78/10</f>
        <v>0.97799999999999998</v>
      </c>
      <c r="K208" s="36">
        <f>6.06/10</f>
        <v>0.60599999999999998</v>
      </c>
      <c r="L208" s="36">
        <f>8.08/10</f>
        <v>0.80800000000000005</v>
      </c>
      <c r="M208" s="36">
        <f>7.73/10</f>
        <v>0.77300000000000002</v>
      </c>
      <c r="N208" s="36">
        <f>9.94/10</f>
        <v>0.99399999999999999</v>
      </c>
      <c r="O208" s="36">
        <f>10.51/10</f>
        <v>1.0509999999999999</v>
      </c>
      <c r="P208" s="36">
        <f>10.88/10</f>
        <v>1.0880000000000001</v>
      </c>
      <c r="Q208" s="36"/>
      <c r="R208" s="36"/>
      <c r="S208" s="254">
        <f t="shared" si="0"/>
        <v>0.86850000000000005</v>
      </c>
      <c r="T208" s="33" t="s">
        <v>252</v>
      </c>
      <c r="U208" s="236"/>
      <c r="V208" s="236"/>
      <c r="W208" s="236"/>
      <c r="X208" s="236"/>
      <c r="Y208" s="236"/>
      <c r="Z208" s="236"/>
      <c r="AA208" s="236"/>
      <c r="AB208" s="236"/>
      <c r="AC208" s="236"/>
      <c r="AD208" s="236"/>
    </row>
    <row r="209" spans="1:30" ht="15.75" customHeight="1">
      <c r="A209" s="25">
        <v>2</v>
      </c>
      <c r="B209" s="25">
        <v>7</v>
      </c>
      <c r="C209" s="25">
        <v>6</v>
      </c>
      <c r="D209" s="25" t="s">
        <v>100</v>
      </c>
      <c r="E209" s="26" t="s">
        <v>101</v>
      </c>
      <c r="F209" s="25" t="s">
        <v>31</v>
      </c>
      <c r="G209" s="251">
        <v>50692</v>
      </c>
      <c r="H209" s="31">
        <v>462</v>
      </c>
      <c r="I209" s="36">
        <f>3.42/10</f>
        <v>0.34199999999999997</v>
      </c>
      <c r="J209" s="36">
        <f>3.78/10</f>
        <v>0.378</v>
      </c>
      <c r="K209" s="36">
        <f>2.51/10</f>
        <v>0.251</v>
      </c>
      <c r="L209" s="36">
        <f>2.59/10</f>
        <v>0.25900000000000001</v>
      </c>
      <c r="M209" s="36">
        <f>2.41/10</f>
        <v>0.24100000000000002</v>
      </c>
      <c r="N209" s="36">
        <f>1.89/10</f>
        <v>0.189</v>
      </c>
      <c r="O209" s="36">
        <f>2.67/10</f>
        <v>0.26700000000000002</v>
      </c>
      <c r="P209" s="36">
        <f>2.81/10</f>
        <v>0.28100000000000003</v>
      </c>
      <c r="Q209" s="36">
        <f>1.23/10</f>
        <v>0.123</v>
      </c>
      <c r="R209" s="36">
        <f>1.7/10</f>
        <v>0.16999999999999998</v>
      </c>
      <c r="S209" s="254">
        <f t="shared" si="0"/>
        <v>0.25010000000000004</v>
      </c>
      <c r="T209" s="33" t="s">
        <v>252</v>
      </c>
      <c r="U209" s="236"/>
      <c r="V209" s="236"/>
      <c r="W209" s="236"/>
      <c r="X209" s="236"/>
      <c r="Y209" s="236"/>
      <c r="Z209" s="236"/>
      <c r="AA209" s="236"/>
      <c r="AB209" s="236"/>
      <c r="AC209" s="236"/>
      <c r="AD209" s="236"/>
    </row>
    <row r="210" spans="1:30" ht="15.75" customHeight="1">
      <c r="A210" s="25">
        <v>2</v>
      </c>
      <c r="B210" s="25">
        <v>7</v>
      </c>
      <c r="C210" s="25">
        <v>7</v>
      </c>
      <c r="D210" s="25" t="s">
        <v>58</v>
      </c>
      <c r="E210" s="26" t="s">
        <v>59</v>
      </c>
      <c r="F210" s="25" t="s">
        <v>25</v>
      </c>
      <c r="G210" s="251">
        <v>50868</v>
      </c>
      <c r="H210" s="31">
        <v>416</v>
      </c>
      <c r="I210" s="36">
        <f>11.89/10</f>
        <v>1.1890000000000001</v>
      </c>
      <c r="J210" s="36">
        <f>13.8/10</f>
        <v>1.3800000000000001</v>
      </c>
      <c r="K210" s="36">
        <f>14.41/10</f>
        <v>1.4410000000000001</v>
      </c>
      <c r="L210" s="36">
        <f>10.7/10</f>
        <v>1.0699999999999998</v>
      </c>
      <c r="M210" s="36">
        <f>14.75/10</f>
        <v>1.4750000000000001</v>
      </c>
      <c r="N210" s="36">
        <f>8.9/10</f>
        <v>0.89</v>
      </c>
      <c r="O210" s="36">
        <f>8.93/10</f>
        <v>0.89300000000000002</v>
      </c>
      <c r="P210" s="36">
        <f>12.31/10</f>
        <v>1.2310000000000001</v>
      </c>
      <c r="Q210" s="36">
        <f>11.92/10</f>
        <v>1.1919999999999999</v>
      </c>
      <c r="R210" s="36">
        <f>7.69/10</f>
        <v>0.76900000000000002</v>
      </c>
      <c r="S210" s="254">
        <f t="shared" si="0"/>
        <v>1.153</v>
      </c>
      <c r="T210" s="33" t="s">
        <v>252</v>
      </c>
      <c r="U210" s="236"/>
      <c r="V210" s="236"/>
      <c r="W210" s="236"/>
      <c r="X210" s="236"/>
      <c r="Y210" s="236"/>
      <c r="Z210" s="236"/>
      <c r="AA210" s="236"/>
      <c r="AB210" s="236"/>
      <c r="AC210" s="236"/>
      <c r="AD210" s="236"/>
    </row>
    <row r="211" spans="1:30" ht="15.75" customHeight="1">
      <c r="A211" s="153">
        <v>2</v>
      </c>
      <c r="B211" s="153">
        <v>7</v>
      </c>
      <c r="C211" s="153">
        <v>7</v>
      </c>
      <c r="D211" s="153" t="s">
        <v>97</v>
      </c>
      <c r="E211" s="155" t="s">
        <v>220</v>
      </c>
      <c r="F211" s="153" t="s">
        <v>25</v>
      </c>
      <c r="G211" s="307">
        <v>50869</v>
      </c>
      <c r="H211" s="157">
        <v>214</v>
      </c>
      <c r="I211" s="160">
        <f>9.74/10</f>
        <v>0.97399999999999998</v>
      </c>
      <c r="J211" s="160">
        <f>1.15/10</f>
        <v>0.11499999999999999</v>
      </c>
      <c r="K211" s="160">
        <f>1.78/10</f>
        <v>0.17799999999999999</v>
      </c>
      <c r="L211" s="160">
        <f>1.44/10</f>
        <v>0.14399999999999999</v>
      </c>
      <c r="M211" s="160"/>
      <c r="N211" s="160"/>
      <c r="O211" s="160"/>
      <c r="P211" s="160"/>
      <c r="Q211" s="160"/>
      <c r="R211" s="160"/>
      <c r="S211" s="254">
        <f t="shared" si="0"/>
        <v>0.35274999999999995</v>
      </c>
      <c r="T211" s="128" t="s">
        <v>221</v>
      </c>
      <c r="U211" s="288"/>
      <c r="V211" s="288"/>
      <c r="W211" s="288"/>
      <c r="X211" s="288"/>
      <c r="Y211" s="288"/>
      <c r="Z211" s="288"/>
      <c r="AA211" s="288"/>
      <c r="AB211" s="288"/>
      <c r="AC211" s="288"/>
      <c r="AD211" s="288"/>
    </row>
    <row r="212" spans="1:30" ht="15.75" customHeight="1">
      <c r="A212" s="25">
        <v>2</v>
      </c>
      <c r="B212" s="25">
        <v>7</v>
      </c>
      <c r="C212" s="25">
        <v>9</v>
      </c>
      <c r="D212" s="25" t="s">
        <v>222</v>
      </c>
      <c r="E212" s="26" t="s">
        <v>223</v>
      </c>
      <c r="F212" s="25" t="s">
        <v>25</v>
      </c>
      <c r="G212" s="251">
        <v>50870</v>
      </c>
      <c r="H212" s="31">
        <v>93</v>
      </c>
      <c r="I212" s="36">
        <f>8.48/10</f>
        <v>0.84800000000000009</v>
      </c>
      <c r="J212" s="36">
        <f>5.53/10</f>
        <v>0.55300000000000005</v>
      </c>
      <c r="K212" s="36">
        <f>3.22/10</f>
        <v>0.32200000000000001</v>
      </c>
      <c r="L212" s="36">
        <f>4.85/10</f>
        <v>0.48499999999999999</v>
      </c>
      <c r="M212" s="36"/>
      <c r="N212" s="36"/>
      <c r="O212" s="36"/>
      <c r="P212" s="36"/>
      <c r="Q212" s="36"/>
      <c r="R212" s="36"/>
      <c r="S212" s="254">
        <f t="shared" si="0"/>
        <v>0.55200000000000005</v>
      </c>
      <c r="T212" s="33" t="s">
        <v>252</v>
      </c>
      <c r="U212" s="236"/>
      <c r="V212" s="236"/>
      <c r="W212" s="236"/>
      <c r="X212" s="236"/>
      <c r="Y212" s="236"/>
      <c r="Z212" s="236"/>
      <c r="AA212" s="236"/>
      <c r="AB212" s="236"/>
      <c r="AC212" s="236"/>
      <c r="AD212" s="236"/>
    </row>
    <row r="213" spans="1:30" ht="15.75" customHeight="1">
      <c r="A213" s="25">
        <v>2</v>
      </c>
      <c r="B213" s="25">
        <v>7</v>
      </c>
      <c r="C213" s="25">
        <v>9</v>
      </c>
      <c r="D213" s="25" t="s">
        <v>138</v>
      </c>
      <c r="E213" s="26" t="s">
        <v>139</v>
      </c>
      <c r="F213" s="25" t="s">
        <v>25</v>
      </c>
      <c r="G213" s="251">
        <v>50871</v>
      </c>
      <c r="H213" s="31">
        <v>433</v>
      </c>
      <c r="I213" s="36">
        <f>4.4/10</f>
        <v>0.44000000000000006</v>
      </c>
      <c r="J213" s="33">
        <v>0.45800000000000002</v>
      </c>
      <c r="K213" s="33">
        <v>0.34699999999999998</v>
      </c>
      <c r="L213" s="33">
        <v>0.35099999999999998</v>
      </c>
      <c r="M213" s="33">
        <v>0.49</v>
      </c>
      <c r="N213" s="33">
        <v>0.38100000000000001</v>
      </c>
      <c r="O213" s="33">
        <v>0.41499999999999998</v>
      </c>
      <c r="P213" s="33">
        <v>0.221</v>
      </c>
      <c r="Q213" s="33">
        <v>0.254</v>
      </c>
      <c r="R213" s="33">
        <v>0.27800000000000002</v>
      </c>
      <c r="S213" s="254">
        <f t="shared" si="0"/>
        <v>0.36350000000000005</v>
      </c>
      <c r="T213" s="33" t="s">
        <v>252</v>
      </c>
      <c r="U213" s="236"/>
      <c r="V213" s="236"/>
      <c r="W213" s="236"/>
      <c r="X213" s="236"/>
      <c r="Y213" s="236"/>
      <c r="Z213" s="236"/>
      <c r="AA213" s="236"/>
      <c r="AB213" s="236"/>
      <c r="AC213" s="236"/>
      <c r="AD213" s="236"/>
    </row>
    <row r="214" spans="1:30" ht="15.75" customHeight="1">
      <c r="A214" s="153">
        <v>2</v>
      </c>
      <c r="B214" s="153">
        <v>7</v>
      </c>
      <c r="C214" s="153">
        <v>11</v>
      </c>
      <c r="D214" s="153" t="s">
        <v>224</v>
      </c>
      <c r="E214" s="155" t="s">
        <v>225</v>
      </c>
      <c r="F214" s="153" t="s">
        <v>25</v>
      </c>
      <c r="G214" s="307">
        <v>50872</v>
      </c>
      <c r="H214" s="157">
        <v>200</v>
      </c>
      <c r="I214" s="153">
        <f>4.56/10</f>
        <v>0.45599999999999996</v>
      </c>
      <c r="J214" s="160"/>
      <c r="K214" s="160"/>
      <c r="L214" s="160"/>
      <c r="M214" s="160"/>
      <c r="N214" s="160"/>
      <c r="O214" s="160"/>
      <c r="P214" s="160"/>
      <c r="Q214" s="160"/>
      <c r="R214" s="160"/>
      <c r="S214" s="254">
        <f t="shared" si="0"/>
        <v>0.45599999999999996</v>
      </c>
      <c r="T214" s="128" t="s">
        <v>221</v>
      </c>
      <c r="U214" s="288"/>
      <c r="V214" s="288"/>
      <c r="W214" s="288"/>
      <c r="X214" s="288"/>
      <c r="Y214" s="288"/>
      <c r="Z214" s="288"/>
      <c r="AA214" s="288"/>
      <c r="AB214" s="288"/>
      <c r="AC214" s="288"/>
      <c r="AD214" s="288"/>
    </row>
    <row r="215" spans="1:30" ht="15.75" customHeight="1">
      <c r="A215" s="53">
        <v>2</v>
      </c>
      <c r="B215" s="53">
        <v>7</v>
      </c>
      <c r="C215" s="53">
        <v>11</v>
      </c>
      <c r="D215" s="53" t="s">
        <v>212</v>
      </c>
      <c r="E215" s="54" t="s">
        <v>213</v>
      </c>
      <c r="F215" s="53" t="s">
        <v>25</v>
      </c>
      <c r="G215" s="262">
        <v>50873</v>
      </c>
      <c r="H215" s="57">
        <v>186</v>
      </c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254"/>
      <c r="T215" s="53" t="s">
        <v>55</v>
      </c>
      <c r="U215" s="236"/>
      <c r="V215" s="236"/>
      <c r="W215" s="236"/>
      <c r="X215" s="236"/>
      <c r="Y215" s="236"/>
      <c r="Z215" s="236"/>
      <c r="AA215" s="236"/>
      <c r="AB215" s="236"/>
      <c r="AC215" s="236"/>
      <c r="AD215" s="236"/>
    </row>
    <row r="216" spans="1:30" ht="15.75" customHeight="1">
      <c r="A216" s="25">
        <v>2</v>
      </c>
      <c r="B216" s="25">
        <v>7</v>
      </c>
      <c r="C216" s="25">
        <v>11</v>
      </c>
      <c r="D216" s="25" t="s">
        <v>74</v>
      </c>
      <c r="E216" s="26" t="s">
        <v>75</v>
      </c>
      <c r="F216" s="25" t="s">
        <v>25</v>
      </c>
      <c r="G216" s="251">
        <v>50885</v>
      </c>
      <c r="H216" s="31">
        <v>222</v>
      </c>
      <c r="I216" s="36">
        <f>2.75/10</f>
        <v>0.27500000000000002</v>
      </c>
      <c r="J216" s="36">
        <f>1.74/10</f>
        <v>0.17399999999999999</v>
      </c>
      <c r="K216" s="36">
        <f>2.66/10</f>
        <v>0.26600000000000001</v>
      </c>
      <c r="L216" s="36">
        <f>1.83/10</f>
        <v>0.183</v>
      </c>
      <c r="M216" s="36">
        <f>3.2/10</f>
        <v>0.32</v>
      </c>
      <c r="N216" s="36">
        <f>2.14/10</f>
        <v>0.21400000000000002</v>
      </c>
      <c r="O216" s="36">
        <f>1.9/10</f>
        <v>0.19</v>
      </c>
      <c r="P216" s="36">
        <f>1.69/10</f>
        <v>0.16899999999999998</v>
      </c>
      <c r="Q216" s="36">
        <f>1.87/10</f>
        <v>0.187</v>
      </c>
      <c r="R216" s="36">
        <f>1.13/10</f>
        <v>0.11299999999999999</v>
      </c>
      <c r="S216" s="254">
        <f t="shared" si="0"/>
        <v>0.20910000000000001</v>
      </c>
      <c r="T216" s="33" t="s">
        <v>252</v>
      </c>
      <c r="U216" s="236"/>
      <c r="V216" s="236"/>
      <c r="W216" s="236"/>
      <c r="X216" s="236"/>
      <c r="Y216" s="236"/>
      <c r="Z216" s="236"/>
      <c r="AA216" s="236"/>
      <c r="AB216" s="236"/>
      <c r="AC216" s="236"/>
      <c r="AD216" s="236"/>
    </row>
    <row r="217" spans="1:30" ht="15.75" customHeight="1">
      <c r="A217" s="25">
        <v>2</v>
      </c>
      <c r="B217" s="25">
        <v>7</v>
      </c>
      <c r="C217" s="25">
        <v>12</v>
      </c>
      <c r="D217" s="25" t="s">
        <v>226</v>
      </c>
      <c r="E217" s="26" t="s">
        <v>227</v>
      </c>
      <c r="F217" s="25" t="s">
        <v>34</v>
      </c>
      <c r="G217" s="251">
        <v>50662</v>
      </c>
      <c r="H217" s="31">
        <v>31</v>
      </c>
      <c r="I217" s="36">
        <f>5.13/10</f>
        <v>0.51300000000000001</v>
      </c>
      <c r="J217" s="36"/>
      <c r="K217" s="36"/>
      <c r="L217" s="36"/>
      <c r="M217" s="36"/>
      <c r="N217" s="36"/>
      <c r="O217" s="36"/>
      <c r="P217" s="36"/>
      <c r="Q217" s="36"/>
      <c r="R217" s="36"/>
      <c r="S217" s="254">
        <f t="shared" si="0"/>
        <v>0.51300000000000001</v>
      </c>
      <c r="T217" s="33" t="s">
        <v>252</v>
      </c>
      <c r="U217" s="236"/>
      <c r="V217" s="236"/>
      <c r="W217" s="236"/>
      <c r="X217" s="236"/>
      <c r="Y217" s="236"/>
      <c r="Z217" s="236"/>
      <c r="AA217" s="236"/>
      <c r="AB217" s="236"/>
      <c r="AC217" s="236"/>
      <c r="AD217" s="236"/>
    </row>
    <row r="218" spans="1:30" ht="15.75" customHeight="1">
      <c r="A218" s="25">
        <v>2</v>
      </c>
      <c r="B218" s="25">
        <v>7</v>
      </c>
      <c r="C218" s="25">
        <v>12</v>
      </c>
      <c r="D218" s="25" t="s">
        <v>212</v>
      </c>
      <c r="E218" s="26" t="s">
        <v>213</v>
      </c>
      <c r="F218" s="25" t="s">
        <v>48</v>
      </c>
      <c r="G218" s="251">
        <v>10995</v>
      </c>
      <c r="H218" s="31">
        <v>170</v>
      </c>
      <c r="I218" s="36">
        <f>7.18/10</f>
        <v>0.71799999999999997</v>
      </c>
      <c r="J218" s="36">
        <f>9.85/10</f>
        <v>0.98499999999999999</v>
      </c>
      <c r="K218" s="36">
        <f>5.55/10</f>
        <v>0.55499999999999994</v>
      </c>
      <c r="L218" s="36">
        <f>5.63/10</f>
        <v>0.56299999999999994</v>
      </c>
      <c r="M218" s="36">
        <f>6.37/10</f>
        <v>0.63700000000000001</v>
      </c>
      <c r="N218" s="36">
        <f>9.39/10</f>
        <v>0.93900000000000006</v>
      </c>
      <c r="O218" s="36"/>
      <c r="P218" s="36"/>
      <c r="Q218" s="36"/>
      <c r="R218" s="36"/>
      <c r="S218" s="254">
        <f t="shared" si="0"/>
        <v>0.73283333333333334</v>
      </c>
      <c r="T218" s="33" t="s">
        <v>252</v>
      </c>
      <c r="U218" s="236"/>
      <c r="V218" s="236"/>
      <c r="W218" s="236"/>
      <c r="X218" s="236"/>
      <c r="Y218" s="236"/>
      <c r="Z218" s="236"/>
      <c r="AA218" s="236"/>
      <c r="AB218" s="236"/>
      <c r="AC218" s="236"/>
      <c r="AD218" s="236"/>
    </row>
    <row r="219" spans="1:30" ht="15.75" customHeight="1">
      <c r="A219" s="25">
        <v>2</v>
      </c>
      <c r="B219" s="25">
        <v>7</v>
      </c>
      <c r="C219" s="25">
        <v>13</v>
      </c>
      <c r="D219" s="25" t="s">
        <v>66</v>
      </c>
      <c r="E219" s="26" t="s">
        <v>67</v>
      </c>
      <c r="F219" s="25" t="s">
        <v>31</v>
      </c>
      <c r="G219" s="251">
        <v>50323</v>
      </c>
      <c r="H219" s="31">
        <v>143</v>
      </c>
      <c r="I219" s="36">
        <f>7.42/10</f>
        <v>0.74199999999999999</v>
      </c>
      <c r="J219" s="36">
        <f>7.18/10</f>
        <v>0.71799999999999997</v>
      </c>
      <c r="K219" s="36">
        <f>11.76/10</f>
        <v>1.1759999999999999</v>
      </c>
      <c r="L219" s="36">
        <f>13.55/10</f>
        <v>1.355</v>
      </c>
      <c r="M219" s="36">
        <f>15.2/10</f>
        <v>1.52</v>
      </c>
      <c r="N219" s="36">
        <f>15.33/10</f>
        <v>1.5329999999999999</v>
      </c>
      <c r="O219" s="36"/>
      <c r="P219" s="36"/>
      <c r="Q219" s="36"/>
      <c r="R219" s="36"/>
      <c r="S219" s="254">
        <f t="shared" si="0"/>
        <v>1.1740000000000002</v>
      </c>
      <c r="T219" s="33" t="s">
        <v>252</v>
      </c>
      <c r="U219" s="236"/>
      <c r="V219" s="236"/>
      <c r="W219" s="236"/>
      <c r="X219" s="236"/>
      <c r="Y219" s="236"/>
      <c r="Z219" s="236"/>
      <c r="AA219" s="236"/>
      <c r="AB219" s="236"/>
      <c r="AC219" s="236"/>
      <c r="AD219" s="236"/>
    </row>
    <row r="220" spans="1:30" ht="15.75" customHeight="1">
      <c r="A220" s="25">
        <v>2</v>
      </c>
      <c r="B220" s="25">
        <v>7</v>
      </c>
      <c r="C220" s="25">
        <v>13</v>
      </c>
      <c r="D220" s="25" t="s">
        <v>66</v>
      </c>
      <c r="E220" s="26" t="s">
        <v>67</v>
      </c>
      <c r="F220" s="25" t="s">
        <v>31</v>
      </c>
      <c r="G220" s="251">
        <v>50726</v>
      </c>
      <c r="H220" s="31">
        <v>166</v>
      </c>
      <c r="I220" s="36">
        <f>17.03/10</f>
        <v>1.7030000000000001</v>
      </c>
      <c r="J220" s="36">
        <f>14.57/10</f>
        <v>1.4570000000000001</v>
      </c>
      <c r="K220" s="36">
        <f>16.76/10</f>
        <v>1.6760000000000002</v>
      </c>
      <c r="L220" s="36">
        <f>10.55/10</f>
        <v>1.0550000000000002</v>
      </c>
      <c r="M220" s="36">
        <f>12.3/10</f>
        <v>1.23</v>
      </c>
      <c r="N220" s="36">
        <f>5.22/10</f>
        <v>0.52200000000000002</v>
      </c>
      <c r="O220" s="36">
        <f>7.58/10</f>
        <v>0.75800000000000001</v>
      </c>
      <c r="P220" s="36">
        <f>19.48/10</f>
        <v>1.948</v>
      </c>
      <c r="Q220" s="36"/>
      <c r="R220" s="36"/>
      <c r="S220" s="254">
        <f t="shared" si="0"/>
        <v>1.293625</v>
      </c>
      <c r="T220" s="33" t="s">
        <v>252</v>
      </c>
      <c r="U220" s="236"/>
      <c r="V220" s="236"/>
      <c r="W220" s="236"/>
      <c r="X220" s="236"/>
      <c r="Y220" s="236"/>
      <c r="Z220" s="236"/>
      <c r="AA220" s="236"/>
      <c r="AB220" s="236"/>
      <c r="AC220" s="236"/>
      <c r="AD220" s="236"/>
    </row>
    <row r="221" spans="1:30" ht="15.75" customHeight="1">
      <c r="A221" s="25">
        <v>2</v>
      </c>
      <c r="B221" s="25">
        <v>7</v>
      </c>
      <c r="C221" s="25">
        <v>13</v>
      </c>
      <c r="D221" s="25" t="s">
        <v>66</v>
      </c>
      <c r="E221" s="26" t="s">
        <v>67</v>
      </c>
      <c r="F221" s="25" t="s">
        <v>34</v>
      </c>
      <c r="G221" s="251">
        <v>50087</v>
      </c>
      <c r="H221" s="31">
        <v>132</v>
      </c>
      <c r="I221" s="36">
        <f>12.62/10</f>
        <v>1.262</v>
      </c>
      <c r="J221" s="36">
        <f>16.61/10</f>
        <v>1.661</v>
      </c>
      <c r="K221" s="36">
        <f>5.61/10</f>
        <v>0.56100000000000005</v>
      </c>
      <c r="L221" s="36">
        <f>14.61/10</f>
        <v>1.4609999999999999</v>
      </c>
      <c r="M221" s="36">
        <f>13.35/10</f>
        <v>1.335</v>
      </c>
      <c r="N221" s="36">
        <f>19.92/10</f>
        <v>1.9920000000000002</v>
      </c>
      <c r="O221" s="36">
        <f>16.32/10</f>
        <v>1.6320000000000001</v>
      </c>
      <c r="P221" s="36">
        <f>17.87/10</f>
        <v>1.7870000000000001</v>
      </c>
      <c r="Q221" s="36"/>
      <c r="R221" s="36"/>
      <c r="S221" s="254">
        <f t="shared" si="0"/>
        <v>1.4613750000000001</v>
      </c>
      <c r="T221" s="33" t="s">
        <v>252</v>
      </c>
      <c r="U221" s="236"/>
      <c r="V221" s="236"/>
      <c r="W221" s="236"/>
      <c r="X221" s="236"/>
      <c r="Y221" s="236"/>
      <c r="Z221" s="236"/>
      <c r="AA221" s="236"/>
      <c r="AB221" s="236"/>
      <c r="AC221" s="236"/>
      <c r="AD221" s="236"/>
    </row>
    <row r="222" spans="1:30" ht="15.75" customHeight="1">
      <c r="A222" s="25">
        <v>2</v>
      </c>
      <c r="B222" s="25">
        <v>7</v>
      </c>
      <c r="C222" s="25">
        <v>13</v>
      </c>
      <c r="D222" s="25" t="s">
        <v>66</v>
      </c>
      <c r="E222" s="26" t="s">
        <v>67</v>
      </c>
      <c r="F222" s="25" t="s">
        <v>31</v>
      </c>
      <c r="G222" s="251">
        <v>50724</v>
      </c>
      <c r="H222" s="31">
        <v>224</v>
      </c>
      <c r="I222" s="36">
        <f>14.28/10</f>
        <v>1.4279999999999999</v>
      </c>
      <c r="J222" s="36">
        <f>7.12/10</f>
        <v>0.71199999999999997</v>
      </c>
      <c r="K222" s="36">
        <f>15.56/10</f>
        <v>1.556</v>
      </c>
      <c r="L222" s="36">
        <f>16.38/10</f>
        <v>1.6379999999999999</v>
      </c>
      <c r="M222" s="36">
        <f>16.54/10</f>
        <v>1.6539999999999999</v>
      </c>
      <c r="N222" s="36">
        <f>13.06/10</f>
        <v>1.306</v>
      </c>
      <c r="O222" s="36">
        <f>15.08/10</f>
        <v>1.508</v>
      </c>
      <c r="P222" s="36">
        <f>15.89/10</f>
        <v>1.589</v>
      </c>
      <c r="Q222" s="36">
        <f>10.29/10</f>
        <v>1.0289999999999999</v>
      </c>
      <c r="R222" s="36">
        <f>8.07/10</f>
        <v>0.80700000000000005</v>
      </c>
      <c r="S222" s="254">
        <f t="shared" si="0"/>
        <v>1.3227</v>
      </c>
      <c r="T222" s="33" t="s">
        <v>252</v>
      </c>
      <c r="U222" s="236"/>
      <c r="V222" s="236"/>
      <c r="W222" s="236"/>
      <c r="X222" s="236"/>
      <c r="Y222" s="236"/>
      <c r="Z222" s="236"/>
      <c r="AA222" s="236"/>
      <c r="AB222" s="236"/>
      <c r="AC222" s="236"/>
      <c r="AD222" s="236"/>
    </row>
    <row r="223" spans="1:30" ht="15.75" customHeight="1">
      <c r="A223" s="53">
        <v>2</v>
      </c>
      <c r="B223" s="53">
        <v>7</v>
      </c>
      <c r="C223" s="53">
        <v>14</v>
      </c>
      <c r="D223" s="53" t="s">
        <v>228</v>
      </c>
      <c r="E223" s="54" t="s">
        <v>229</v>
      </c>
      <c r="F223" s="53" t="s">
        <v>25</v>
      </c>
      <c r="G223" s="262">
        <v>50855</v>
      </c>
      <c r="H223" s="57">
        <v>26</v>
      </c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254"/>
      <c r="T223" s="53" t="s">
        <v>55</v>
      </c>
      <c r="U223" s="236"/>
      <c r="V223" s="236"/>
      <c r="W223" s="236"/>
      <c r="X223" s="236"/>
      <c r="Y223" s="236"/>
      <c r="Z223" s="236"/>
      <c r="AA223" s="236"/>
      <c r="AB223" s="236"/>
      <c r="AC223" s="236"/>
      <c r="AD223" s="236"/>
    </row>
    <row r="224" spans="1:30" ht="15.75" customHeight="1">
      <c r="A224" s="25">
        <v>2</v>
      </c>
      <c r="B224" s="25">
        <v>7</v>
      </c>
      <c r="C224" s="25">
        <v>16</v>
      </c>
      <c r="D224" s="25" t="s">
        <v>138</v>
      </c>
      <c r="E224" s="26" t="s">
        <v>139</v>
      </c>
      <c r="F224" s="25" t="s">
        <v>25</v>
      </c>
      <c r="G224" s="251">
        <v>50879</v>
      </c>
      <c r="H224" s="31">
        <v>477</v>
      </c>
      <c r="I224" s="36">
        <f>1.13/10</f>
        <v>0.11299999999999999</v>
      </c>
      <c r="J224" s="36">
        <f>2.21/10</f>
        <v>0.221</v>
      </c>
      <c r="K224" s="36">
        <f>1.38/10</f>
        <v>0.13799999999999998</v>
      </c>
      <c r="L224" s="36">
        <f>2.05/10</f>
        <v>0.20499999999999999</v>
      </c>
      <c r="M224" s="36">
        <f>1.67/10</f>
        <v>0.16699999999999998</v>
      </c>
      <c r="N224" s="36">
        <f>2.66/10</f>
        <v>0.26600000000000001</v>
      </c>
      <c r="O224" s="36">
        <f>2.36/10</f>
        <v>0.23599999999999999</v>
      </c>
      <c r="P224" s="36">
        <f>4.14/10</f>
        <v>0.41399999999999998</v>
      </c>
      <c r="Q224" s="36">
        <f>6.58/10</f>
        <v>0.65800000000000003</v>
      </c>
      <c r="R224" s="36">
        <f>2.1/10</f>
        <v>0.21000000000000002</v>
      </c>
      <c r="S224" s="254">
        <f t="shared" si="0"/>
        <v>0.26279999999999998</v>
      </c>
      <c r="T224" s="33" t="s">
        <v>252</v>
      </c>
      <c r="U224" s="236"/>
      <c r="V224" s="236"/>
      <c r="W224" s="236"/>
      <c r="X224" s="236"/>
      <c r="Y224" s="236"/>
      <c r="Z224" s="236"/>
      <c r="AA224" s="236"/>
      <c r="AB224" s="236"/>
      <c r="AC224" s="236"/>
      <c r="AD224" s="236"/>
    </row>
    <row r="225" spans="1:30" ht="15.75" customHeight="1">
      <c r="A225" s="25">
        <v>2</v>
      </c>
      <c r="B225" s="25">
        <v>7</v>
      </c>
      <c r="C225" s="25">
        <v>16</v>
      </c>
      <c r="D225" s="25" t="s">
        <v>122</v>
      </c>
      <c r="E225" s="26" t="s">
        <v>123</v>
      </c>
      <c r="F225" s="25" t="s">
        <v>25</v>
      </c>
      <c r="G225" s="251">
        <v>50888</v>
      </c>
      <c r="H225" s="31">
        <v>135</v>
      </c>
      <c r="I225" s="36">
        <f>2.67/10</f>
        <v>0.26700000000000002</v>
      </c>
      <c r="J225" s="36">
        <f>3.19/10</f>
        <v>0.31900000000000001</v>
      </c>
      <c r="K225" s="36">
        <f>2.99/10</f>
        <v>0.29900000000000004</v>
      </c>
      <c r="L225" s="36">
        <f>3.31/10</f>
        <v>0.33100000000000002</v>
      </c>
      <c r="M225" s="36">
        <f>3.92/10</f>
        <v>0.39200000000000002</v>
      </c>
      <c r="N225" s="36">
        <f>2.38/10</f>
        <v>0.23799999999999999</v>
      </c>
      <c r="O225" s="36"/>
      <c r="P225" s="36"/>
      <c r="Q225" s="36"/>
      <c r="R225" s="36"/>
      <c r="S225" s="254">
        <f t="shared" si="0"/>
        <v>0.3076666666666667</v>
      </c>
      <c r="T225" s="33" t="s">
        <v>252</v>
      </c>
      <c r="U225" s="236"/>
      <c r="V225" s="236"/>
      <c r="W225" s="236"/>
      <c r="X225" s="236"/>
      <c r="Y225" s="236"/>
      <c r="Z225" s="236"/>
      <c r="AA225" s="236"/>
      <c r="AB225" s="236"/>
      <c r="AC225" s="236"/>
      <c r="AD225" s="236"/>
    </row>
    <row r="226" spans="1:30" ht="15.75" customHeight="1">
      <c r="A226" s="25">
        <v>2</v>
      </c>
      <c r="B226" s="25">
        <v>7</v>
      </c>
      <c r="C226" s="25">
        <v>17</v>
      </c>
      <c r="D226" s="25" t="s">
        <v>66</v>
      </c>
      <c r="E226" s="26" t="s">
        <v>67</v>
      </c>
      <c r="F226" s="25" t="s">
        <v>34</v>
      </c>
      <c r="G226" s="251">
        <v>50459</v>
      </c>
      <c r="H226" s="31">
        <v>126</v>
      </c>
      <c r="I226" s="36">
        <f>20.53/10</f>
        <v>2.0529999999999999</v>
      </c>
      <c r="J226" s="36">
        <f>15.91/10</f>
        <v>1.591</v>
      </c>
      <c r="K226" s="36">
        <f>16.21/10</f>
        <v>1.621</v>
      </c>
      <c r="L226" s="36">
        <f>12.87/10</f>
        <v>1.2869999999999999</v>
      </c>
      <c r="M226" s="36">
        <f>16.27/10</f>
        <v>1.627</v>
      </c>
      <c r="N226" s="36">
        <f>19.01/10</f>
        <v>1.9010000000000002</v>
      </c>
      <c r="O226" s="36"/>
      <c r="P226" s="36"/>
      <c r="Q226" s="36"/>
      <c r="R226" s="36"/>
      <c r="S226" s="254">
        <f t="shared" si="0"/>
        <v>1.68</v>
      </c>
      <c r="T226" s="33" t="s">
        <v>252</v>
      </c>
      <c r="U226" s="236"/>
      <c r="V226" s="236"/>
      <c r="W226" s="236"/>
      <c r="X226" s="236"/>
      <c r="Y226" s="236"/>
      <c r="Z226" s="236"/>
      <c r="AA226" s="236"/>
      <c r="AB226" s="236"/>
      <c r="AC226" s="236"/>
      <c r="AD226" s="236"/>
    </row>
    <row r="227" spans="1:30" ht="15.75" customHeight="1">
      <c r="A227" s="25">
        <v>2</v>
      </c>
      <c r="B227" s="25">
        <v>7</v>
      </c>
      <c r="C227" s="25">
        <v>17</v>
      </c>
      <c r="D227" s="25" t="s">
        <v>66</v>
      </c>
      <c r="E227" s="26" t="s">
        <v>67</v>
      </c>
      <c r="F227" s="25" t="s">
        <v>34</v>
      </c>
      <c r="G227" s="251">
        <v>50602</v>
      </c>
      <c r="H227" s="31">
        <v>42</v>
      </c>
      <c r="I227" s="36">
        <f>20.5/10</f>
        <v>2.0499999999999998</v>
      </c>
      <c r="J227" s="36">
        <f>6.88/10</f>
        <v>0.68799999999999994</v>
      </c>
      <c r="K227" s="36"/>
      <c r="L227" s="36"/>
      <c r="M227" s="36"/>
      <c r="N227" s="36"/>
      <c r="O227" s="36"/>
      <c r="P227" s="36"/>
      <c r="Q227" s="36"/>
      <c r="R227" s="36"/>
      <c r="S227" s="254">
        <f t="shared" si="0"/>
        <v>1.3689999999999998</v>
      </c>
      <c r="T227" s="33" t="s">
        <v>252</v>
      </c>
      <c r="U227" s="236"/>
      <c r="V227" s="236"/>
      <c r="W227" s="236"/>
      <c r="X227" s="236"/>
      <c r="Y227" s="236"/>
      <c r="Z227" s="236"/>
      <c r="AA227" s="236"/>
      <c r="AB227" s="236"/>
      <c r="AC227" s="236"/>
      <c r="AD227" s="236"/>
    </row>
    <row r="228" spans="1:30" ht="15.75" customHeight="1">
      <c r="A228" s="25">
        <v>2</v>
      </c>
      <c r="B228" s="25">
        <v>7</v>
      </c>
      <c r="C228" s="25">
        <v>18</v>
      </c>
      <c r="D228" s="25" t="s">
        <v>230</v>
      </c>
      <c r="E228" s="26" t="s">
        <v>231</v>
      </c>
      <c r="F228" s="25" t="s">
        <v>48</v>
      </c>
      <c r="G228" s="251">
        <v>50206</v>
      </c>
      <c r="H228" s="31">
        <v>73</v>
      </c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254"/>
      <c r="T228" s="33" t="s">
        <v>255</v>
      </c>
      <c r="U228" s="236"/>
      <c r="V228" s="236"/>
      <c r="W228" s="236"/>
      <c r="X228" s="236"/>
      <c r="Y228" s="236"/>
      <c r="Z228" s="236"/>
      <c r="AA228" s="236"/>
      <c r="AB228" s="236"/>
      <c r="AC228" s="236"/>
      <c r="AD228" s="236"/>
    </row>
    <row r="229" spans="1:30" ht="15.75" customHeight="1">
      <c r="A229" s="25">
        <v>2</v>
      </c>
      <c r="B229" s="25">
        <v>7</v>
      </c>
      <c r="C229" s="25">
        <v>18</v>
      </c>
      <c r="D229" s="25" t="s">
        <v>232</v>
      </c>
      <c r="E229" s="96"/>
      <c r="F229" s="25" t="s">
        <v>68</v>
      </c>
      <c r="G229" s="251">
        <v>50779</v>
      </c>
      <c r="H229" s="31">
        <v>91</v>
      </c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254"/>
      <c r="T229" s="33" t="s">
        <v>255</v>
      </c>
      <c r="U229" s="236"/>
      <c r="V229" s="236"/>
      <c r="W229" s="236"/>
      <c r="X229" s="236"/>
      <c r="Y229" s="236"/>
      <c r="Z229" s="236"/>
      <c r="AA229" s="236"/>
      <c r="AB229" s="236"/>
      <c r="AC229" s="236"/>
      <c r="AD229" s="236"/>
    </row>
    <row r="230" spans="1:30" ht="15.75" customHeight="1">
      <c r="A230" s="25">
        <v>2</v>
      </c>
      <c r="B230" s="25">
        <v>8</v>
      </c>
      <c r="C230" s="25">
        <v>2</v>
      </c>
      <c r="D230" s="25" t="s">
        <v>233</v>
      </c>
      <c r="E230" s="26" t="s">
        <v>234</v>
      </c>
      <c r="F230" s="25" t="s">
        <v>48</v>
      </c>
      <c r="G230" s="251">
        <v>50778</v>
      </c>
      <c r="H230" s="31">
        <v>118</v>
      </c>
      <c r="I230" s="36">
        <f>8.52/10</f>
        <v>0.85199999999999998</v>
      </c>
      <c r="J230" s="36">
        <f>11.57/10</f>
        <v>1.157</v>
      </c>
      <c r="K230" s="36"/>
      <c r="L230" s="36"/>
      <c r="M230" s="36"/>
      <c r="N230" s="36"/>
      <c r="O230" s="36"/>
      <c r="P230" s="36"/>
      <c r="Q230" s="36"/>
      <c r="R230" s="36"/>
      <c r="S230" s="254">
        <f t="shared" si="0"/>
        <v>1.0044999999999999</v>
      </c>
      <c r="T230" s="33" t="s">
        <v>252</v>
      </c>
      <c r="U230" s="236"/>
      <c r="V230" s="236"/>
      <c r="W230" s="236"/>
      <c r="X230" s="236"/>
      <c r="Y230" s="236"/>
      <c r="Z230" s="236"/>
      <c r="AA230" s="236"/>
      <c r="AB230" s="236"/>
      <c r="AC230" s="236"/>
      <c r="AD230" s="236"/>
    </row>
    <row r="231" spans="1:30" ht="15.75" customHeight="1">
      <c r="A231" s="25">
        <v>2</v>
      </c>
      <c r="B231" s="25">
        <v>8</v>
      </c>
      <c r="C231" s="25">
        <v>2</v>
      </c>
      <c r="D231" s="25" t="s">
        <v>233</v>
      </c>
      <c r="E231" s="26" t="s">
        <v>234</v>
      </c>
      <c r="F231" s="25" t="s">
        <v>34</v>
      </c>
      <c r="G231" s="251">
        <v>50587</v>
      </c>
      <c r="H231" s="31">
        <v>47</v>
      </c>
      <c r="I231" s="36">
        <f>16.32/10</f>
        <v>1.6320000000000001</v>
      </c>
      <c r="J231" s="36">
        <f>5.93/10</f>
        <v>0.59299999999999997</v>
      </c>
      <c r="K231" s="36"/>
      <c r="L231" s="36"/>
      <c r="M231" s="36"/>
      <c r="N231" s="36"/>
      <c r="O231" s="36"/>
      <c r="P231" s="36"/>
      <c r="Q231" s="36"/>
      <c r="R231" s="36"/>
      <c r="S231" s="254">
        <f t="shared" si="0"/>
        <v>1.1125</v>
      </c>
      <c r="T231" s="33" t="s">
        <v>252</v>
      </c>
      <c r="U231" s="236"/>
      <c r="V231" s="236"/>
      <c r="W231" s="236"/>
      <c r="X231" s="236"/>
      <c r="Y231" s="236"/>
      <c r="Z231" s="236"/>
      <c r="AA231" s="236"/>
      <c r="AB231" s="236"/>
      <c r="AC231" s="236"/>
      <c r="AD231" s="236"/>
    </row>
    <row r="232" spans="1:30" ht="15.75" customHeight="1">
      <c r="A232" s="25">
        <v>2</v>
      </c>
      <c r="B232" s="25">
        <v>8</v>
      </c>
      <c r="C232" s="25">
        <v>3</v>
      </c>
      <c r="D232" s="25" t="s">
        <v>134</v>
      </c>
      <c r="E232" s="26" t="s">
        <v>135</v>
      </c>
      <c r="F232" s="25" t="s">
        <v>25</v>
      </c>
      <c r="G232" s="251">
        <v>50268</v>
      </c>
      <c r="H232" s="31">
        <v>210</v>
      </c>
      <c r="I232" s="32">
        <v>0.43099999999999999</v>
      </c>
      <c r="J232" s="32">
        <v>0.55600000000000005</v>
      </c>
      <c r="K232" s="32">
        <v>1.05</v>
      </c>
      <c r="L232" s="32">
        <v>0.51500000000000001</v>
      </c>
      <c r="M232" s="32">
        <v>1.1399999999999999</v>
      </c>
      <c r="N232" s="32">
        <v>1.024</v>
      </c>
      <c r="O232" s="32">
        <v>0.871</v>
      </c>
      <c r="P232" s="32">
        <v>0.57499999999999996</v>
      </c>
      <c r="Q232" s="36"/>
      <c r="R232" s="36"/>
      <c r="S232" s="254">
        <f t="shared" si="0"/>
        <v>0.77024999999999999</v>
      </c>
      <c r="T232" s="36"/>
      <c r="U232" s="236"/>
      <c r="V232" s="236"/>
      <c r="W232" s="236"/>
      <c r="X232" s="236"/>
      <c r="Y232" s="236"/>
      <c r="Z232" s="236"/>
      <c r="AA232" s="236"/>
      <c r="AB232" s="236"/>
      <c r="AC232" s="236"/>
      <c r="AD232" s="236"/>
    </row>
    <row r="233" spans="1:30" ht="15.75" customHeight="1">
      <c r="A233" s="25">
        <v>2</v>
      </c>
      <c r="B233" s="25">
        <v>8</v>
      </c>
      <c r="C233" s="25">
        <v>4</v>
      </c>
      <c r="D233" s="25" t="s">
        <v>132</v>
      </c>
      <c r="E233" s="26" t="s">
        <v>133</v>
      </c>
      <c r="F233" s="25" t="s">
        <v>68</v>
      </c>
      <c r="G233" s="251">
        <v>50454</v>
      </c>
      <c r="H233" s="31">
        <v>273</v>
      </c>
      <c r="I233" s="32">
        <v>0.37</v>
      </c>
      <c r="J233" s="32">
        <v>0.54</v>
      </c>
      <c r="K233" s="32">
        <v>0.379</v>
      </c>
      <c r="L233" s="32">
        <v>0.55100000000000005</v>
      </c>
      <c r="M233" s="32">
        <v>0.42499999999999999</v>
      </c>
      <c r="N233" s="32">
        <v>0.54100000000000004</v>
      </c>
      <c r="O233" s="36"/>
      <c r="P233" s="36"/>
      <c r="Q233" s="36"/>
      <c r="R233" s="36"/>
      <c r="S233" s="254">
        <f t="shared" si="0"/>
        <v>0.46766666666666667</v>
      </c>
      <c r="T233" s="36"/>
      <c r="U233" s="236"/>
      <c r="V233" s="236"/>
      <c r="W233" s="236"/>
      <c r="X233" s="236"/>
      <c r="Y233" s="236"/>
      <c r="Z233" s="236"/>
      <c r="AA233" s="236"/>
      <c r="AB233" s="236"/>
      <c r="AC233" s="236"/>
      <c r="AD233" s="236"/>
    </row>
    <row r="234" spans="1:30" ht="15.75" customHeight="1">
      <c r="A234" s="25">
        <v>2</v>
      </c>
      <c r="B234" s="25">
        <v>8</v>
      </c>
      <c r="C234" s="25">
        <v>4</v>
      </c>
      <c r="D234" s="25" t="s">
        <v>132</v>
      </c>
      <c r="E234" s="26" t="s">
        <v>133</v>
      </c>
      <c r="F234" s="25" t="s">
        <v>34</v>
      </c>
      <c r="G234" s="251">
        <v>50570</v>
      </c>
      <c r="H234" s="31">
        <v>226</v>
      </c>
      <c r="I234" s="32">
        <v>0.38500000000000001</v>
      </c>
      <c r="J234" s="32">
        <v>0.35699999999999998</v>
      </c>
      <c r="K234" s="32">
        <v>0.39300000000000002</v>
      </c>
      <c r="L234" s="32">
        <v>0.34200000000000003</v>
      </c>
      <c r="M234" s="32">
        <v>0.375</v>
      </c>
      <c r="N234" s="32">
        <v>0.371</v>
      </c>
      <c r="O234" s="32">
        <v>0.35899999999999999</v>
      </c>
      <c r="P234" s="32">
        <v>0.39500000000000002</v>
      </c>
      <c r="Q234" s="36"/>
      <c r="R234" s="36"/>
      <c r="S234" s="254">
        <f t="shared" si="0"/>
        <v>0.37212499999999998</v>
      </c>
      <c r="T234" s="36"/>
      <c r="U234" s="236"/>
      <c r="V234" s="236"/>
      <c r="W234" s="236"/>
      <c r="X234" s="236"/>
      <c r="Y234" s="236"/>
      <c r="Z234" s="236"/>
      <c r="AA234" s="236"/>
      <c r="AB234" s="236"/>
      <c r="AC234" s="236"/>
      <c r="AD234" s="236"/>
    </row>
    <row r="235" spans="1:30" ht="15.75" customHeight="1">
      <c r="A235" s="25">
        <v>2</v>
      </c>
      <c r="B235" s="25">
        <v>8</v>
      </c>
      <c r="C235" s="25">
        <v>5</v>
      </c>
      <c r="D235" s="25" t="s">
        <v>142</v>
      </c>
      <c r="E235" s="26" t="s">
        <v>143</v>
      </c>
      <c r="F235" s="25" t="s">
        <v>31</v>
      </c>
      <c r="G235" s="251">
        <v>50824</v>
      </c>
      <c r="H235" s="31">
        <v>67</v>
      </c>
      <c r="I235" s="32">
        <v>0.73</v>
      </c>
      <c r="J235" s="36"/>
      <c r="K235" s="36"/>
      <c r="L235" s="36"/>
      <c r="M235" s="36"/>
      <c r="N235" s="36"/>
      <c r="O235" s="36"/>
      <c r="P235" s="36"/>
      <c r="Q235" s="36"/>
      <c r="R235" s="36"/>
      <c r="S235" s="254">
        <f t="shared" si="0"/>
        <v>0.73</v>
      </c>
      <c r="T235" s="36"/>
      <c r="U235" s="236"/>
      <c r="V235" s="236"/>
      <c r="W235" s="236"/>
      <c r="X235" s="236"/>
      <c r="Y235" s="236"/>
      <c r="Z235" s="236"/>
      <c r="AA235" s="236"/>
      <c r="AB235" s="236"/>
      <c r="AC235" s="236"/>
      <c r="AD235" s="236"/>
    </row>
    <row r="236" spans="1:30" ht="15.75" customHeight="1">
      <c r="A236" s="25">
        <v>2</v>
      </c>
      <c r="B236" s="25">
        <v>8</v>
      </c>
      <c r="C236" s="25">
        <v>5</v>
      </c>
      <c r="D236" s="25" t="s">
        <v>142</v>
      </c>
      <c r="E236" s="26" t="s">
        <v>143</v>
      </c>
      <c r="F236" s="25" t="s">
        <v>25</v>
      </c>
      <c r="G236" s="251">
        <v>50766</v>
      </c>
      <c r="H236" s="31">
        <v>26</v>
      </c>
      <c r="I236" s="32">
        <v>1.2909999999999999</v>
      </c>
      <c r="J236" s="36"/>
      <c r="K236" s="36"/>
      <c r="L236" s="36"/>
      <c r="M236" s="36"/>
      <c r="N236" s="36"/>
      <c r="O236" s="36"/>
      <c r="P236" s="36"/>
      <c r="Q236" s="36"/>
      <c r="R236" s="36"/>
      <c r="S236" s="254">
        <f t="shared" si="0"/>
        <v>1.2909999999999999</v>
      </c>
      <c r="T236" s="36"/>
      <c r="U236" s="236"/>
      <c r="V236" s="236"/>
      <c r="W236" s="236"/>
      <c r="X236" s="236"/>
      <c r="Y236" s="236"/>
      <c r="Z236" s="236"/>
      <c r="AA236" s="236"/>
      <c r="AB236" s="236"/>
      <c r="AC236" s="236"/>
      <c r="AD236" s="236"/>
    </row>
    <row r="237" spans="1:30" ht="15.75" customHeight="1">
      <c r="A237" s="25">
        <v>2</v>
      </c>
      <c r="B237" s="25">
        <v>8</v>
      </c>
      <c r="C237" s="25">
        <v>6</v>
      </c>
      <c r="D237" s="25" t="s">
        <v>37</v>
      </c>
      <c r="E237" s="26" t="s">
        <v>38</v>
      </c>
      <c r="F237" s="25" t="s">
        <v>31</v>
      </c>
      <c r="G237" s="251">
        <v>50826</v>
      </c>
      <c r="H237" s="31">
        <v>185</v>
      </c>
      <c r="I237" s="32">
        <v>0.66200000000000003</v>
      </c>
      <c r="J237" s="32">
        <v>0.57199999999999995</v>
      </c>
      <c r="K237" s="32">
        <v>0.47099999999999997</v>
      </c>
      <c r="L237" s="32">
        <v>0.80400000000000005</v>
      </c>
      <c r="M237" s="32">
        <v>0.79300000000000004</v>
      </c>
      <c r="N237" s="32">
        <v>0.6</v>
      </c>
      <c r="O237" s="36"/>
      <c r="P237" s="36"/>
      <c r="Q237" s="36"/>
      <c r="R237" s="36"/>
      <c r="S237" s="254">
        <f t="shared" si="0"/>
        <v>0.65033333333333343</v>
      </c>
      <c r="T237" s="36"/>
      <c r="U237" s="236"/>
      <c r="V237" s="236"/>
      <c r="W237" s="236"/>
      <c r="X237" s="236"/>
      <c r="Y237" s="236"/>
      <c r="Z237" s="236"/>
      <c r="AA237" s="236"/>
      <c r="AB237" s="236"/>
      <c r="AC237" s="236"/>
      <c r="AD237" s="236"/>
    </row>
    <row r="238" spans="1:30" ht="15.75" customHeight="1">
      <c r="A238" s="25">
        <v>2</v>
      </c>
      <c r="B238" s="25">
        <v>8</v>
      </c>
      <c r="C238" s="25">
        <v>6</v>
      </c>
      <c r="D238" s="25" t="s">
        <v>58</v>
      </c>
      <c r="E238" s="26" t="s">
        <v>59</v>
      </c>
      <c r="F238" s="25" t="s">
        <v>31</v>
      </c>
      <c r="G238" s="251">
        <v>50839</v>
      </c>
      <c r="H238" s="31">
        <v>215</v>
      </c>
      <c r="I238" s="32">
        <v>1.6339999999999999</v>
      </c>
      <c r="J238" s="32">
        <v>1.1919999999999999</v>
      </c>
      <c r="K238" s="32">
        <v>1.2</v>
      </c>
      <c r="L238" s="32">
        <v>1.4159999999999999</v>
      </c>
      <c r="M238" s="32">
        <v>0.90200000000000002</v>
      </c>
      <c r="N238" s="32">
        <v>0.36199999999999999</v>
      </c>
      <c r="O238" s="36"/>
      <c r="P238" s="36"/>
      <c r="Q238" s="36"/>
      <c r="R238" s="36"/>
      <c r="S238" s="254">
        <f t="shared" si="0"/>
        <v>1.1176666666666668</v>
      </c>
      <c r="T238" s="36"/>
      <c r="U238" s="236"/>
      <c r="V238" s="236"/>
      <c r="W238" s="236"/>
      <c r="X238" s="236"/>
      <c r="Y238" s="236"/>
      <c r="Z238" s="236"/>
      <c r="AA238" s="236"/>
      <c r="AB238" s="236"/>
      <c r="AC238" s="236"/>
      <c r="AD238" s="236"/>
    </row>
    <row r="239" spans="1:30" ht="15.75" customHeight="1">
      <c r="A239" s="25">
        <v>2</v>
      </c>
      <c r="B239" s="25">
        <v>8</v>
      </c>
      <c r="C239" s="25">
        <v>6</v>
      </c>
      <c r="D239" s="25" t="s">
        <v>173</v>
      </c>
      <c r="E239" s="26" t="s">
        <v>174</v>
      </c>
      <c r="F239" s="25" t="s">
        <v>31</v>
      </c>
      <c r="G239" s="251">
        <v>50825</v>
      </c>
      <c r="H239" s="31">
        <v>132</v>
      </c>
      <c r="I239" s="32">
        <v>2.069</v>
      </c>
      <c r="J239" s="32">
        <v>2.387</v>
      </c>
      <c r="K239" s="32">
        <v>2.0049999999999999</v>
      </c>
      <c r="L239" s="32">
        <v>1.7509999999999999</v>
      </c>
      <c r="M239" s="32">
        <v>1.5920000000000001</v>
      </c>
      <c r="N239" s="32">
        <v>1.7509999999999999</v>
      </c>
      <c r="O239" s="36"/>
      <c r="P239" s="36"/>
      <c r="Q239" s="36"/>
      <c r="R239" s="36"/>
      <c r="S239" s="254">
        <f t="shared" si="0"/>
        <v>1.9258333333333333</v>
      </c>
      <c r="T239" s="36"/>
      <c r="U239" s="236"/>
      <c r="V239" s="236"/>
      <c r="W239" s="236"/>
      <c r="X239" s="236"/>
      <c r="Y239" s="236"/>
      <c r="Z239" s="236"/>
      <c r="AA239" s="236"/>
      <c r="AB239" s="236"/>
      <c r="AC239" s="236"/>
      <c r="AD239" s="236"/>
    </row>
    <row r="240" spans="1:30" ht="15.75" customHeight="1">
      <c r="A240" s="25">
        <v>2</v>
      </c>
      <c r="B240" s="25">
        <v>8</v>
      </c>
      <c r="C240" s="25">
        <v>7</v>
      </c>
      <c r="D240" s="25" t="s">
        <v>171</v>
      </c>
      <c r="E240" s="26" t="s">
        <v>172</v>
      </c>
      <c r="F240" s="25" t="s">
        <v>25</v>
      </c>
      <c r="G240" s="251">
        <v>50878</v>
      </c>
      <c r="H240" s="31">
        <v>396</v>
      </c>
      <c r="I240" s="32">
        <v>0.32900000000000001</v>
      </c>
      <c r="J240" s="32">
        <v>0.45</v>
      </c>
      <c r="K240" s="32">
        <v>0.78400000000000003</v>
      </c>
      <c r="L240" s="32">
        <v>0.70899999999999996</v>
      </c>
      <c r="M240" s="32">
        <v>0.54400000000000004</v>
      </c>
      <c r="N240" s="32">
        <v>0.65400000000000003</v>
      </c>
      <c r="O240" s="36"/>
      <c r="P240" s="36"/>
      <c r="Q240" s="36"/>
      <c r="R240" s="36"/>
      <c r="S240" s="254">
        <f t="shared" si="0"/>
        <v>0.57833333333333337</v>
      </c>
      <c r="T240" s="36"/>
      <c r="U240" s="236"/>
      <c r="V240" s="236"/>
      <c r="W240" s="236"/>
      <c r="X240" s="236"/>
      <c r="Y240" s="236"/>
      <c r="Z240" s="236"/>
      <c r="AA240" s="236"/>
      <c r="AB240" s="236"/>
      <c r="AC240" s="236"/>
      <c r="AD240" s="236"/>
    </row>
    <row r="241" spans="1:30" ht="15.75" customHeight="1">
      <c r="A241" s="38">
        <v>2</v>
      </c>
      <c r="B241" s="38">
        <v>8</v>
      </c>
      <c r="C241" s="38">
        <v>8</v>
      </c>
      <c r="D241" s="38" t="s">
        <v>235</v>
      </c>
      <c r="E241" s="40" t="s">
        <v>236</v>
      </c>
      <c r="F241" s="38" t="s">
        <v>34</v>
      </c>
      <c r="G241" s="258">
        <v>50569</v>
      </c>
      <c r="H241" s="46">
        <v>7</v>
      </c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254"/>
      <c r="T241" s="38" t="s">
        <v>43</v>
      </c>
      <c r="U241" s="236"/>
      <c r="V241" s="236"/>
      <c r="W241" s="236"/>
      <c r="X241" s="236"/>
      <c r="Y241" s="236"/>
      <c r="Z241" s="236"/>
      <c r="AA241" s="236"/>
      <c r="AB241" s="236"/>
      <c r="AC241" s="236"/>
      <c r="AD241" s="236"/>
    </row>
    <row r="242" spans="1:30" ht="15.75" customHeight="1">
      <c r="A242" s="25">
        <v>2</v>
      </c>
      <c r="B242" s="25">
        <v>8</v>
      </c>
      <c r="C242" s="25">
        <v>8</v>
      </c>
      <c r="D242" s="25" t="s">
        <v>85</v>
      </c>
      <c r="E242" s="26" t="s">
        <v>86</v>
      </c>
      <c r="F242" s="25" t="s">
        <v>31</v>
      </c>
      <c r="G242" s="251">
        <v>50796</v>
      </c>
      <c r="H242" s="31">
        <v>256</v>
      </c>
      <c r="I242" s="32">
        <v>0.54700000000000004</v>
      </c>
      <c r="J242" s="32">
        <v>0.47</v>
      </c>
      <c r="K242" s="36"/>
      <c r="L242" s="36"/>
      <c r="M242" s="36"/>
      <c r="N242" s="36"/>
      <c r="O242" s="36"/>
      <c r="P242" s="36"/>
      <c r="Q242" s="36"/>
      <c r="R242" s="36"/>
      <c r="S242" s="254">
        <f t="shared" si="0"/>
        <v>0.50849999999999995</v>
      </c>
      <c r="T242" s="36"/>
      <c r="U242" s="236"/>
      <c r="V242" s="236"/>
      <c r="W242" s="236"/>
      <c r="X242" s="236"/>
      <c r="Y242" s="236"/>
      <c r="Z242" s="236"/>
      <c r="AA242" s="236"/>
      <c r="AB242" s="236"/>
      <c r="AC242" s="236"/>
      <c r="AD242" s="236"/>
    </row>
    <row r="243" spans="1:30" ht="15.75" customHeight="1">
      <c r="A243" s="25">
        <v>2</v>
      </c>
      <c r="B243" s="25">
        <v>8</v>
      </c>
      <c r="C243" s="25">
        <v>10</v>
      </c>
      <c r="D243" s="25" t="s">
        <v>169</v>
      </c>
      <c r="E243" s="26" t="s">
        <v>170</v>
      </c>
      <c r="F243" s="25" t="s">
        <v>25</v>
      </c>
      <c r="G243" s="251">
        <v>50883</v>
      </c>
      <c r="H243" s="31">
        <v>158</v>
      </c>
      <c r="I243" s="32">
        <v>0.187</v>
      </c>
      <c r="J243" s="32">
        <v>0.184</v>
      </c>
      <c r="K243" s="32">
        <v>0.28799999999999998</v>
      </c>
      <c r="L243" s="32">
        <v>0.19400000000000001</v>
      </c>
      <c r="M243" s="32">
        <v>0.29799999999999999</v>
      </c>
      <c r="N243" s="32">
        <v>0.20499999999999999</v>
      </c>
      <c r="O243" s="32">
        <v>0.28599999999999998</v>
      </c>
      <c r="P243" s="32">
        <v>0.254</v>
      </c>
      <c r="Q243" s="36"/>
      <c r="R243" s="36"/>
      <c r="S243" s="254">
        <f t="shared" si="0"/>
        <v>0.23700000000000002</v>
      </c>
      <c r="T243" s="36"/>
      <c r="U243" s="236"/>
      <c r="V243" s="236"/>
      <c r="W243" s="236"/>
      <c r="X243" s="236"/>
      <c r="Y243" s="236"/>
      <c r="Z243" s="236"/>
      <c r="AA243" s="236"/>
      <c r="AB243" s="236"/>
      <c r="AC243" s="236"/>
      <c r="AD243" s="236"/>
    </row>
    <row r="244" spans="1:30" ht="15.75" customHeight="1">
      <c r="A244" s="331">
        <v>2</v>
      </c>
      <c r="B244" s="25">
        <v>8</v>
      </c>
      <c r="C244" s="25">
        <v>10</v>
      </c>
      <c r="D244" s="25" t="s">
        <v>218</v>
      </c>
      <c r="E244" s="26" t="s">
        <v>219</v>
      </c>
      <c r="F244" s="25" t="s">
        <v>25</v>
      </c>
      <c r="G244" s="251">
        <v>50884</v>
      </c>
      <c r="H244" s="31">
        <v>262</v>
      </c>
      <c r="I244" s="32">
        <v>0.27100000000000002</v>
      </c>
      <c r="J244" s="32">
        <v>0.246</v>
      </c>
      <c r="K244" s="32">
        <v>0.312</v>
      </c>
      <c r="L244" s="32">
        <v>0.219</v>
      </c>
      <c r="M244" s="32">
        <v>0.26800000000000002</v>
      </c>
      <c r="N244" s="32">
        <v>0.314</v>
      </c>
      <c r="O244" s="32">
        <v>0.35299999999999998</v>
      </c>
      <c r="P244" s="32">
        <v>0.34100000000000003</v>
      </c>
      <c r="Q244" s="36"/>
      <c r="R244" s="36"/>
      <c r="S244" s="254">
        <f t="shared" si="0"/>
        <v>0.29050000000000004</v>
      </c>
      <c r="T244" s="36"/>
      <c r="U244" s="236"/>
      <c r="V244" s="236"/>
      <c r="W244" s="236"/>
      <c r="X244" s="236"/>
      <c r="Y244" s="236"/>
      <c r="Z244" s="236"/>
      <c r="AA244" s="236"/>
      <c r="AB244" s="236"/>
      <c r="AC244" s="236"/>
      <c r="AD244" s="236"/>
    </row>
    <row r="245" spans="1:30" ht="15.75" customHeight="1">
      <c r="A245" s="25">
        <v>2</v>
      </c>
      <c r="B245" s="25">
        <v>8</v>
      </c>
      <c r="C245" s="25">
        <v>11</v>
      </c>
      <c r="D245" s="25" t="s">
        <v>237</v>
      </c>
      <c r="E245" s="26" t="s">
        <v>238</v>
      </c>
      <c r="F245" s="25" t="s">
        <v>25</v>
      </c>
      <c r="G245" s="251">
        <v>50751</v>
      </c>
      <c r="H245" s="31">
        <v>239</v>
      </c>
      <c r="I245" s="32">
        <v>1.2270000000000001</v>
      </c>
      <c r="J245" s="32">
        <v>1.0269999999999999</v>
      </c>
      <c r="K245" s="32">
        <v>1.1579999999999999</v>
      </c>
      <c r="L245" s="32">
        <v>1.1080000000000001</v>
      </c>
      <c r="M245" s="32">
        <v>1.431</v>
      </c>
      <c r="N245" s="32">
        <v>0.65</v>
      </c>
      <c r="O245" s="32">
        <v>0.53800000000000003</v>
      </c>
      <c r="P245" s="32">
        <v>0.97499999999999998</v>
      </c>
      <c r="Q245" s="36"/>
      <c r="R245" s="36"/>
      <c r="S245" s="254">
        <f t="shared" si="0"/>
        <v>1.0142500000000001</v>
      </c>
      <c r="T245" s="36"/>
      <c r="U245" s="236"/>
      <c r="V245" s="236"/>
      <c r="W245" s="236"/>
      <c r="X245" s="236"/>
      <c r="Y245" s="236"/>
      <c r="Z245" s="236"/>
      <c r="AA245" s="236"/>
      <c r="AB245" s="236"/>
      <c r="AC245" s="236"/>
      <c r="AD245" s="236"/>
    </row>
    <row r="246" spans="1:30" ht="15.75" customHeight="1">
      <c r="A246" s="25">
        <v>2</v>
      </c>
      <c r="B246" s="25">
        <v>8</v>
      </c>
      <c r="C246" s="25">
        <v>11</v>
      </c>
      <c r="D246" s="25" t="s">
        <v>237</v>
      </c>
      <c r="E246" s="26" t="s">
        <v>238</v>
      </c>
      <c r="F246" s="25" t="s">
        <v>68</v>
      </c>
      <c r="G246" s="251">
        <v>50737</v>
      </c>
      <c r="H246" s="31">
        <v>31</v>
      </c>
      <c r="I246" s="32">
        <v>0.77300000000000002</v>
      </c>
      <c r="J246" s="36"/>
      <c r="K246" s="36"/>
      <c r="L246" s="36"/>
      <c r="M246" s="36"/>
      <c r="N246" s="36"/>
      <c r="O246" s="36"/>
      <c r="P246" s="36"/>
      <c r="Q246" s="36"/>
      <c r="R246" s="36"/>
      <c r="S246" s="254">
        <f t="shared" si="0"/>
        <v>0.77300000000000002</v>
      </c>
      <c r="T246" s="36"/>
      <c r="U246" s="236"/>
      <c r="V246" s="236"/>
      <c r="W246" s="236"/>
      <c r="X246" s="236"/>
      <c r="Y246" s="236"/>
      <c r="Z246" s="236"/>
      <c r="AA246" s="236"/>
      <c r="AB246" s="236"/>
      <c r="AC246" s="236"/>
      <c r="AD246" s="236"/>
    </row>
    <row r="247" spans="1:30" ht="15.75" customHeight="1">
      <c r="A247" s="53">
        <v>2</v>
      </c>
      <c r="B247" s="53">
        <v>8</v>
      </c>
      <c r="C247" s="53">
        <v>11</v>
      </c>
      <c r="D247" s="53" t="s">
        <v>237</v>
      </c>
      <c r="E247" s="54" t="s">
        <v>238</v>
      </c>
      <c r="F247" s="53" t="s">
        <v>34</v>
      </c>
      <c r="G247" s="262">
        <v>50543</v>
      </c>
      <c r="H247" s="57">
        <v>38</v>
      </c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254"/>
      <c r="T247" s="53" t="s">
        <v>55</v>
      </c>
      <c r="U247" s="236"/>
      <c r="V247" s="236"/>
      <c r="W247" s="236"/>
      <c r="X247" s="236"/>
      <c r="Y247" s="236"/>
      <c r="Z247" s="236"/>
      <c r="AA247" s="236"/>
      <c r="AB247" s="236"/>
      <c r="AC247" s="236"/>
      <c r="AD247" s="236"/>
    </row>
    <row r="248" spans="1:30" ht="15.75" customHeight="1">
      <c r="A248" s="25">
        <v>2</v>
      </c>
      <c r="B248" s="25">
        <v>8</v>
      </c>
      <c r="C248" s="25">
        <v>11</v>
      </c>
      <c r="D248" s="25" t="s">
        <v>237</v>
      </c>
      <c r="E248" s="26" t="s">
        <v>238</v>
      </c>
      <c r="F248" s="25" t="s">
        <v>34</v>
      </c>
      <c r="G248" s="251">
        <v>50738</v>
      </c>
      <c r="H248" s="31">
        <v>54</v>
      </c>
      <c r="I248" s="32">
        <v>0.52</v>
      </c>
      <c r="J248" s="32">
        <v>0.74199999999999999</v>
      </c>
      <c r="K248" s="36"/>
      <c r="L248" s="36"/>
      <c r="M248" s="36"/>
      <c r="N248" s="36"/>
      <c r="O248" s="36"/>
      <c r="P248" s="36"/>
      <c r="Q248" s="36"/>
      <c r="R248" s="36"/>
      <c r="S248" s="254">
        <f t="shared" si="0"/>
        <v>0.63100000000000001</v>
      </c>
      <c r="T248" s="36"/>
      <c r="U248" s="236"/>
      <c r="V248" s="236"/>
      <c r="W248" s="236"/>
      <c r="X248" s="236"/>
      <c r="Y248" s="236"/>
      <c r="Z248" s="236"/>
      <c r="AA248" s="236"/>
      <c r="AB248" s="236"/>
      <c r="AC248" s="236"/>
      <c r="AD248" s="236"/>
    </row>
    <row r="249" spans="1:30" ht="15.75" customHeight="1">
      <c r="A249" s="25">
        <v>2</v>
      </c>
      <c r="B249" s="25">
        <v>8</v>
      </c>
      <c r="C249" s="25">
        <v>11</v>
      </c>
      <c r="D249" s="25" t="s">
        <v>237</v>
      </c>
      <c r="E249" s="26" t="s">
        <v>238</v>
      </c>
      <c r="F249" s="25" t="s">
        <v>68</v>
      </c>
      <c r="G249" s="251">
        <v>50644</v>
      </c>
      <c r="H249" s="31">
        <v>14</v>
      </c>
      <c r="I249" s="32">
        <v>1.538</v>
      </c>
      <c r="J249" s="36"/>
      <c r="K249" s="36"/>
      <c r="L249" s="36"/>
      <c r="M249" s="36"/>
      <c r="N249" s="36"/>
      <c r="O249" s="36"/>
      <c r="P249" s="36"/>
      <c r="Q249" s="36"/>
      <c r="R249" s="36"/>
      <c r="S249" s="254">
        <f t="shared" si="0"/>
        <v>1.538</v>
      </c>
      <c r="T249" s="36"/>
      <c r="U249" s="236"/>
      <c r="V249" s="236"/>
      <c r="W249" s="236"/>
      <c r="X249" s="236"/>
      <c r="Y249" s="236"/>
      <c r="Z249" s="236"/>
      <c r="AA249" s="236"/>
      <c r="AB249" s="236"/>
      <c r="AC249" s="236"/>
      <c r="AD249" s="236"/>
    </row>
    <row r="250" spans="1:30" ht="15.75" customHeight="1">
      <c r="A250" s="38">
        <v>2</v>
      </c>
      <c r="B250" s="38">
        <v>8</v>
      </c>
      <c r="C250" s="38">
        <v>11</v>
      </c>
      <c r="D250" s="38" t="s">
        <v>237</v>
      </c>
      <c r="E250" s="40" t="s">
        <v>238</v>
      </c>
      <c r="F250" s="38" t="s">
        <v>25</v>
      </c>
      <c r="G250" s="258">
        <v>50275</v>
      </c>
      <c r="H250" s="46">
        <v>24</v>
      </c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254"/>
      <c r="T250" s="38" t="s">
        <v>43</v>
      </c>
      <c r="U250" s="236"/>
      <c r="V250" s="236"/>
      <c r="W250" s="236"/>
      <c r="X250" s="236"/>
      <c r="Y250" s="236"/>
      <c r="Z250" s="236"/>
      <c r="AA250" s="236"/>
      <c r="AB250" s="236"/>
      <c r="AC250" s="236"/>
      <c r="AD250" s="236"/>
    </row>
    <row r="251" spans="1:30" ht="15.75" customHeight="1">
      <c r="A251" s="38">
        <v>2</v>
      </c>
      <c r="B251" s="38">
        <v>8</v>
      </c>
      <c r="C251" s="38">
        <v>11</v>
      </c>
      <c r="D251" s="38" t="s">
        <v>237</v>
      </c>
      <c r="E251" s="40" t="s">
        <v>238</v>
      </c>
      <c r="F251" s="38" t="s">
        <v>34</v>
      </c>
      <c r="G251" s="258">
        <v>50709</v>
      </c>
      <c r="H251" s="46">
        <v>31</v>
      </c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254"/>
      <c r="T251" s="38" t="s">
        <v>43</v>
      </c>
      <c r="U251" s="236"/>
      <c r="V251" s="236"/>
      <c r="W251" s="236"/>
      <c r="X251" s="236"/>
      <c r="Y251" s="236"/>
      <c r="Z251" s="236"/>
      <c r="AA251" s="236"/>
      <c r="AB251" s="236"/>
      <c r="AC251" s="236"/>
      <c r="AD251" s="236"/>
    </row>
    <row r="252" spans="1:30" ht="15.75" customHeight="1">
      <c r="A252" s="16">
        <v>2</v>
      </c>
      <c r="B252" s="16">
        <v>8</v>
      </c>
      <c r="C252" s="16">
        <v>12</v>
      </c>
      <c r="D252" s="16" t="s">
        <v>239</v>
      </c>
      <c r="E252" s="18" t="s">
        <v>240</v>
      </c>
      <c r="F252" s="16" t="s">
        <v>25</v>
      </c>
      <c r="G252" s="250">
        <v>30885</v>
      </c>
      <c r="H252" s="21">
        <v>408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54"/>
      <c r="T252" s="16" t="s">
        <v>26</v>
      </c>
      <c r="U252" s="236"/>
      <c r="V252" s="236"/>
      <c r="W252" s="236"/>
      <c r="X252" s="236"/>
      <c r="Y252" s="236"/>
      <c r="Z252" s="236"/>
      <c r="AA252" s="236"/>
      <c r="AB252" s="236"/>
      <c r="AC252" s="236"/>
      <c r="AD252" s="236"/>
    </row>
    <row r="253" spans="1:30" ht="15.75" customHeight="1">
      <c r="A253" s="25">
        <v>2</v>
      </c>
      <c r="B253" s="25">
        <v>8</v>
      </c>
      <c r="C253" s="25">
        <v>13</v>
      </c>
      <c r="D253" s="25" t="s">
        <v>134</v>
      </c>
      <c r="E253" s="26" t="s">
        <v>135</v>
      </c>
      <c r="F253" s="25" t="s">
        <v>25</v>
      </c>
      <c r="G253" s="251">
        <v>50142</v>
      </c>
      <c r="H253" s="31">
        <v>224</v>
      </c>
      <c r="I253" s="32">
        <v>0.8</v>
      </c>
      <c r="J253" s="32">
        <v>1.1439999999999999</v>
      </c>
      <c r="K253" s="32">
        <v>1.3939999999999999</v>
      </c>
      <c r="L253" s="32">
        <v>1.337</v>
      </c>
      <c r="M253" s="32">
        <v>0.75700000000000001</v>
      </c>
      <c r="N253" s="32">
        <v>1.2370000000000001</v>
      </c>
      <c r="O253" s="32">
        <v>0.60199999999999998</v>
      </c>
      <c r="P253" s="32">
        <v>0.88900000000000001</v>
      </c>
      <c r="Q253" s="36"/>
      <c r="R253" s="36"/>
      <c r="S253" s="254">
        <f t="shared" si="0"/>
        <v>1.02</v>
      </c>
      <c r="T253" s="36"/>
      <c r="U253" s="236"/>
      <c r="V253" s="236"/>
      <c r="W253" s="236"/>
      <c r="X253" s="236"/>
      <c r="Y253" s="236"/>
      <c r="Z253" s="236"/>
      <c r="AA253" s="236"/>
      <c r="AB253" s="236"/>
      <c r="AC253" s="236"/>
      <c r="AD253" s="236"/>
    </row>
    <row r="254" spans="1:30" ht="15.75" customHeight="1">
      <c r="A254" s="25">
        <v>2</v>
      </c>
      <c r="B254" s="25">
        <v>8</v>
      </c>
      <c r="C254" s="25">
        <v>13</v>
      </c>
      <c r="D254" s="25" t="s">
        <v>136</v>
      </c>
      <c r="E254" s="26" t="s">
        <v>137</v>
      </c>
      <c r="F254" s="25" t="s">
        <v>25</v>
      </c>
      <c r="G254" s="251">
        <v>50857</v>
      </c>
      <c r="H254" s="31">
        <v>106</v>
      </c>
      <c r="I254" s="32">
        <v>1.4359999999999999</v>
      </c>
      <c r="J254" s="32">
        <v>1.282</v>
      </c>
      <c r="K254" s="32">
        <v>1.141</v>
      </c>
      <c r="L254" s="32">
        <v>1.2729999999999999</v>
      </c>
      <c r="M254" s="36"/>
      <c r="N254" s="36"/>
      <c r="O254" s="36"/>
      <c r="P254" s="36"/>
      <c r="Q254" s="36"/>
      <c r="R254" s="36"/>
      <c r="S254" s="254">
        <f t="shared" si="0"/>
        <v>1.2829999999999999</v>
      </c>
      <c r="T254" s="36"/>
      <c r="U254" s="236"/>
      <c r="V254" s="236"/>
      <c r="W254" s="236"/>
      <c r="X254" s="236"/>
      <c r="Y254" s="236"/>
      <c r="Z254" s="236"/>
      <c r="AA254" s="236"/>
      <c r="AB254" s="236"/>
      <c r="AC254" s="236"/>
      <c r="AD254" s="236"/>
    </row>
    <row r="255" spans="1:30" ht="15.75" customHeight="1">
      <c r="A255" s="25">
        <v>2</v>
      </c>
      <c r="B255" s="25">
        <v>8</v>
      </c>
      <c r="C255" s="25">
        <v>14</v>
      </c>
      <c r="D255" s="25" t="s">
        <v>241</v>
      </c>
      <c r="E255" s="26" t="s">
        <v>242</v>
      </c>
      <c r="F255" s="25" t="s">
        <v>25</v>
      </c>
      <c r="G255" s="251">
        <v>50876</v>
      </c>
      <c r="H255" s="31">
        <v>420</v>
      </c>
      <c r="I255" s="32">
        <v>0.33300000000000002</v>
      </c>
      <c r="J255" s="32">
        <v>0.38100000000000001</v>
      </c>
      <c r="K255" s="32">
        <v>0.51900000000000002</v>
      </c>
      <c r="L255" s="32">
        <v>0.45500000000000002</v>
      </c>
      <c r="M255" s="32">
        <v>0.46200000000000002</v>
      </c>
      <c r="N255" s="32">
        <v>0.48499999999999999</v>
      </c>
      <c r="O255" s="32">
        <v>0.49299999999999999</v>
      </c>
      <c r="P255" s="32">
        <v>0.60099999999999998</v>
      </c>
      <c r="Q255" s="32">
        <v>0.57199999999999995</v>
      </c>
      <c r="R255" s="32">
        <v>0.53900000000000003</v>
      </c>
      <c r="S255" s="254">
        <f t="shared" si="0"/>
        <v>0.48399999999999999</v>
      </c>
      <c r="T255" s="36"/>
      <c r="U255" s="236"/>
      <c r="V255" s="236"/>
      <c r="W255" s="236"/>
      <c r="X255" s="236"/>
      <c r="Y255" s="236"/>
      <c r="Z255" s="236"/>
      <c r="AA255" s="236"/>
      <c r="AB255" s="236"/>
      <c r="AC255" s="236"/>
      <c r="AD255" s="236"/>
    </row>
    <row r="256" spans="1:30" ht="15.75" customHeight="1">
      <c r="A256" s="25">
        <v>2</v>
      </c>
      <c r="B256" s="25">
        <v>8</v>
      </c>
      <c r="C256" s="25">
        <v>15</v>
      </c>
      <c r="D256" s="25" t="s">
        <v>203</v>
      </c>
      <c r="E256" s="26" t="s">
        <v>204</v>
      </c>
      <c r="F256" s="25" t="s">
        <v>31</v>
      </c>
      <c r="G256" s="251">
        <v>50841</v>
      </c>
      <c r="H256" s="31">
        <v>390</v>
      </c>
      <c r="I256" s="32">
        <v>0.57899999999999996</v>
      </c>
      <c r="J256" s="32">
        <v>0.59099999999999997</v>
      </c>
      <c r="K256" s="32">
        <v>1.268</v>
      </c>
      <c r="L256" s="32">
        <v>0.80400000000000005</v>
      </c>
      <c r="M256" s="32">
        <v>0.73699999999999999</v>
      </c>
      <c r="N256" s="32">
        <v>0.96</v>
      </c>
      <c r="O256" s="32">
        <v>0.76500000000000001</v>
      </c>
      <c r="P256" s="32">
        <v>0.58499999999999996</v>
      </c>
      <c r="Q256" s="32">
        <v>0.85</v>
      </c>
      <c r="R256" s="32">
        <v>0.63200000000000001</v>
      </c>
      <c r="S256" s="254">
        <f t="shared" si="0"/>
        <v>0.7770999999999999</v>
      </c>
      <c r="T256" s="36"/>
      <c r="U256" s="236"/>
      <c r="V256" s="236"/>
      <c r="W256" s="236"/>
      <c r="X256" s="236"/>
      <c r="Y256" s="236"/>
      <c r="Z256" s="236"/>
      <c r="AA256" s="236"/>
      <c r="AB256" s="236"/>
      <c r="AC256" s="236"/>
      <c r="AD256" s="236"/>
    </row>
    <row r="257" spans="1:30" ht="15.75" customHeight="1">
      <c r="A257" s="25">
        <v>2</v>
      </c>
      <c r="B257" s="25">
        <v>8</v>
      </c>
      <c r="C257" s="25">
        <v>15</v>
      </c>
      <c r="D257" s="25" t="s">
        <v>203</v>
      </c>
      <c r="E257" s="26" t="s">
        <v>204</v>
      </c>
      <c r="F257" s="25" t="s">
        <v>25</v>
      </c>
      <c r="G257" s="251">
        <v>50657</v>
      </c>
      <c r="H257" s="31">
        <v>8</v>
      </c>
      <c r="I257" s="32">
        <v>0.75700000000000001</v>
      </c>
      <c r="J257" s="36"/>
      <c r="K257" s="36"/>
      <c r="L257" s="36"/>
      <c r="M257" s="36"/>
      <c r="N257" s="36"/>
      <c r="O257" s="36"/>
      <c r="P257" s="36"/>
      <c r="Q257" s="36"/>
      <c r="R257" s="36"/>
      <c r="S257" s="254">
        <f t="shared" si="0"/>
        <v>0.75700000000000001</v>
      </c>
      <c r="T257" s="36"/>
      <c r="U257" s="236"/>
      <c r="V257" s="236"/>
      <c r="W257" s="236"/>
      <c r="X257" s="236"/>
      <c r="Y257" s="236"/>
      <c r="Z257" s="236"/>
      <c r="AA257" s="236"/>
      <c r="AB257" s="236"/>
      <c r="AC257" s="236"/>
      <c r="AD257" s="236"/>
    </row>
    <row r="258" spans="1:30" ht="15.75" customHeight="1">
      <c r="A258" s="25">
        <v>2</v>
      </c>
      <c r="B258" s="25">
        <v>8</v>
      </c>
      <c r="C258" s="25">
        <v>15</v>
      </c>
      <c r="D258" s="25" t="s">
        <v>203</v>
      </c>
      <c r="E258" s="26" t="s">
        <v>204</v>
      </c>
      <c r="F258" s="25" t="s">
        <v>31</v>
      </c>
      <c r="G258" s="251">
        <v>50777</v>
      </c>
      <c r="H258" s="31">
        <v>9</v>
      </c>
      <c r="I258" s="32">
        <v>0.54700000000000004</v>
      </c>
      <c r="J258" s="36"/>
      <c r="K258" s="36"/>
      <c r="L258" s="36"/>
      <c r="M258" s="36"/>
      <c r="N258" s="36"/>
      <c r="O258" s="36"/>
      <c r="P258" s="36"/>
      <c r="Q258" s="36"/>
      <c r="R258" s="36"/>
      <c r="S258" s="254">
        <f t="shared" si="0"/>
        <v>0.54700000000000004</v>
      </c>
      <c r="T258" s="36"/>
      <c r="U258" s="236"/>
      <c r="V258" s="236"/>
      <c r="W258" s="236"/>
      <c r="X258" s="236"/>
      <c r="Y258" s="236"/>
      <c r="Z258" s="236"/>
      <c r="AA258" s="236"/>
      <c r="AB258" s="236"/>
      <c r="AC258" s="236"/>
      <c r="AD258" s="236"/>
    </row>
    <row r="259" spans="1:30" ht="15.75" customHeight="1">
      <c r="A259" s="25">
        <v>2</v>
      </c>
      <c r="B259" s="25">
        <v>8</v>
      </c>
      <c r="C259" s="25">
        <v>15</v>
      </c>
      <c r="D259" s="25" t="s">
        <v>203</v>
      </c>
      <c r="E259" s="26" t="s">
        <v>204</v>
      </c>
      <c r="F259" s="25" t="s">
        <v>31</v>
      </c>
      <c r="G259" s="251">
        <v>50799</v>
      </c>
      <c r="H259" s="31">
        <v>7</v>
      </c>
      <c r="I259" s="32">
        <v>0.55700000000000005</v>
      </c>
      <c r="J259" s="36"/>
      <c r="K259" s="36"/>
      <c r="L259" s="36"/>
      <c r="M259" s="36"/>
      <c r="N259" s="36"/>
      <c r="O259" s="36"/>
      <c r="P259" s="36"/>
      <c r="Q259" s="36"/>
      <c r="R259" s="36"/>
      <c r="S259" s="254">
        <f t="shared" si="0"/>
        <v>0.55700000000000005</v>
      </c>
      <c r="T259" s="36"/>
      <c r="U259" s="236"/>
      <c r="V259" s="236"/>
      <c r="W259" s="236"/>
      <c r="X259" s="236"/>
      <c r="Y259" s="236"/>
      <c r="Z259" s="236"/>
      <c r="AA259" s="236"/>
      <c r="AB259" s="236"/>
      <c r="AC259" s="236"/>
      <c r="AD259" s="236"/>
    </row>
    <row r="260" spans="1:30" ht="15.75" customHeight="1">
      <c r="A260" s="38">
        <v>2</v>
      </c>
      <c r="B260" s="38">
        <v>12</v>
      </c>
      <c r="C260" s="38">
        <v>22</v>
      </c>
      <c r="D260" s="38" t="s">
        <v>243</v>
      </c>
      <c r="E260" s="40" t="s">
        <v>244</v>
      </c>
      <c r="F260" s="38" t="s">
        <v>109</v>
      </c>
      <c r="G260" s="258">
        <v>30655</v>
      </c>
      <c r="H260" s="46">
        <v>6</v>
      </c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38" t="s">
        <v>43</v>
      </c>
      <c r="U260" s="236"/>
      <c r="V260" s="236"/>
      <c r="W260" s="236"/>
      <c r="X260" s="236"/>
      <c r="Y260" s="236"/>
      <c r="Z260" s="236"/>
      <c r="AA260" s="236"/>
      <c r="AB260" s="236"/>
      <c r="AC260" s="236"/>
      <c r="AD260" s="236"/>
    </row>
    <row r="261" spans="1:30" ht="15.75" customHeight="1">
      <c r="A261" s="36"/>
      <c r="B261" s="36"/>
      <c r="C261" s="36"/>
      <c r="D261" s="36"/>
      <c r="E261" s="174"/>
      <c r="F261" s="36"/>
      <c r="G261" s="60"/>
      <c r="H261" s="175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236"/>
      <c r="V261" s="236"/>
      <c r="W261" s="236"/>
      <c r="X261" s="236"/>
      <c r="Y261" s="236"/>
      <c r="Z261" s="236"/>
      <c r="AA261" s="236"/>
      <c r="AB261" s="236"/>
      <c r="AC261" s="236"/>
      <c r="AD261" s="236"/>
    </row>
    <row r="262" spans="1:30" ht="15.75" customHeight="1">
      <c r="A262" s="189"/>
      <c r="B262" s="189"/>
      <c r="C262" s="189"/>
      <c r="D262" s="189"/>
      <c r="E262" s="229"/>
      <c r="F262" s="189"/>
      <c r="G262" s="230"/>
      <c r="H262" s="232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236"/>
      <c r="V262" s="236"/>
      <c r="W262" s="236"/>
      <c r="X262" s="236"/>
      <c r="Y262" s="236"/>
      <c r="Z262" s="236"/>
      <c r="AA262" s="236"/>
      <c r="AB262" s="236"/>
      <c r="AC262" s="236"/>
      <c r="AD262" s="236"/>
    </row>
    <row r="263" spans="1:30" ht="15.75" customHeight="1">
      <c r="A263" s="672" t="s">
        <v>245</v>
      </c>
      <c r="B263" s="672"/>
      <c r="C263" s="672"/>
      <c r="D263" s="672"/>
      <c r="E263" s="672"/>
      <c r="F263" s="672"/>
      <c r="G263" s="672"/>
      <c r="H263" s="672"/>
      <c r="I263" s="672"/>
      <c r="J263" s="672"/>
      <c r="K263" s="672"/>
      <c r="L263" s="672"/>
      <c r="M263" s="245"/>
      <c r="N263" s="245"/>
      <c r="O263" s="245"/>
      <c r="P263" s="245"/>
      <c r="Q263" s="245"/>
      <c r="R263" s="245"/>
      <c r="S263" s="245"/>
      <c r="T263" s="245"/>
      <c r="U263" s="236"/>
      <c r="V263" s="236"/>
      <c r="W263" s="236"/>
      <c r="X263" s="236"/>
      <c r="Y263" s="236"/>
      <c r="Z263" s="236"/>
      <c r="AA263" s="236"/>
      <c r="AB263" s="236"/>
      <c r="AC263" s="236"/>
      <c r="AD263" s="236"/>
    </row>
    <row r="264" spans="1:30" ht="15.75" customHeight="1">
      <c r="A264" s="236"/>
      <c r="B264" s="236"/>
      <c r="C264" s="236"/>
      <c r="D264" s="236"/>
      <c r="E264" s="333"/>
      <c r="F264" s="236"/>
      <c r="G264" s="334"/>
      <c r="H264" s="10"/>
      <c r="I264" s="236"/>
      <c r="J264" s="236"/>
      <c r="K264" s="236"/>
      <c r="L264" s="236"/>
      <c r="M264" s="335"/>
      <c r="N264" s="335"/>
      <c r="O264" s="335"/>
      <c r="P264" s="335"/>
      <c r="Q264" s="335"/>
      <c r="R264" s="335"/>
      <c r="S264" s="335"/>
      <c r="T264" s="335"/>
      <c r="U264" s="236"/>
      <c r="V264" s="236"/>
      <c r="W264" s="236"/>
      <c r="X264" s="236"/>
      <c r="Y264" s="236"/>
      <c r="Z264" s="236"/>
      <c r="AA264" s="236"/>
      <c r="AB264" s="236"/>
      <c r="AC264" s="236"/>
      <c r="AD264" s="236"/>
    </row>
    <row r="265" spans="1:30">
      <c r="A265" s="236"/>
      <c r="B265" s="236"/>
      <c r="C265" s="236"/>
      <c r="D265" s="236"/>
      <c r="E265" s="333"/>
      <c r="F265" s="236"/>
      <c r="G265" s="334"/>
      <c r="H265" s="10"/>
      <c r="I265" s="236"/>
      <c r="J265" s="236"/>
      <c r="K265" s="236"/>
      <c r="L265" s="236"/>
      <c r="M265" s="335"/>
      <c r="N265" s="335"/>
      <c r="O265" s="335"/>
      <c r="P265" s="335"/>
      <c r="Q265" s="335"/>
      <c r="R265" s="335"/>
      <c r="S265" s="335"/>
      <c r="T265" s="335"/>
      <c r="U265" s="236"/>
      <c r="V265" s="236"/>
      <c r="W265" s="236"/>
      <c r="X265" s="236"/>
      <c r="Y265" s="236"/>
      <c r="Z265" s="236"/>
      <c r="AA265" s="236"/>
      <c r="AB265" s="236"/>
      <c r="AC265" s="236"/>
      <c r="AD265" s="236"/>
    </row>
    <row r="266" spans="1:30">
      <c r="A266" s="236"/>
      <c r="B266" s="236"/>
      <c r="C266" s="236"/>
      <c r="D266" s="236"/>
      <c r="E266" s="333"/>
      <c r="F266" s="236"/>
      <c r="G266" s="334"/>
      <c r="H266" s="10"/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 s="236"/>
      <c r="AC266" s="236"/>
      <c r="AD266" s="236"/>
    </row>
    <row r="267" spans="1:30">
      <c r="A267" s="236"/>
      <c r="B267" s="236"/>
      <c r="C267" s="236"/>
      <c r="D267" s="236"/>
      <c r="E267" s="333"/>
      <c r="F267" s="236"/>
      <c r="G267" s="334"/>
      <c r="H267" s="10"/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 s="236"/>
      <c r="AC267" s="236"/>
      <c r="AD267" s="236"/>
    </row>
    <row r="268" spans="1:30">
      <c r="A268" s="236"/>
      <c r="B268" s="236"/>
      <c r="C268" s="236"/>
      <c r="D268" s="236"/>
      <c r="E268" s="333"/>
      <c r="F268" s="236"/>
      <c r="G268" s="334"/>
      <c r="H268" s="10"/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 s="236"/>
      <c r="AC268" s="236"/>
      <c r="AD268" s="236"/>
    </row>
    <row r="269" spans="1:30">
      <c r="A269" s="236"/>
      <c r="B269" s="236"/>
      <c r="C269" s="236"/>
      <c r="D269" s="236"/>
      <c r="E269" s="333"/>
      <c r="F269" s="236"/>
      <c r="G269" s="334"/>
      <c r="H269" s="10"/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 s="236"/>
      <c r="AC269" s="236"/>
      <c r="AD269" s="236"/>
    </row>
    <row r="270" spans="1:30">
      <c r="A270" s="236"/>
      <c r="B270" s="236"/>
      <c r="C270" s="236"/>
      <c r="D270" s="236"/>
      <c r="E270" s="333"/>
      <c r="F270" s="236"/>
      <c r="G270" s="334"/>
      <c r="H270" s="10"/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 s="236"/>
      <c r="AC270" s="236"/>
      <c r="AD270" s="236"/>
    </row>
    <row r="271" spans="1:30">
      <c r="A271" s="236"/>
      <c r="B271" s="236"/>
      <c r="C271" s="236"/>
      <c r="D271" s="236"/>
      <c r="E271" s="333"/>
      <c r="F271" s="236"/>
      <c r="G271" s="334"/>
      <c r="H271" s="10"/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 s="236"/>
      <c r="AC271" s="236"/>
      <c r="AD271" s="236"/>
    </row>
    <row r="272" spans="1:30">
      <c r="A272" s="236"/>
      <c r="B272" s="236"/>
      <c r="C272" s="236"/>
      <c r="D272" s="236"/>
      <c r="E272" s="333"/>
      <c r="F272" s="236"/>
      <c r="G272" s="334"/>
      <c r="H272" s="10"/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 s="236"/>
      <c r="AC272" s="236"/>
      <c r="AD272" s="236"/>
    </row>
    <row r="273" spans="1:30">
      <c r="A273" s="236"/>
      <c r="B273" s="236"/>
      <c r="C273" s="236"/>
      <c r="D273" s="236"/>
      <c r="E273" s="333"/>
      <c r="F273" s="236"/>
      <c r="G273" s="334"/>
      <c r="H273" s="10"/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  <c r="AA273" s="236"/>
      <c r="AB273" s="236"/>
      <c r="AC273" s="236"/>
      <c r="AD273" s="236"/>
    </row>
    <row r="274" spans="1:30">
      <c r="A274" s="236"/>
      <c r="B274" s="236"/>
      <c r="C274" s="236"/>
      <c r="D274" s="236"/>
      <c r="E274" s="333"/>
      <c r="F274" s="236"/>
      <c r="G274" s="334"/>
      <c r="H274" s="10"/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 s="236"/>
      <c r="AC274" s="236"/>
      <c r="AD274" s="236"/>
    </row>
    <row r="275" spans="1:30">
      <c r="A275" s="236"/>
      <c r="B275" s="236"/>
      <c r="C275" s="236"/>
      <c r="D275" s="236"/>
      <c r="E275" s="333"/>
      <c r="F275" s="236"/>
      <c r="G275" s="334"/>
      <c r="H275" s="10"/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 s="236"/>
      <c r="AC275" s="236"/>
      <c r="AD275" s="236"/>
    </row>
    <row r="276" spans="1:30">
      <c r="A276" s="236"/>
      <c r="B276" s="236"/>
      <c r="C276" s="236"/>
      <c r="D276" s="236"/>
      <c r="E276" s="333"/>
      <c r="F276" s="236"/>
      <c r="G276" s="334"/>
      <c r="H276" s="10"/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 s="236"/>
      <c r="AC276" s="236"/>
      <c r="AD276" s="236"/>
    </row>
    <row r="277" spans="1:30">
      <c r="A277" s="236"/>
      <c r="B277" s="236"/>
      <c r="C277" s="236"/>
      <c r="D277" s="236"/>
      <c r="E277" s="333"/>
      <c r="F277" s="236"/>
      <c r="G277" s="334"/>
      <c r="H277" s="10"/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 s="236"/>
      <c r="AC277" s="236"/>
      <c r="AD277" s="236"/>
    </row>
    <row r="278" spans="1:30">
      <c r="A278" s="236"/>
      <c r="B278" s="236"/>
      <c r="C278" s="236"/>
      <c r="D278" s="236"/>
      <c r="E278" s="333"/>
      <c r="F278" s="236"/>
      <c r="G278" s="334"/>
      <c r="H278" s="10"/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  <c r="AA278" s="236"/>
      <c r="AB278" s="236"/>
      <c r="AC278" s="236"/>
      <c r="AD278" s="236"/>
    </row>
    <row r="279" spans="1:30">
      <c r="A279" s="236"/>
      <c r="B279" s="236"/>
      <c r="C279" s="236"/>
      <c r="D279" s="236"/>
      <c r="E279" s="333"/>
      <c r="F279" s="236"/>
      <c r="G279" s="334"/>
      <c r="H279" s="10"/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 s="236"/>
      <c r="AC279" s="236"/>
      <c r="AD279" s="236"/>
    </row>
    <row r="280" spans="1:30">
      <c r="A280" s="236"/>
      <c r="B280" s="236"/>
      <c r="C280" s="236"/>
      <c r="D280" s="236"/>
      <c r="E280" s="333"/>
      <c r="F280" s="236"/>
      <c r="G280" s="334"/>
      <c r="H280" s="10"/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 s="236"/>
      <c r="AC280" s="236"/>
      <c r="AD280" s="236"/>
    </row>
    <row r="281" spans="1:30">
      <c r="A281" s="236"/>
      <c r="B281" s="236"/>
      <c r="C281" s="236"/>
      <c r="D281" s="236"/>
      <c r="E281" s="333"/>
      <c r="F281" s="236"/>
      <c r="G281" s="334"/>
      <c r="H281" s="10"/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 s="236"/>
      <c r="AC281" s="236"/>
      <c r="AD281" s="236"/>
    </row>
    <row r="282" spans="1:30">
      <c r="A282" s="236"/>
      <c r="B282" s="236"/>
      <c r="C282" s="236"/>
      <c r="D282" s="236"/>
      <c r="E282" s="333"/>
      <c r="F282" s="236"/>
      <c r="G282" s="334"/>
      <c r="H282" s="10"/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 s="236"/>
      <c r="AC282" s="236"/>
      <c r="AD282" s="236"/>
    </row>
    <row r="283" spans="1:30">
      <c r="A283" s="236"/>
      <c r="B283" s="236"/>
      <c r="C283" s="236"/>
      <c r="D283" s="236"/>
      <c r="E283" s="333"/>
      <c r="F283" s="236"/>
      <c r="G283" s="334"/>
      <c r="H283" s="10"/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 s="236"/>
      <c r="AC283" s="236"/>
      <c r="AD283" s="236"/>
    </row>
    <row r="284" spans="1:30">
      <c r="A284" s="236"/>
      <c r="B284" s="236"/>
      <c r="C284" s="236"/>
      <c r="D284" s="236"/>
      <c r="E284" s="333"/>
      <c r="F284" s="236"/>
      <c r="G284" s="334"/>
      <c r="H284" s="10"/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 s="236"/>
      <c r="AC284" s="236"/>
      <c r="AD284" s="236"/>
    </row>
    <row r="285" spans="1:30">
      <c r="A285" s="236"/>
      <c r="B285" s="236"/>
      <c r="C285" s="236"/>
      <c r="D285" s="236"/>
      <c r="E285" s="333"/>
      <c r="F285" s="236"/>
      <c r="G285" s="334"/>
      <c r="H285" s="10"/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 s="236"/>
      <c r="AC285" s="236"/>
      <c r="AD285" s="236"/>
    </row>
    <row r="286" spans="1:30">
      <c r="A286" s="236"/>
      <c r="B286" s="236"/>
      <c r="C286" s="236"/>
      <c r="D286" s="236"/>
      <c r="E286" s="333"/>
      <c r="F286" s="236"/>
      <c r="G286" s="334"/>
      <c r="H286" s="10"/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  <c r="AA286" s="236"/>
      <c r="AB286" s="236"/>
      <c r="AC286" s="236"/>
      <c r="AD286" s="236"/>
    </row>
    <row r="287" spans="1:30">
      <c r="A287" s="236"/>
      <c r="B287" s="236"/>
      <c r="C287" s="236"/>
      <c r="D287" s="236"/>
      <c r="E287" s="333"/>
      <c r="F287" s="236"/>
      <c r="G287" s="334"/>
      <c r="H287" s="10"/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 s="236"/>
      <c r="AC287" s="236"/>
      <c r="AD287" s="236"/>
    </row>
    <row r="288" spans="1:30">
      <c r="A288" s="236"/>
      <c r="B288" s="236"/>
      <c r="C288" s="236"/>
      <c r="D288" s="236"/>
      <c r="E288" s="333"/>
      <c r="F288" s="236"/>
      <c r="G288" s="334"/>
      <c r="H288" s="10"/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 s="236"/>
      <c r="AC288" s="236"/>
      <c r="AD288" s="236"/>
    </row>
    <row r="289" spans="1:30">
      <c r="A289" s="236"/>
      <c r="B289" s="236"/>
      <c r="C289" s="236"/>
      <c r="D289" s="236"/>
      <c r="E289" s="333"/>
      <c r="F289" s="236"/>
      <c r="G289" s="334"/>
      <c r="H289" s="10"/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 s="236"/>
      <c r="AC289" s="236"/>
      <c r="AD289" s="236"/>
    </row>
    <row r="290" spans="1:30">
      <c r="A290" s="236"/>
      <c r="B290" s="236"/>
      <c r="C290" s="236"/>
      <c r="D290" s="236"/>
      <c r="E290" s="333"/>
      <c r="F290" s="236"/>
      <c r="G290" s="334"/>
      <c r="H290" s="10"/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 s="236"/>
      <c r="AC290" s="236"/>
      <c r="AD290" s="236"/>
    </row>
    <row r="291" spans="1:30">
      <c r="A291" s="236"/>
      <c r="B291" s="236"/>
      <c r="C291" s="236"/>
      <c r="D291" s="236"/>
      <c r="E291" s="333"/>
      <c r="F291" s="236"/>
      <c r="G291" s="334"/>
      <c r="H291" s="10"/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 s="236"/>
      <c r="AC291" s="236"/>
      <c r="AD291" s="236"/>
    </row>
    <row r="292" spans="1:30">
      <c r="A292" s="236"/>
      <c r="B292" s="236"/>
      <c r="C292" s="236"/>
      <c r="D292" s="236"/>
      <c r="E292" s="333"/>
      <c r="F292" s="236"/>
      <c r="G292" s="334"/>
      <c r="H292" s="10"/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  <c r="AA292" s="236"/>
      <c r="AB292" s="236"/>
      <c r="AC292" s="236"/>
      <c r="AD292" s="236"/>
    </row>
    <row r="293" spans="1:30">
      <c r="A293" s="236"/>
      <c r="B293" s="236"/>
      <c r="C293" s="236"/>
      <c r="D293" s="236"/>
      <c r="E293" s="333"/>
      <c r="F293" s="236"/>
      <c r="G293" s="334"/>
      <c r="H293" s="10"/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 s="236"/>
      <c r="AC293" s="236"/>
      <c r="AD293" s="236"/>
    </row>
    <row r="294" spans="1:30">
      <c r="A294" s="236"/>
      <c r="B294" s="236"/>
      <c r="C294" s="236"/>
      <c r="D294" s="236"/>
      <c r="E294" s="333"/>
      <c r="F294" s="236"/>
      <c r="G294" s="334"/>
      <c r="H294" s="10"/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 s="236"/>
      <c r="AC294" s="236"/>
      <c r="AD294" s="236"/>
    </row>
    <row r="295" spans="1:30">
      <c r="A295" s="236"/>
      <c r="B295" s="236"/>
      <c r="C295" s="236"/>
      <c r="D295" s="236"/>
      <c r="E295" s="333"/>
      <c r="F295" s="236"/>
      <c r="G295" s="334"/>
      <c r="H295" s="10"/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 s="236"/>
      <c r="AC295" s="236"/>
      <c r="AD295" s="236"/>
    </row>
    <row r="296" spans="1:30">
      <c r="A296" s="236"/>
      <c r="B296" s="236"/>
      <c r="C296" s="236"/>
      <c r="D296" s="236"/>
      <c r="E296" s="333"/>
      <c r="F296" s="236"/>
      <c r="G296" s="334"/>
      <c r="H296" s="10"/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 s="236"/>
      <c r="AC296" s="236"/>
      <c r="AD296" s="236"/>
    </row>
    <row r="297" spans="1:30">
      <c r="A297" s="236"/>
      <c r="B297" s="236"/>
      <c r="C297" s="236"/>
      <c r="D297" s="236"/>
      <c r="E297" s="333"/>
      <c r="F297" s="236"/>
      <c r="G297" s="334"/>
      <c r="H297" s="10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 s="236"/>
      <c r="AC297" s="236"/>
      <c r="AD297" s="236"/>
    </row>
    <row r="298" spans="1:30">
      <c r="A298" s="236"/>
      <c r="B298" s="236"/>
      <c r="C298" s="236"/>
      <c r="D298" s="236"/>
      <c r="E298" s="333"/>
      <c r="F298" s="236"/>
      <c r="G298" s="334"/>
      <c r="H298" s="10"/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 s="236"/>
      <c r="AC298" s="236"/>
      <c r="AD298" s="236"/>
    </row>
    <row r="299" spans="1:30">
      <c r="A299" s="236"/>
      <c r="B299" s="236"/>
      <c r="C299" s="236"/>
      <c r="D299" s="236"/>
      <c r="E299" s="333"/>
      <c r="F299" s="236"/>
      <c r="G299" s="334"/>
      <c r="H299" s="10"/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 s="236"/>
      <c r="AC299" s="236"/>
      <c r="AD299" s="236"/>
    </row>
    <row r="300" spans="1:30">
      <c r="A300" s="236"/>
      <c r="B300" s="236"/>
      <c r="C300" s="236"/>
      <c r="D300" s="236"/>
      <c r="E300" s="333"/>
      <c r="F300" s="236"/>
      <c r="G300" s="334"/>
      <c r="H300" s="10"/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 s="236"/>
      <c r="AC300" s="236"/>
      <c r="AD300" s="236"/>
    </row>
    <row r="301" spans="1:30">
      <c r="A301" s="236"/>
      <c r="B301" s="236"/>
      <c r="C301" s="236"/>
      <c r="D301" s="236"/>
      <c r="E301" s="333"/>
      <c r="F301" s="236"/>
      <c r="G301" s="334"/>
      <c r="H301" s="10"/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 s="236"/>
      <c r="AC301" s="236"/>
      <c r="AD301" s="236"/>
    </row>
    <row r="302" spans="1:30">
      <c r="A302" s="236"/>
      <c r="B302" s="236"/>
      <c r="C302" s="236"/>
      <c r="D302" s="236"/>
      <c r="E302" s="333"/>
      <c r="F302" s="236"/>
      <c r="G302" s="334"/>
      <c r="H302" s="10"/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 s="236"/>
      <c r="AC302" s="236"/>
      <c r="AD302" s="236"/>
    </row>
    <row r="303" spans="1:30">
      <c r="A303" s="236"/>
      <c r="B303" s="236"/>
      <c r="C303" s="236"/>
      <c r="D303" s="236"/>
      <c r="E303" s="333"/>
      <c r="F303" s="236"/>
      <c r="G303" s="334"/>
      <c r="H303" s="10"/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 s="236"/>
      <c r="AC303" s="236"/>
      <c r="AD303" s="236"/>
    </row>
    <row r="304" spans="1:30">
      <c r="A304" s="236"/>
      <c r="B304" s="236"/>
      <c r="C304" s="236"/>
      <c r="D304" s="236"/>
      <c r="E304" s="333"/>
      <c r="F304" s="236"/>
      <c r="G304" s="334"/>
      <c r="H304" s="10"/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 s="236"/>
      <c r="AC304" s="236"/>
      <c r="AD304" s="236"/>
    </row>
    <row r="305" spans="1:30">
      <c r="A305" s="236"/>
      <c r="B305" s="236"/>
      <c r="C305" s="236"/>
      <c r="D305" s="236"/>
      <c r="E305" s="333"/>
      <c r="F305" s="236"/>
      <c r="G305" s="334"/>
      <c r="H305" s="10"/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6"/>
      <c r="AC305" s="236"/>
      <c r="AD305" s="236"/>
    </row>
    <row r="306" spans="1:30">
      <c r="A306" s="236"/>
      <c r="B306" s="236"/>
      <c r="C306" s="236"/>
      <c r="D306" s="236"/>
      <c r="E306" s="333"/>
      <c r="F306" s="236"/>
      <c r="G306" s="334"/>
      <c r="H306" s="10"/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6"/>
      <c r="AC306" s="236"/>
      <c r="AD306" s="236"/>
    </row>
    <row r="307" spans="1:30">
      <c r="A307" s="236"/>
      <c r="B307" s="236"/>
      <c r="C307" s="236"/>
      <c r="D307" s="236"/>
      <c r="E307" s="333"/>
      <c r="F307" s="236"/>
      <c r="G307" s="334"/>
      <c r="H307" s="10"/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6"/>
      <c r="AC307" s="236"/>
      <c r="AD307" s="236"/>
    </row>
    <row r="308" spans="1:30">
      <c r="A308" s="236"/>
      <c r="B308" s="236"/>
      <c r="C308" s="236"/>
      <c r="D308" s="236"/>
      <c r="E308" s="333"/>
      <c r="F308" s="236"/>
      <c r="G308" s="334"/>
      <c r="H308" s="10"/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6"/>
      <c r="AC308" s="236"/>
      <c r="AD308" s="236"/>
    </row>
    <row r="309" spans="1:30">
      <c r="A309" s="236"/>
      <c r="B309" s="236"/>
      <c r="C309" s="236"/>
      <c r="D309" s="236"/>
      <c r="E309" s="333"/>
      <c r="F309" s="236"/>
      <c r="G309" s="334"/>
      <c r="H309" s="10"/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 s="236"/>
      <c r="AC309" s="236"/>
      <c r="AD309" s="236"/>
    </row>
    <row r="310" spans="1:30">
      <c r="A310" s="236"/>
      <c r="B310" s="236"/>
      <c r="C310" s="236"/>
      <c r="D310" s="236"/>
      <c r="E310" s="333"/>
      <c r="F310" s="236"/>
      <c r="G310" s="334"/>
      <c r="H310" s="10"/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 s="236"/>
      <c r="AC310" s="236"/>
      <c r="AD310" s="236"/>
    </row>
    <row r="311" spans="1:30">
      <c r="A311" s="236"/>
      <c r="B311" s="236"/>
      <c r="C311" s="236"/>
      <c r="D311" s="236"/>
      <c r="E311" s="333"/>
      <c r="F311" s="236"/>
      <c r="G311" s="334"/>
      <c r="H311" s="10"/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 s="236"/>
      <c r="AC311" s="236"/>
      <c r="AD311" s="236"/>
    </row>
    <row r="312" spans="1:30">
      <c r="A312" s="236"/>
      <c r="B312" s="236"/>
      <c r="C312" s="236"/>
      <c r="D312" s="236"/>
      <c r="E312" s="333"/>
      <c r="F312" s="236"/>
      <c r="G312" s="334"/>
      <c r="H312" s="10"/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 s="236"/>
      <c r="AC312" s="236"/>
      <c r="AD312" s="236"/>
    </row>
    <row r="313" spans="1:30">
      <c r="A313" s="236"/>
      <c r="B313" s="236"/>
      <c r="C313" s="236"/>
      <c r="D313" s="236"/>
      <c r="E313" s="333"/>
      <c r="F313" s="236"/>
      <c r="G313" s="334"/>
      <c r="H313" s="10"/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 s="236"/>
      <c r="AC313" s="236"/>
      <c r="AD313" s="236"/>
    </row>
    <row r="314" spans="1:30">
      <c r="A314" s="236"/>
      <c r="B314" s="236"/>
      <c r="C314" s="236"/>
      <c r="D314" s="236"/>
      <c r="E314" s="333"/>
      <c r="F314" s="236"/>
      <c r="G314" s="334"/>
      <c r="H314" s="10"/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 s="236"/>
      <c r="AC314" s="236"/>
      <c r="AD314" s="236"/>
    </row>
    <row r="315" spans="1:30">
      <c r="A315" s="236"/>
      <c r="B315" s="236"/>
      <c r="C315" s="236"/>
      <c r="D315" s="236"/>
      <c r="E315" s="333"/>
      <c r="F315" s="236"/>
      <c r="G315" s="334"/>
      <c r="H315" s="10"/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  <c r="AA315" s="236"/>
      <c r="AB315" s="236"/>
      <c r="AC315" s="236"/>
      <c r="AD315" s="236"/>
    </row>
    <row r="316" spans="1:30">
      <c r="A316" s="236"/>
      <c r="B316" s="236"/>
      <c r="C316" s="236"/>
      <c r="D316" s="236"/>
      <c r="E316" s="333"/>
      <c r="F316" s="236"/>
      <c r="G316" s="334"/>
      <c r="H316" s="10"/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 s="236"/>
      <c r="AC316" s="236"/>
      <c r="AD316" s="236"/>
    </row>
    <row r="317" spans="1:30">
      <c r="A317" s="236"/>
      <c r="B317" s="236"/>
      <c r="C317" s="236"/>
      <c r="D317" s="236"/>
      <c r="E317" s="333"/>
      <c r="F317" s="236"/>
      <c r="G317" s="334"/>
      <c r="H317" s="10"/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 s="236"/>
      <c r="AC317" s="236"/>
      <c r="AD317" s="236"/>
    </row>
    <row r="318" spans="1:30">
      <c r="A318" s="236"/>
      <c r="B318" s="236"/>
      <c r="C318" s="236"/>
      <c r="D318" s="236"/>
      <c r="E318" s="333"/>
      <c r="F318" s="236"/>
      <c r="G318" s="334"/>
      <c r="H318" s="10"/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 s="236"/>
      <c r="AC318" s="236"/>
      <c r="AD318" s="236"/>
    </row>
    <row r="319" spans="1:30">
      <c r="A319" s="236"/>
      <c r="B319" s="236"/>
      <c r="C319" s="236"/>
      <c r="D319" s="236"/>
      <c r="E319" s="333"/>
      <c r="F319" s="236"/>
      <c r="G319" s="334"/>
      <c r="H319" s="10"/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 s="236"/>
      <c r="AC319" s="236"/>
      <c r="AD319" s="236"/>
    </row>
    <row r="320" spans="1:30">
      <c r="A320" s="236"/>
      <c r="B320" s="236"/>
      <c r="C320" s="236"/>
      <c r="D320" s="236"/>
      <c r="E320" s="333"/>
      <c r="F320" s="236"/>
      <c r="G320" s="334"/>
      <c r="H320" s="10"/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  <c r="AA320" s="236"/>
      <c r="AB320" s="236"/>
      <c r="AC320" s="236"/>
      <c r="AD320" s="236"/>
    </row>
    <row r="321" spans="1:30">
      <c r="A321" s="236"/>
      <c r="B321" s="236"/>
      <c r="C321" s="236"/>
      <c r="D321" s="236"/>
      <c r="E321" s="333"/>
      <c r="F321" s="236"/>
      <c r="G321" s="334"/>
      <c r="H321" s="10"/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 s="236"/>
      <c r="AC321" s="236"/>
      <c r="AD321" s="236"/>
    </row>
    <row r="322" spans="1:30">
      <c r="A322" s="236"/>
      <c r="B322" s="236"/>
      <c r="C322" s="236"/>
      <c r="D322" s="236"/>
      <c r="E322" s="333"/>
      <c r="F322" s="236"/>
      <c r="G322" s="334"/>
      <c r="H322" s="10"/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 s="236"/>
      <c r="AC322" s="236"/>
      <c r="AD322" s="236"/>
    </row>
    <row r="323" spans="1:30">
      <c r="A323" s="236"/>
      <c r="B323" s="236"/>
      <c r="C323" s="236"/>
      <c r="D323" s="236"/>
      <c r="E323" s="333"/>
      <c r="F323" s="236"/>
      <c r="G323" s="334"/>
      <c r="H323" s="10"/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  <c r="AA323" s="236"/>
      <c r="AB323" s="236"/>
      <c r="AC323" s="236"/>
      <c r="AD323" s="236"/>
    </row>
    <row r="324" spans="1:30">
      <c r="A324" s="236"/>
      <c r="B324" s="236"/>
      <c r="C324" s="236"/>
      <c r="D324" s="236"/>
      <c r="E324" s="333"/>
      <c r="F324" s="236"/>
      <c r="G324" s="334"/>
      <c r="H324" s="10"/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 s="236"/>
      <c r="AC324" s="236"/>
      <c r="AD324" s="236"/>
    </row>
    <row r="325" spans="1:30">
      <c r="A325" s="236"/>
      <c r="B325" s="236"/>
      <c r="C325" s="236"/>
      <c r="D325" s="236"/>
      <c r="E325" s="333"/>
      <c r="F325" s="236"/>
      <c r="G325" s="334"/>
      <c r="H325" s="10"/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 s="236"/>
      <c r="AC325" s="236"/>
      <c r="AD325" s="236"/>
    </row>
    <row r="326" spans="1:30">
      <c r="A326" s="236"/>
      <c r="B326" s="236"/>
      <c r="C326" s="236"/>
      <c r="D326" s="236"/>
      <c r="E326" s="333"/>
      <c r="F326" s="236"/>
      <c r="G326" s="334"/>
      <c r="H326" s="10"/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 s="236"/>
      <c r="AC326" s="236"/>
      <c r="AD326" s="236"/>
    </row>
    <row r="327" spans="1:30">
      <c r="A327" s="236"/>
      <c r="B327" s="236"/>
      <c r="C327" s="236"/>
      <c r="D327" s="236"/>
      <c r="E327" s="333"/>
      <c r="F327" s="236"/>
      <c r="G327" s="334"/>
      <c r="H327" s="10"/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 s="236"/>
      <c r="AC327" s="236"/>
      <c r="AD327" s="236"/>
    </row>
    <row r="328" spans="1:30">
      <c r="A328" s="236"/>
      <c r="B328" s="236"/>
      <c r="C328" s="236"/>
      <c r="D328" s="236"/>
      <c r="E328" s="333"/>
      <c r="F328" s="236"/>
      <c r="G328" s="334"/>
      <c r="H328" s="10"/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 s="236"/>
      <c r="AC328" s="236"/>
      <c r="AD328" s="236"/>
    </row>
    <row r="329" spans="1:30">
      <c r="A329" s="236"/>
      <c r="B329" s="236"/>
      <c r="C329" s="236"/>
      <c r="D329" s="236"/>
      <c r="E329" s="333"/>
      <c r="F329" s="236"/>
      <c r="G329" s="334"/>
      <c r="H329" s="10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 s="236"/>
      <c r="AC329" s="236"/>
      <c r="AD329" s="236"/>
    </row>
    <row r="330" spans="1:30">
      <c r="A330" s="236"/>
      <c r="B330" s="236"/>
      <c r="C330" s="236"/>
      <c r="D330" s="236"/>
      <c r="E330" s="333"/>
      <c r="F330" s="236"/>
      <c r="G330" s="334"/>
      <c r="H330" s="10"/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 s="236"/>
      <c r="AC330" s="236"/>
      <c r="AD330" s="236"/>
    </row>
    <row r="331" spans="1:30">
      <c r="A331" s="236"/>
      <c r="B331" s="236"/>
      <c r="C331" s="236"/>
      <c r="D331" s="236"/>
      <c r="E331" s="333"/>
      <c r="F331" s="236"/>
      <c r="G331" s="334"/>
      <c r="H331" s="10"/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 s="236"/>
      <c r="AC331" s="236"/>
      <c r="AD331" s="236"/>
    </row>
    <row r="332" spans="1:30">
      <c r="A332" s="236"/>
      <c r="B332" s="236"/>
      <c r="C332" s="236"/>
      <c r="D332" s="236"/>
      <c r="E332" s="333"/>
      <c r="F332" s="236"/>
      <c r="G332" s="334"/>
      <c r="H332" s="10"/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 s="236"/>
      <c r="AC332" s="236"/>
      <c r="AD332" s="236"/>
    </row>
    <row r="333" spans="1:30">
      <c r="A333" s="236"/>
      <c r="B333" s="236"/>
      <c r="C333" s="236"/>
      <c r="D333" s="236"/>
      <c r="E333" s="333"/>
      <c r="F333" s="236"/>
      <c r="G333" s="334"/>
      <c r="H333" s="10"/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 s="236"/>
      <c r="AC333" s="236"/>
      <c r="AD333" s="236"/>
    </row>
    <row r="334" spans="1:30">
      <c r="A334" s="236"/>
      <c r="B334" s="236"/>
      <c r="C334" s="236"/>
      <c r="D334" s="236"/>
      <c r="E334" s="333"/>
      <c r="F334" s="236"/>
      <c r="G334" s="334"/>
      <c r="H334" s="10"/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 s="236"/>
      <c r="AC334" s="236"/>
      <c r="AD334" s="236"/>
    </row>
    <row r="335" spans="1:30">
      <c r="A335" s="236"/>
      <c r="B335" s="236"/>
      <c r="C335" s="236"/>
      <c r="D335" s="236"/>
      <c r="E335" s="333"/>
      <c r="F335" s="236"/>
      <c r="G335" s="334"/>
      <c r="H335" s="10"/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 s="236"/>
      <c r="AC335" s="236"/>
      <c r="AD335" s="236"/>
    </row>
    <row r="336" spans="1:30">
      <c r="A336" s="236"/>
      <c r="B336" s="236"/>
      <c r="C336" s="236"/>
      <c r="D336" s="236"/>
      <c r="E336" s="333"/>
      <c r="F336" s="236"/>
      <c r="G336" s="334"/>
      <c r="H336" s="10"/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 s="236"/>
      <c r="AC336" s="236"/>
      <c r="AD336" s="236"/>
    </row>
    <row r="337" spans="1:30">
      <c r="A337" s="236"/>
      <c r="B337" s="236"/>
      <c r="C337" s="236"/>
      <c r="D337" s="236"/>
      <c r="E337" s="333"/>
      <c r="F337" s="236"/>
      <c r="G337" s="334"/>
      <c r="H337" s="10"/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 s="236"/>
      <c r="AC337" s="236"/>
      <c r="AD337" s="236"/>
    </row>
    <row r="338" spans="1:30">
      <c r="A338" s="236"/>
      <c r="B338" s="236"/>
      <c r="C338" s="236"/>
      <c r="D338" s="236"/>
      <c r="E338" s="333"/>
      <c r="F338" s="236"/>
      <c r="G338" s="334"/>
      <c r="H338" s="10"/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 s="236"/>
      <c r="AC338" s="236"/>
      <c r="AD338" s="236"/>
    </row>
    <row r="339" spans="1:30">
      <c r="A339" s="236"/>
      <c r="B339" s="236"/>
      <c r="C339" s="236"/>
      <c r="D339" s="236"/>
      <c r="E339" s="333"/>
      <c r="F339" s="236"/>
      <c r="G339" s="334"/>
      <c r="H339" s="10"/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 s="236"/>
      <c r="AC339" s="236"/>
      <c r="AD339" s="236"/>
    </row>
    <row r="340" spans="1:30">
      <c r="A340" s="236"/>
      <c r="B340" s="236"/>
      <c r="C340" s="236"/>
      <c r="D340" s="236"/>
      <c r="E340" s="333"/>
      <c r="F340" s="236"/>
      <c r="G340" s="334"/>
      <c r="H340" s="10"/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 s="236"/>
      <c r="AC340" s="236"/>
      <c r="AD340" s="236"/>
    </row>
    <row r="341" spans="1:30">
      <c r="A341" s="236"/>
      <c r="B341" s="236"/>
      <c r="C341" s="236"/>
      <c r="D341" s="236"/>
      <c r="E341" s="333"/>
      <c r="F341" s="236"/>
      <c r="G341" s="334"/>
      <c r="H341" s="10"/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 s="236"/>
      <c r="AC341" s="236"/>
      <c r="AD341" s="236"/>
    </row>
    <row r="342" spans="1:30">
      <c r="A342" s="236"/>
      <c r="B342" s="236"/>
      <c r="C342" s="236"/>
      <c r="D342" s="236"/>
      <c r="E342" s="333"/>
      <c r="F342" s="236"/>
      <c r="G342" s="334"/>
      <c r="H342" s="10"/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 s="236"/>
      <c r="AC342" s="236"/>
      <c r="AD342" s="236"/>
    </row>
    <row r="343" spans="1:30">
      <c r="A343" s="236"/>
      <c r="B343" s="236"/>
      <c r="C343" s="236"/>
      <c r="D343" s="236"/>
      <c r="E343" s="333"/>
      <c r="F343" s="236"/>
      <c r="G343" s="334"/>
      <c r="H343" s="10"/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 s="236"/>
      <c r="AC343" s="236"/>
      <c r="AD343" s="236"/>
    </row>
    <row r="344" spans="1:30">
      <c r="A344" s="236"/>
      <c r="B344" s="236"/>
      <c r="C344" s="236"/>
      <c r="D344" s="236"/>
      <c r="E344" s="333"/>
      <c r="F344" s="236"/>
      <c r="G344" s="334"/>
      <c r="H344" s="10"/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 s="236"/>
      <c r="AC344" s="236"/>
      <c r="AD344" s="236"/>
    </row>
    <row r="345" spans="1:30">
      <c r="A345" s="236"/>
      <c r="B345" s="236"/>
      <c r="C345" s="236"/>
      <c r="D345" s="236"/>
      <c r="E345" s="333"/>
      <c r="F345" s="236"/>
      <c r="G345" s="334"/>
      <c r="H345" s="10"/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 s="236"/>
      <c r="AC345" s="236"/>
      <c r="AD345" s="236"/>
    </row>
    <row r="346" spans="1:30">
      <c r="A346" s="236"/>
      <c r="B346" s="236"/>
      <c r="C346" s="236"/>
      <c r="D346" s="236"/>
      <c r="E346" s="333"/>
      <c r="F346" s="236"/>
      <c r="G346" s="334"/>
      <c r="H346" s="10"/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  <c r="AA346" s="236"/>
      <c r="AB346" s="236"/>
      <c r="AC346" s="236"/>
      <c r="AD346" s="236"/>
    </row>
    <row r="347" spans="1:30">
      <c r="A347" s="236"/>
      <c r="B347" s="236"/>
      <c r="C347" s="236"/>
      <c r="D347" s="236"/>
      <c r="E347" s="333"/>
      <c r="F347" s="236"/>
      <c r="G347" s="334"/>
      <c r="H347" s="10"/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 s="236"/>
      <c r="AC347" s="236"/>
      <c r="AD347" s="236"/>
    </row>
    <row r="348" spans="1:30">
      <c r="A348" s="236"/>
      <c r="B348" s="236"/>
      <c r="C348" s="236"/>
      <c r="D348" s="236"/>
      <c r="E348" s="333"/>
      <c r="F348" s="236"/>
      <c r="G348" s="334"/>
      <c r="H348" s="10"/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 s="236"/>
      <c r="AC348" s="236"/>
      <c r="AD348" s="236"/>
    </row>
    <row r="349" spans="1:30">
      <c r="A349" s="236"/>
      <c r="B349" s="236"/>
      <c r="C349" s="236"/>
      <c r="D349" s="236"/>
      <c r="E349" s="333"/>
      <c r="F349" s="236"/>
      <c r="G349" s="334"/>
      <c r="H349" s="10"/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 s="236"/>
      <c r="AC349" s="236"/>
      <c r="AD349" s="236"/>
    </row>
    <row r="350" spans="1:30">
      <c r="A350" s="236"/>
      <c r="B350" s="236"/>
      <c r="C350" s="236"/>
      <c r="D350" s="236"/>
      <c r="E350" s="333"/>
      <c r="F350" s="236"/>
      <c r="G350" s="334"/>
      <c r="H350" s="10"/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 s="236"/>
      <c r="AC350" s="236"/>
      <c r="AD350" s="236"/>
    </row>
    <row r="351" spans="1:30">
      <c r="A351" s="236"/>
      <c r="B351" s="236"/>
      <c r="C351" s="236"/>
      <c r="D351" s="236"/>
      <c r="E351" s="333"/>
      <c r="F351" s="236"/>
      <c r="G351" s="334"/>
      <c r="H351" s="10"/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  <c r="AA351" s="236"/>
      <c r="AB351" s="236"/>
      <c r="AC351" s="236"/>
      <c r="AD351" s="236"/>
    </row>
    <row r="352" spans="1:30">
      <c r="A352" s="236"/>
      <c r="B352" s="236"/>
      <c r="C352" s="236"/>
      <c r="D352" s="236"/>
      <c r="E352" s="333"/>
      <c r="F352" s="236"/>
      <c r="G352" s="334"/>
      <c r="H352" s="10"/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 s="236"/>
      <c r="AC352" s="236"/>
      <c r="AD352" s="236"/>
    </row>
    <row r="353" spans="1:30">
      <c r="A353" s="236"/>
      <c r="B353" s="236"/>
      <c r="C353" s="236"/>
      <c r="D353" s="236"/>
      <c r="E353" s="333"/>
      <c r="F353" s="236"/>
      <c r="G353" s="334"/>
      <c r="H353" s="10"/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 s="236"/>
      <c r="AC353" s="236"/>
      <c r="AD353" s="236"/>
    </row>
    <row r="354" spans="1:30">
      <c r="A354" s="236"/>
      <c r="B354" s="236"/>
      <c r="C354" s="236"/>
      <c r="D354" s="236"/>
      <c r="E354" s="333"/>
      <c r="F354" s="236"/>
      <c r="G354" s="334"/>
      <c r="H354" s="10"/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 s="236"/>
      <c r="AC354" s="236"/>
      <c r="AD354" s="236"/>
    </row>
    <row r="355" spans="1:30">
      <c r="A355" s="236"/>
      <c r="B355" s="236"/>
      <c r="C355" s="236"/>
      <c r="D355" s="236"/>
      <c r="E355" s="333"/>
      <c r="F355" s="236"/>
      <c r="G355" s="334"/>
      <c r="H355" s="10"/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 s="236"/>
      <c r="AC355" s="236"/>
      <c r="AD355" s="236"/>
    </row>
    <row r="356" spans="1:30">
      <c r="A356" s="236"/>
      <c r="B356" s="236"/>
      <c r="C356" s="236"/>
      <c r="D356" s="236"/>
      <c r="E356" s="333"/>
      <c r="F356" s="236"/>
      <c r="G356" s="334"/>
      <c r="H356" s="10"/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 s="236"/>
      <c r="AC356" s="236"/>
      <c r="AD356" s="236"/>
    </row>
    <row r="357" spans="1:30">
      <c r="A357" s="236"/>
      <c r="B357" s="236"/>
      <c r="C357" s="236"/>
      <c r="D357" s="236"/>
      <c r="E357" s="333"/>
      <c r="F357" s="236"/>
      <c r="G357" s="334"/>
      <c r="H357" s="10"/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 s="236"/>
      <c r="AC357" s="236"/>
      <c r="AD357" s="236"/>
    </row>
    <row r="358" spans="1:30">
      <c r="A358" s="236"/>
      <c r="B358" s="236"/>
      <c r="C358" s="236"/>
      <c r="D358" s="236"/>
      <c r="E358" s="333"/>
      <c r="F358" s="236"/>
      <c r="G358" s="334"/>
      <c r="H358" s="10"/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 s="236"/>
      <c r="AC358" s="236"/>
      <c r="AD358" s="236"/>
    </row>
    <row r="359" spans="1:30">
      <c r="A359" s="236"/>
      <c r="B359" s="236"/>
      <c r="C359" s="236"/>
      <c r="D359" s="236"/>
      <c r="E359" s="333"/>
      <c r="F359" s="236"/>
      <c r="G359" s="334"/>
      <c r="H359" s="10"/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  <c r="AA359" s="236"/>
      <c r="AB359" s="236"/>
      <c r="AC359" s="236"/>
      <c r="AD359" s="236"/>
    </row>
    <row r="360" spans="1:30">
      <c r="A360" s="236"/>
      <c r="B360" s="236"/>
      <c r="C360" s="236"/>
      <c r="D360" s="236"/>
      <c r="E360" s="333"/>
      <c r="F360" s="236"/>
      <c r="G360" s="334"/>
      <c r="H360" s="10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 s="236"/>
      <c r="AC360" s="236"/>
      <c r="AD360" s="236"/>
    </row>
    <row r="361" spans="1:30">
      <c r="A361" s="236"/>
      <c r="B361" s="236"/>
      <c r="C361" s="236"/>
      <c r="D361" s="236"/>
      <c r="E361" s="333"/>
      <c r="F361" s="236"/>
      <c r="G361" s="334"/>
      <c r="H361" s="10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 s="236"/>
      <c r="AC361" s="236"/>
      <c r="AD361" s="236"/>
    </row>
    <row r="362" spans="1:30">
      <c r="A362" s="236"/>
      <c r="B362" s="236"/>
      <c r="C362" s="236"/>
      <c r="D362" s="236"/>
      <c r="E362" s="333"/>
      <c r="F362" s="236"/>
      <c r="G362" s="334"/>
      <c r="H362" s="10"/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 s="236"/>
      <c r="AC362" s="236"/>
      <c r="AD362" s="236"/>
    </row>
    <row r="363" spans="1:30">
      <c r="A363" s="236"/>
      <c r="B363" s="236"/>
      <c r="C363" s="236"/>
      <c r="D363" s="236"/>
      <c r="E363" s="333"/>
      <c r="F363" s="236"/>
      <c r="G363" s="334"/>
      <c r="H363" s="10"/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 s="236"/>
      <c r="AC363" s="236"/>
      <c r="AD363" s="236"/>
    </row>
    <row r="364" spans="1:30">
      <c r="A364" s="236"/>
      <c r="B364" s="236"/>
      <c r="C364" s="236"/>
      <c r="D364" s="236"/>
      <c r="E364" s="333"/>
      <c r="F364" s="236"/>
      <c r="G364" s="334"/>
      <c r="H364" s="10"/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 s="236"/>
      <c r="AC364" s="236"/>
      <c r="AD364" s="236"/>
    </row>
    <row r="365" spans="1:30">
      <c r="A365" s="236"/>
      <c r="B365" s="236"/>
      <c r="C365" s="236"/>
      <c r="D365" s="236"/>
      <c r="E365" s="333"/>
      <c r="F365" s="236"/>
      <c r="G365" s="334"/>
      <c r="H365" s="10"/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  <c r="AA365" s="236"/>
      <c r="AB365" s="236"/>
      <c r="AC365" s="236"/>
      <c r="AD365" s="236"/>
    </row>
    <row r="366" spans="1:30">
      <c r="A366" s="236"/>
      <c r="B366" s="236"/>
      <c r="C366" s="236"/>
      <c r="D366" s="236"/>
      <c r="E366" s="333"/>
      <c r="F366" s="236"/>
      <c r="G366" s="334"/>
      <c r="H366" s="10"/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 s="236"/>
      <c r="AC366" s="236"/>
      <c r="AD366" s="236"/>
    </row>
    <row r="367" spans="1:30">
      <c r="A367" s="236"/>
      <c r="B367" s="236"/>
      <c r="C367" s="236"/>
      <c r="D367" s="236"/>
      <c r="E367" s="333"/>
      <c r="F367" s="236"/>
      <c r="G367" s="334"/>
      <c r="H367" s="10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6"/>
    </row>
    <row r="368" spans="1:30">
      <c r="A368" s="236"/>
      <c r="B368" s="236"/>
      <c r="C368" s="236"/>
      <c r="D368" s="236"/>
      <c r="E368" s="333"/>
      <c r="F368" s="236"/>
      <c r="G368" s="334"/>
      <c r="H368" s="10"/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 s="236"/>
      <c r="AC368" s="236"/>
      <c r="AD368" s="236"/>
    </row>
    <row r="369" spans="1:30">
      <c r="A369" s="236"/>
      <c r="B369" s="236"/>
      <c r="C369" s="236"/>
      <c r="D369" s="236"/>
      <c r="E369" s="333"/>
      <c r="F369" s="236"/>
      <c r="G369" s="334"/>
      <c r="H369" s="10"/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 s="236"/>
      <c r="AC369" s="236"/>
      <c r="AD369" s="236"/>
    </row>
    <row r="370" spans="1:30">
      <c r="A370" s="236"/>
      <c r="B370" s="236"/>
      <c r="C370" s="236"/>
      <c r="D370" s="236"/>
      <c r="E370" s="333"/>
      <c r="F370" s="236"/>
      <c r="G370" s="334"/>
      <c r="H370" s="10"/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 s="236"/>
      <c r="AC370" s="236"/>
      <c r="AD370" s="236"/>
    </row>
    <row r="371" spans="1:30">
      <c r="A371" s="236"/>
      <c r="B371" s="236"/>
      <c r="C371" s="236"/>
      <c r="D371" s="236"/>
      <c r="E371" s="333"/>
      <c r="F371" s="236"/>
      <c r="G371" s="334"/>
      <c r="H371" s="10"/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 s="236"/>
      <c r="AC371" s="236"/>
      <c r="AD371" s="236"/>
    </row>
    <row r="372" spans="1:30">
      <c r="A372" s="236"/>
      <c r="B372" s="236"/>
      <c r="C372" s="236"/>
      <c r="D372" s="236"/>
      <c r="E372" s="333"/>
      <c r="F372" s="236"/>
      <c r="G372" s="334"/>
      <c r="H372" s="10"/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 s="236"/>
      <c r="AC372" s="236"/>
      <c r="AD372" s="236"/>
    </row>
    <row r="373" spans="1:30">
      <c r="A373" s="236"/>
      <c r="B373" s="236"/>
      <c r="C373" s="236"/>
      <c r="D373" s="236"/>
      <c r="E373" s="333"/>
      <c r="F373" s="236"/>
      <c r="G373" s="334"/>
      <c r="H373" s="10"/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 s="236"/>
      <c r="AC373" s="236"/>
      <c r="AD373" s="236"/>
    </row>
    <row r="374" spans="1:30">
      <c r="A374" s="236"/>
      <c r="B374" s="236"/>
      <c r="C374" s="236"/>
      <c r="D374" s="236"/>
      <c r="E374" s="333"/>
      <c r="F374" s="236"/>
      <c r="G374" s="334"/>
      <c r="H374" s="10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36"/>
      <c r="AC374" s="236"/>
      <c r="AD374" s="236"/>
    </row>
    <row r="375" spans="1:30">
      <c r="A375" s="236"/>
      <c r="B375" s="236"/>
      <c r="C375" s="236"/>
      <c r="D375" s="236"/>
      <c r="E375" s="333"/>
      <c r="F375" s="236"/>
      <c r="G375" s="334"/>
      <c r="H375" s="10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 s="236"/>
      <c r="AC375" s="236"/>
      <c r="AD375" s="236"/>
    </row>
    <row r="376" spans="1:30">
      <c r="A376" s="236"/>
      <c r="B376" s="236"/>
      <c r="C376" s="236"/>
      <c r="D376" s="236"/>
      <c r="E376" s="333"/>
      <c r="F376" s="236"/>
      <c r="G376" s="334"/>
      <c r="H376" s="10"/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 s="236"/>
      <c r="AC376" s="236"/>
      <c r="AD376" s="236"/>
    </row>
    <row r="377" spans="1:30">
      <c r="A377" s="236"/>
      <c r="B377" s="236"/>
      <c r="C377" s="236"/>
      <c r="D377" s="236"/>
      <c r="E377" s="333"/>
      <c r="F377" s="236"/>
      <c r="G377" s="334"/>
      <c r="H377" s="10"/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 s="236"/>
      <c r="AC377" s="236"/>
      <c r="AD377" s="236"/>
    </row>
    <row r="378" spans="1:30">
      <c r="A378" s="236"/>
      <c r="B378" s="236"/>
      <c r="C378" s="236"/>
      <c r="D378" s="236"/>
      <c r="E378" s="333"/>
      <c r="F378" s="236"/>
      <c r="G378" s="334"/>
      <c r="H378" s="10"/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 s="236"/>
      <c r="AC378" s="236"/>
      <c r="AD378" s="236"/>
    </row>
    <row r="379" spans="1:30">
      <c r="A379" s="236"/>
      <c r="B379" s="236"/>
      <c r="C379" s="236"/>
      <c r="D379" s="236"/>
      <c r="E379" s="333"/>
      <c r="F379" s="236"/>
      <c r="G379" s="334"/>
      <c r="H379" s="10"/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 s="236"/>
      <c r="AC379" s="236"/>
      <c r="AD379" s="236"/>
    </row>
    <row r="380" spans="1:30">
      <c r="A380" s="236"/>
      <c r="B380" s="236"/>
      <c r="C380" s="236"/>
      <c r="D380" s="236"/>
      <c r="E380" s="333"/>
      <c r="F380" s="236"/>
      <c r="G380" s="334"/>
      <c r="H380" s="10"/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 s="236"/>
      <c r="AC380" s="236"/>
      <c r="AD380" s="236"/>
    </row>
    <row r="381" spans="1:30">
      <c r="A381" s="236"/>
      <c r="B381" s="236"/>
      <c r="C381" s="236"/>
      <c r="D381" s="236"/>
      <c r="E381" s="333"/>
      <c r="F381" s="236"/>
      <c r="G381" s="334"/>
      <c r="H381" s="10"/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 s="236"/>
      <c r="AC381" s="236"/>
      <c r="AD381" s="236"/>
    </row>
    <row r="382" spans="1:30">
      <c r="A382" s="236"/>
      <c r="B382" s="236"/>
      <c r="C382" s="236"/>
      <c r="D382" s="236"/>
      <c r="E382" s="333"/>
      <c r="F382" s="236"/>
      <c r="G382" s="334"/>
      <c r="H382" s="10"/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 s="236"/>
      <c r="AC382" s="236"/>
      <c r="AD382" s="236"/>
    </row>
    <row r="383" spans="1:30">
      <c r="A383" s="236"/>
      <c r="B383" s="236"/>
      <c r="C383" s="236"/>
      <c r="D383" s="236"/>
      <c r="E383" s="333"/>
      <c r="F383" s="236"/>
      <c r="G383" s="334"/>
      <c r="H383" s="10"/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 s="236"/>
      <c r="AC383" s="236"/>
      <c r="AD383" s="236"/>
    </row>
    <row r="384" spans="1:30">
      <c r="A384" s="236"/>
      <c r="B384" s="236"/>
      <c r="C384" s="236"/>
      <c r="D384" s="236"/>
      <c r="E384" s="333"/>
      <c r="F384" s="236"/>
      <c r="G384" s="334"/>
      <c r="H384" s="10"/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 s="236"/>
      <c r="AC384" s="236"/>
      <c r="AD384" s="236"/>
    </row>
    <row r="385" spans="1:30">
      <c r="A385" s="236"/>
      <c r="B385" s="236"/>
      <c r="C385" s="236"/>
      <c r="D385" s="236"/>
      <c r="E385" s="333"/>
      <c r="F385" s="236"/>
      <c r="G385" s="334"/>
      <c r="H385" s="10"/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 s="236"/>
      <c r="AC385" s="236"/>
      <c r="AD385" s="236"/>
    </row>
    <row r="386" spans="1:30">
      <c r="A386" s="236"/>
      <c r="B386" s="236"/>
      <c r="C386" s="236"/>
      <c r="D386" s="236"/>
      <c r="E386" s="333"/>
      <c r="F386" s="236"/>
      <c r="G386" s="334"/>
      <c r="H386" s="10"/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 s="236"/>
      <c r="AC386" s="236"/>
      <c r="AD386" s="236"/>
    </row>
    <row r="387" spans="1:30">
      <c r="A387" s="236"/>
      <c r="B387" s="236"/>
      <c r="C387" s="236"/>
      <c r="D387" s="236"/>
      <c r="E387" s="333"/>
      <c r="F387" s="236"/>
      <c r="G387" s="334"/>
      <c r="H387" s="10"/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 s="236"/>
      <c r="AC387" s="236"/>
      <c r="AD387" s="236"/>
    </row>
    <row r="388" spans="1:30">
      <c r="A388" s="236"/>
      <c r="B388" s="236"/>
      <c r="C388" s="236"/>
      <c r="D388" s="236"/>
      <c r="E388" s="333"/>
      <c r="F388" s="236"/>
      <c r="G388" s="334"/>
      <c r="H388" s="10"/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  <c r="AA388" s="236"/>
      <c r="AB388" s="236"/>
      <c r="AC388" s="236"/>
      <c r="AD388" s="236"/>
    </row>
    <row r="389" spans="1:30">
      <c r="A389" s="236"/>
      <c r="B389" s="236"/>
      <c r="C389" s="236"/>
      <c r="D389" s="236"/>
      <c r="E389" s="333"/>
      <c r="F389" s="236"/>
      <c r="G389" s="334"/>
      <c r="H389" s="10"/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 s="236"/>
      <c r="AC389" s="236"/>
      <c r="AD389" s="236"/>
    </row>
    <row r="390" spans="1:30">
      <c r="A390" s="236"/>
      <c r="B390" s="236"/>
      <c r="C390" s="236"/>
      <c r="D390" s="236"/>
      <c r="E390" s="333"/>
      <c r="F390" s="236"/>
      <c r="G390" s="334"/>
      <c r="H390" s="10"/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 s="236"/>
      <c r="AC390" s="236"/>
      <c r="AD390" s="236"/>
    </row>
    <row r="391" spans="1:30">
      <c r="A391" s="236"/>
      <c r="B391" s="236"/>
      <c r="C391" s="236"/>
      <c r="D391" s="236"/>
      <c r="E391" s="333"/>
      <c r="F391" s="236"/>
      <c r="G391" s="334"/>
      <c r="H391" s="10"/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 s="236"/>
      <c r="AC391" s="236"/>
      <c r="AD391" s="236"/>
    </row>
    <row r="392" spans="1:30">
      <c r="A392" s="236"/>
      <c r="B392" s="236"/>
      <c r="C392" s="236"/>
      <c r="D392" s="236"/>
      <c r="E392" s="333"/>
      <c r="F392" s="236"/>
      <c r="G392" s="334"/>
      <c r="H392" s="10"/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 s="236"/>
      <c r="AC392" s="236"/>
      <c r="AD392" s="236"/>
    </row>
    <row r="393" spans="1:30">
      <c r="A393" s="236"/>
      <c r="B393" s="236"/>
      <c r="C393" s="236"/>
      <c r="D393" s="236"/>
      <c r="E393" s="333"/>
      <c r="F393" s="236"/>
      <c r="G393" s="334"/>
      <c r="H393" s="10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  <c r="AA393" s="236"/>
      <c r="AB393" s="236"/>
      <c r="AC393" s="236"/>
      <c r="AD393" s="236"/>
    </row>
    <row r="394" spans="1:30">
      <c r="A394" s="236"/>
      <c r="B394" s="236"/>
      <c r="C394" s="236"/>
      <c r="D394" s="236"/>
      <c r="E394" s="333"/>
      <c r="F394" s="236"/>
      <c r="G394" s="334"/>
      <c r="H394" s="10"/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 s="236"/>
      <c r="AC394" s="236"/>
      <c r="AD394" s="236"/>
    </row>
    <row r="395" spans="1:30">
      <c r="A395" s="236"/>
      <c r="B395" s="236"/>
      <c r="C395" s="236"/>
      <c r="D395" s="236"/>
      <c r="E395" s="333"/>
      <c r="F395" s="236"/>
      <c r="G395" s="334"/>
      <c r="H395" s="10"/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 s="236"/>
      <c r="AC395" s="236"/>
      <c r="AD395" s="236"/>
    </row>
    <row r="396" spans="1:30">
      <c r="A396" s="236"/>
      <c r="B396" s="236"/>
      <c r="C396" s="236"/>
      <c r="D396" s="236"/>
      <c r="E396" s="333"/>
      <c r="F396" s="236"/>
      <c r="G396" s="334"/>
      <c r="H396" s="10"/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 s="236"/>
      <c r="AC396" s="236"/>
      <c r="AD396" s="236"/>
    </row>
    <row r="397" spans="1:30">
      <c r="A397" s="236"/>
      <c r="B397" s="236"/>
      <c r="C397" s="236"/>
      <c r="D397" s="236"/>
      <c r="E397" s="333"/>
      <c r="F397" s="236"/>
      <c r="G397" s="334"/>
      <c r="H397" s="10"/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 s="236"/>
      <c r="AC397" s="236"/>
      <c r="AD397" s="236"/>
    </row>
    <row r="398" spans="1:30">
      <c r="A398" s="236"/>
      <c r="B398" s="236"/>
      <c r="C398" s="236"/>
      <c r="D398" s="236"/>
      <c r="E398" s="333"/>
      <c r="F398" s="236"/>
      <c r="G398" s="334"/>
      <c r="H398" s="10"/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 s="236"/>
      <c r="AC398" s="236"/>
      <c r="AD398" s="236"/>
    </row>
    <row r="399" spans="1:30">
      <c r="A399" s="236"/>
      <c r="B399" s="236"/>
      <c r="C399" s="236"/>
      <c r="D399" s="236"/>
      <c r="E399" s="333"/>
      <c r="F399" s="236"/>
      <c r="G399" s="334"/>
      <c r="H399" s="10"/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 s="236"/>
      <c r="AC399" s="236"/>
      <c r="AD399" s="236"/>
    </row>
    <row r="400" spans="1:30">
      <c r="A400" s="236"/>
      <c r="B400" s="236"/>
      <c r="C400" s="236"/>
      <c r="D400" s="236"/>
      <c r="E400" s="333"/>
      <c r="F400" s="236"/>
      <c r="G400" s="334"/>
      <c r="H400" s="10"/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 s="236"/>
      <c r="AC400" s="236"/>
      <c r="AD400" s="236"/>
    </row>
    <row r="401" spans="1:30">
      <c r="A401" s="236"/>
      <c r="B401" s="236"/>
      <c r="C401" s="236"/>
      <c r="D401" s="236"/>
      <c r="E401" s="333"/>
      <c r="F401" s="236"/>
      <c r="G401" s="334"/>
      <c r="H401" s="10"/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  <c r="AA401" s="236"/>
      <c r="AB401" s="236"/>
      <c r="AC401" s="236"/>
      <c r="AD401" s="236"/>
    </row>
    <row r="402" spans="1:30">
      <c r="A402" s="236"/>
      <c r="B402" s="236"/>
      <c r="C402" s="236"/>
      <c r="D402" s="236"/>
      <c r="E402" s="333"/>
      <c r="F402" s="236"/>
      <c r="G402" s="334"/>
      <c r="H402" s="10"/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 s="236"/>
      <c r="AC402" s="236"/>
      <c r="AD402" s="236"/>
    </row>
    <row r="403" spans="1:30">
      <c r="A403" s="236"/>
      <c r="B403" s="236"/>
      <c r="C403" s="236"/>
      <c r="D403" s="236"/>
      <c r="E403" s="333"/>
      <c r="F403" s="236"/>
      <c r="G403" s="334"/>
      <c r="H403" s="10"/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 s="236"/>
      <c r="AC403" s="236"/>
      <c r="AD403" s="236"/>
    </row>
    <row r="404" spans="1:30">
      <c r="A404" s="236"/>
      <c r="B404" s="236"/>
      <c r="C404" s="236"/>
      <c r="D404" s="236"/>
      <c r="E404" s="333"/>
      <c r="F404" s="236"/>
      <c r="G404" s="334"/>
      <c r="H404" s="10"/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 s="236"/>
      <c r="AC404" s="236"/>
      <c r="AD404" s="236"/>
    </row>
    <row r="405" spans="1:30">
      <c r="A405" s="236"/>
      <c r="B405" s="236"/>
      <c r="C405" s="236"/>
      <c r="D405" s="236"/>
      <c r="E405" s="333"/>
      <c r="F405" s="236"/>
      <c r="G405" s="334"/>
      <c r="H405" s="10"/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 s="236"/>
      <c r="AC405" s="236"/>
      <c r="AD405" s="236"/>
    </row>
    <row r="406" spans="1:30">
      <c r="A406" s="236"/>
      <c r="B406" s="236"/>
      <c r="C406" s="236"/>
      <c r="D406" s="236"/>
      <c r="E406" s="333"/>
      <c r="F406" s="236"/>
      <c r="G406" s="334"/>
      <c r="H406" s="10"/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 s="236"/>
      <c r="AC406" s="236"/>
      <c r="AD406" s="236"/>
    </row>
    <row r="407" spans="1:30">
      <c r="A407" s="236"/>
      <c r="B407" s="236"/>
      <c r="C407" s="236"/>
      <c r="D407" s="236"/>
      <c r="E407" s="333"/>
      <c r="F407" s="236"/>
      <c r="G407" s="334"/>
      <c r="H407" s="10"/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  <c r="AA407" s="236"/>
      <c r="AB407" s="236"/>
      <c r="AC407" s="236"/>
      <c r="AD407" s="236"/>
    </row>
    <row r="408" spans="1:30">
      <c r="A408" s="236"/>
      <c r="B408" s="236"/>
      <c r="C408" s="236"/>
      <c r="D408" s="236"/>
      <c r="E408" s="333"/>
      <c r="F408" s="236"/>
      <c r="G408" s="334"/>
      <c r="H408" s="10"/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 s="236"/>
      <c r="AC408" s="236"/>
      <c r="AD408" s="236"/>
    </row>
    <row r="409" spans="1:30">
      <c r="A409" s="236"/>
      <c r="B409" s="236"/>
      <c r="C409" s="236"/>
      <c r="D409" s="236"/>
      <c r="E409" s="333"/>
      <c r="F409" s="236"/>
      <c r="G409" s="334"/>
      <c r="H409" s="10"/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 s="236"/>
      <c r="AC409" s="236"/>
      <c r="AD409" s="236"/>
    </row>
    <row r="410" spans="1:30">
      <c r="A410" s="236"/>
      <c r="B410" s="236"/>
      <c r="C410" s="236"/>
      <c r="D410" s="236"/>
      <c r="E410" s="333"/>
      <c r="F410" s="236"/>
      <c r="G410" s="334"/>
      <c r="H410" s="10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 s="236"/>
      <c r="AC410" s="236"/>
      <c r="AD410" s="236"/>
    </row>
    <row r="411" spans="1:30">
      <c r="A411" s="236"/>
      <c r="B411" s="236"/>
      <c r="C411" s="236"/>
      <c r="D411" s="236"/>
      <c r="E411" s="333"/>
      <c r="F411" s="236"/>
      <c r="G411" s="334"/>
      <c r="H411" s="10"/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 s="236"/>
      <c r="AC411" s="236"/>
      <c r="AD411" s="236"/>
    </row>
    <row r="412" spans="1:30">
      <c r="A412" s="236"/>
      <c r="B412" s="236"/>
      <c r="C412" s="236"/>
      <c r="D412" s="236"/>
      <c r="E412" s="333"/>
      <c r="F412" s="236"/>
      <c r="G412" s="334"/>
      <c r="H412" s="10"/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 s="236"/>
      <c r="AC412" s="236"/>
      <c r="AD412" s="236"/>
    </row>
    <row r="413" spans="1:30">
      <c r="A413" s="236"/>
      <c r="B413" s="236"/>
      <c r="C413" s="236"/>
      <c r="D413" s="236"/>
      <c r="E413" s="333"/>
      <c r="F413" s="236"/>
      <c r="G413" s="334"/>
      <c r="H413" s="10"/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 s="236"/>
      <c r="AC413" s="236"/>
      <c r="AD413" s="236"/>
    </row>
    <row r="414" spans="1:30">
      <c r="A414" s="236"/>
      <c r="B414" s="236"/>
      <c r="C414" s="236"/>
      <c r="D414" s="236"/>
      <c r="E414" s="333"/>
      <c r="F414" s="236"/>
      <c r="G414" s="334"/>
      <c r="H414" s="10"/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 s="236"/>
      <c r="AC414" s="236"/>
      <c r="AD414" s="236"/>
    </row>
    <row r="415" spans="1:30">
      <c r="A415" s="236"/>
      <c r="B415" s="236"/>
      <c r="C415" s="236"/>
      <c r="D415" s="236"/>
      <c r="E415" s="333"/>
      <c r="F415" s="236"/>
      <c r="G415" s="334"/>
      <c r="H415" s="10"/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 s="236"/>
      <c r="AC415" s="236"/>
      <c r="AD415" s="236"/>
    </row>
    <row r="416" spans="1:30">
      <c r="A416" s="236"/>
      <c r="B416" s="236"/>
      <c r="C416" s="236"/>
      <c r="D416" s="236"/>
      <c r="E416" s="333"/>
      <c r="F416" s="236"/>
      <c r="G416" s="334"/>
      <c r="H416" s="10"/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 s="236"/>
      <c r="AC416" s="236"/>
      <c r="AD416" s="236"/>
    </row>
    <row r="417" spans="1:30">
      <c r="A417" s="236"/>
      <c r="B417" s="236"/>
      <c r="C417" s="236"/>
      <c r="D417" s="236"/>
      <c r="E417" s="333"/>
      <c r="F417" s="236"/>
      <c r="G417" s="334"/>
      <c r="H417" s="10"/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 s="236"/>
      <c r="AC417" s="236"/>
      <c r="AD417" s="236"/>
    </row>
    <row r="418" spans="1:30">
      <c r="A418" s="236"/>
      <c r="B418" s="236"/>
      <c r="C418" s="236"/>
      <c r="D418" s="236"/>
      <c r="E418" s="333"/>
      <c r="F418" s="236"/>
      <c r="G418" s="334"/>
      <c r="H418" s="10"/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 s="236"/>
      <c r="AC418" s="236"/>
      <c r="AD418" s="236"/>
    </row>
    <row r="419" spans="1:30">
      <c r="A419" s="236"/>
      <c r="B419" s="236"/>
      <c r="C419" s="236"/>
      <c r="D419" s="236"/>
      <c r="E419" s="333"/>
      <c r="F419" s="236"/>
      <c r="G419" s="334"/>
      <c r="H419" s="10"/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 s="236"/>
      <c r="AC419" s="236"/>
      <c r="AD419" s="236"/>
    </row>
    <row r="420" spans="1:30">
      <c r="A420" s="236"/>
      <c r="B420" s="236"/>
      <c r="C420" s="236"/>
      <c r="D420" s="236"/>
      <c r="E420" s="333"/>
      <c r="F420" s="236"/>
      <c r="G420" s="334"/>
      <c r="H420" s="10"/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 s="236"/>
      <c r="AC420" s="236"/>
      <c r="AD420" s="236"/>
    </row>
    <row r="421" spans="1:30">
      <c r="A421" s="236"/>
      <c r="B421" s="236"/>
      <c r="C421" s="236"/>
      <c r="D421" s="236"/>
      <c r="E421" s="333"/>
      <c r="F421" s="236"/>
      <c r="G421" s="334"/>
      <c r="H421" s="10"/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 s="236"/>
      <c r="AC421" s="236"/>
      <c r="AD421" s="236"/>
    </row>
    <row r="422" spans="1:30">
      <c r="A422" s="236"/>
      <c r="B422" s="236"/>
      <c r="C422" s="236"/>
      <c r="D422" s="236"/>
      <c r="E422" s="333"/>
      <c r="F422" s="236"/>
      <c r="G422" s="334"/>
      <c r="H422" s="10"/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 s="236"/>
      <c r="AC422" s="236"/>
      <c r="AD422" s="236"/>
    </row>
    <row r="423" spans="1:30">
      <c r="A423" s="236"/>
      <c r="B423" s="236"/>
      <c r="C423" s="236"/>
      <c r="D423" s="236"/>
      <c r="E423" s="333"/>
      <c r="F423" s="236"/>
      <c r="G423" s="334"/>
      <c r="H423" s="10"/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 s="236"/>
      <c r="AC423" s="236"/>
      <c r="AD423" s="236"/>
    </row>
    <row r="424" spans="1:30">
      <c r="A424" s="236"/>
      <c r="B424" s="236"/>
      <c r="C424" s="236"/>
      <c r="D424" s="236"/>
      <c r="E424" s="333"/>
      <c r="F424" s="236"/>
      <c r="G424" s="334"/>
      <c r="H424" s="10"/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 s="236"/>
      <c r="AC424" s="236"/>
      <c r="AD424" s="236"/>
    </row>
    <row r="425" spans="1:30">
      <c r="A425" s="236"/>
      <c r="B425" s="236"/>
      <c r="C425" s="236"/>
      <c r="D425" s="236"/>
      <c r="E425" s="333"/>
      <c r="F425" s="236"/>
      <c r="G425" s="334"/>
      <c r="H425" s="10"/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 s="236"/>
      <c r="AC425" s="236"/>
      <c r="AD425" s="236"/>
    </row>
    <row r="426" spans="1:30">
      <c r="A426" s="236"/>
      <c r="B426" s="236"/>
      <c r="C426" s="236"/>
      <c r="D426" s="236"/>
      <c r="E426" s="333"/>
      <c r="F426" s="236"/>
      <c r="G426" s="334"/>
      <c r="H426" s="10"/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 s="236"/>
      <c r="AC426" s="236"/>
      <c r="AD426" s="236"/>
    </row>
    <row r="427" spans="1:30">
      <c r="A427" s="236"/>
      <c r="B427" s="236"/>
      <c r="C427" s="236"/>
      <c r="D427" s="236"/>
      <c r="E427" s="333"/>
      <c r="F427" s="236"/>
      <c r="G427" s="334"/>
      <c r="H427" s="10"/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 s="236"/>
      <c r="AC427" s="236"/>
      <c r="AD427" s="236"/>
    </row>
    <row r="428" spans="1:30">
      <c r="A428" s="236"/>
      <c r="B428" s="236"/>
      <c r="C428" s="236"/>
      <c r="D428" s="236"/>
      <c r="E428" s="333"/>
      <c r="F428" s="236"/>
      <c r="G428" s="334"/>
      <c r="H428" s="10"/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 s="236"/>
      <c r="AC428" s="236"/>
      <c r="AD428" s="236"/>
    </row>
    <row r="429" spans="1:30">
      <c r="A429" s="236"/>
      <c r="B429" s="236"/>
      <c r="C429" s="236"/>
      <c r="D429" s="236"/>
      <c r="E429" s="333"/>
      <c r="F429" s="236"/>
      <c r="G429" s="334"/>
      <c r="H429" s="10"/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 s="236"/>
      <c r="AC429" s="236"/>
      <c r="AD429" s="236"/>
    </row>
    <row r="430" spans="1:30">
      <c r="A430" s="236"/>
      <c r="B430" s="236"/>
      <c r="C430" s="236"/>
      <c r="D430" s="236"/>
      <c r="E430" s="333"/>
      <c r="F430" s="236"/>
      <c r="G430" s="334"/>
      <c r="H430" s="10"/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  <c r="AA430" s="236"/>
      <c r="AB430" s="236"/>
      <c r="AC430" s="236"/>
      <c r="AD430" s="236"/>
    </row>
    <row r="431" spans="1:30">
      <c r="A431" s="236"/>
      <c r="B431" s="236"/>
      <c r="C431" s="236"/>
      <c r="D431" s="236"/>
      <c r="E431" s="333"/>
      <c r="F431" s="236"/>
      <c r="G431" s="334"/>
      <c r="H431" s="10"/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 s="236"/>
      <c r="AC431" s="236"/>
      <c r="AD431" s="236"/>
    </row>
    <row r="432" spans="1:30">
      <c r="A432" s="236"/>
      <c r="B432" s="236"/>
      <c r="C432" s="236"/>
      <c r="D432" s="236"/>
      <c r="E432" s="333"/>
      <c r="F432" s="236"/>
      <c r="G432" s="334"/>
      <c r="H432" s="10"/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 s="236"/>
      <c r="AC432" s="236"/>
      <c r="AD432" s="236"/>
    </row>
    <row r="433" spans="1:30">
      <c r="A433" s="236"/>
      <c r="B433" s="236"/>
      <c r="C433" s="236"/>
      <c r="D433" s="236"/>
      <c r="E433" s="333"/>
      <c r="F433" s="236"/>
      <c r="G433" s="334"/>
      <c r="H433" s="10"/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 s="236"/>
      <c r="AC433" s="236"/>
      <c r="AD433" s="236"/>
    </row>
    <row r="434" spans="1:30">
      <c r="A434" s="236"/>
      <c r="B434" s="236"/>
      <c r="C434" s="236"/>
      <c r="D434" s="236"/>
      <c r="E434" s="333"/>
      <c r="F434" s="236"/>
      <c r="G434" s="334"/>
      <c r="H434" s="10"/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 s="236"/>
      <c r="AC434" s="236"/>
      <c r="AD434" s="236"/>
    </row>
    <row r="435" spans="1:30">
      <c r="A435" s="236"/>
      <c r="B435" s="236"/>
      <c r="C435" s="236"/>
      <c r="D435" s="236"/>
      <c r="E435" s="333"/>
      <c r="F435" s="236"/>
      <c r="G435" s="334"/>
      <c r="H435" s="10"/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  <c r="AA435" s="236"/>
      <c r="AB435" s="236"/>
      <c r="AC435" s="236"/>
      <c r="AD435" s="236"/>
    </row>
    <row r="436" spans="1:30">
      <c r="A436" s="236"/>
      <c r="B436" s="236"/>
      <c r="C436" s="236"/>
      <c r="D436" s="236"/>
      <c r="E436" s="333"/>
      <c r="F436" s="236"/>
      <c r="G436" s="334"/>
      <c r="H436" s="10"/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 s="236"/>
      <c r="AC436" s="236"/>
      <c r="AD436" s="236"/>
    </row>
    <row r="437" spans="1:30">
      <c r="A437" s="236"/>
      <c r="B437" s="236"/>
      <c r="C437" s="236"/>
      <c r="D437" s="236"/>
      <c r="E437" s="333"/>
      <c r="F437" s="236"/>
      <c r="G437" s="334"/>
      <c r="H437" s="10"/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 s="236"/>
      <c r="AC437" s="236"/>
      <c r="AD437" s="236"/>
    </row>
    <row r="438" spans="1:30">
      <c r="A438" s="236"/>
      <c r="B438" s="236"/>
      <c r="C438" s="236"/>
      <c r="D438" s="236"/>
      <c r="E438" s="333"/>
      <c r="F438" s="236"/>
      <c r="G438" s="334"/>
      <c r="H438" s="10"/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 s="236"/>
      <c r="AC438" s="236"/>
      <c r="AD438" s="236"/>
    </row>
    <row r="439" spans="1:30">
      <c r="A439" s="236"/>
      <c r="B439" s="236"/>
      <c r="C439" s="236"/>
      <c r="D439" s="236"/>
      <c r="E439" s="333"/>
      <c r="F439" s="236"/>
      <c r="G439" s="334"/>
      <c r="H439" s="10"/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 s="236"/>
      <c r="AC439" s="236"/>
      <c r="AD439" s="236"/>
    </row>
    <row r="440" spans="1:30">
      <c r="A440" s="236"/>
      <c r="B440" s="236"/>
      <c r="C440" s="236"/>
      <c r="D440" s="236"/>
      <c r="E440" s="333"/>
      <c r="F440" s="236"/>
      <c r="G440" s="334"/>
      <c r="H440" s="10"/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 s="236"/>
      <c r="AC440" s="236"/>
      <c r="AD440" s="236"/>
    </row>
    <row r="441" spans="1:30">
      <c r="A441" s="236"/>
      <c r="B441" s="236"/>
      <c r="C441" s="236"/>
      <c r="D441" s="236"/>
      <c r="E441" s="333"/>
      <c r="F441" s="236"/>
      <c r="G441" s="334"/>
      <c r="H441" s="10"/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 s="236"/>
      <c r="AC441" s="236"/>
      <c r="AD441" s="236"/>
    </row>
    <row r="442" spans="1:30">
      <c r="A442" s="236"/>
      <c r="B442" s="236"/>
      <c r="C442" s="236"/>
      <c r="D442" s="236"/>
      <c r="E442" s="333"/>
      <c r="F442" s="236"/>
      <c r="G442" s="334"/>
      <c r="H442" s="10"/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 s="236"/>
      <c r="AC442" s="236"/>
      <c r="AD442" s="236"/>
    </row>
    <row r="443" spans="1:30">
      <c r="A443" s="236"/>
      <c r="B443" s="236"/>
      <c r="C443" s="236"/>
      <c r="D443" s="236"/>
      <c r="E443" s="333"/>
      <c r="F443" s="236"/>
      <c r="G443" s="334"/>
      <c r="H443" s="10"/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  <c r="AA443" s="236"/>
      <c r="AB443" s="236"/>
      <c r="AC443" s="236"/>
      <c r="AD443" s="236"/>
    </row>
    <row r="444" spans="1:30">
      <c r="A444" s="236"/>
      <c r="B444" s="236"/>
      <c r="C444" s="236"/>
      <c r="D444" s="236"/>
      <c r="E444" s="333"/>
      <c r="F444" s="236"/>
      <c r="G444" s="334"/>
      <c r="H444" s="10"/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 s="236"/>
      <c r="AC444" s="236"/>
      <c r="AD444" s="236"/>
    </row>
    <row r="445" spans="1:30">
      <c r="A445" s="236"/>
      <c r="B445" s="236"/>
      <c r="C445" s="236"/>
      <c r="D445" s="236"/>
      <c r="E445" s="333"/>
      <c r="F445" s="236"/>
      <c r="G445" s="334"/>
      <c r="H445" s="10"/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 s="236"/>
      <c r="AC445" s="236"/>
      <c r="AD445" s="236"/>
    </row>
    <row r="446" spans="1:30">
      <c r="A446" s="236"/>
      <c r="B446" s="236"/>
      <c r="C446" s="236"/>
      <c r="D446" s="236"/>
      <c r="E446" s="333"/>
      <c r="F446" s="236"/>
      <c r="G446" s="334"/>
      <c r="H446" s="10"/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 s="236"/>
      <c r="AC446" s="236"/>
      <c r="AD446" s="236"/>
    </row>
    <row r="447" spans="1:30">
      <c r="A447" s="236"/>
      <c r="B447" s="236"/>
      <c r="C447" s="236"/>
      <c r="D447" s="236"/>
      <c r="E447" s="333"/>
      <c r="F447" s="236"/>
      <c r="G447" s="334"/>
      <c r="H447" s="10"/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 s="236"/>
      <c r="AC447" s="236"/>
      <c r="AD447" s="236"/>
    </row>
    <row r="448" spans="1:30">
      <c r="A448" s="236"/>
      <c r="B448" s="236"/>
      <c r="C448" s="236"/>
      <c r="D448" s="236"/>
      <c r="E448" s="333"/>
      <c r="F448" s="236"/>
      <c r="G448" s="334"/>
      <c r="H448" s="10"/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 s="236"/>
      <c r="AC448" s="236"/>
      <c r="AD448" s="236"/>
    </row>
    <row r="449" spans="1:30">
      <c r="A449" s="236"/>
      <c r="B449" s="236"/>
      <c r="C449" s="236"/>
      <c r="D449" s="236"/>
      <c r="E449" s="333"/>
      <c r="F449" s="236"/>
      <c r="G449" s="334"/>
      <c r="H449" s="10"/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  <c r="AA449" s="236"/>
      <c r="AB449" s="236"/>
      <c r="AC449" s="236"/>
      <c r="AD449" s="236"/>
    </row>
    <row r="450" spans="1:30">
      <c r="A450" s="236"/>
      <c r="B450" s="236"/>
      <c r="C450" s="236"/>
      <c r="D450" s="236"/>
      <c r="E450" s="333"/>
      <c r="F450" s="236"/>
      <c r="G450" s="334"/>
      <c r="H450" s="10"/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 s="236"/>
      <c r="AC450" s="236"/>
      <c r="AD450" s="236"/>
    </row>
    <row r="451" spans="1:30">
      <c r="A451" s="236"/>
      <c r="B451" s="236"/>
      <c r="C451" s="236"/>
      <c r="D451" s="236"/>
      <c r="E451" s="333"/>
      <c r="F451" s="236"/>
      <c r="G451" s="334"/>
      <c r="H451" s="10"/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 s="236"/>
      <c r="AC451" s="236"/>
      <c r="AD451" s="236"/>
    </row>
    <row r="452" spans="1:30">
      <c r="A452" s="236"/>
      <c r="B452" s="236"/>
      <c r="C452" s="236"/>
      <c r="D452" s="236"/>
      <c r="E452" s="333"/>
      <c r="F452" s="236"/>
      <c r="G452" s="334"/>
      <c r="H452" s="10"/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 s="236"/>
      <c r="AC452" s="236"/>
      <c r="AD452" s="236"/>
    </row>
    <row r="453" spans="1:30">
      <c r="A453" s="236"/>
      <c r="B453" s="236"/>
      <c r="C453" s="236"/>
      <c r="D453" s="236"/>
      <c r="E453" s="333"/>
      <c r="F453" s="236"/>
      <c r="G453" s="334"/>
      <c r="H453" s="10"/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 s="236"/>
      <c r="AC453" s="236"/>
      <c r="AD453" s="236"/>
    </row>
    <row r="454" spans="1:30">
      <c r="A454" s="236"/>
      <c r="B454" s="236"/>
      <c r="C454" s="236"/>
      <c r="D454" s="236"/>
      <c r="E454" s="333"/>
      <c r="F454" s="236"/>
      <c r="G454" s="334"/>
      <c r="H454" s="10"/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 s="236"/>
      <c r="AC454" s="236"/>
      <c r="AD454" s="236"/>
    </row>
    <row r="455" spans="1:30">
      <c r="A455" s="236"/>
      <c r="B455" s="236"/>
      <c r="C455" s="236"/>
      <c r="D455" s="236"/>
      <c r="E455" s="333"/>
      <c r="F455" s="236"/>
      <c r="G455" s="334"/>
      <c r="H455" s="10"/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 s="236"/>
      <c r="AC455" s="236"/>
      <c r="AD455" s="236"/>
    </row>
    <row r="456" spans="1:30">
      <c r="A456" s="236"/>
      <c r="B456" s="236"/>
      <c r="C456" s="236"/>
      <c r="D456" s="236"/>
      <c r="E456" s="333"/>
      <c r="F456" s="236"/>
      <c r="G456" s="334"/>
      <c r="H456" s="10"/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 s="236"/>
      <c r="AC456" s="236"/>
      <c r="AD456" s="236"/>
    </row>
    <row r="457" spans="1:30">
      <c r="A457" s="236"/>
      <c r="B457" s="236"/>
      <c r="C457" s="236"/>
      <c r="D457" s="236"/>
      <c r="E457" s="333"/>
      <c r="F457" s="236"/>
      <c r="G457" s="334"/>
      <c r="H457" s="10"/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 s="236"/>
      <c r="AC457" s="236"/>
      <c r="AD457" s="236"/>
    </row>
    <row r="458" spans="1:30">
      <c r="A458" s="236"/>
      <c r="B458" s="236"/>
      <c r="C458" s="236"/>
      <c r="D458" s="236"/>
      <c r="E458" s="333"/>
      <c r="F458" s="236"/>
      <c r="G458" s="334"/>
      <c r="H458" s="10"/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 s="236"/>
      <c r="AC458" s="236"/>
      <c r="AD458" s="236"/>
    </row>
    <row r="459" spans="1:30">
      <c r="A459" s="236"/>
      <c r="B459" s="236"/>
      <c r="C459" s="236"/>
      <c r="D459" s="236"/>
      <c r="E459" s="333"/>
      <c r="F459" s="236"/>
      <c r="G459" s="334"/>
      <c r="H459" s="10"/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 s="236"/>
      <c r="AC459" s="236"/>
      <c r="AD459" s="236"/>
    </row>
    <row r="460" spans="1:30">
      <c r="A460" s="236"/>
      <c r="B460" s="236"/>
      <c r="C460" s="236"/>
      <c r="D460" s="236"/>
      <c r="E460" s="333"/>
      <c r="F460" s="236"/>
      <c r="G460" s="334"/>
      <c r="H460" s="10"/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 s="236"/>
      <c r="AC460" s="236"/>
      <c r="AD460" s="236"/>
    </row>
    <row r="461" spans="1:30">
      <c r="A461" s="236"/>
      <c r="B461" s="236"/>
      <c r="C461" s="236"/>
      <c r="D461" s="236"/>
      <c r="E461" s="333"/>
      <c r="F461" s="236"/>
      <c r="G461" s="334"/>
      <c r="H461" s="10"/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 s="236"/>
      <c r="AC461" s="236"/>
      <c r="AD461" s="236"/>
    </row>
    <row r="462" spans="1:30">
      <c r="A462" s="236"/>
      <c r="B462" s="236"/>
      <c r="C462" s="236"/>
      <c r="D462" s="236"/>
      <c r="E462" s="333"/>
      <c r="F462" s="236"/>
      <c r="G462" s="334"/>
      <c r="H462" s="10"/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 s="236"/>
      <c r="AC462" s="236"/>
      <c r="AD462" s="236"/>
    </row>
    <row r="463" spans="1:30">
      <c r="A463" s="236"/>
      <c r="B463" s="236"/>
      <c r="C463" s="236"/>
      <c r="D463" s="236"/>
      <c r="E463" s="333"/>
      <c r="F463" s="236"/>
      <c r="G463" s="334"/>
      <c r="H463" s="10"/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 s="236"/>
      <c r="AC463" s="236"/>
      <c r="AD463" s="236"/>
    </row>
    <row r="464" spans="1:30">
      <c r="A464" s="236"/>
      <c r="B464" s="236"/>
      <c r="C464" s="236"/>
      <c r="D464" s="236"/>
      <c r="E464" s="333"/>
      <c r="F464" s="236"/>
      <c r="G464" s="334"/>
      <c r="H464" s="10"/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 s="236"/>
      <c r="AC464" s="236"/>
      <c r="AD464" s="236"/>
    </row>
    <row r="465" spans="1:30">
      <c r="A465" s="236"/>
      <c r="B465" s="236"/>
      <c r="C465" s="236"/>
      <c r="D465" s="236"/>
      <c r="E465" s="333"/>
      <c r="F465" s="236"/>
      <c r="G465" s="334"/>
      <c r="H465" s="10"/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 s="236"/>
      <c r="AC465" s="236"/>
      <c r="AD465" s="236"/>
    </row>
    <row r="466" spans="1:30">
      <c r="A466" s="236"/>
      <c r="B466" s="236"/>
      <c r="C466" s="236"/>
      <c r="D466" s="236"/>
      <c r="E466" s="333"/>
      <c r="F466" s="236"/>
      <c r="G466" s="334"/>
      <c r="H466" s="10"/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 s="236"/>
      <c r="AC466" s="236"/>
      <c r="AD466" s="236"/>
    </row>
    <row r="467" spans="1:30">
      <c r="A467" s="236"/>
      <c r="B467" s="236"/>
      <c r="C467" s="236"/>
      <c r="D467" s="236"/>
      <c r="E467" s="333"/>
      <c r="F467" s="236"/>
      <c r="G467" s="334"/>
      <c r="H467" s="10"/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 s="236"/>
      <c r="AC467" s="236"/>
      <c r="AD467" s="236"/>
    </row>
    <row r="468" spans="1:30">
      <c r="A468" s="236"/>
      <c r="B468" s="236"/>
      <c r="C468" s="236"/>
      <c r="D468" s="236"/>
      <c r="E468" s="333"/>
      <c r="F468" s="236"/>
      <c r="G468" s="334"/>
      <c r="H468" s="10"/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 s="236"/>
      <c r="AC468" s="236"/>
      <c r="AD468" s="236"/>
    </row>
    <row r="469" spans="1:30">
      <c r="A469" s="236"/>
      <c r="B469" s="236"/>
      <c r="C469" s="236"/>
      <c r="D469" s="236"/>
      <c r="E469" s="333"/>
      <c r="F469" s="236"/>
      <c r="G469" s="334"/>
      <c r="H469" s="10"/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 s="236"/>
      <c r="AC469" s="236"/>
      <c r="AD469" s="236"/>
    </row>
    <row r="470" spans="1:30">
      <c r="A470" s="236"/>
      <c r="B470" s="236"/>
      <c r="C470" s="236"/>
      <c r="D470" s="236"/>
      <c r="E470" s="333"/>
      <c r="F470" s="236"/>
      <c r="G470" s="334"/>
      <c r="H470" s="10"/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 s="236"/>
      <c r="AC470" s="236"/>
      <c r="AD470" s="236"/>
    </row>
    <row r="471" spans="1:30">
      <c r="A471" s="236"/>
      <c r="B471" s="236"/>
      <c r="C471" s="236"/>
      <c r="D471" s="236"/>
      <c r="E471" s="333"/>
      <c r="F471" s="236"/>
      <c r="G471" s="334"/>
      <c r="H471" s="10"/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 s="236"/>
      <c r="AC471" s="236"/>
      <c r="AD471" s="236"/>
    </row>
    <row r="472" spans="1:30">
      <c r="A472" s="236"/>
      <c r="B472" s="236"/>
      <c r="C472" s="236"/>
      <c r="D472" s="236"/>
      <c r="E472" s="333"/>
      <c r="F472" s="236"/>
      <c r="G472" s="334"/>
      <c r="H472" s="10"/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  <c r="AA472" s="236"/>
      <c r="AB472" s="236"/>
      <c r="AC472" s="236"/>
      <c r="AD472" s="236"/>
    </row>
    <row r="473" spans="1:30">
      <c r="A473" s="236"/>
      <c r="B473" s="236"/>
      <c r="C473" s="236"/>
      <c r="D473" s="236"/>
      <c r="E473" s="333"/>
      <c r="F473" s="236"/>
      <c r="G473" s="334"/>
      <c r="H473" s="10"/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 s="236"/>
      <c r="AC473" s="236"/>
      <c r="AD473" s="236"/>
    </row>
    <row r="474" spans="1:30">
      <c r="A474" s="236"/>
      <c r="B474" s="236"/>
      <c r="C474" s="236"/>
      <c r="D474" s="236"/>
      <c r="E474" s="333"/>
      <c r="F474" s="236"/>
      <c r="G474" s="334"/>
      <c r="H474" s="10"/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 s="236"/>
      <c r="AC474" s="236"/>
      <c r="AD474" s="236"/>
    </row>
    <row r="475" spans="1:30">
      <c r="A475" s="236"/>
      <c r="B475" s="236"/>
      <c r="C475" s="236"/>
      <c r="D475" s="236"/>
      <c r="E475" s="333"/>
      <c r="F475" s="236"/>
      <c r="G475" s="334"/>
      <c r="H475" s="10"/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 s="236"/>
      <c r="AC475" s="236"/>
      <c r="AD475" s="236"/>
    </row>
    <row r="476" spans="1:30">
      <c r="A476" s="236"/>
      <c r="B476" s="236"/>
      <c r="C476" s="236"/>
      <c r="D476" s="236"/>
      <c r="E476" s="333"/>
      <c r="F476" s="236"/>
      <c r="G476" s="334"/>
      <c r="H476" s="10"/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 s="236"/>
      <c r="AC476" s="236"/>
      <c r="AD476" s="236"/>
    </row>
    <row r="477" spans="1:30">
      <c r="A477" s="236"/>
      <c r="B477" s="236"/>
      <c r="C477" s="236"/>
      <c r="D477" s="236"/>
      <c r="E477" s="333"/>
      <c r="F477" s="236"/>
      <c r="G477" s="334"/>
      <c r="H477" s="10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  <c r="AA477" s="236"/>
      <c r="AB477" s="236"/>
      <c r="AC477" s="236"/>
      <c r="AD477" s="236"/>
    </row>
    <row r="478" spans="1:30">
      <c r="A478" s="236"/>
      <c r="B478" s="236"/>
      <c r="C478" s="236"/>
      <c r="D478" s="236"/>
      <c r="E478" s="333"/>
      <c r="F478" s="236"/>
      <c r="G478" s="334"/>
      <c r="H478" s="10"/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 s="236"/>
      <c r="AC478" s="236"/>
      <c r="AD478" s="236"/>
    </row>
    <row r="479" spans="1:30">
      <c r="A479" s="236"/>
      <c r="B479" s="236"/>
      <c r="C479" s="236"/>
      <c r="D479" s="236"/>
      <c r="E479" s="333"/>
      <c r="F479" s="236"/>
      <c r="G479" s="334"/>
      <c r="H479" s="10"/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 s="236"/>
      <c r="AC479" s="236"/>
      <c r="AD479" s="236"/>
    </row>
    <row r="480" spans="1:30">
      <c r="A480" s="236"/>
      <c r="B480" s="236"/>
      <c r="C480" s="236"/>
      <c r="D480" s="236"/>
      <c r="E480" s="333"/>
      <c r="F480" s="236"/>
      <c r="G480" s="334"/>
      <c r="H480" s="10"/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  <c r="AA480" s="236"/>
      <c r="AB480" s="236"/>
      <c r="AC480" s="236"/>
      <c r="AD480" s="236"/>
    </row>
    <row r="481" spans="1:30">
      <c r="A481" s="236"/>
      <c r="B481" s="236"/>
      <c r="C481" s="236"/>
      <c r="D481" s="236"/>
      <c r="E481" s="333"/>
      <c r="F481" s="236"/>
      <c r="G481" s="334"/>
      <c r="H481" s="10"/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 s="236"/>
      <c r="AC481" s="236"/>
      <c r="AD481" s="236"/>
    </row>
    <row r="482" spans="1:30">
      <c r="A482" s="236"/>
      <c r="B482" s="236"/>
      <c r="C482" s="236"/>
      <c r="D482" s="236"/>
      <c r="E482" s="333"/>
      <c r="F482" s="236"/>
      <c r="G482" s="334"/>
      <c r="H482" s="10"/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 s="236"/>
      <c r="AC482" s="236"/>
      <c r="AD482" s="236"/>
    </row>
    <row r="483" spans="1:30">
      <c r="A483" s="236"/>
      <c r="B483" s="236"/>
      <c r="C483" s="236"/>
      <c r="D483" s="236"/>
      <c r="E483" s="333"/>
      <c r="F483" s="236"/>
      <c r="G483" s="334"/>
      <c r="H483" s="10"/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 s="236"/>
      <c r="AC483" s="236"/>
      <c r="AD483" s="236"/>
    </row>
    <row r="484" spans="1:30">
      <c r="A484" s="236"/>
      <c r="B484" s="236"/>
      <c r="C484" s="236"/>
      <c r="D484" s="236"/>
      <c r="E484" s="333"/>
      <c r="F484" s="236"/>
      <c r="G484" s="334"/>
      <c r="H484" s="10"/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 s="236"/>
      <c r="AC484" s="236"/>
      <c r="AD484" s="236"/>
    </row>
    <row r="485" spans="1:30">
      <c r="A485" s="236"/>
      <c r="B485" s="236"/>
      <c r="C485" s="236"/>
      <c r="D485" s="236"/>
      <c r="E485" s="333"/>
      <c r="F485" s="236"/>
      <c r="G485" s="334"/>
      <c r="H485" s="10"/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 s="236"/>
      <c r="AC485" s="236"/>
      <c r="AD485" s="236"/>
    </row>
    <row r="486" spans="1:30">
      <c r="A486" s="236"/>
      <c r="B486" s="236"/>
      <c r="C486" s="236"/>
      <c r="D486" s="236"/>
      <c r="E486" s="333"/>
      <c r="F486" s="236"/>
      <c r="G486" s="334"/>
      <c r="H486" s="10"/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 s="236"/>
      <c r="AC486" s="236"/>
      <c r="AD486" s="236"/>
    </row>
    <row r="487" spans="1:30">
      <c r="A487" s="236"/>
      <c r="B487" s="236"/>
      <c r="C487" s="236"/>
      <c r="D487" s="236"/>
      <c r="E487" s="333"/>
      <c r="F487" s="236"/>
      <c r="G487" s="334"/>
      <c r="H487" s="10"/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 s="236"/>
      <c r="AC487" s="236"/>
      <c r="AD487" s="236"/>
    </row>
    <row r="488" spans="1:30">
      <c r="A488" s="236"/>
      <c r="B488" s="236"/>
      <c r="C488" s="236"/>
      <c r="D488" s="236"/>
      <c r="E488" s="333"/>
      <c r="F488" s="236"/>
      <c r="G488" s="334"/>
      <c r="H488" s="10"/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 s="236"/>
      <c r="AC488" s="236"/>
      <c r="AD488" s="236"/>
    </row>
    <row r="489" spans="1:30">
      <c r="A489" s="236"/>
      <c r="B489" s="236"/>
      <c r="C489" s="236"/>
      <c r="D489" s="236"/>
      <c r="E489" s="333"/>
      <c r="F489" s="236"/>
      <c r="G489" s="334"/>
      <c r="H489" s="10"/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 s="236"/>
      <c r="AC489" s="236"/>
      <c r="AD489" s="236"/>
    </row>
    <row r="490" spans="1:30">
      <c r="A490" s="236"/>
      <c r="B490" s="236"/>
      <c r="C490" s="236"/>
      <c r="D490" s="236"/>
      <c r="E490" s="333"/>
      <c r="F490" s="236"/>
      <c r="G490" s="334"/>
      <c r="H490" s="10"/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 s="236"/>
      <c r="AC490" s="236"/>
      <c r="AD490" s="236"/>
    </row>
    <row r="491" spans="1:30">
      <c r="A491" s="236"/>
      <c r="B491" s="236"/>
      <c r="C491" s="236"/>
      <c r="D491" s="236"/>
      <c r="E491" s="333"/>
      <c r="F491" s="236"/>
      <c r="G491" s="334"/>
      <c r="H491" s="10"/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 s="236"/>
      <c r="AC491" s="236"/>
      <c r="AD491" s="236"/>
    </row>
    <row r="492" spans="1:30">
      <c r="A492" s="236"/>
      <c r="B492" s="236"/>
      <c r="C492" s="236"/>
      <c r="D492" s="236"/>
      <c r="E492" s="333"/>
      <c r="F492" s="236"/>
      <c r="G492" s="334"/>
      <c r="H492" s="10"/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 s="236"/>
      <c r="AC492" s="236"/>
      <c r="AD492" s="236"/>
    </row>
    <row r="493" spans="1:30">
      <c r="A493" s="236"/>
      <c r="B493" s="236"/>
      <c r="C493" s="236"/>
      <c r="D493" s="236"/>
      <c r="E493" s="333"/>
      <c r="F493" s="236"/>
      <c r="G493" s="334"/>
      <c r="H493" s="10"/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 s="236"/>
      <c r="AC493" s="236"/>
      <c r="AD493" s="236"/>
    </row>
    <row r="494" spans="1:30">
      <c r="A494" s="236"/>
      <c r="B494" s="236"/>
      <c r="C494" s="236"/>
      <c r="D494" s="236"/>
      <c r="E494" s="333"/>
      <c r="F494" s="236"/>
      <c r="G494" s="334"/>
      <c r="H494" s="10"/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 s="236"/>
      <c r="AC494" s="236"/>
      <c r="AD494" s="236"/>
    </row>
    <row r="495" spans="1:30">
      <c r="A495" s="236"/>
      <c r="B495" s="236"/>
      <c r="C495" s="236"/>
      <c r="D495" s="236"/>
      <c r="E495" s="333"/>
      <c r="F495" s="236"/>
      <c r="G495" s="334"/>
      <c r="H495" s="10"/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 s="236"/>
      <c r="AC495" s="236"/>
      <c r="AD495" s="236"/>
    </row>
    <row r="496" spans="1:30">
      <c r="A496" s="236"/>
      <c r="B496" s="236"/>
      <c r="C496" s="236"/>
      <c r="D496" s="236"/>
      <c r="E496" s="333"/>
      <c r="F496" s="236"/>
      <c r="G496" s="334"/>
      <c r="H496" s="10"/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 s="236"/>
      <c r="AC496" s="236"/>
      <c r="AD496" s="236"/>
    </row>
    <row r="497" spans="1:30">
      <c r="A497" s="236"/>
      <c r="B497" s="236"/>
      <c r="C497" s="236"/>
      <c r="D497" s="236"/>
      <c r="E497" s="333"/>
      <c r="F497" s="236"/>
      <c r="G497" s="334"/>
      <c r="H497" s="10"/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 s="236"/>
      <c r="AC497" s="236"/>
      <c r="AD497" s="236"/>
    </row>
    <row r="498" spans="1:30">
      <c r="A498" s="236"/>
      <c r="B498" s="236"/>
      <c r="C498" s="236"/>
      <c r="D498" s="236"/>
      <c r="E498" s="333"/>
      <c r="F498" s="236"/>
      <c r="G498" s="334"/>
      <c r="H498" s="10"/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 s="236"/>
      <c r="AC498" s="236"/>
      <c r="AD498" s="236"/>
    </row>
    <row r="499" spans="1:30">
      <c r="A499" s="236"/>
      <c r="B499" s="236"/>
      <c r="C499" s="236"/>
      <c r="D499" s="236"/>
      <c r="E499" s="333"/>
      <c r="F499" s="236"/>
      <c r="G499" s="334"/>
      <c r="H499" s="10"/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 s="236"/>
      <c r="AC499" s="236"/>
      <c r="AD499" s="236"/>
    </row>
    <row r="500" spans="1:30">
      <c r="A500" s="236"/>
      <c r="B500" s="236"/>
      <c r="C500" s="236"/>
      <c r="D500" s="236"/>
      <c r="E500" s="333"/>
      <c r="F500" s="236"/>
      <c r="G500" s="334"/>
      <c r="H500" s="10"/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 s="236"/>
      <c r="AC500" s="236"/>
      <c r="AD500" s="236"/>
    </row>
    <row r="501" spans="1:30">
      <c r="A501" s="236"/>
      <c r="B501" s="236"/>
      <c r="C501" s="236"/>
      <c r="D501" s="236"/>
      <c r="E501" s="333"/>
      <c r="F501" s="236"/>
      <c r="G501" s="334"/>
      <c r="H501" s="10"/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 s="236"/>
      <c r="AC501" s="236"/>
      <c r="AD501" s="236"/>
    </row>
    <row r="502" spans="1:30">
      <c r="A502" s="236"/>
      <c r="B502" s="236"/>
      <c r="C502" s="236"/>
      <c r="D502" s="236"/>
      <c r="E502" s="333"/>
      <c r="F502" s="236"/>
      <c r="G502" s="334"/>
      <c r="H502" s="10"/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 s="236"/>
      <c r="AC502" s="236"/>
      <c r="AD502" s="236"/>
    </row>
    <row r="503" spans="1:30">
      <c r="A503" s="236"/>
      <c r="B503" s="236"/>
      <c r="C503" s="236"/>
      <c r="D503" s="236"/>
      <c r="E503" s="333"/>
      <c r="F503" s="236"/>
      <c r="G503" s="334"/>
      <c r="H503" s="10"/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  <c r="AA503" s="236"/>
      <c r="AB503" s="236"/>
      <c r="AC503" s="236"/>
      <c r="AD503" s="236"/>
    </row>
    <row r="504" spans="1:30">
      <c r="A504" s="236"/>
      <c r="B504" s="236"/>
      <c r="C504" s="236"/>
      <c r="D504" s="236"/>
      <c r="E504" s="333"/>
      <c r="F504" s="236"/>
      <c r="G504" s="334"/>
      <c r="H504" s="10"/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 s="236"/>
      <c r="AC504" s="236"/>
      <c r="AD504" s="236"/>
    </row>
    <row r="505" spans="1:30">
      <c r="A505" s="236"/>
      <c r="B505" s="236"/>
      <c r="C505" s="236"/>
      <c r="D505" s="236"/>
      <c r="E505" s="333"/>
      <c r="F505" s="236"/>
      <c r="G505" s="334"/>
      <c r="H505" s="10"/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 s="236"/>
      <c r="AC505" s="236"/>
      <c r="AD505" s="236"/>
    </row>
    <row r="506" spans="1:30">
      <c r="A506" s="236"/>
      <c r="B506" s="236"/>
      <c r="C506" s="236"/>
      <c r="D506" s="236"/>
      <c r="E506" s="333"/>
      <c r="F506" s="236"/>
      <c r="G506" s="334"/>
      <c r="H506" s="10"/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 s="236"/>
      <c r="AC506" s="236"/>
      <c r="AD506" s="236"/>
    </row>
    <row r="507" spans="1:30">
      <c r="A507" s="236"/>
      <c r="B507" s="236"/>
      <c r="C507" s="236"/>
      <c r="D507" s="236"/>
      <c r="E507" s="333"/>
      <c r="F507" s="236"/>
      <c r="G507" s="334"/>
      <c r="H507" s="10"/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 s="236"/>
      <c r="AC507" s="236"/>
      <c r="AD507" s="236"/>
    </row>
    <row r="508" spans="1:30">
      <c r="A508" s="236"/>
      <c r="B508" s="236"/>
      <c r="C508" s="236"/>
      <c r="D508" s="236"/>
      <c r="E508" s="333"/>
      <c r="F508" s="236"/>
      <c r="G508" s="334"/>
      <c r="H508" s="10"/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  <c r="AA508" s="236"/>
      <c r="AB508" s="236"/>
      <c r="AC508" s="236"/>
      <c r="AD508" s="236"/>
    </row>
    <row r="509" spans="1:30">
      <c r="A509" s="236"/>
      <c r="B509" s="236"/>
      <c r="C509" s="236"/>
      <c r="D509" s="236"/>
      <c r="E509" s="333"/>
      <c r="F509" s="236"/>
      <c r="G509" s="334"/>
      <c r="H509" s="10"/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 s="236"/>
      <c r="AC509" s="236"/>
      <c r="AD509" s="236"/>
    </row>
    <row r="510" spans="1:30">
      <c r="A510" s="236"/>
      <c r="B510" s="236"/>
      <c r="C510" s="236"/>
      <c r="D510" s="236"/>
      <c r="E510" s="333"/>
      <c r="F510" s="236"/>
      <c r="G510" s="334"/>
      <c r="H510" s="10"/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 s="236"/>
      <c r="AC510" s="236"/>
      <c r="AD510" s="236"/>
    </row>
    <row r="511" spans="1:30">
      <c r="A511" s="236"/>
      <c r="B511" s="236"/>
      <c r="C511" s="236"/>
      <c r="D511" s="236"/>
      <c r="E511" s="333"/>
      <c r="F511" s="236"/>
      <c r="G511" s="334"/>
      <c r="H511" s="10"/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 s="236"/>
      <c r="AC511" s="236"/>
      <c r="AD511" s="236"/>
    </row>
    <row r="512" spans="1:30">
      <c r="A512" s="236"/>
      <c r="B512" s="236"/>
      <c r="C512" s="236"/>
      <c r="D512" s="236"/>
      <c r="E512" s="333"/>
      <c r="F512" s="236"/>
      <c r="G512" s="334"/>
      <c r="H512" s="10"/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 s="236"/>
      <c r="AC512" s="236"/>
      <c r="AD512" s="236"/>
    </row>
    <row r="513" spans="1:30">
      <c r="A513" s="236"/>
      <c r="B513" s="236"/>
      <c r="C513" s="236"/>
      <c r="D513" s="236"/>
      <c r="E513" s="333"/>
      <c r="F513" s="236"/>
      <c r="G513" s="334"/>
      <c r="H513" s="10"/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 s="236"/>
      <c r="AC513" s="236"/>
      <c r="AD513" s="236"/>
    </row>
    <row r="514" spans="1:30">
      <c r="A514" s="236"/>
      <c r="B514" s="236"/>
      <c r="C514" s="236"/>
      <c r="D514" s="236"/>
      <c r="E514" s="333"/>
      <c r="F514" s="236"/>
      <c r="G514" s="334"/>
      <c r="H514" s="10"/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 s="236"/>
      <c r="AC514" s="236"/>
      <c r="AD514" s="236"/>
    </row>
    <row r="515" spans="1:30">
      <c r="A515" s="236"/>
      <c r="B515" s="236"/>
      <c r="C515" s="236"/>
      <c r="D515" s="236"/>
      <c r="E515" s="333"/>
      <c r="F515" s="236"/>
      <c r="G515" s="334"/>
      <c r="H515" s="10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 s="236"/>
      <c r="AC515" s="236"/>
      <c r="AD515" s="236"/>
    </row>
    <row r="516" spans="1:30">
      <c r="A516" s="236"/>
      <c r="B516" s="236"/>
      <c r="C516" s="236"/>
      <c r="D516" s="236"/>
      <c r="E516" s="333"/>
      <c r="F516" s="236"/>
      <c r="G516" s="334"/>
      <c r="H516" s="10"/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  <c r="AA516" s="236"/>
      <c r="AB516" s="236"/>
      <c r="AC516" s="236"/>
      <c r="AD516" s="236"/>
    </row>
    <row r="517" spans="1:30">
      <c r="A517" s="236"/>
      <c r="B517" s="236"/>
      <c r="C517" s="236"/>
      <c r="D517" s="236"/>
      <c r="E517" s="333"/>
      <c r="F517" s="236"/>
      <c r="G517" s="334"/>
      <c r="H517" s="10"/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 s="236"/>
      <c r="AC517" s="236"/>
      <c r="AD517" s="236"/>
    </row>
    <row r="518" spans="1:30">
      <c r="A518" s="236"/>
      <c r="B518" s="236"/>
      <c r="C518" s="236"/>
      <c r="D518" s="236"/>
      <c r="E518" s="333"/>
      <c r="F518" s="236"/>
      <c r="G518" s="334"/>
      <c r="H518" s="10"/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 s="236"/>
      <c r="AC518" s="236"/>
      <c r="AD518" s="236"/>
    </row>
    <row r="519" spans="1:30">
      <c r="A519" s="236"/>
      <c r="B519" s="236"/>
      <c r="C519" s="236"/>
      <c r="D519" s="236"/>
      <c r="E519" s="333"/>
      <c r="F519" s="236"/>
      <c r="G519" s="334"/>
      <c r="H519" s="10"/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 s="236"/>
      <c r="AC519" s="236"/>
      <c r="AD519" s="236"/>
    </row>
    <row r="520" spans="1:30">
      <c r="A520" s="236"/>
      <c r="B520" s="236"/>
      <c r="C520" s="236"/>
      <c r="D520" s="236"/>
      <c r="E520" s="333"/>
      <c r="F520" s="236"/>
      <c r="G520" s="334"/>
      <c r="H520" s="10"/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 s="236"/>
      <c r="AC520" s="236"/>
      <c r="AD520" s="236"/>
    </row>
    <row r="521" spans="1:30">
      <c r="A521" s="236"/>
      <c r="B521" s="236"/>
      <c r="C521" s="236"/>
      <c r="D521" s="236"/>
      <c r="E521" s="333"/>
      <c r="F521" s="236"/>
      <c r="G521" s="334"/>
      <c r="H521" s="10"/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 s="236"/>
      <c r="AC521" s="236"/>
      <c r="AD521" s="236"/>
    </row>
    <row r="522" spans="1:30">
      <c r="A522" s="236"/>
      <c r="B522" s="236"/>
      <c r="C522" s="236"/>
      <c r="D522" s="236"/>
      <c r="E522" s="333"/>
      <c r="F522" s="236"/>
      <c r="G522" s="334"/>
      <c r="H522" s="10"/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  <c r="AA522" s="236"/>
      <c r="AB522" s="236"/>
      <c r="AC522" s="236"/>
      <c r="AD522" s="236"/>
    </row>
    <row r="523" spans="1:30">
      <c r="A523" s="236"/>
      <c r="B523" s="236"/>
      <c r="C523" s="236"/>
      <c r="D523" s="236"/>
      <c r="E523" s="333"/>
      <c r="F523" s="236"/>
      <c r="G523" s="334"/>
      <c r="H523" s="10"/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 s="236"/>
      <c r="AC523" s="236"/>
      <c r="AD523" s="236"/>
    </row>
    <row r="524" spans="1:30">
      <c r="A524" s="236"/>
      <c r="B524" s="236"/>
      <c r="C524" s="236"/>
      <c r="D524" s="236"/>
      <c r="E524" s="333"/>
      <c r="F524" s="236"/>
      <c r="G524" s="334"/>
      <c r="H524" s="10"/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 s="236"/>
      <c r="AC524" s="236"/>
      <c r="AD524" s="236"/>
    </row>
    <row r="525" spans="1:30">
      <c r="A525" s="236"/>
      <c r="B525" s="236"/>
      <c r="C525" s="236"/>
      <c r="D525" s="236"/>
      <c r="E525" s="333"/>
      <c r="F525" s="236"/>
      <c r="G525" s="334"/>
      <c r="H525" s="10"/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 s="236"/>
      <c r="AC525" s="236"/>
      <c r="AD525" s="236"/>
    </row>
    <row r="526" spans="1:30">
      <c r="A526" s="236"/>
      <c r="B526" s="236"/>
      <c r="C526" s="236"/>
      <c r="D526" s="236"/>
      <c r="E526" s="333"/>
      <c r="F526" s="236"/>
      <c r="G526" s="334"/>
      <c r="H526" s="10"/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 s="236"/>
      <c r="AC526" s="236"/>
      <c r="AD526" s="236"/>
    </row>
    <row r="527" spans="1:30">
      <c r="A527" s="236"/>
      <c r="B527" s="236"/>
      <c r="C527" s="236"/>
      <c r="D527" s="236"/>
      <c r="E527" s="333"/>
      <c r="F527" s="236"/>
      <c r="G527" s="334"/>
      <c r="H527" s="10"/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 s="236"/>
      <c r="AC527" s="236"/>
      <c r="AD527" s="236"/>
    </row>
    <row r="528" spans="1:30">
      <c r="A528" s="236"/>
      <c r="B528" s="236"/>
      <c r="C528" s="236"/>
      <c r="D528" s="236"/>
      <c r="E528" s="333"/>
      <c r="F528" s="236"/>
      <c r="G528" s="334"/>
      <c r="H528" s="10"/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 s="236"/>
      <c r="AC528" s="236"/>
      <c r="AD528" s="236"/>
    </row>
    <row r="529" spans="1:30">
      <c r="A529" s="236"/>
      <c r="B529" s="236"/>
      <c r="C529" s="236"/>
      <c r="D529" s="236"/>
      <c r="E529" s="333"/>
      <c r="F529" s="236"/>
      <c r="G529" s="334"/>
      <c r="H529" s="10"/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 s="236"/>
      <c r="AC529" s="236"/>
      <c r="AD529" s="236"/>
    </row>
    <row r="530" spans="1:30">
      <c r="A530" s="236"/>
      <c r="B530" s="236"/>
      <c r="C530" s="236"/>
      <c r="D530" s="236"/>
      <c r="E530" s="333"/>
      <c r="F530" s="236"/>
      <c r="G530" s="334"/>
      <c r="H530" s="10"/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 s="236"/>
      <c r="AC530" s="236"/>
      <c r="AD530" s="236"/>
    </row>
    <row r="531" spans="1:30">
      <c r="A531" s="236"/>
      <c r="B531" s="236"/>
      <c r="C531" s="236"/>
      <c r="D531" s="236"/>
      <c r="E531" s="333"/>
      <c r="F531" s="236"/>
      <c r="G531" s="334"/>
      <c r="H531" s="10"/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 s="236"/>
      <c r="AC531" s="236"/>
      <c r="AD531" s="236"/>
    </row>
    <row r="532" spans="1:30">
      <c r="A532" s="236"/>
      <c r="B532" s="236"/>
      <c r="C532" s="236"/>
      <c r="D532" s="236"/>
      <c r="E532" s="333"/>
      <c r="F532" s="236"/>
      <c r="G532" s="334"/>
      <c r="H532" s="10"/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 s="236"/>
      <c r="AC532" s="236"/>
      <c r="AD532" s="236"/>
    </row>
    <row r="533" spans="1:30">
      <c r="A533" s="236"/>
      <c r="B533" s="236"/>
      <c r="C533" s="236"/>
      <c r="D533" s="236"/>
      <c r="E533" s="333"/>
      <c r="F533" s="236"/>
      <c r="G533" s="334"/>
      <c r="H533" s="10"/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 s="236"/>
      <c r="AC533" s="236"/>
      <c r="AD533" s="236"/>
    </row>
    <row r="534" spans="1:30">
      <c r="A534" s="236"/>
      <c r="B534" s="236"/>
      <c r="C534" s="236"/>
      <c r="D534" s="236"/>
      <c r="E534" s="333"/>
      <c r="F534" s="236"/>
      <c r="G534" s="334"/>
      <c r="H534" s="10"/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 s="236"/>
      <c r="AC534" s="236"/>
      <c r="AD534" s="236"/>
    </row>
    <row r="535" spans="1:30">
      <c r="A535" s="236"/>
      <c r="B535" s="236"/>
      <c r="C535" s="236"/>
      <c r="D535" s="236"/>
      <c r="E535" s="333"/>
      <c r="F535" s="236"/>
      <c r="G535" s="334"/>
      <c r="H535" s="10"/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 s="236"/>
      <c r="AC535" s="236"/>
      <c r="AD535" s="236"/>
    </row>
    <row r="536" spans="1:30">
      <c r="A536" s="236"/>
      <c r="B536" s="236"/>
      <c r="C536" s="236"/>
      <c r="D536" s="236"/>
      <c r="E536" s="333"/>
      <c r="F536" s="236"/>
      <c r="G536" s="334"/>
      <c r="H536" s="10"/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 s="236"/>
      <c r="AC536" s="236"/>
      <c r="AD536" s="236"/>
    </row>
    <row r="537" spans="1:30">
      <c r="A537" s="236"/>
      <c r="B537" s="236"/>
      <c r="C537" s="236"/>
      <c r="D537" s="236"/>
      <c r="E537" s="333"/>
      <c r="F537" s="236"/>
      <c r="G537" s="334"/>
      <c r="H537" s="10"/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 s="236"/>
      <c r="AC537" s="236"/>
      <c r="AD537" s="236"/>
    </row>
    <row r="538" spans="1:30">
      <c r="A538" s="236"/>
      <c r="B538" s="236"/>
      <c r="C538" s="236"/>
      <c r="D538" s="236"/>
      <c r="E538" s="333"/>
      <c r="F538" s="236"/>
      <c r="G538" s="334"/>
      <c r="H538" s="10"/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 s="236"/>
      <c r="AC538" s="236"/>
      <c r="AD538" s="236"/>
    </row>
    <row r="539" spans="1:30">
      <c r="A539" s="236"/>
      <c r="B539" s="236"/>
      <c r="C539" s="236"/>
      <c r="D539" s="236"/>
      <c r="E539" s="333"/>
      <c r="F539" s="236"/>
      <c r="G539" s="334"/>
      <c r="H539" s="10"/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 s="236"/>
      <c r="AC539" s="236"/>
      <c r="AD539" s="236"/>
    </row>
    <row r="540" spans="1:30">
      <c r="A540" s="236"/>
      <c r="B540" s="236"/>
      <c r="C540" s="236"/>
      <c r="D540" s="236"/>
      <c r="E540" s="333"/>
      <c r="F540" s="236"/>
      <c r="G540" s="334"/>
      <c r="H540" s="10"/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 s="236"/>
      <c r="AC540" s="236"/>
      <c r="AD540" s="236"/>
    </row>
    <row r="541" spans="1:30">
      <c r="A541" s="236"/>
      <c r="B541" s="236"/>
      <c r="C541" s="236"/>
      <c r="D541" s="236"/>
      <c r="E541" s="333"/>
      <c r="F541" s="236"/>
      <c r="G541" s="334"/>
      <c r="H541" s="10"/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 s="236"/>
      <c r="AC541" s="236"/>
      <c r="AD541" s="236"/>
    </row>
    <row r="542" spans="1:30">
      <c r="A542" s="236"/>
      <c r="B542" s="236"/>
      <c r="C542" s="236"/>
      <c r="D542" s="236"/>
      <c r="E542" s="333"/>
      <c r="F542" s="236"/>
      <c r="G542" s="334"/>
      <c r="H542" s="10"/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 s="236"/>
      <c r="AC542" s="236"/>
      <c r="AD542" s="236"/>
    </row>
    <row r="543" spans="1:30">
      <c r="A543" s="236"/>
      <c r="B543" s="236"/>
      <c r="C543" s="236"/>
      <c r="D543" s="236"/>
      <c r="E543" s="333"/>
      <c r="F543" s="236"/>
      <c r="G543" s="334"/>
      <c r="H543" s="10"/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 s="236"/>
      <c r="AC543" s="236"/>
      <c r="AD543" s="236"/>
    </row>
    <row r="544" spans="1:30">
      <c r="A544" s="236"/>
      <c r="B544" s="236"/>
      <c r="C544" s="236"/>
      <c r="D544" s="236"/>
      <c r="E544" s="333"/>
      <c r="F544" s="236"/>
      <c r="G544" s="334"/>
      <c r="H544" s="10"/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 s="236"/>
      <c r="AC544" s="236"/>
      <c r="AD544" s="236"/>
    </row>
    <row r="545" spans="1:30">
      <c r="A545" s="236"/>
      <c r="B545" s="236"/>
      <c r="C545" s="236"/>
      <c r="D545" s="236"/>
      <c r="E545" s="333"/>
      <c r="F545" s="236"/>
      <c r="G545" s="334"/>
      <c r="H545" s="10"/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  <c r="AA545" s="236"/>
      <c r="AB545" s="236"/>
      <c r="AC545" s="236"/>
      <c r="AD545" s="236"/>
    </row>
    <row r="546" spans="1:30">
      <c r="A546" s="236"/>
      <c r="B546" s="236"/>
      <c r="C546" s="236"/>
      <c r="D546" s="236"/>
      <c r="E546" s="333"/>
      <c r="F546" s="236"/>
      <c r="G546" s="334"/>
      <c r="H546" s="10"/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 s="236"/>
      <c r="AC546" s="236"/>
      <c r="AD546" s="236"/>
    </row>
    <row r="547" spans="1:30">
      <c r="A547" s="236"/>
      <c r="B547" s="236"/>
      <c r="C547" s="236"/>
      <c r="D547" s="236"/>
      <c r="E547" s="333"/>
      <c r="F547" s="236"/>
      <c r="G547" s="334"/>
      <c r="H547" s="10"/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 s="236"/>
      <c r="AC547" s="236"/>
      <c r="AD547" s="236"/>
    </row>
    <row r="548" spans="1:30">
      <c r="A548" s="236"/>
      <c r="B548" s="236"/>
      <c r="C548" s="236"/>
      <c r="D548" s="236"/>
      <c r="E548" s="333"/>
      <c r="F548" s="236"/>
      <c r="G548" s="334"/>
      <c r="H548" s="10"/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 s="236"/>
      <c r="AC548" s="236"/>
      <c r="AD548" s="236"/>
    </row>
    <row r="549" spans="1:30">
      <c r="A549" s="236"/>
      <c r="B549" s="236"/>
      <c r="C549" s="236"/>
      <c r="D549" s="236"/>
      <c r="E549" s="333"/>
      <c r="F549" s="236"/>
      <c r="G549" s="334"/>
      <c r="H549" s="10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 s="236"/>
      <c r="AC549" s="236"/>
      <c r="AD549" s="236"/>
    </row>
    <row r="550" spans="1:30">
      <c r="A550" s="236"/>
      <c r="B550" s="236"/>
      <c r="C550" s="236"/>
      <c r="D550" s="236"/>
      <c r="E550" s="333"/>
      <c r="F550" s="236"/>
      <c r="G550" s="334"/>
      <c r="H550" s="10"/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  <c r="AA550" s="236"/>
      <c r="AB550" s="236"/>
      <c r="AC550" s="236"/>
      <c r="AD550" s="236"/>
    </row>
    <row r="551" spans="1:30">
      <c r="A551" s="236"/>
      <c r="B551" s="236"/>
      <c r="C551" s="236"/>
      <c r="D551" s="236"/>
      <c r="E551" s="333"/>
      <c r="F551" s="236"/>
      <c r="G551" s="334"/>
      <c r="H551" s="10"/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 s="236"/>
      <c r="AC551" s="236"/>
      <c r="AD551" s="236"/>
    </row>
    <row r="552" spans="1:30">
      <c r="A552" s="236"/>
      <c r="B552" s="236"/>
      <c r="C552" s="236"/>
      <c r="D552" s="236"/>
      <c r="E552" s="333"/>
      <c r="F552" s="236"/>
      <c r="G552" s="334"/>
      <c r="H552" s="10"/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 s="236"/>
      <c r="AC552" s="236"/>
      <c r="AD552" s="236"/>
    </row>
    <row r="553" spans="1:30">
      <c r="A553" s="236"/>
      <c r="B553" s="236"/>
      <c r="C553" s="236"/>
      <c r="D553" s="236"/>
      <c r="E553" s="333"/>
      <c r="F553" s="236"/>
      <c r="G553" s="334"/>
      <c r="H553" s="10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</row>
    <row r="554" spans="1:30">
      <c r="A554" s="236"/>
      <c r="B554" s="236"/>
      <c r="C554" s="236"/>
      <c r="D554" s="236"/>
      <c r="E554" s="333"/>
      <c r="F554" s="236"/>
      <c r="G554" s="334"/>
      <c r="H554" s="10"/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 s="236"/>
      <c r="AC554" s="236"/>
      <c r="AD554" s="236"/>
    </row>
    <row r="555" spans="1:30">
      <c r="A555" s="236"/>
      <c r="B555" s="236"/>
      <c r="C555" s="236"/>
      <c r="D555" s="236"/>
      <c r="E555" s="333"/>
      <c r="F555" s="236"/>
      <c r="G555" s="334"/>
      <c r="H555" s="10"/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 s="236"/>
      <c r="AC555" s="236"/>
      <c r="AD555" s="236"/>
    </row>
    <row r="556" spans="1:30">
      <c r="A556" s="236"/>
      <c r="B556" s="236"/>
      <c r="C556" s="236"/>
      <c r="D556" s="236"/>
      <c r="E556" s="333"/>
      <c r="F556" s="236"/>
      <c r="G556" s="334"/>
      <c r="H556" s="10"/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 s="236"/>
      <c r="AC556" s="236"/>
      <c r="AD556" s="236"/>
    </row>
    <row r="557" spans="1:30">
      <c r="A557" s="236"/>
      <c r="B557" s="236"/>
      <c r="C557" s="236"/>
      <c r="D557" s="236"/>
      <c r="E557" s="333"/>
      <c r="F557" s="236"/>
      <c r="G557" s="334"/>
      <c r="H557" s="10"/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 s="236"/>
      <c r="AC557" s="236"/>
      <c r="AD557" s="236"/>
    </row>
    <row r="558" spans="1:30">
      <c r="A558" s="236"/>
      <c r="B558" s="236"/>
      <c r="C558" s="236"/>
      <c r="D558" s="236"/>
      <c r="E558" s="333"/>
      <c r="F558" s="236"/>
      <c r="G558" s="334"/>
      <c r="H558" s="10"/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  <c r="AA558" s="236"/>
      <c r="AB558" s="236"/>
      <c r="AC558" s="236"/>
      <c r="AD558" s="236"/>
    </row>
    <row r="559" spans="1:30">
      <c r="A559" s="236"/>
      <c r="B559" s="236"/>
      <c r="C559" s="236"/>
      <c r="D559" s="236"/>
      <c r="E559" s="333"/>
      <c r="F559" s="236"/>
      <c r="G559" s="334"/>
      <c r="H559" s="10"/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 s="236"/>
      <c r="AC559" s="236"/>
      <c r="AD559" s="236"/>
    </row>
    <row r="560" spans="1:30">
      <c r="A560" s="236"/>
      <c r="B560" s="236"/>
      <c r="C560" s="236"/>
      <c r="D560" s="236"/>
      <c r="E560" s="333"/>
      <c r="F560" s="236"/>
      <c r="G560" s="334"/>
      <c r="H560" s="10"/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 s="236"/>
      <c r="AC560" s="236"/>
      <c r="AD560" s="236"/>
    </row>
    <row r="561" spans="1:30">
      <c r="A561" s="236"/>
      <c r="B561" s="236"/>
      <c r="C561" s="236"/>
      <c r="D561" s="236"/>
      <c r="E561" s="333"/>
      <c r="F561" s="236"/>
      <c r="G561" s="334"/>
      <c r="H561" s="10"/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 s="236"/>
      <c r="AC561" s="236"/>
      <c r="AD561" s="236"/>
    </row>
    <row r="562" spans="1:30">
      <c r="A562" s="236"/>
      <c r="B562" s="236"/>
      <c r="C562" s="236"/>
      <c r="D562" s="236"/>
      <c r="E562" s="333"/>
      <c r="F562" s="236"/>
      <c r="G562" s="334"/>
      <c r="H562" s="10"/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 s="236"/>
      <c r="AC562" s="236"/>
      <c r="AD562" s="236"/>
    </row>
    <row r="563" spans="1:30">
      <c r="A563" s="236"/>
      <c r="B563" s="236"/>
      <c r="C563" s="236"/>
      <c r="D563" s="236"/>
      <c r="E563" s="333"/>
      <c r="F563" s="236"/>
      <c r="G563" s="334"/>
      <c r="H563" s="10"/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 s="236"/>
      <c r="AC563" s="236"/>
      <c r="AD563" s="236"/>
    </row>
    <row r="564" spans="1:30">
      <c r="A564" s="236"/>
      <c r="B564" s="236"/>
      <c r="C564" s="236"/>
      <c r="D564" s="236"/>
      <c r="E564" s="333"/>
      <c r="F564" s="236"/>
      <c r="G564" s="334"/>
      <c r="H564" s="10"/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  <c r="AA564" s="236"/>
      <c r="AB564" s="236"/>
      <c r="AC564" s="236"/>
      <c r="AD564" s="236"/>
    </row>
    <row r="565" spans="1:30">
      <c r="A565" s="236"/>
      <c r="B565" s="236"/>
      <c r="C565" s="236"/>
      <c r="D565" s="236"/>
      <c r="E565" s="333"/>
      <c r="F565" s="236"/>
      <c r="G565" s="334"/>
      <c r="H565" s="10"/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 s="236"/>
      <c r="AC565" s="236"/>
      <c r="AD565" s="236"/>
    </row>
    <row r="566" spans="1:30">
      <c r="A566" s="236"/>
      <c r="B566" s="236"/>
      <c r="C566" s="236"/>
      <c r="D566" s="236"/>
      <c r="E566" s="333"/>
      <c r="F566" s="236"/>
      <c r="G566" s="334"/>
      <c r="H566" s="10"/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 s="236"/>
      <c r="AC566" s="236"/>
      <c r="AD566" s="236"/>
    </row>
    <row r="567" spans="1:30">
      <c r="A567" s="236"/>
      <c r="B567" s="236"/>
      <c r="C567" s="236"/>
      <c r="D567" s="236"/>
      <c r="E567" s="333"/>
      <c r="F567" s="236"/>
      <c r="G567" s="334"/>
      <c r="H567" s="10"/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 s="236"/>
      <c r="AC567" s="236"/>
      <c r="AD567" s="236"/>
    </row>
    <row r="568" spans="1:30">
      <c r="A568" s="236"/>
      <c r="B568" s="236"/>
      <c r="C568" s="236"/>
      <c r="D568" s="236"/>
      <c r="E568" s="333"/>
      <c r="F568" s="236"/>
      <c r="G568" s="334"/>
      <c r="H568" s="10"/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 s="236"/>
      <c r="AC568" s="236"/>
      <c r="AD568" s="236"/>
    </row>
    <row r="569" spans="1:30">
      <c r="A569" s="236"/>
      <c r="B569" s="236"/>
      <c r="C569" s="236"/>
      <c r="D569" s="236"/>
      <c r="E569" s="333"/>
      <c r="F569" s="236"/>
      <c r="G569" s="334"/>
      <c r="H569" s="10"/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 s="236"/>
      <c r="AC569" s="236"/>
      <c r="AD569" s="236"/>
    </row>
    <row r="570" spans="1:30">
      <c r="A570" s="236"/>
      <c r="B570" s="236"/>
      <c r="C570" s="236"/>
      <c r="D570" s="236"/>
      <c r="E570" s="333"/>
      <c r="F570" s="236"/>
      <c r="G570" s="334"/>
      <c r="H570" s="10"/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 s="236"/>
      <c r="AC570" s="236"/>
      <c r="AD570" s="236"/>
    </row>
    <row r="571" spans="1:30">
      <c r="A571" s="236"/>
      <c r="B571" s="236"/>
      <c r="C571" s="236"/>
      <c r="D571" s="236"/>
      <c r="E571" s="333"/>
      <c r="F571" s="236"/>
      <c r="G571" s="334"/>
      <c r="H571" s="10"/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 s="236"/>
      <c r="AC571" s="236"/>
      <c r="AD571" s="236"/>
    </row>
    <row r="572" spans="1:30">
      <c r="A572" s="236"/>
      <c r="B572" s="236"/>
      <c r="C572" s="236"/>
      <c r="D572" s="236"/>
      <c r="E572" s="333"/>
      <c r="F572" s="236"/>
      <c r="G572" s="334"/>
      <c r="H572" s="10"/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 s="236"/>
      <c r="AC572" s="236"/>
      <c r="AD572" s="236"/>
    </row>
    <row r="573" spans="1:30">
      <c r="A573" s="236"/>
      <c r="B573" s="236"/>
      <c r="C573" s="236"/>
      <c r="D573" s="236"/>
      <c r="E573" s="333"/>
      <c r="F573" s="236"/>
      <c r="G573" s="334"/>
      <c r="H573" s="10"/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 s="236"/>
      <c r="AC573" s="236"/>
      <c r="AD573" s="236"/>
    </row>
    <row r="574" spans="1:30">
      <c r="A574" s="236"/>
      <c r="B574" s="236"/>
      <c r="C574" s="236"/>
      <c r="D574" s="236"/>
      <c r="E574" s="333"/>
      <c r="F574" s="236"/>
      <c r="G574" s="334"/>
      <c r="H574" s="10"/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 s="236"/>
      <c r="AC574" s="236"/>
      <c r="AD574" s="236"/>
    </row>
    <row r="575" spans="1:30">
      <c r="A575" s="236"/>
      <c r="B575" s="236"/>
      <c r="C575" s="236"/>
      <c r="D575" s="236"/>
      <c r="E575" s="333"/>
      <c r="F575" s="236"/>
      <c r="G575" s="334"/>
      <c r="H575" s="10"/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 s="236"/>
      <c r="AC575" s="236"/>
      <c r="AD575" s="236"/>
    </row>
    <row r="576" spans="1:30">
      <c r="A576" s="236"/>
      <c r="B576" s="236"/>
      <c r="C576" s="236"/>
      <c r="D576" s="236"/>
      <c r="E576" s="333"/>
      <c r="F576" s="236"/>
      <c r="G576" s="334"/>
      <c r="H576" s="10"/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 s="236"/>
      <c r="AC576" s="236"/>
      <c r="AD576" s="236"/>
    </row>
    <row r="577" spans="1:30">
      <c r="A577" s="236"/>
      <c r="B577" s="236"/>
      <c r="C577" s="236"/>
      <c r="D577" s="236"/>
      <c r="E577" s="333"/>
      <c r="F577" s="236"/>
      <c r="G577" s="334"/>
      <c r="H577" s="10"/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 s="236"/>
      <c r="AC577" s="236"/>
      <c r="AD577" s="236"/>
    </row>
    <row r="578" spans="1:30">
      <c r="A578" s="236"/>
      <c r="B578" s="236"/>
      <c r="C578" s="236"/>
      <c r="D578" s="236"/>
      <c r="E578" s="333"/>
      <c r="F578" s="236"/>
      <c r="G578" s="334"/>
      <c r="H578" s="10"/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  <c r="AB578" s="236"/>
      <c r="AC578" s="236"/>
      <c r="AD578" s="236"/>
    </row>
    <row r="579" spans="1:30">
      <c r="A579" s="236"/>
      <c r="B579" s="236"/>
      <c r="C579" s="236"/>
      <c r="D579" s="236"/>
      <c r="E579" s="333"/>
      <c r="F579" s="236"/>
      <c r="G579" s="334"/>
      <c r="H579" s="10"/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  <c r="AB579" s="236"/>
      <c r="AC579" s="236"/>
      <c r="AD579" s="236"/>
    </row>
    <row r="580" spans="1:30">
      <c r="A580" s="236"/>
      <c r="B580" s="236"/>
      <c r="C580" s="236"/>
      <c r="D580" s="236"/>
      <c r="E580" s="333"/>
      <c r="F580" s="236"/>
      <c r="G580" s="334"/>
      <c r="H580" s="10"/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  <c r="AB580" s="236"/>
      <c r="AC580" s="236"/>
      <c r="AD580" s="236"/>
    </row>
    <row r="581" spans="1:30">
      <c r="A581" s="236"/>
      <c r="B581" s="236"/>
      <c r="C581" s="236"/>
      <c r="D581" s="236"/>
      <c r="E581" s="333"/>
      <c r="F581" s="236"/>
      <c r="G581" s="334"/>
      <c r="H581" s="10"/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  <c r="AB581" s="236"/>
      <c r="AC581" s="236"/>
      <c r="AD581" s="236"/>
    </row>
    <row r="582" spans="1:30">
      <c r="A582" s="236"/>
      <c r="B582" s="236"/>
      <c r="C582" s="236"/>
      <c r="D582" s="236"/>
      <c r="E582" s="333"/>
      <c r="F582" s="236"/>
      <c r="G582" s="334"/>
      <c r="H582" s="10"/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  <c r="AB582" s="236"/>
      <c r="AC582" s="236"/>
      <c r="AD582" s="236"/>
    </row>
    <row r="583" spans="1:30">
      <c r="A583" s="236"/>
      <c r="B583" s="236"/>
      <c r="C583" s="236"/>
      <c r="D583" s="236"/>
      <c r="E583" s="333"/>
      <c r="F583" s="236"/>
      <c r="G583" s="334"/>
      <c r="H583" s="10"/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  <c r="AB583" s="236"/>
      <c r="AC583" s="236"/>
      <c r="AD583" s="236"/>
    </row>
    <row r="584" spans="1:30">
      <c r="A584" s="236"/>
      <c r="B584" s="236"/>
      <c r="C584" s="236"/>
      <c r="D584" s="236"/>
      <c r="E584" s="333"/>
      <c r="F584" s="236"/>
      <c r="G584" s="334"/>
      <c r="H584" s="10"/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  <c r="AB584" s="236"/>
      <c r="AC584" s="236"/>
      <c r="AD584" s="236"/>
    </row>
    <row r="585" spans="1:30">
      <c r="A585" s="236"/>
      <c r="B585" s="236"/>
      <c r="C585" s="236"/>
      <c r="D585" s="236"/>
      <c r="E585" s="333"/>
      <c r="F585" s="236"/>
      <c r="G585" s="334"/>
      <c r="H585" s="10"/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  <c r="AB585" s="236"/>
      <c r="AC585" s="236"/>
      <c r="AD585" s="236"/>
    </row>
    <row r="586" spans="1:30">
      <c r="A586" s="236"/>
      <c r="B586" s="236"/>
      <c r="C586" s="236"/>
      <c r="D586" s="236"/>
      <c r="E586" s="333"/>
      <c r="F586" s="236"/>
      <c r="G586" s="334"/>
      <c r="H586" s="10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  <c r="AB586" s="236"/>
      <c r="AC586" s="236"/>
      <c r="AD586" s="236"/>
    </row>
    <row r="587" spans="1:30">
      <c r="A587" s="236"/>
      <c r="B587" s="236"/>
      <c r="C587" s="236"/>
      <c r="D587" s="236"/>
      <c r="E587" s="333"/>
      <c r="F587" s="236"/>
      <c r="G587" s="334"/>
      <c r="H587" s="10"/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  <c r="AA587" s="236"/>
      <c r="AB587" s="236"/>
      <c r="AC587" s="236"/>
      <c r="AD587" s="236"/>
    </row>
    <row r="588" spans="1:30">
      <c r="A588" s="236"/>
      <c r="B588" s="236"/>
      <c r="C588" s="236"/>
      <c r="D588" s="236"/>
      <c r="E588" s="333"/>
      <c r="F588" s="236"/>
      <c r="G588" s="334"/>
      <c r="H588" s="10"/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  <c r="AB588" s="236"/>
      <c r="AC588" s="236"/>
      <c r="AD588" s="236"/>
    </row>
    <row r="589" spans="1:30">
      <c r="A589" s="236"/>
      <c r="B589" s="236"/>
      <c r="C589" s="236"/>
      <c r="D589" s="236"/>
      <c r="E589" s="333"/>
      <c r="F589" s="236"/>
      <c r="G589" s="334"/>
      <c r="H589" s="10"/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  <c r="AB589" s="236"/>
      <c r="AC589" s="236"/>
      <c r="AD589" s="236"/>
    </row>
    <row r="590" spans="1:30">
      <c r="A590" s="236"/>
      <c r="B590" s="236"/>
      <c r="C590" s="236"/>
      <c r="D590" s="236"/>
      <c r="E590" s="333"/>
      <c r="F590" s="236"/>
      <c r="G590" s="334"/>
      <c r="H590" s="10"/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  <c r="AB590" s="236"/>
      <c r="AC590" s="236"/>
      <c r="AD590" s="236"/>
    </row>
    <row r="591" spans="1:30">
      <c r="A591" s="236"/>
      <c r="B591" s="236"/>
      <c r="C591" s="236"/>
      <c r="D591" s="236"/>
      <c r="E591" s="333"/>
      <c r="F591" s="236"/>
      <c r="G591" s="334"/>
      <c r="H591" s="10"/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  <c r="AB591" s="236"/>
      <c r="AC591" s="236"/>
      <c r="AD591" s="236"/>
    </row>
    <row r="592" spans="1:30">
      <c r="A592" s="236"/>
      <c r="B592" s="236"/>
      <c r="C592" s="236"/>
      <c r="D592" s="236"/>
      <c r="E592" s="333"/>
      <c r="F592" s="236"/>
      <c r="G592" s="334"/>
      <c r="H592" s="10"/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  <c r="AA592" s="236"/>
      <c r="AB592" s="236"/>
      <c r="AC592" s="236"/>
      <c r="AD592" s="236"/>
    </row>
    <row r="593" spans="1:30">
      <c r="A593" s="236"/>
      <c r="B593" s="236"/>
      <c r="C593" s="236"/>
      <c r="D593" s="236"/>
      <c r="E593" s="333"/>
      <c r="F593" s="236"/>
      <c r="G593" s="334"/>
      <c r="H593" s="10"/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  <c r="AB593" s="236"/>
      <c r="AC593" s="236"/>
      <c r="AD593" s="236"/>
    </row>
    <row r="594" spans="1:30">
      <c r="A594" s="236"/>
      <c r="B594" s="236"/>
      <c r="C594" s="236"/>
      <c r="D594" s="236"/>
      <c r="E594" s="333"/>
      <c r="F594" s="236"/>
      <c r="G594" s="334"/>
      <c r="H594" s="10"/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  <c r="AB594" s="236"/>
      <c r="AC594" s="236"/>
      <c r="AD594" s="236"/>
    </row>
    <row r="595" spans="1:30">
      <c r="A595" s="236"/>
      <c r="B595" s="236"/>
      <c r="C595" s="236"/>
      <c r="D595" s="236"/>
      <c r="E595" s="333"/>
      <c r="F595" s="236"/>
      <c r="G595" s="334"/>
      <c r="H595" s="10"/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  <c r="AB595" s="236"/>
      <c r="AC595" s="236"/>
      <c r="AD595" s="236"/>
    </row>
    <row r="596" spans="1:30">
      <c r="A596" s="236"/>
      <c r="B596" s="236"/>
      <c r="C596" s="236"/>
      <c r="D596" s="236"/>
      <c r="E596" s="333"/>
      <c r="F596" s="236"/>
      <c r="G596" s="334"/>
      <c r="H596" s="10"/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  <c r="AB596" s="236"/>
      <c r="AC596" s="236"/>
      <c r="AD596" s="236"/>
    </row>
    <row r="597" spans="1:30">
      <c r="A597" s="236"/>
      <c r="B597" s="236"/>
      <c r="C597" s="236"/>
      <c r="D597" s="236"/>
      <c r="E597" s="333"/>
      <c r="F597" s="236"/>
      <c r="G597" s="334"/>
      <c r="H597" s="10"/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  <c r="AB597" s="236"/>
      <c r="AC597" s="236"/>
      <c r="AD597" s="236"/>
    </row>
    <row r="598" spans="1:30">
      <c r="A598" s="236"/>
      <c r="B598" s="236"/>
      <c r="C598" s="236"/>
      <c r="D598" s="236"/>
      <c r="E598" s="333"/>
      <c r="F598" s="236"/>
      <c r="G598" s="334"/>
      <c r="H598" s="10"/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  <c r="AB598" s="236"/>
      <c r="AC598" s="236"/>
      <c r="AD598" s="236"/>
    </row>
    <row r="599" spans="1:30">
      <c r="A599" s="236"/>
      <c r="B599" s="236"/>
      <c r="C599" s="236"/>
      <c r="D599" s="236"/>
      <c r="E599" s="333"/>
      <c r="F599" s="236"/>
      <c r="G599" s="334"/>
      <c r="H599" s="10"/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  <c r="AB599" s="236"/>
      <c r="AC599" s="236"/>
      <c r="AD599" s="236"/>
    </row>
    <row r="600" spans="1:30">
      <c r="A600" s="236"/>
      <c r="B600" s="236"/>
      <c r="C600" s="236"/>
      <c r="D600" s="236"/>
      <c r="E600" s="333"/>
      <c r="F600" s="236"/>
      <c r="G600" s="334"/>
      <c r="H600" s="10"/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  <c r="AA600" s="236"/>
      <c r="AB600" s="236"/>
      <c r="AC600" s="236"/>
      <c r="AD600" s="236"/>
    </row>
    <row r="601" spans="1:30">
      <c r="A601" s="236"/>
      <c r="B601" s="236"/>
      <c r="C601" s="236"/>
      <c r="D601" s="236"/>
      <c r="E601" s="333"/>
      <c r="F601" s="236"/>
      <c r="G601" s="334"/>
      <c r="H601" s="10"/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  <c r="AB601" s="236"/>
      <c r="AC601" s="236"/>
      <c r="AD601" s="236"/>
    </row>
    <row r="602" spans="1:30">
      <c r="A602" s="236"/>
      <c r="B602" s="236"/>
      <c r="C602" s="236"/>
      <c r="D602" s="236"/>
      <c r="E602" s="333"/>
      <c r="F602" s="236"/>
      <c r="G602" s="334"/>
      <c r="H602" s="10"/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  <c r="AB602" s="236"/>
      <c r="AC602" s="236"/>
      <c r="AD602" s="236"/>
    </row>
    <row r="603" spans="1:30">
      <c r="A603" s="236"/>
      <c r="B603" s="236"/>
      <c r="C603" s="236"/>
      <c r="D603" s="236"/>
      <c r="E603" s="333"/>
      <c r="F603" s="236"/>
      <c r="G603" s="334"/>
      <c r="H603" s="10"/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  <c r="AB603" s="236"/>
      <c r="AC603" s="236"/>
      <c r="AD603" s="236"/>
    </row>
    <row r="604" spans="1:30">
      <c r="A604" s="236"/>
      <c r="B604" s="236"/>
      <c r="C604" s="236"/>
      <c r="D604" s="236"/>
      <c r="E604" s="333"/>
      <c r="F604" s="236"/>
      <c r="G604" s="334"/>
      <c r="H604" s="10"/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  <c r="AB604" s="236"/>
      <c r="AC604" s="236"/>
      <c r="AD604" s="236"/>
    </row>
    <row r="605" spans="1:30">
      <c r="A605" s="236"/>
      <c r="B605" s="236"/>
      <c r="C605" s="236"/>
      <c r="D605" s="236"/>
      <c r="E605" s="333"/>
      <c r="F605" s="236"/>
      <c r="G605" s="334"/>
      <c r="H605" s="10"/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  <c r="AB605" s="236"/>
      <c r="AC605" s="236"/>
      <c r="AD605" s="236"/>
    </row>
    <row r="606" spans="1:30">
      <c r="A606" s="236"/>
      <c r="B606" s="236"/>
      <c r="C606" s="236"/>
      <c r="D606" s="236"/>
      <c r="E606" s="333"/>
      <c r="F606" s="236"/>
      <c r="G606" s="334"/>
      <c r="H606" s="10"/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  <c r="AA606" s="236"/>
      <c r="AB606" s="236"/>
      <c r="AC606" s="236"/>
      <c r="AD606" s="236"/>
    </row>
    <row r="607" spans="1:30">
      <c r="A607" s="236"/>
      <c r="B607" s="236"/>
      <c r="C607" s="236"/>
      <c r="D607" s="236"/>
      <c r="E607" s="333"/>
      <c r="F607" s="236"/>
      <c r="G607" s="334"/>
      <c r="H607" s="10"/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  <c r="AB607" s="236"/>
      <c r="AC607" s="236"/>
      <c r="AD607" s="236"/>
    </row>
    <row r="608" spans="1:30">
      <c r="A608" s="236"/>
      <c r="B608" s="236"/>
      <c r="C608" s="236"/>
      <c r="D608" s="236"/>
      <c r="E608" s="333"/>
      <c r="F608" s="236"/>
      <c r="G608" s="334"/>
      <c r="H608" s="10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  <c r="AB608" s="236"/>
      <c r="AC608" s="236"/>
      <c r="AD608" s="236"/>
    </row>
    <row r="609" spans="1:30">
      <c r="A609" s="236"/>
      <c r="B609" s="236"/>
      <c r="C609" s="236"/>
      <c r="D609" s="236"/>
      <c r="E609" s="333"/>
      <c r="F609" s="236"/>
      <c r="G609" s="334"/>
      <c r="H609" s="10"/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  <c r="AB609" s="236"/>
      <c r="AC609" s="236"/>
      <c r="AD609" s="236"/>
    </row>
    <row r="610" spans="1:30">
      <c r="A610" s="236"/>
      <c r="B610" s="236"/>
      <c r="C610" s="236"/>
      <c r="D610" s="236"/>
      <c r="E610" s="333"/>
      <c r="F610" s="236"/>
      <c r="G610" s="334"/>
      <c r="H610" s="10"/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  <c r="AB610" s="236"/>
      <c r="AC610" s="236"/>
      <c r="AD610" s="236"/>
    </row>
    <row r="611" spans="1:30">
      <c r="A611" s="236"/>
      <c r="B611" s="236"/>
      <c r="C611" s="236"/>
      <c r="D611" s="236"/>
      <c r="E611" s="333"/>
      <c r="F611" s="236"/>
      <c r="G611" s="334"/>
      <c r="H611" s="10"/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  <c r="AB611" s="236"/>
      <c r="AC611" s="236"/>
      <c r="AD611" s="236"/>
    </row>
    <row r="612" spans="1:30">
      <c r="A612" s="236"/>
      <c r="B612" s="236"/>
      <c r="C612" s="236"/>
      <c r="D612" s="236"/>
      <c r="E612" s="333"/>
      <c r="F612" s="236"/>
      <c r="G612" s="334"/>
      <c r="H612" s="10"/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  <c r="AB612" s="236"/>
      <c r="AC612" s="236"/>
      <c r="AD612" s="236"/>
    </row>
    <row r="613" spans="1:30">
      <c r="A613" s="236"/>
      <c r="B613" s="236"/>
      <c r="C613" s="236"/>
      <c r="D613" s="236"/>
      <c r="E613" s="333"/>
      <c r="F613" s="236"/>
      <c r="G613" s="334"/>
      <c r="H613" s="10"/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  <c r="AB613" s="236"/>
      <c r="AC613" s="236"/>
      <c r="AD613" s="236"/>
    </row>
    <row r="614" spans="1:30">
      <c r="A614" s="236"/>
      <c r="B614" s="236"/>
      <c r="C614" s="236"/>
      <c r="D614" s="236"/>
      <c r="E614" s="333"/>
      <c r="F614" s="236"/>
      <c r="G614" s="334"/>
      <c r="H614" s="10"/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  <c r="AB614" s="236"/>
      <c r="AC614" s="236"/>
      <c r="AD614" s="236"/>
    </row>
    <row r="615" spans="1:30">
      <c r="A615" s="236"/>
      <c r="B615" s="236"/>
      <c r="C615" s="236"/>
      <c r="D615" s="236"/>
      <c r="E615" s="333"/>
      <c r="F615" s="236"/>
      <c r="G615" s="334"/>
      <c r="H615" s="10"/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  <c r="AB615" s="236"/>
      <c r="AC615" s="236"/>
      <c r="AD615" s="236"/>
    </row>
    <row r="616" spans="1:30">
      <c r="A616" s="236"/>
      <c r="B616" s="236"/>
      <c r="C616" s="236"/>
      <c r="D616" s="236"/>
      <c r="E616" s="333"/>
      <c r="F616" s="236"/>
      <c r="G616" s="334"/>
      <c r="H616" s="10"/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  <c r="AB616" s="236"/>
      <c r="AC616" s="236"/>
      <c r="AD616" s="236"/>
    </row>
    <row r="617" spans="1:30">
      <c r="A617" s="236"/>
      <c r="B617" s="236"/>
      <c r="C617" s="236"/>
      <c r="D617" s="236"/>
      <c r="E617" s="333"/>
      <c r="F617" s="236"/>
      <c r="G617" s="334"/>
      <c r="H617" s="10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  <c r="AB617" s="236"/>
      <c r="AC617" s="236"/>
      <c r="AD617" s="236"/>
    </row>
    <row r="618" spans="1:30">
      <c r="A618" s="236"/>
      <c r="B618" s="236"/>
      <c r="C618" s="236"/>
      <c r="D618" s="236"/>
      <c r="E618" s="333"/>
      <c r="F618" s="236"/>
      <c r="G618" s="334"/>
      <c r="H618" s="10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  <c r="AB618" s="236"/>
      <c r="AC618" s="236"/>
      <c r="AD618" s="236"/>
    </row>
    <row r="619" spans="1:30">
      <c r="A619" s="236"/>
      <c r="B619" s="236"/>
      <c r="C619" s="236"/>
      <c r="D619" s="236"/>
      <c r="E619" s="333"/>
      <c r="F619" s="236"/>
      <c r="G619" s="334"/>
      <c r="H619" s="10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  <c r="AB619" s="236"/>
      <c r="AC619" s="236"/>
      <c r="AD619" s="236"/>
    </row>
    <row r="620" spans="1:30">
      <c r="A620" s="236"/>
      <c r="B620" s="236"/>
      <c r="C620" s="236"/>
      <c r="D620" s="236"/>
      <c r="E620" s="333"/>
      <c r="F620" s="236"/>
      <c r="G620" s="334"/>
      <c r="H620" s="10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  <c r="AB620" s="236"/>
      <c r="AC620" s="236"/>
      <c r="AD620" s="236"/>
    </row>
    <row r="621" spans="1:30">
      <c r="A621" s="236"/>
      <c r="B621" s="236"/>
      <c r="C621" s="236"/>
      <c r="D621" s="236"/>
      <c r="E621" s="333"/>
      <c r="F621" s="236"/>
      <c r="G621" s="334"/>
      <c r="H621" s="10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  <c r="AB621" s="236"/>
      <c r="AC621" s="236"/>
      <c r="AD621" s="236"/>
    </row>
    <row r="622" spans="1:30">
      <c r="A622" s="236"/>
      <c r="B622" s="236"/>
      <c r="C622" s="236"/>
      <c r="D622" s="236"/>
      <c r="E622" s="333"/>
      <c r="F622" s="236"/>
      <c r="G622" s="334"/>
      <c r="H622" s="10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  <c r="AB622" s="236"/>
      <c r="AC622" s="236"/>
      <c r="AD622" s="236"/>
    </row>
    <row r="623" spans="1:30">
      <c r="A623" s="236"/>
      <c r="B623" s="236"/>
      <c r="C623" s="236"/>
      <c r="D623" s="236"/>
      <c r="E623" s="333"/>
      <c r="F623" s="236"/>
      <c r="G623" s="334"/>
      <c r="H623" s="10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  <c r="AB623" s="236"/>
      <c r="AC623" s="236"/>
      <c r="AD623" s="236"/>
    </row>
    <row r="624" spans="1:30">
      <c r="A624" s="236"/>
      <c r="B624" s="236"/>
      <c r="C624" s="236"/>
      <c r="D624" s="236"/>
      <c r="E624" s="333"/>
      <c r="F624" s="236"/>
      <c r="G624" s="334"/>
      <c r="H624" s="10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  <c r="AB624" s="236"/>
      <c r="AC624" s="236"/>
      <c r="AD624" s="236"/>
    </row>
    <row r="625" spans="1:30">
      <c r="A625" s="236"/>
      <c r="B625" s="236"/>
      <c r="C625" s="236"/>
      <c r="D625" s="236"/>
      <c r="E625" s="333"/>
      <c r="F625" s="236"/>
      <c r="G625" s="334"/>
      <c r="H625" s="10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  <c r="AB625" s="236"/>
      <c r="AC625" s="236"/>
      <c r="AD625" s="236"/>
    </row>
    <row r="626" spans="1:30">
      <c r="A626" s="236"/>
      <c r="B626" s="236"/>
      <c r="C626" s="236"/>
      <c r="D626" s="236"/>
      <c r="E626" s="333"/>
      <c r="F626" s="236"/>
      <c r="G626" s="334"/>
      <c r="H626" s="10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  <c r="AB626" s="236"/>
      <c r="AC626" s="236"/>
      <c r="AD626" s="236"/>
    </row>
    <row r="627" spans="1:30">
      <c r="A627" s="236"/>
      <c r="B627" s="236"/>
      <c r="C627" s="236"/>
      <c r="D627" s="236"/>
      <c r="E627" s="333"/>
      <c r="F627" s="236"/>
      <c r="G627" s="334"/>
      <c r="H627" s="10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  <c r="AB627" s="236"/>
      <c r="AC627" s="236"/>
      <c r="AD627" s="236"/>
    </row>
    <row r="628" spans="1:30">
      <c r="A628" s="236"/>
      <c r="B628" s="236"/>
      <c r="C628" s="236"/>
      <c r="D628" s="236"/>
      <c r="E628" s="333"/>
      <c r="F628" s="236"/>
      <c r="G628" s="334"/>
      <c r="H628" s="10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  <c r="AB628" s="236"/>
      <c r="AC628" s="236"/>
      <c r="AD628" s="236"/>
    </row>
    <row r="629" spans="1:30">
      <c r="A629" s="236"/>
      <c r="B629" s="236"/>
      <c r="C629" s="236"/>
      <c r="D629" s="236"/>
      <c r="E629" s="333"/>
      <c r="F629" s="236"/>
      <c r="G629" s="334"/>
      <c r="H629" s="10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  <c r="AA629" s="236"/>
      <c r="AB629" s="236"/>
      <c r="AC629" s="236"/>
      <c r="AD629" s="236"/>
    </row>
    <row r="630" spans="1:30">
      <c r="A630" s="236"/>
      <c r="B630" s="236"/>
      <c r="C630" s="236"/>
      <c r="D630" s="236"/>
      <c r="E630" s="333"/>
      <c r="F630" s="236"/>
      <c r="G630" s="334"/>
      <c r="H630" s="10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  <c r="AB630" s="236"/>
      <c r="AC630" s="236"/>
      <c r="AD630" s="236"/>
    </row>
    <row r="631" spans="1:30">
      <c r="A631" s="236"/>
      <c r="B631" s="236"/>
      <c r="C631" s="236"/>
      <c r="D631" s="236"/>
      <c r="E631" s="333"/>
      <c r="F631" s="236"/>
      <c r="G631" s="334"/>
      <c r="H631" s="10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  <c r="AB631" s="236"/>
      <c r="AC631" s="236"/>
      <c r="AD631" s="236"/>
    </row>
    <row r="632" spans="1:30">
      <c r="A632" s="236"/>
      <c r="B632" s="236"/>
      <c r="C632" s="236"/>
      <c r="D632" s="236"/>
      <c r="E632" s="333"/>
      <c r="F632" s="236"/>
      <c r="G632" s="334"/>
      <c r="H632" s="10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  <c r="AB632" s="236"/>
      <c r="AC632" s="236"/>
      <c r="AD632" s="236"/>
    </row>
    <row r="633" spans="1:30">
      <c r="A633" s="236"/>
      <c r="B633" s="236"/>
      <c r="C633" s="236"/>
      <c r="D633" s="236"/>
      <c r="E633" s="333"/>
      <c r="F633" s="236"/>
      <c r="G633" s="334"/>
      <c r="H633" s="10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  <c r="AB633" s="236"/>
      <c r="AC633" s="236"/>
      <c r="AD633" s="236"/>
    </row>
    <row r="634" spans="1:30">
      <c r="A634" s="236"/>
      <c r="B634" s="236"/>
      <c r="C634" s="236"/>
      <c r="D634" s="236"/>
      <c r="E634" s="333"/>
      <c r="F634" s="236"/>
      <c r="G634" s="334"/>
      <c r="H634" s="10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  <c r="AA634" s="236"/>
      <c r="AB634" s="236"/>
      <c r="AC634" s="236"/>
      <c r="AD634" s="236"/>
    </row>
    <row r="635" spans="1:30">
      <c r="A635" s="236"/>
      <c r="B635" s="236"/>
      <c r="C635" s="236"/>
      <c r="D635" s="236"/>
      <c r="E635" s="333"/>
      <c r="F635" s="236"/>
      <c r="G635" s="334"/>
      <c r="H635" s="10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  <c r="AB635" s="236"/>
      <c r="AC635" s="236"/>
      <c r="AD635" s="236"/>
    </row>
    <row r="636" spans="1:30">
      <c r="A636" s="236"/>
      <c r="B636" s="236"/>
      <c r="C636" s="236"/>
      <c r="D636" s="236"/>
      <c r="E636" s="333"/>
      <c r="F636" s="236"/>
      <c r="G636" s="334"/>
      <c r="H636" s="10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  <c r="AB636" s="236"/>
      <c r="AC636" s="236"/>
      <c r="AD636" s="236"/>
    </row>
    <row r="637" spans="1:30">
      <c r="A637" s="236"/>
      <c r="B637" s="236"/>
      <c r="C637" s="236"/>
      <c r="D637" s="236"/>
      <c r="E637" s="333"/>
      <c r="F637" s="236"/>
      <c r="G637" s="334"/>
      <c r="H637" s="10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  <c r="AA637" s="236"/>
      <c r="AB637" s="236"/>
      <c r="AC637" s="236"/>
      <c r="AD637" s="236"/>
    </row>
    <row r="638" spans="1:30">
      <c r="A638" s="236"/>
      <c r="B638" s="236"/>
      <c r="C638" s="236"/>
      <c r="D638" s="236"/>
      <c r="E638" s="333"/>
      <c r="F638" s="236"/>
      <c r="G638" s="334"/>
      <c r="H638" s="10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  <c r="AB638" s="236"/>
      <c r="AC638" s="236"/>
      <c r="AD638" s="236"/>
    </row>
    <row r="639" spans="1:30">
      <c r="A639" s="236"/>
      <c r="B639" s="236"/>
      <c r="C639" s="236"/>
      <c r="D639" s="236"/>
      <c r="E639" s="333"/>
      <c r="F639" s="236"/>
      <c r="G639" s="334"/>
      <c r="H639" s="10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  <c r="AB639" s="236"/>
      <c r="AC639" s="236"/>
      <c r="AD639" s="236"/>
    </row>
    <row r="640" spans="1:30">
      <c r="A640" s="236"/>
      <c r="B640" s="236"/>
      <c r="C640" s="236"/>
      <c r="D640" s="236"/>
      <c r="E640" s="333"/>
      <c r="F640" s="236"/>
      <c r="G640" s="334"/>
      <c r="H640" s="10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  <c r="AB640" s="236"/>
      <c r="AC640" s="236"/>
      <c r="AD640" s="236"/>
    </row>
    <row r="641" spans="1:30">
      <c r="A641" s="236"/>
      <c r="B641" s="236"/>
      <c r="C641" s="236"/>
      <c r="D641" s="236"/>
      <c r="E641" s="333"/>
      <c r="F641" s="236"/>
      <c r="G641" s="334"/>
      <c r="H641" s="10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  <c r="AB641" s="236"/>
      <c r="AC641" s="236"/>
      <c r="AD641" s="236"/>
    </row>
    <row r="642" spans="1:30">
      <c r="A642" s="236"/>
      <c r="B642" s="236"/>
      <c r="C642" s="236"/>
      <c r="D642" s="236"/>
      <c r="E642" s="333"/>
      <c r="F642" s="236"/>
      <c r="G642" s="334"/>
      <c r="H642" s="10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  <c r="AB642" s="236"/>
      <c r="AC642" s="236"/>
      <c r="AD642" s="236"/>
    </row>
    <row r="643" spans="1:30">
      <c r="A643" s="236"/>
      <c r="B643" s="236"/>
      <c r="C643" s="236"/>
      <c r="D643" s="236"/>
      <c r="E643" s="333"/>
      <c r="F643" s="236"/>
      <c r="G643" s="334"/>
      <c r="H643" s="10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  <c r="AB643" s="236"/>
      <c r="AC643" s="236"/>
      <c r="AD643" s="236"/>
    </row>
    <row r="644" spans="1:30">
      <c r="A644" s="236"/>
      <c r="B644" s="236"/>
      <c r="C644" s="236"/>
      <c r="D644" s="236"/>
      <c r="E644" s="333"/>
      <c r="F644" s="236"/>
      <c r="G644" s="334"/>
      <c r="H644" s="10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  <c r="AB644" s="236"/>
      <c r="AC644" s="236"/>
      <c r="AD644" s="236"/>
    </row>
    <row r="645" spans="1:30">
      <c r="A645" s="236"/>
      <c r="B645" s="236"/>
      <c r="C645" s="236"/>
      <c r="D645" s="236"/>
      <c r="E645" s="333"/>
      <c r="F645" s="236"/>
      <c r="G645" s="334"/>
      <c r="H645" s="10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  <c r="AB645" s="236"/>
      <c r="AC645" s="236"/>
      <c r="AD645" s="236"/>
    </row>
    <row r="646" spans="1:30">
      <c r="A646" s="236"/>
      <c r="B646" s="236"/>
      <c r="C646" s="236"/>
      <c r="D646" s="236"/>
      <c r="E646" s="333"/>
      <c r="F646" s="236"/>
      <c r="G646" s="334"/>
      <c r="H646" s="10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  <c r="AB646" s="236"/>
      <c r="AC646" s="236"/>
      <c r="AD646" s="236"/>
    </row>
    <row r="647" spans="1:30">
      <c r="A647" s="236"/>
      <c r="B647" s="236"/>
      <c r="C647" s="236"/>
      <c r="D647" s="236"/>
      <c r="E647" s="333"/>
      <c r="F647" s="236"/>
      <c r="G647" s="334"/>
      <c r="H647" s="10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  <c r="AB647" s="236"/>
      <c r="AC647" s="236"/>
      <c r="AD647" s="236"/>
    </row>
    <row r="648" spans="1:30">
      <c r="A648" s="236"/>
      <c r="B648" s="236"/>
      <c r="C648" s="236"/>
      <c r="D648" s="236"/>
      <c r="E648" s="333"/>
      <c r="F648" s="236"/>
      <c r="G648" s="334"/>
      <c r="H648" s="10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  <c r="AB648" s="236"/>
      <c r="AC648" s="236"/>
      <c r="AD648" s="236"/>
    </row>
    <row r="649" spans="1:30">
      <c r="A649" s="236"/>
      <c r="B649" s="236"/>
      <c r="C649" s="236"/>
      <c r="D649" s="236"/>
      <c r="E649" s="333"/>
      <c r="F649" s="236"/>
      <c r="G649" s="334"/>
      <c r="H649" s="10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  <c r="AB649" s="236"/>
      <c r="AC649" s="236"/>
      <c r="AD649" s="236"/>
    </row>
    <row r="650" spans="1:30">
      <c r="A650" s="236"/>
      <c r="B650" s="236"/>
      <c r="C650" s="236"/>
      <c r="D650" s="236"/>
      <c r="E650" s="333"/>
      <c r="F650" s="236"/>
      <c r="G650" s="334"/>
      <c r="H650" s="10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  <c r="AB650" s="236"/>
      <c r="AC650" s="236"/>
      <c r="AD650" s="236"/>
    </row>
    <row r="651" spans="1:30">
      <c r="A651" s="236"/>
      <c r="B651" s="236"/>
      <c r="C651" s="236"/>
      <c r="D651" s="236"/>
      <c r="E651" s="333"/>
      <c r="F651" s="236"/>
      <c r="G651" s="334"/>
      <c r="H651" s="10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  <c r="AB651" s="236"/>
      <c r="AC651" s="236"/>
      <c r="AD651" s="236"/>
    </row>
    <row r="652" spans="1:30">
      <c r="A652" s="236"/>
      <c r="B652" s="236"/>
      <c r="C652" s="236"/>
      <c r="D652" s="236"/>
      <c r="E652" s="333"/>
      <c r="F652" s="236"/>
      <c r="G652" s="334"/>
      <c r="H652" s="10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  <c r="AB652" s="236"/>
      <c r="AC652" s="236"/>
      <c r="AD652" s="236"/>
    </row>
    <row r="653" spans="1:30">
      <c r="A653" s="236"/>
      <c r="B653" s="236"/>
      <c r="C653" s="236"/>
      <c r="D653" s="236"/>
      <c r="E653" s="333"/>
      <c r="F653" s="236"/>
      <c r="G653" s="334"/>
      <c r="H653" s="10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  <c r="AB653" s="236"/>
      <c r="AC653" s="236"/>
      <c r="AD653" s="236"/>
    </row>
    <row r="654" spans="1:30">
      <c r="A654" s="236"/>
      <c r="B654" s="236"/>
      <c r="C654" s="236"/>
      <c r="D654" s="236"/>
      <c r="E654" s="333"/>
      <c r="F654" s="236"/>
      <c r="G654" s="334"/>
      <c r="H654" s="10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  <c r="AB654" s="236"/>
      <c r="AC654" s="236"/>
      <c r="AD654" s="236"/>
    </row>
    <row r="655" spans="1:30">
      <c r="A655" s="236"/>
      <c r="B655" s="236"/>
      <c r="C655" s="236"/>
      <c r="D655" s="236"/>
      <c r="E655" s="333"/>
      <c r="F655" s="236"/>
      <c r="G655" s="334"/>
      <c r="H655" s="10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  <c r="AB655" s="236"/>
      <c r="AC655" s="236"/>
      <c r="AD655" s="236"/>
    </row>
    <row r="656" spans="1:30">
      <c r="A656" s="236"/>
      <c r="B656" s="236"/>
      <c r="C656" s="236"/>
      <c r="D656" s="236"/>
      <c r="E656" s="333"/>
      <c r="F656" s="236"/>
      <c r="G656" s="334"/>
      <c r="H656" s="10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  <c r="AB656" s="236"/>
      <c r="AC656" s="236"/>
      <c r="AD656" s="236"/>
    </row>
    <row r="657" spans="1:30">
      <c r="A657" s="236"/>
      <c r="B657" s="236"/>
      <c r="C657" s="236"/>
      <c r="D657" s="236"/>
      <c r="E657" s="333"/>
      <c r="F657" s="236"/>
      <c r="G657" s="334"/>
      <c r="H657" s="10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  <c r="AB657" s="236"/>
      <c r="AC657" s="236"/>
      <c r="AD657" s="236"/>
    </row>
    <row r="658" spans="1:30">
      <c r="A658" s="236"/>
      <c r="B658" s="236"/>
      <c r="C658" s="236"/>
      <c r="D658" s="236"/>
      <c r="E658" s="333"/>
      <c r="F658" s="236"/>
      <c r="G658" s="334"/>
      <c r="H658" s="10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  <c r="AB658" s="236"/>
      <c r="AC658" s="236"/>
      <c r="AD658" s="236"/>
    </row>
    <row r="659" spans="1:30">
      <c r="A659" s="236"/>
      <c r="B659" s="236"/>
      <c r="C659" s="236"/>
      <c r="D659" s="236"/>
      <c r="E659" s="333"/>
      <c r="F659" s="236"/>
      <c r="G659" s="334"/>
      <c r="H659" s="10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  <c r="AB659" s="236"/>
      <c r="AC659" s="236"/>
      <c r="AD659" s="236"/>
    </row>
    <row r="660" spans="1:30">
      <c r="A660" s="236"/>
      <c r="B660" s="236"/>
      <c r="C660" s="236"/>
      <c r="D660" s="236"/>
      <c r="E660" s="333"/>
      <c r="F660" s="236"/>
      <c r="G660" s="334"/>
      <c r="H660" s="10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  <c r="AA660" s="236"/>
      <c r="AB660" s="236"/>
      <c r="AC660" s="236"/>
      <c r="AD660" s="236"/>
    </row>
    <row r="661" spans="1:30">
      <c r="A661" s="236"/>
      <c r="B661" s="236"/>
      <c r="C661" s="236"/>
      <c r="D661" s="236"/>
      <c r="E661" s="333"/>
      <c r="F661" s="236"/>
      <c r="G661" s="334"/>
      <c r="H661" s="10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  <c r="AB661" s="236"/>
      <c r="AC661" s="236"/>
      <c r="AD661" s="236"/>
    </row>
    <row r="662" spans="1:30">
      <c r="A662" s="236"/>
      <c r="B662" s="236"/>
      <c r="C662" s="236"/>
      <c r="D662" s="236"/>
      <c r="E662" s="333"/>
      <c r="F662" s="236"/>
      <c r="G662" s="334"/>
      <c r="H662" s="10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  <c r="AB662" s="236"/>
      <c r="AC662" s="236"/>
      <c r="AD662" s="236"/>
    </row>
    <row r="663" spans="1:30">
      <c r="A663" s="236"/>
      <c r="B663" s="236"/>
      <c r="C663" s="236"/>
      <c r="D663" s="236"/>
      <c r="E663" s="333"/>
      <c r="F663" s="236"/>
      <c r="G663" s="334"/>
      <c r="H663" s="10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  <c r="AB663" s="236"/>
      <c r="AC663" s="236"/>
      <c r="AD663" s="236"/>
    </row>
    <row r="664" spans="1:30">
      <c r="A664" s="236"/>
      <c r="B664" s="236"/>
      <c r="C664" s="236"/>
      <c r="D664" s="236"/>
      <c r="E664" s="333"/>
      <c r="F664" s="236"/>
      <c r="G664" s="334"/>
      <c r="H664" s="10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  <c r="AB664" s="236"/>
      <c r="AC664" s="236"/>
      <c r="AD664" s="236"/>
    </row>
    <row r="665" spans="1:30">
      <c r="A665" s="236"/>
      <c r="B665" s="236"/>
      <c r="C665" s="236"/>
      <c r="D665" s="236"/>
      <c r="E665" s="333"/>
      <c r="F665" s="236"/>
      <c r="G665" s="334"/>
      <c r="H665" s="10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  <c r="AA665" s="236"/>
      <c r="AB665" s="236"/>
      <c r="AC665" s="236"/>
      <c r="AD665" s="236"/>
    </row>
    <row r="666" spans="1:30">
      <c r="A666" s="236"/>
      <c r="B666" s="236"/>
      <c r="C666" s="236"/>
      <c r="D666" s="236"/>
      <c r="E666" s="333"/>
      <c r="F666" s="236"/>
      <c r="G666" s="334"/>
      <c r="H666" s="10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  <c r="AB666" s="236"/>
      <c r="AC666" s="236"/>
      <c r="AD666" s="236"/>
    </row>
    <row r="667" spans="1:30">
      <c r="A667" s="236"/>
      <c r="B667" s="236"/>
      <c r="C667" s="236"/>
      <c r="D667" s="236"/>
      <c r="E667" s="333"/>
      <c r="F667" s="236"/>
      <c r="G667" s="334"/>
      <c r="H667" s="10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  <c r="AB667" s="236"/>
      <c r="AC667" s="236"/>
      <c r="AD667" s="236"/>
    </row>
    <row r="668" spans="1:30">
      <c r="A668" s="236"/>
      <c r="B668" s="236"/>
      <c r="C668" s="236"/>
      <c r="D668" s="236"/>
      <c r="E668" s="333"/>
      <c r="F668" s="236"/>
      <c r="G668" s="334"/>
      <c r="H668" s="10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  <c r="AB668" s="236"/>
      <c r="AC668" s="236"/>
      <c r="AD668" s="236"/>
    </row>
    <row r="669" spans="1:30">
      <c r="A669" s="236"/>
      <c r="B669" s="236"/>
      <c r="C669" s="236"/>
      <c r="D669" s="236"/>
      <c r="E669" s="333"/>
      <c r="F669" s="236"/>
      <c r="G669" s="334"/>
      <c r="H669" s="10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  <c r="AB669" s="236"/>
      <c r="AC669" s="236"/>
      <c r="AD669" s="236"/>
    </row>
    <row r="670" spans="1:30">
      <c r="A670" s="236"/>
      <c r="B670" s="236"/>
      <c r="C670" s="236"/>
      <c r="D670" s="236"/>
      <c r="E670" s="333"/>
      <c r="F670" s="236"/>
      <c r="G670" s="334"/>
      <c r="H670" s="10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  <c r="AB670" s="236"/>
      <c r="AC670" s="236"/>
      <c r="AD670" s="236"/>
    </row>
    <row r="671" spans="1:30">
      <c r="A671" s="236"/>
      <c r="B671" s="236"/>
      <c r="C671" s="236"/>
      <c r="D671" s="236"/>
      <c r="E671" s="333"/>
      <c r="F671" s="236"/>
      <c r="G671" s="334"/>
      <c r="H671" s="10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  <c r="AB671" s="236"/>
      <c r="AC671" s="236"/>
      <c r="AD671" s="236"/>
    </row>
    <row r="672" spans="1:30">
      <c r="A672" s="236"/>
      <c r="B672" s="236"/>
      <c r="C672" s="236"/>
      <c r="D672" s="236"/>
      <c r="E672" s="333"/>
      <c r="F672" s="236"/>
      <c r="G672" s="334"/>
      <c r="H672" s="10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  <c r="AB672" s="236"/>
      <c r="AC672" s="236"/>
      <c r="AD672" s="236"/>
    </row>
    <row r="673" spans="1:30">
      <c r="A673" s="236"/>
      <c r="B673" s="236"/>
      <c r="C673" s="236"/>
      <c r="D673" s="236"/>
      <c r="E673" s="333"/>
      <c r="F673" s="236"/>
      <c r="G673" s="334"/>
      <c r="H673" s="10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  <c r="AA673" s="236"/>
      <c r="AB673" s="236"/>
      <c r="AC673" s="236"/>
      <c r="AD673" s="236"/>
    </row>
    <row r="674" spans="1:30">
      <c r="A674" s="236"/>
      <c r="B674" s="236"/>
      <c r="C674" s="236"/>
      <c r="D674" s="236"/>
      <c r="E674" s="333"/>
      <c r="F674" s="236"/>
      <c r="G674" s="334"/>
      <c r="H674" s="10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  <c r="AB674" s="236"/>
      <c r="AC674" s="236"/>
      <c r="AD674" s="236"/>
    </row>
    <row r="675" spans="1:30">
      <c r="A675" s="236"/>
      <c r="B675" s="236"/>
      <c r="C675" s="236"/>
      <c r="D675" s="236"/>
      <c r="E675" s="333"/>
      <c r="F675" s="236"/>
      <c r="G675" s="334"/>
      <c r="H675" s="10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  <c r="AB675" s="236"/>
      <c r="AC675" s="236"/>
      <c r="AD675" s="236"/>
    </row>
    <row r="676" spans="1:30">
      <c r="A676" s="236"/>
      <c r="B676" s="236"/>
      <c r="C676" s="236"/>
      <c r="D676" s="236"/>
      <c r="E676" s="333"/>
      <c r="F676" s="236"/>
      <c r="G676" s="334"/>
      <c r="H676" s="10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  <c r="AB676" s="236"/>
      <c r="AC676" s="236"/>
      <c r="AD676" s="236"/>
    </row>
    <row r="677" spans="1:30">
      <c r="A677" s="236"/>
      <c r="B677" s="236"/>
      <c r="C677" s="236"/>
      <c r="D677" s="236"/>
      <c r="E677" s="333"/>
      <c r="F677" s="236"/>
      <c r="G677" s="334"/>
      <c r="H677" s="10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  <c r="AB677" s="236"/>
      <c r="AC677" s="236"/>
      <c r="AD677" s="236"/>
    </row>
    <row r="678" spans="1:30">
      <c r="A678" s="236"/>
      <c r="B678" s="236"/>
      <c r="C678" s="236"/>
      <c r="D678" s="236"/>
      <c r="E678" s="333"/>
      <c r="F678" s="236"/>
      <c r="G678" s="334"/>
      <c r="H678" s="10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  <c r="AB678" s="236"/>
      <c r="AC678" s="236"/>
      <c r="AD678" s="236"/>
    </row>
    <row r="679" spans="1:30">
      <c r="A679" s="236"/>
      <c r="B679" s="236"/>
      <c r="C679" s="236"/>
      <c r="D679" s="236"/>
      <c r="E679" s="333"/>
      <c r="F679" s="236"/>
      <c r="G679" s="334"/>
      <c r="H679" s="10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  <c r="AA679" s="236"/>
      <c r="AB679" s="236"/>
      <c r="AC679" s="236"/>
      <c r="AD679" s="236"/>
    </row>
    <row r="680" spans="1:30">
      <c r="A680" s="236"/>
      <c r="B680" s="236"/>
      <c r="C680" s="236"/>
      <c r="D680" s="236"/>
      <c r="E680" s="333"/>
      <c r="F680" s="236"/>
      <c r="G680" s="334"/>
      <c r="H680" s="10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  <c r="AB680" s="236"/>
      <c r="AC680" s="236"/>
      <c r="AD680" s="236"/>
    </row>
    <row r="681" spans="1:30">
      <c r="A681" s="236"/>
      <c r="B681" s="236"/>
      <c r="C681" s="236"/>
      <c r="D681" s="236"/>
      <c r="E681" s="333"/>
      <c r="F681" s="236"/>
      <c r="G681" s="334"/>
      <c r="H681" s="10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  <c r="AB681" s="236"/>
      <c r="AC681" s="236"/>
      <c r="AD681" s="236"/>
    </row>
    <row r="682" spans="1:30">
      <c r="A682" s="236"/>
      <c r="B682" s="236"/>
      <c r="C682" s="236"/>
      <c r="D682" s="236"/>
      <c r="E682" s="333"/>
      <c r="F682" s="236"/>
      <c r="G682" s="334"/>
      <c r="H682" s="10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  <c r="AB682" s="236"/>
      <c r="AC682" s="236"/>
      <c r="AD682" s="236"/>
    </row>
    <row r="683" spans="1:30">
      <c r="A683" s="236"/>
      <c r="B683" s="236"/>
      <c r="C683" s="236"/>
      <c r="D683" s="236"/>
      <c r="E683" s="333"/>
      <c r="F683" s="236"/>
      <c r="G683" s="334"/>
      <c r="H683" s="10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  <c r="AB683" s="236"/>
      <c r="AC683" s="236"/>
      <c r="AD683" s="236"/>
    </row>
    <row r="684" spans="1:30">
      <c r="A684" s="236"/>
      <c r="B684" s="236"/>
      <c r="C684" s="236"/>
      <c r="D684" s="236"/>
      <c r="E684" s="333"/>
      <c r="F684" s="236"/>
      <c r="G684" s="334"/>
      <c r="H684" s="10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  <c r="AB684" s="236"/>
      <c r="AC684" s="236"/>
      <c r="AD684" s="236"/>
    </row>
    <row r="685" spans="1:30">
      <c r="A685" s="236"/>
      <c r="B685" s="236"/>
      <c r="C685" s="236"/>
      <c r="D685" s="236"/>
      <c r="E685" s="333"/>
      <c r="F685" s="236"/>
      <c r="G685" s="334"/>
      <c r="H685" s="10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  <c r="AB685" s="236"/>
      <c r="AC685" s="236"/>
      <c r="AD685" s="236"/>
    </row>
    <row r="686" spans="1:30">
      <c r="A686" s="236"/>
      <c r="B686" s="236"/>
      <c r="C686" s="236"/>
      <c r="D686" s="236"/>
      <c r="E686" s="333"/>
      <c r="F686" s="236"/>
      <c r="G686" s="334"/>
      <c r="H686" s="10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  <c r="AB686" s="236"/>
      <c r="AC686" s="236"/>
      <c r="AD686" s="236"/>
    </row>
    <row r="687" spans="1:30">
      <c r="A687" s="236"/>
      <c r="B687" s="236"/>
      <c r="C687" s="236"/>
      <c r="D687" s="236"/>
      <c r="E687" s="333"/>
      <c r="F687" s="236"/>
      <c r="G687" s="334"/>
      <c r="H687" s="10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  <c r="AB687" s="236"/>
      <c r="AC687" s="236"/>
      <c r="AD687" s="236"/>
    </row>
    <row r="688" spans="1:30">
      <c r="A688" s="236"/>
      <c r="B688" s="236"/>
      <c r="C688" s="236"/>
      <c r="D688" s="236"/>
      <c r="E688" s="333"/>
      <c r="F688" s="236"/>
      <c r="G688" s="334"/>
      <c r="H688" s="10"/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  <c r="AB688" s="236"/>
      <c r="AC688" s="236"/>
      <c r="AD688" s="236"/>
    </row>
    <row r="689" spans="1:30">
      <c r="A689" s="236"/>
      <c r="B689" s="236"/>
      <c r="C689" s="236"/>
      <c r="D689" s="236"/>
      <c r="E689" s="333"/>
      <c r="F689" s="236"/>
      <c r="G689" s="334"/>
      <c r="H689" s="10"/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  <c r="AB689" s="236"/>
      <c r="AC689" s="236"/>
      <c r="AD689" s="236"/>
    </row>
    <row r="690" spans="1:30">
      <c r="A690" s="236"/>
      <c r="B690" s="236"/>
      <c r="C690" s="236"/>
      <c r="D690" s="236"/>
      <c r="E690" s="333"/>
      <c r="F690" s="236"/>
      <c r="G690" s="334"/>
      <c r="H690" s="10"/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  <c r="AB690" s="236"/>
      <c r="AC690" s="236"/>
      <c r="AD690" s="236"/>
    </row>
    <row r="691" spans="1:30">
      <c r="A691" s="236"/>
      <c r="B691" s="236"/>
      <c r="C691" s="236"/>
      <c r="D691" s="236"/>
      <c r="E691" s="333"/>
      <c r="F691" s="236"/>
      <c r="G691" s="334"/>
      <c r="H691" s="10"/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  <c r="AB691" s="236"/>
      <c r="AC691" s="236"/>
      <c r="AD691" s="236"/>
    </row>
    <row r="692" spans="1:30">
      <c r="A692" s="236"/>
      <c r="B692" s="236"/>
      <c r="C692" s="236"/>
      <c r="D692" s="236"/>
      <c r="E692" s="333"/>
      <c r="F692" s="236"/>
      <c r="G692" s="334"/>
      <c r="H692" s="10"/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  <c r="AB692" s="236"/>
      <c r="AC692" s="236"/>
      <c r="AD692" s="236"/>
    </row>
    <row r="693" spans="1:30">
      <c r="A693" s="236"/>
      <c r="B693" s="236"/>
      <c r="C693" s="236"/>
      <c r="D693" s="236"/>
      <c r="E693" s="333"/>
      <c r="F693" s="236"/>
      <c r="G693" s="334"/>
      <c r="H693" s="10"/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  <c r="AB693" s="236"/>
      <c r="AC693" s="236"/>
      <c r="AD693" s="236"/>
    </row>
    <row r="694" spans="1:30">
      <c r="A694" s="236"/>
      <c r="B694" s="236"/>
      <c r="C694" s="236"/>
      <c r="D694" s="236"/>
      <c r="E694" s="333"/>
      <c r="F694" s="236"/>
      <c r="G694" s="334"/>
      <c r="H694" s="10"/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  <c r="AB694" s="236"/>
      <c r="AC694" s="236"/>
      <c r="AD694" s="236"/>
    </row>
    <row r="695" spans="1:30">
      <c r="A695" s="236"/>
      <c r="B695" s="236"/>
      <c r="C695" s="236"/>
      <c r="D695" s="236"/>
      <c r="E695" s="333"/>
      <c r="F695" s="236"/>
      <c r="G695" s="334"/>
      <c r="H695" s="10"/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  <c r="AB695" s="236"/>
      <c r="AC695" s="236"/>
      <c r="AD695" s="236"/>
    </row>
    <row r="696" spans="1:30">
      <c r="A696" s="236"/>
      <c r="B696" s="236"/>
      <c r="C696" s="236"/>
      <c r="D696" s="236"/>
      <c r="E696" s="333"/>
      <c r="F696" s="236"/>
      <c r="G696" s="334"/>
      <c r="H696" s="10"/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  <c r="AB696" s="236"/>
      <c r="AC696" s="236"/>
      <c r="AD696" s="236"/>
    </row>
    <row r="697" spans="1:30">
      <c r="A697" s="236"/>
      <c r="B697" s="236"/>
      <c r="C697" s="236"/>
      <c r="D697" s="236"/>
      <c r="E697" s="333"/>
      <c r="F697" s="236"/>
      <c r="G697" s="334"/>
      <c r="H697" s="10"/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  <c r="AB697" s="236"/>
      <c r="AC697" s="236"/>
      <c r="AD697" s="236"/>
    </row>
    <row r="698" spans="1:30">
      <c r="A698" s="236"/>
      <c r="B698" s="236"/>
      <c r="C698" s="236"/>
      <c r="D698" s="236"/>
      <c r="E698" s="333"/>
      <c r="F698" s="236"/>
      <c r="G698" s="334"/>
      <c r="H698" s="10"/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  <c r="AB698" s="236"/>
      <c r="AC698" s="236"/>
      <c r="AD698" s="236"/>
    </row>
    <row r="699" spans="1:30">
      <c r="A699" s="236"/>
      <c r="B699" s="236"/>
      <c r="C699" s="236"/>
      <c r="D699" s="236"/>
      <c r="E699" s="333"/>
      <c r="F699" s="236"/>
      <c r="G699" s="334"/>
      <c r="H699" s="10"/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  <c r="AB699" s="236"/>
      <c r="AC699" s="236"/>
      <c r="AD699" s="236"/>
    </row>
    <row r="700" spans="1:30">
      <c r="A700" s="236"/>
      <c r="B700" s="236"/>
      <c r="C700" s="236"/>
      <c r="D700" s="236"/>
      <c r="E700" s="333"/>
      <c r="F700" s="236"/>
      <c r="G700" s="334"/>
      <c r="H700" s="10"/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  <c r="AB700" s="236"/>
      <c r="AC700" s="236"/>
      <c r="AD700" s="236"/>
    </row>
    <row r="701" spans="1:30">
      <c r="A701" s="236"/>
      <c r="B701" s="236"/>
      <c r="C701" s="236"/>
      <c r="D701" s="236"/>
      <c r="E701" s="333"/>
      <c r="F701" s="236"/>
      <c r="G701" s="334"/>
      <c r="H701" s="10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  <c r="AB701" s="236"/>
      <c r="AC701" s="236"/>
      <c r="AD701" s="236"/>
    </row>
    <row r="702" spans="1:30">
      <c r="A702" s="236"/>
      <c r="B702" s="236"/>
      <c r="C702" s="236"/>
      <c r="D702" s="236"/>
      <c r="E702" s="333"/>
      <c r="F702" s="236"/>
      <c r="G702" s="334"/>
      <c r="H702" s="10"/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  <c r="AA702" s="236"/>
      <c r="AB702" s="236"/>
      <c r="AC702" s="236"/>
      <c r="AD702" s="236"/>
    </row>
    <row r="703" spans="1:30">
      <c r="A703" s="236"/>
      <c r="B703" s="236"/>
      <c r="C703" s="236"/>
      <c r="D703" s="236"/>
      <c r="E703" s="333"/>
      <c r="F703" s="236"/>
      <c r="G703" s="334"/>
      <c r="H703" s="10"/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  <c r="AB703" s="236"/>
      <c r="AC703" s="236"/>
      <c r="AD703" s="236"/>
    </row>
    <row r="704" spans="1:30">
      <c r="A704" s="236"/>
      <c r="B704" s="236"/>
      <c r="C704" s="236"/>
      <c r="D704" s="236"/>
      <c r="E704" s="333"/>
      <c r="F704" s="236"/>
      <c r="G704" s="334"/>
      <c r="H704" s="10"/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  <c r="AB704" s="236"/>
      <c r="AC704" s="236"/>
      <c r="AD704" s="236"/>
    </row>
    <row r="705" spans="1:30">
      <c r="A705" s="236"/>
      <c r="B705" s="236"/>
      <c r="C705" s="236"/>
      <c r="D705" s="236"/>
      <c r="E705" s="333"/>
      <c r="F705" s="236"/>
      <c r="G705" s="334"/>
      <c r="H705" s="10"/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  <c r="AB705" s="236"/>
      <c r="AC705" s="236"/>
      <c r="AD705" s="236"/>
    </row>
    <row r="706" spans="1:30">
      <c r="A706" s="236"/>
      <c r="B706" s="236"/>
      <c r="C706" s="236"/>
      <c r="D706" s="236"/>
      <c r="E706" s="333"/>
      <c r="F706" s="236"/>
      <c r="G706" s="334"/>
      <c r="H706" s="10"/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  <c r="AB706" s="236"/>
      <c r="AC706" s="236"/>
      <c r="AD706" s="236"/>
    </row>
    <row r="707" spans="1:30">
      <c r="A707" s="236"/>
      <c r="B707" s="236"/>
      <c r="C707" s="236"/>
      <c r="D707" s="236"/>
      <c r="E707" s="333"/>
      <c r="F707" s="236"/>
      <c r="G707" s="334"/>
      <c r="H707" s="10"/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  <c r="AA707" s="236"/>
      <c r="AB707" s="236"/>
      <c r="AC707" s="236"/>
      <c r="AD707" s="236"/>
    </row>
    <row r="708" spans="1:30">
      <c r="A708" s="236"/>
      <c r="B708" s="236"/>
      <c r="C708" s="236"/>
      <c r="D708" s="236"/>
      <c r="E708" s="333"/>
      <c r="F708" s="236"/>
      <c r="G708" s="334"/>
      <c r="H708" s="10"/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  <c r="AB708" s="236"/>
      <c r="AC708" s="236"/>
      <c r="AD708" s="236"/>
    </row>
    <row r="709" spans="1:30">
      <c r="A709" s="236"/>
      <c r="B709" s="236"/>
      <c r="C709" s="236"/>
      <c r="D709" s="236"/>
      <c r="E709" s="333"/>
      <c r="F709" s="236"/>
      <c r="G709" s="334"/>
      <c r="H709" s="10"/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  <c r="AB709" s="236"/>
      <c r="AC709" s="236"/>
      <c r="AD709" s="236"/>
    </row>
    <row r="710" spans="1:30">
      <c r="A710" s="236"/>
      <c r="B710" s="236"/>
      <c r="C710" s="236"/>
      <c r="D710" s="236"/>
      <c r="E710" s="333"/>
      <c r="F710" s="236"/>
      <c r="G710" s="334"/>
      <c r="H710" s="10"/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  <c r="AB710" s="236"/>
      <c r="AC710" s="236"/>
      <c r="AD710" s="236"/>
    </row>
    <row r="711" spans="1:30">
      <c r="A711" s="236"/>
      <c r="B711" s="236"/>
      <c r="C711" s="236"/>
      <c r="D711" s="236"/>
      <c r="E711" s="333"/>
      <c r="F711" s="236"/>
      <c r="G711" s="334"/>
      <c r="H711" s="10"/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  <c r="AB711" s="236"/>
      <c r="AC711" s="236"/>
      <c r="AD711" s="236"/>
    </row>
    <row r="712" spans="1:30">
      <c r="A712" s="236"/>
      <c r="B712" s="236"/>
      <c r="C712" s="236"/>
      <c r="D712" s="236"/>
      <c r="E712" s="333"/>
      <c r="F712" s="236"/>
      <c r="G712" s="334"/>
      <c r="H712" s="10"/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  <c r="AB712" s="236"/>
      <c r="AC712" s="236"/>
      <c r="AD712" s="236"/>
    </row>
    <row r="713" spans="1:30">
      <c r="A713" s="236"/>
      <c r="B713" s="236"/>
      <c r="C713" s="236"/>
      <c r="D713" s="236"/>
      <c r="E713" s="333"/>
      <c r="F713" s="236"/>
      <c r="G713" s="334"/>
      <c r="H713" s="10"/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  <c r="AB713" s="236"/>
      <c r="AC713" s="236"/>
      <c r="AD713" s="236"/>
    </row>
    <row r="714" spans="1:30">
      <c r="A714" s="236"/>
      <c r="B714" s="236"/>
      <c r="C714" s="236"/>
      <c r="D714" s="236"/>
      <c r="E714" s="333"/>
      <c r="F714" s="236"/>
      <c r="G714" s="334"/>
      <c r="H714" s="10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  <c r="AB714" s="236"/>
      <c r="AC714" s="236"/>
      <c r="AD714" s="236"/>
    </row>
    <row r="715" spans="1:30">
      <c r="A715" s="236"/>
      <c r="B715" s="236"/>
      <c r="C715" s="236"/>
      <c r="D715" s="236"/>
      <c r="E715" s="333"/>
      <c r="F715" s="236"/>
      <c r="G715" s="334"/>
      <c r="H715" s="10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  <c r="AA715" s="236"/>
      <c r="AB715" s="236"/>
      <c r="AC715" s="236"/>
      <c r="AD715" s="236"/>
    </row>
    <row r="716" spans="1:30">
      <c r="A716" s="236"/>
      <c r="B716" s="236"/>
      <c r="C716" s="236"/>
      <c r="D716" s="236"/>
      <c r="E716" s="333"/>
      <c r="F716" s="236"/>
      <c r="G716" s="334"/>
      <c r="H716" s="10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  <c r="AB716" s="236"/>
      <c r="AC716" s="236"/>
      <c r="AD716" s="236"/>
    </row>
    <row r="717" spans="1:30">
      <c r="A717" s="236"/>
      <c r="B717" s="236"/>
      <c r="C717" s="236"/>
      <c r="D717" s="236"/>
      <c r="E717" s="333"/>
      <c r="F717" s="236"/>
      <c r="G717" s="334"/>
      <c r="H717" s="10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  <c r="AB717" s="236"/>
      <c r="AC717" s="236"/>
      <c r="AD717" s="236"/>
    </row>
    <row r="718" spans="1:30">
      <c r="A718" s="236"/>
      <c r="B718" s="236"/>
      <c r="C718" s="236"/>
      <c r="D718" s="236"/>
      <c r="E718" s="333"/>
      <c r="F718" s="236"/>
      <c r="G718" s="334"/>
      <c r="H718" s="10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  <c r="AB718" s="236"/>
      <c r="AC718" s="236"/>
      <c r="AD718" s="236"/>
    </row>
    <row r="719" spans="1:30">
      <c r="A719" s="236"/>
      <c r="B719" s="236"/>
      <c r="C719" s="236"/>
      <c r="D719" s="236"/>
      <c r="E719" s="333"/>
      <c r="F719" s="236"/>
      <c r="G719" s="334"/>
      <c r="H719" s="10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  <c r="AB719" s="236"/>
      <c r="AC719" s="236"/>
      <c r="AD719" s="236"/>
    </row>
    <row r="720" spans="1:30">
      <c r="A720" s="236"/>
      <c r="B720" s="236"/>
      <c r="C720" s="236"/>
      <c r="D720" s="236"/>
      <c r="E720" s="333"/>
      <c r="F720" s="236"/>
      <c r="G720" s="334"/>
      <c r="H720" s="10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  <c r="AB720" s="236"/>
      <c r="AC720" s="236"/>
      <c r="AD720" s="236"/>
    </row>
    <row r="721" spans="1:30">
      <c r="A721" s="236"/>
      <c r="B721" s="236"/>
      <c r="C721" s="236"/>
      <c r="D721" s="236"/>
      <c r="E721" s="333"/>
      <c r="F721" s="236"/>
      <c r="G721" s="334"/>
      <c r="H721" s="10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  <c r="AA721" s="236"/>
      <c r="AB721" s="236"/>
      <c r="AC721" s="236"/>
      <c r="AD721" s="236"/>
    </row>
    <row r="722" spans="1:30">
      <c r="A722" s="236"/>
      <c r="B722" s="236"/>
      <c r="C722" s="236"/>
      <c r="D722" s="236"/>
      <c r="E722" s="333"/>
      <c r="F722" s="236"/>
      <c r="G722" s="334"/>
      <c r="H722" s="10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  <c r="AB722" s="236"/>
      <c r="AC722" s="236"/>
      <c r="AD722" s="236"/>
    </row>
    <row r="723" spans="1:30">
      <c r="A723" s="236"/>
      <c r="B723" s="236"/>
      <c r="C723" s="236"/>
      <c r="D723" s="236"/>
      <c r="E723" s="333"/>
      <c r="F723" s="236"/>
      <c r="G723" s="334"/>
      <c r="H723" s="10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  <c r="AB723" s="236"/>
      <c r="AC723" s="236"/>
      <c r="AD723" s="236"/>
    </row>
    <row r="724" spans="1:30">
      <c r="A724" s="236"/>
      <c r="B724" s="236"/>
      <c r="C724" s="236"/>
      <c r="D724" s="236"/>
      <c r="E724" s="333"/>
      <c r="F724" s="236"/>
      <c r="G724" s="334"/>
      <c r="H724" s="10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  <c r="AB724" s="236"/>
      <c r="AC724" s="236"/>
      <c r="AD724" s="236"/>
    </row>
    <row r="725" spans="1:30">
      <c r="A725" s="236"/>
      <c r="B725" s="236"/>
      <c r="C725" s="236"/>
      <c r="D725" s="236"/>
      <c r="E725" s="333"/>
      <c r="F725" s="236"/>
      <c r="G725" s="334"/>
      <c r="H725" s="10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  <c r="AB725" s="236"/>
      <c r="AC725" s="236"/>
      <c r="AD725" s="236"/>
    </row>
    <row r="726" spans="1:30">
      <c r="A726" s="236"/>
      <c r="B726" s="236"/>
      <c r="C726" s="236"/>
      <c r="D726" s="236"/>
      <c r="E726" s="333"/>
      <c r="F726" s="236"/>
      <c r="G726" s="334"/>
      <c r="H726" s="10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  <c r="AB726" s="236"/>
      <c r="AC726" s="236"/>
      <c r="AD726" s="236"/>
    </row>
    <row r="727" spans="1:30">
      <c r="A727" s="236"/>
      <c r="B727" s="236"/>
      <c r="C727" s="236"/>
      <c r="D727" s="236"/>
      <c r="E727" s="333"/>
      <c r="F727" s="236"/>
      <c r="G727" s="334"/>
      <c r="H727" s="10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  <c r="AB727" s="236"/>
      <c r="AC727" s="236"/>
      <c r="AD727" s="236"/>
    </row>
    <row r="728" spans="1:30">
      <c r="A728" s="236"/>
      <c r="B728" s="236"/>
      <c r="C728" s="236"/>
      <c r="D728" s="236"/>
      <c r="E728" s="333"/>
      <c r="F728" s="236"/>
      <c r="G728" s="334"/>
      <c r="H728" s="10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  <c r="AB728" s="236"/>
      <c r="AC728" s="236"/>
      <c r="AD728" s="236"/>
    </row>
    <row r="729" spans="1:30">
      <c r="A729" s="236"/>
      <c r="B729" s="236"/>
      <c r="C729" s="236"/>
      <c r="D729" s="236"/>
      <c r="E729" s="333"/>
      <c r="F729" s="236"/>
      <c r="G729" s="334"/>
      <c r="H729" s="10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  <c r="AB729" s="236"/>
      <c r="AC729" s="236"/>
      <c r="AD729" s="236"/>
    </row>
    <row r="730" spans="1:30">
      <c r="A730" s="236"/>
      <c r="B730" s="236"/>
      <c r="C730" s="236"/>
      <c r="D730" s="236"/>
      <c r="E730" s="333"/>
      <c r="F730" s="236"/>
      <c r="G730" s="334"/>
      <c r="H730" s="10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  <c r="AB730" s="236"/>
      <c r="AC730" s="236"/>
      <c r="AD730" s="236"/>
    </row>
    <row r="731" spans="1:30">
      <c r="A731" s="236"/>
      <c r="B731" s="236"/>
      <c r="C731" s="236"/>
      <c r="D731" s="236"/>
      <c r="E731" s="333"/>
      <c r="F731" s="236"/>
      <c r="G731" s="334"/>
      <c r="H731" s="10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  <c r="AB731" s="236"/>
      <c r="AC731" s="236"/>
      <c r="AD731" s="236"/>
    </row>
    <row r="732" spans="1:30">
      <c r="A732" s="236"/>
      <c r="B732" s="236"/>
      <c r="C732" s="236"/>
      <c r="D732" s="236"/>
      <c r="E732" s="333"/>
      <c r="F732" s="236"/>
      <c r="G732" s="334"/>
      <c r="H732" s="10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  <c r="AB732" s="236"/>
      <c r="AC732" s="236"/>
      <c r="AD732" s="236"/>
    </row>
    <row r="733" spans="1:30">
      <c r="A733" s="236"/>
      <c r="B733" s="236"/>
      <c r="C733" s="236"/>
      <c r="D733" s="236"/>
      <c r="E733" s="333"/>
      <c r="F733" s="236"/>
      <c r="G733" s="334"/>
      <c r="H733" s="10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  <c r="AB733" s="236"/>
      <c r="AC733" s="236"/>
      <c r="AD733" s="236"/>
    </row>
    <row r="734" spans="1:30">
      <c r="A734" s="236"/>
      <c r="B734" s="236"/>
      <c r="C734" s="236"/>
      <c r="D734" s="236"/>
      <c r="E734" s="333"/>
      <c r="F734" s="236"/>
      <c r="G734" s="334"/>
      <c r="H734" s="10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  <c r="AB734" s="236"/>
      <c r="AC734" s="236"/>
      <c r="AD734" s="236"/>
    </row>
    <row r="735" spans="1:30">
      <c r="A735" s="236"/>
      <c r="B735" s="236"/>
      <c r="C735" s="236"/>
      <c r="D735" s="236"/>
      <c r="E735" s="333"/>
      <c r="F735" s="236"/>
      <c r="G735" s="334"/>
      <c r="H735" s="10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  <c r="AB735" s="236"/>
      <c r="AC735" s="236"/>
      <c r="AD735" s="236"/>
    </row>
    <row r="736" spans="1:30">
      <c r="A736" s="236"/>
      <c r="B736" s="236"/>
      <c r="C736" s="236"/>
      <c r="D736" s="236"/>
      <c r="E736" s="333"/>
      <c r="F736" s="236"/>
      <c r="G736" s="334"/>
      <c r="H736" s="10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  <c r="AB736" s="236"/>
      <c r="AC736" s="236"/>
      <c r="AD736" s="236"/>
    </row>
    <row r="737" spans="1:30">
      <c r="A737" s="236"/>
      <c r="B737" s="236"/>
      <c r="C737" s="236"/>
      <c r="D737" s="236"/>
      <c r="E737" s="333"/>
      <c r="F737" s="236"/>
      <c r="G737" s="334"/>
      <c r="H737" s="10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  <c r="AB737" s="236"/>
      <c r="AC737" s="236"/>
      <c r="AD737" s="236"/>
    </row>
    <row r="738" spans="1:30">
      <c r="A738" s="236"/>
      <c r="B738" s="236"/>
      <c r="C738" s="236"/>
      <c r="D738" s="236"/>
      <c r="E738" s="333"/>
      <c r="F738" s="236"/>
      <c r="G738" s="334"/>
      <c r="H738" s="10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  <c r="AB738" s="236"/>
      <c r="AC738" s="236"/>
      <c r="AD738" s="236"/>
    </row>
    <row r="739" spans="1:30">
      <c r="A739" s="236"/>
      <c r="B739" s="236"/>
      <c r="C739" s="236"/>
      <c r="D739" s="236"/>
      <c r="E739" s="333"/>
      <c r="F739" s="236"/>
      <c r="G739" s="334"/>
      <c r="H739" s="10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  <c r="AB739" s="236"/>
      <c r="AC739" s="236"/>
      <c r="AD739" s="236"/>
    </row>
    <row r="740" spans="1:30">
      <c r="A740" s="236"/>
      <c r="B740" s="236"/>
      <c r="C740" s="236"/>
      <c r="D740" s="236"/>
      <c r="E740" s="333"/>
      <c r="F740" s="236"/>
      <c r="G740" s="334"/>
      <c r="H740" s="10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  <c r="AB740" s="236"/>
      <c r="AC740" s="236"/>
      <c r="AD740" s="236"/>
    </row>
    <row r="741" spans="1:30">
      <c r="A741" s="236"/>
      <c r="B741" s="236"/>
      <c r="C741" s="236"/>
      <c r="D741" s="236"/>
      <c r="E741" s="333"/>
      <c r="F741" s="236"/>
      <c r="G741" s="334"/>
      <c r="H741" s="10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  <c r="AB741" s="236"/>
      <c r="AC741" s="236"/>
      <c r="AD741" s="236"/>
    </row>
    <row r="742" spans="1:30">
      <c r="A742" s="236"/>
      <c r="B742" s="236"/>
      <c r="C742" s="236"/>
      <c r="D742" s="236"/>
      <c r="E742" s="333"/>
      <c r="F742" s="236"/>
      <c r="G742" s="334"/>
      <c r="H742" s="10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  <c r="AB742" s="236"/>
      <c r="AC742" s="236"/>
      <c r="AD742" s="236"/>
    </row>
    <row r="743" spans="1:30">
      <c r="A743" s="236"/>
      <c r="B743" s="236"/>
      <c r="C743" s="236"/>
      <c r="D743" s="236"/>
      <c r="E743" s="333"/>
      <c r="F743" s="236"/>
      <c r="G743" s="334"/>
      <c r="H743" s="10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  <c r="AB743" s="236"/>
      <c r="AC743" s="236"/>
      <c r="AD743" s="236"/>
    </row>
    <row r="744" spans="1:30">
      <c r="A744" s="236"/>
      <c r="B744" s="236"/>
      <c r="C744" s="236"/>
      <c r="D744" s="236"/>
      <c r="E744" s="333"/>
      <c r="F744" s="236"/>
      <c r="G744" s="334"/>
      <c r="H744" s="10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  <c r="AA744" s="236"/>
      <c r="AB744" s="236"/>
      <c r="AC744" s="236"/>
      <c r="AD744" s="236"/>
    </row>
    <row r="745" spans="1:30">
      <c r="A745" s="236"/>
      <c r="B745" s="236"/>
      <c r="C745" s="236"/>
      <c r="D745" s="236"/>
      <c r="E745" s="333"/>
      <c r="F745" s="236"/>
      <c r="G745" s="334"/>
      <c r="H745" s="10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  <c r="AB745" s="236"/>
      <c r="AC745" s="236"/>
      <c r="AD745" s="236"/>
    </row>
    <row r="746" spans="1:30">
      <c r="A746" s="236"/>
      <c r="B746" s="236"/>
      <c r="C746" s="236"/>
      <c r="D746" s="236"/>
      <c r="E746" s="333"/>
      <c r="F746" s="236"/>
      <c r="G746" s="334"/>
      <c r="H746" s="10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  <c r="AB746" s="236"/>
      <c r="AC746" s="236"/>
      <c r="AD746" s="236"/>
    </row>
    <row r="747" spans="1:30">
      <c r="A747" s="236"/>
      <c r="B747" s="236"/>
      <c r="C747" s="236"/>
      <c r="D747" s="236"/>
      <c r="E747" s="333"/>
      <c r="F747" s="236"/>
      <c r="G747" s="334"/>
      <c r="H747" s="10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  <c r="AB747" s="236"/>
      <c r="AC747" s="236"/>
      <c r="AD747" s="236"/>
    </row>
    <row r="748" spans="1:30">
      <c r="A748" s="236"/>
      <c r="B748" s="236"/>
      <c r="C748" s="236"/>
      <c r="D748" s="236"/>
      <c r="E748" s="333"/>
      <c r="F748" s="236"/>
      <c r="G748" s="334"/>
      <c r="H748" s="10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  <c r="AB748" s="236"/>
      <c r="AC748" s="236"/>
      <c r="AD748" s="236"/>
    </row>
    <row r="749" spans="1:30">
      <c r="A749" s="236"/>
      <c r="B749" s="236"/>
      <c r="C749" s="236"/>
      <c r="D749" s="236"/>
      <c r="E749" s="333"/>
      <c r="F749" s="236"/>
      <c r="G749" s="334"/>
      <c r="H749" s="10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  <c r="AA749" s="236"/>
      <c r="AB749" s="236"/>
      <c r="AC749" s="236"/>
      <c r="AD749" s="236"/>
    </row>
    <row r="750" spans="1:30">
      <c r="A750" s="236"/>
      <c r="B750" s="236"/>
      <c r="C750" s="236"/>
      <c r="D750" s="236"/>
      <c r="E750" s="333"/>
      <c r="F750" s="236"/>
      <c r="G750" s="334"/>
      <c r="H750" s="10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  <c r="AB750" s="236"/>
      <c r="AC750" s="236"/>
      <c r="AD750" s="236"/>
    </row>
    <row r="751" spans="1:30">
      <c r="A751" s="236"/>
      <c r="B751" s="236"/>
      <c r="C751" s="236"/>
      <c r="D751" s="236"/>
      <c r="E751" s="333"/>
      <c r="F751" s="236"/>
      <c r="G751" s="334"/>
      <c r="H751" s="10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  <c r="AB751" s="236"/>
      <c r="AC751" s="236"/>
      <c r="AD751" s="236"/>
    </row>
    <row r="752" spans="1:30">
      <c r="A752" s="236"/>
      <c r="B752" s="236"/>
      <c r="C752" s="236"/>
      <c r="D752" s="236"/>
      <c r="E752" s="333"/>
      <c r="F752" s="236"/>
      <c r="G752" s="334"/>
      <c r="H752" s="10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  <c r="AB752" s="236"/>
      <c r="AC752" s="236"/>
      <c r="AD752" s="236"/>
    </row>
    <row r="753" spans="1:30">
      <c r="A753" s="236"/>
      <c r="B753" s="236"/>
      <c r="C753" s="236"/>
      <c r="D753" s="236"/>
      <c r="E753" s="333"/>
      <c r="F753" s="236"/>
      <c r="G753" s="334"/>
      <c r="H753" s="10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  <c r="AB753" s="236"/>
      <c r="AC753" s="236"/>
      <c r="AD753" s="236"/>
    </row>
    <row r="754" spans="1:30">
      <c r="A754" s="236"/>
      <c r="B754" s="236"/>
      <c r="C754" s="236"/>
      <c r="D754" s="236"/>
      <c r="E754" s="333"/>
      <c r="F754" s="236"/>
      <c r="G754" s="334"/>
      <c r="H754" s="10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  <c r="AB754" s="236"/>
      <c r="AC754" s="236"/>
      <c r="AD754" s="236"/>
    </row>
    <row r="755" spans="1:30">
      <c r="A755" s="236"/>
      <c r="B755" s="236"/>
      <c r="C755" s="236"/>
      <c r="D755" s="236"/>
      <c r="E755" s="333"/>
      <c r="F755" s="236"/>
      <c r="G755" s="334"/>
      <c r="H755" s="10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  <c r="AB755" s="236"/>
      <c r="AC755" s="236"/>
      <c r="AD755" s="236"/>
    </row>
    <row r="756" spans="1:30">
      <c r="A756" s="236"/>
      <c r="B756" s="236"/>
      <c r="C756" s="236"/>
      <c r="D756" s="236"/>
      <c r="E756" s="333"/>
      <c r="F756" s="236"/>
      <c r="G756" s="334"/>
      <c r="H756" s="10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  <c r="AB756" s="236"/>
      <c r="AC756" s="236"/>
      <c r="AD756" s="236"/>
    </row>
    <row r="757" spans="1:30">
      <c r="A757" s="236"/>
      <c r="B757" s="236"/>
      <c r="C757" s="236"/>
      <c r="D757" s="236"/>
      <c r="E757" s="333"/>
      <c r="F757" s="236"/>
      <c r="G757" s="334"/>
      <c r="H757" s="10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  <c r="AA757" s="236"/>
      <c r="AB757" s="236"/>
      <c r="AC757" s="236"/>
      <c r="AD757" s="236"/>
    </row>
    <row r="758" spans="1:30">
      <c r="A758" s="236"/>
      <c r="B758" s="236"/>
      <c r="C758" s="236"/>
      <c r="D758" s="236"/>
      <c r="E758" s="333"/>
      <c r="F758" s="236"/>
      <c r="G758" s="334"/>
      <c r="H758" s="10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  <c r="AB758" s="236"/>
      <c r="AC758" s="236"/>
      <c r="AD758" s="236"/>
    </row>
    <row r="759" spans="1:30">
      <c r="A759" s="236"/>
      <c r="B759" s="236"/>
      <c r="C759" s="236"/>
      <c r="D759" s="236"/>
      <c r="E759" s="333"/>
      <c r="F759" s="236"/>
      <c r="G759" s="334"/>
      <c r="H759" s="10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  <c r="AB759" s="236"/>
      <c r="AC759" s="236"/>
      <c r="AD759" s="236"/>
    </row>
    <row r="760" spans="1:30">
      <c r="A760" s="236"/>
      <c r="B760" s="236"/>
      <c r="C760" s="236"/>
      <c r="D760" s="236"/>
      <c r="E760" s="333"/>
      <c r="F760" s="236"/>
      <c r="G760" s="334"/>
      <c r="H760" s="10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  <c r="AB760" s="236"/>
      <c r="AC760" s="236"/>
      <c r="AD760" s="236"/>
    </row>
    <row r="761" spans="1:30">
      <c r="A761" s="236"/>
      <c r="B761" s="236"/>
      <c r="C761" s="236"/>
      <c r="D761" s="236"/>
      <c r="E761" s="333"/>
      <c r="F761" s="236"/>
      <c r="G761" s="334"/>
      <c r="H761" s="10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  <c r="AB761" s="236"/>
      <c r="AC761" s="236"/>
      <c r="AD761" s="236"/>
    </row>
    <row r="762" spans="1:30">
      <c r="A762" s="236"/>
      <c r="B762" s="236"/>
      <c r="C762" s="236"/>
      <c r="D762" s="236"/>
      <c r="E762" s="333"/>
      <c r="F762" s="236"/>
      <c r="G762" s="334"/>
      <c r="H762" s="10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  <c r="AB762" s="236"/>
      <c r="AC762" s="236"/>
      <c r="AD762" s="236"/>
    </row>
    <row r="763" spans="1:30">
      <c r="A763" s="236"/>
      <c r="B763" s="236"/>
      <c r="C763" s="236"/>
      <c r="D763" s="236"/>
      <c r="E763" s="333"/>
      <c r="F763" s="236"/>
      <c r="G763" s="334"/>
      <c r="H763" s="10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  <c r="AA763" s="236"/>
      <c r="AB763" s="236"/>
      <c r="AC763" s="236"/>
      <c r="AD763" s="236"/>
    </row>
    <row r="764" spans="1:30">
      <c r="A764" s="236"/>
      <c r="B764" s="236"/>
      <c r="C764" s="236"/>
      <c r="D764" s="236"/>
      <c r="E764" s="333"/>
      <c r="F764" s="236"/>
      <c r="G764" s="334"/>
      <c r="H764" s="10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  <c r="AB764" s="236"/>
      <c r="AC764" s="236"/>
      <c r="AD764" s="236"/>
    </row>
    <row r="765" spans="1:30">
      <c r="A765" s="236"/>
      <c r="B765" s="236"/>
      <c r="C765" s="236"/>
      <c r="D765" s="236"/>
      <c r="E765" s="333"/>
      <c r="F765" s="236"/>
      <c r="G765" s="334"/>
      <c r="H765" s="10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  <c r="AB765" s="236"/>
      <c r="AC765" s="236"/>
      <c r="AD765" s="236"/>
    </row>
    <row r="766" spans="1:30">
      <c r="A766" s="236"/>
      <c r="B766" s="236"/>
      <c r="C766" s="236"/>
      <c r="D766" s="236"/>
      <c r="E766" s="333"/>
      <c r="F766" s="236"/>
      <c r="G766" s="334"/>
      <c r="H766" s="10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  <c r="AB766" s="236"/>
      <c r="AC766" s="236"/>
      <c r="AD766" s="236"/>
    </row>
    <row r="767" spans="1:30">
      <c r="A767" s="236"/>
      <c r="B767" s="236"/>
      <c r="C767" s="236"/>
      <c r="D767" s="236"/>
      <c r="E767" s="333"/>
      <c r="F767" s="236"/>
      <c r="G767" s="334"/>
      <c r="H767" s="10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  <c r="AB767" s="236"/>
      <c r="AC767" s="236"/>
      <c r="AD767" s="236"/>
    </row>
    <row r="768" spans="1:30">
      <c r="A768" s="236"/>
      <c r="B768" s="236"/>
      <c r="C768" s="236"/>
      <c r="D768" s="236"/>
      <c r="E768" s="333"/>
      <c r="F768" s="236"/>
      <c r="G768" s="334"/>
      <c r="H768" s="10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  <c r="AB768" s="236"/>
      <c r="AC768" s="236"/>
      <c r="AD768" s="236"/>
    </row>
    <row r="769" spans="1:30">
      <c r="A769" s="236"/>
      <c r="B769" s="236"/>
      <c r="C769" s="236"/>
      <c r="D769" s="236"/>
      <c r="E769" s="333"/>
      <c r="F769" s="236"/>
      <c r="G769" s="334"/>
      <c r="H769" s="10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  <c r="AB769" s="236"/>
      <c r="AC769" s="236"/>
      <c r="AD769" s="236"/>
    </row>
    <row r="770" spans="1:30">
      <c r="A770" s="236"/>
      <c r="B770" s="236"/>
      <c r="C770" s="236"/>
      <c r="D770" s="236"/>
      <c r="E770" s="333"/>
      <c r="F770" s="236"/>
      <c r="G770" s="334"/>
      <c r="H770" s="10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  <c r="AB770" s="236"/>
      <c r="AC770" s="236"/>
      <c r="AD770" s="236"/>
    </row>
    <row r="771" spans="1:30">
      <c r="A771" s="236"/>
      <c r="B771" s="236"/>
      <c r="C771" s="236"/>
      <c r="D771" s="236"/>
      <c r="E771" s="333"/>
      <c r="F771" s="236"/>
      <c r="G771" s="334"/>
      <c r="H771" s="10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  <c r="AB771" s="236"/>
      <c r="AC771" s="236"/>
      <c r="AD771" s="236"/>
    </row>
    <row r="772" spans="1:30">
      <c r="A772" s="236"/>
      <c r="B772" s="236"/>
      <c r="C772" s="236"/>
      <c r="D772" s="236"/>
      <c r="E772" s="333"/>
      <c r="F772" s="236"/>
      <c r="G772" s="334"/>
      <c r="H772" s="10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  <c r="AB772" s="236"/>
      <c r="AC772" s="236"/>
      <c r="AD772" s="236"/>
    </row>
    <row r="773" spans="1:30">
      <c r="A773" s="236"/>
      <c r="B773" s="236"/>
      <c r="C773" s="236"/>
      <c r="D773" s="236"/>
      <c r="E773" s="333"/>
      <c r="F773" s="236"/>
      <c r="G773" s="334"/>
      <c r="H773" s="10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  <c r="AB773" s="236"/>
      <c r="AC773" s="236"/>
      <c r="AD773" s="236"/>
    </row>
    <row r="774" spans="1:30">
      <c r="A774" s="236"/>
      <c r="B774" s="236"/>
      <c r="C774" s="236"/>
      <c r="D774" s="236"/>
      <c r="E774" s="333"/>
      <c r="F774" s="236"/>
      <c r="G774" s="334"/>
      <c r="H774" s="10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  <c r="AB774" s="236"/>
      <c r="AC774" s="236"/>
      <c r="AD774" s="236"/>
    </row>
    <row r="775" spans="1:30">
      <c r="A775" s="236"/>
      <c r="B775" s="236"/>
      <c r="C775" s="236"/>
      <c r="D775" s="236"/>
      <c r="E775" s="333"/>
      <c r="F775" s="236"/>
      <c r="G775" s="334"/>
      <c r="H775" s="10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  <c r="AB775" s="236"/>
      <c r="AC775" s="236"/>
      <c r="AD775" s="236"/>
    </row>
    <row r="776" spans="1:30">
      <c r="A776" s="236"/>
      <c r="B776" s="236"/>
      <c r="C776" s="236"/>
      <c r="D776" s="236"/>
      <c r="E776" s="333"/>
      <c r="F776" s="236"/>
      <c r="G776" s="334"/>
      <c r="H776" s="10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  <c r="AB776" s="236"/>
      <c r="AC776" s="236"/>
      <c r="AD776" s="236"/>
    </row>
    <row r="777" spans="1:30">
      <c r="A777" s="236"/>
      <c r="B777" s="236"/>
      <c r="C777" s="236"/>
      <c r="D777" s="236"/>
      <c r="E777" s="333"/>
      <c r="F777" s="236"/>
      <c r="G777" s="334"/>
      <c r="H777" s="10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  <c r="AB777" s="236"/>
      <c r="AC777" s="236"/>
      <c r="AD777" s="236"/>
    </row>
    <row r="778" spans="1:30">
      <c r="A778" s="236"/>
      <c r="B778" s="236"/>
      <c r="C778" s="236"/>
      <c r="D778" s="236"/>
      <c r="E778" s="333"/>
      <c r="F778" s="236"/>
      <c r="G778" s="334"/>
      <c r="H778" s="10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  <c r="AB778" s="236"/>
      <c r="AC778" s="236"/>
      <c r="AD778" s="236"/>
    </row>
    <row r="779" spans="1:30">
      <c r="A779" s="236"/>
      <c r="B779" s="236"/>
      <c r="C779" s="236"/>
      <c r="D779" s="236"/>
      <c r="E779" s="333"/>
      <c r="F779" s="236"/>
      <c r="G779" s="334"/>
      <c r="H779" s="10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  <c r="AB779" s="236"/>
      <c r="AC779" s="236"/>
      <c r="AD779" s="236"/>
    </row>
    <row r="780" spans="1:30">
      <c r="A780" s="236"/>
      <c r="B780" s="236"/>
      <c r="C780" s="236"/>
      <c r="D780" s="236"/>
      <c r="E780" s="333"/>
      <c r="F780" s="236"/>
      <c r="G780" s="334"/>
      <c r="H780" s="10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  <c r="AB780" s="236"/>
      <c r="AC780" s="236"/>
      <c r="AD780" s="236"/>
    </row>
    <row r="781" spans="1:30">
      <c r="A781" s="236"/>
      <c r="B781" s="236"/>
      <c r="C781" s="236"/>
      <c r="D781" s="236"/>
      <c r="E781" s="333"/>
      <c r="F781" s="236"/>
      <c r="G781" s="334"/>
      <c r="H781" s="10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  <c r="AB781" s="236"/>
      <c r="AC781" s="236"/>
      <c r="AD781" s="236"/>
    </row>
    <row r="782" spans="1:30">
      <c r="A782" s="236"/>
      <c r="B782" s="236"/>
      <c r="C782" s="236"/>
      <c r="D782" s="236"/>
      <c r="E782" s="333"/>
      <c r="F782" s="236"/>
      <c r="G782" s="334"/>
      <c r="H782" s="10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  <c r="AB782" s="236"/>
      <c r="AC782" s="236"/>
      <c r="AD782" s="236"/>
    </row>
    <row r="783" spans="1:30">
      <c r="A783" s="236"/>
      <c r="B783" s="236"/>
      <c r="C783" s="236"/>
      <c r="D783" s="236"/>
      <c r="E783" s="333"/>
      <c r="F783" s="236"/>
      <c r="G783" s="334"/>
      <c r="H783" s="10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  <c r="AB783" s="236"/>
      <c r="AC783" s="236"/>
      <c r="AD783" s="236"/>
    </row>
    <row r="784" spans="1:30">
      <c r="A784" s="236"/>
      <c r="B784" s="236"/>
      <c r="C784" s="236"/>
      <c r="D784" s="236"/>
      <c r="E784" s="333"/>
      <c r="F784" s="236"/>
      <c r="G784" s="334"/>
      <c r="H784" s="10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  <c r="AB784" s="236"/>
      <c r="AC784" s="236"/>
      <c r="AD784" s="236"/>
    </row>
    <row r="785" spans="1:30">
      <c r="A785" s="236"/>
      <c r="B785" s="236"/>
      <c r="C785" s="236"/>
      <c r="D785" s="236"/>
      <c r="E785" s="333"/>
      <c r="F785" s="236"/>
      <c r="G785" s="334"/>
      <c r="H785" s="10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  <c r="AB785" s="236"/>
      <c r="AC785" s="236"/>
      <c r="AD785" s="236"/>
    </row>
    <row r="786" spans="1:30">
      <c r="A786" s="236"/>
      <c r="B786" s="236"/>
      <c r="C786" s="236"/>
      <c r="D786" s="236"/>
      <c r="E786" s="333"/>
      <c r="F786" s="236"/>
      <c r="G786" s="334"/>
      <c r="H786" s="10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  <c r="AA786" s="236"/>
      <c r="AB786" s="236"/>
      <c r="AC786" s="236"/>
      <c r="AD786" s="236"/>
    </row>
    <row r="787" spans="1:30">
      <c r="A787" s="236"/>
      <c r="B787" s="236"/>
      <c r="C787" s="236"/>
      <c r="D787" s="236"/>
      <c r="E787" s="333"/>
      <c r="F787" s="236"/>
      <c r="G787" s="334"/>
      <c r="H787" s="10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  <c r="AB787" s="236"/>
      <c r="AC787" s="236"/>
      <c r="AD787" s="236"/>
    </row>
    <row r="788" spans="1:30">
      <c r="A788" s="236"/>
      <c r="B788" s="236"/>
      <c r="C788" s="236"/>
      <c r="D788" s="236"/>
      <c r="E788" s="333"/>
      <c r="F788" s="236"/>
      <c r="G788" s="334"/>
      <c r="H788" s="10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  <c r="AB788" s="236"/>
      <c r="AC788" s="236"/>
      <c r="AD788" s="236"/>
    </row>
    <row r="789" spans="1:30">
      <c r="A789" s="236"/>
      <c r="B789" s="236"/>
      <c r="C789" s="236"/>
      <c r="D789" s="236"/>
      <c r="E789" s="333"/>
      <c r="F789" s="236"/>
      <c r="G789" s="334"/>
      <c r="H789" s="10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  <c r="AB789" s="236"/>
      <c r="AC789" s="236"/>
      <c r="AD789" s="236"/>
    </row>
    <row r="790" spans="1:30">
      <c r="A790" s="236"/>
      <c r="B790" s="236"/>
      <c r="C790" s="236"/>
      <c r="D790" s="236"/>
      <c r="E790" s="333"/>
      <c r="F790" s="236"/>
      <c r="G790" s="334"/>
      <c r="H790" s="10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  <c r="AB790" s="236"/>
      <c r="AC790" s="236"/>
      <c r="AD790" s="236"/>
    </row>
    <row r="791" spans="1:30">
      <c r="A791" s="236"/>
      <c r="B791" s="236"/>
      <c r="C791" s="236"/>
      <c r="D791" s="236"/>
      <c r="E791" s="333"/>
      <c r="F791" s="236"/>
      <c r="G791" s="334"/>
      <c r="H791" s="10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  <c r="AA791" s="236"/>
      <c r="AB791" s="236"/>
      <c r="AC791" s="236"/>
      <c r="AD791" s="236"/>
    </row>
    <row r="792" spans="1:30">
      <c r="A792" s="236"/>
      <c r="B792" s="236"/>
      <c r="C792" s="236"/>
      <c r="D792" s="236"/>
      <c r="E792" s="333"/>
      <c r="F792" s="236"/>
      <c r="G792" s="334"/>
      <c r="H792" s="10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  <c r="AB792" s="236"/>
      <c r="AC792" s="236"/>
      <c r="AD792" s="236"/>
    </row>
    <row r="793" spans="1:30">
      <c r="A793" s="236"/>
      <c r="B793" s="236"/>
      <c r="C793" s="236"/>
      <c r="D793" s="236"/>
      <c r="E793" s="333"/>
      <c r="F793" s="236"/>
      <c r="G793" s="334"/>
      <c r="H793" s="10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  <c r="AB793" s="236"/>
      <c r="AC793" s="236"/>
      <c r="AD793" s="236"/>
    </row>
    <row r="794" spans="1:30">
      <c r="A794" s="236"/>
      <c r="B794" s="236"/>
      <c r="C794" s="236"/>
      <c r="D794" s="236"/>
      <c r="E794" s="333"/>
      <c r="F794" s="236"/>
      <c r="G794" s="334"/>
      <c r="H794" s="10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  <c r="AA794" s="236"/>
      <c r="AB794" s="236"/>
      <c r="AC794" s="236"/>
      <c r="AD794" s="236"/>
    </row>
    <row r="795" spans="1:30">
      <c r="A795" s="236"/>
      <c r="B795" s="236"/>
      <c r="C795" s="236"/>
      <c r="D795" s="236"/>
      <c r="E795" s="333"/>
      <c r="F795" s="236"/>
      <c r="G795" s="334"/>
      <c r="H795" s="10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  <c r="AB795" s="236"/>
      <c r="AC795" s="236"/>
      <c r="AD795" s="236"/>
    </row>
    <row r="796" spans="1:30">
      <c r="A796" s="236"/>
      <c r="B796" s="236"/>
      <c r="C796" s="236"/>
      <c r="D796" s="236"/>
      <c r="E796" s="333"/>
      <c r="F796" s="236"/>
      <c r="G796" s="334"/>
      <c r="H796" s="10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  <c r="AB796" s="236"/>
      <c r="AC796" s="236"/>
      <c r="AD796" s="236"/>
    </row>
    <row r="797" spans="1:30">
      <c r="A797" s="236"/>
      <c r="B797" s="236"/>
      <c r="C797" s="236"/>
      <c r="D797" s="236"/>
      <c r="E797" s="333"/>
      <c r="F797" s="236"/>
      <c r="G797" s="334"/>
      <c r="H797" s="10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  <c r="AB797" s="236"/>
      <c r="AC797" s="236"/>
      <c r="AD797" s="236"/>
    </row>
    <row r="798" spans="1:30">
      <c r="A798" s="236"/>
      <c r="B798" s="236"/>
      <c r="C798" s="236"/>
      <c r="D798" s="236"/>
      <c r="E798" s="333"/>
      <c r="F798" s="236"/>
      <c r="G798" s="334"/>
      <c r="H798" s="10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  <c r="AB798" s="236"/>
      <c r="AC798" s="236"/>
      <c r="AD798" s="236"/>
    </row>
    <row r="799" spans="1:30">
      <c r="A799" s="236"/>
      <c r="B799" s="236"/>
      <c r="C799" s="236"/>
      <c r="D799" s="236"/>
      <c r="E799" s="333"/>
      <c r="F799" s="236"/>
      <c r="G799" s="334"/>
      <c r="H799" s="10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  <c r="AB799" s="236"/>
      <c r="AC799" s="236"/>
      <c r="AD799" s="236"/>
    </row>
    <row r="800" spans="1:30">
      <c r="A800" s="236"/>
      <c r="B800" s="236"/>
      <c r="C800" s="236"/>
      <c r="D800" s="236"/>
      <c r="E800" s="333"/>
      <c r="F800" s="236"/>
      <c r="G800" s="334"/>
      <c r="H800" s="10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  <c r="AB800" s="236"/>
      <c r="AC800" s="236"/>
      <c r="AD800" s="236"/>
    </row>
    <row r="801" spans="1:30">
      <c r="A801" s="236"/>
      <c r="B801" s="236"/>
      <c r="C801" s="236"/>
      <c r="D801" s="236"/>
      <c r="E801" s="333"/>
      <c r="F801" s="236"/>
      <c r="G801" s="334"/>
      <c r="H801" s="10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  <c r="AB801" s="236"/>
      <c r="AC801" s="236"/>
      <c r="AD801" s="236"/>
    </row>
    <row r="802" spans="1:30">
      <c r="A802" s="236"/>
      <c r="B802" s="236"/>
      <c r="C802" s="236"/>
      <c r="D802" s="236"/>
      <c r="E802" s="333"/>
      <c r="F802" s="236"/>
      <c r="G802" s="334"/>
      <c r="H802" s="10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  <c r="AB802" s="236"/>
      <c r="AC802" s="236"/>
      <c r="AD802" s="236"/>
    </row>
    <row r="803" spans="1:30">
      <c r="A803" s="236"/>
      <c r="B803" s="236"/>
      <c r="C803" s="236"/>
      <c r="D803" s="236"/>
      <c r="E803" s="333"/>
      <c r="F803" s="236"/>
      <c r="G803" s="334"/>
      <c r="H803" s="10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  <c r="AB803" s="236"/>
      <c r="AC803" s="236"/>
      <c r="AD803" s="236"/>
    </row>
    <row r="804" spans="1:30">
      <c r="A804" s="236"/>
      <c r="B804" s="236"/>
      <c r="C804" s="236"/>
      <c r="D804" s="236"/>
      <c r="E804" s="333"/>
      <c r="F804" s="236"/>
      <c r="G804" s="334"/>
      <c r="H804" s="10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  <c r="AB804" s="236"/>
      <c r="AC804" s="236"/>
      <c r="AD804" s="236"/>
    </row>
    <row r="805" spans="1:30">
      <c r="A805" s="236"/>
      <c r="B805" s="236"/>
      <c r="C805" s="236"/>
      <c r="D805" s="236"/>
      <c r="E805" s="333"/>
      <c r="F805" s="236"/>
      <c r="G805" s="334"/>
      <c r="H805" s="10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  <c r="AB805" s="236"/>
      <c r="AC805" s="236"/>
      <c r="AD805" s="236"/>
    </row>
    <row r="806" spans="1:30">
      <c r="A806" s="236"/>
      <c r="B806" s="236"/>
      <c r="C806" s="236"/>
      <c r="D806" s="236"/>
      <c r="E806" s="333"/>
      <c r="F806" s="236"/>
      <c r="G806" s="334"/>
      <c r="H806" s="10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  <c r="AB806" s="236"/>
      <c r="AC806" s="236"/>
      <c r="AD806" s="236"/>
    </row>
    <row r="807" spans="1:30">
      <c r="A807" s="236"/>
      <c r="B807" s="236"/>
      <c r="C807" s="236"/>
      <c r="D807" s="236"/>
      <c r="E807" s="333"/>
      <c r="F807" s="236"/>
      <c r="G807" s="334"/>
      <c r="H807" s="10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  <c r="AB807" s="236"/>
      <c r="AC807" s="236"/>
      <c r="AD807" s="236"/>
    </row>
    <row r="808" spans="1:30">
      <c r="A808" s="236"/>
      <c r="B808" s="236"/>
      <c r="C808" s="236"/>
      <c r="D808" s="236"/>
      <c r="E808" s="333"/>
      <c r="F808" s="236"/>
      <c r="G808" s="334"/>
      <c r="H808" s="10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  <c r="AB808" s="236"/>
      <c r="AC808" s="236"/>
      <c r="AD808" s="236"/>
    </row>
    <row r="809" spans="1:30">
      <c r="A809" s="236"/>
      <c r="B809" s="236"/>
      <c r="C809" s="236"/>
      <c r="D809" s="236"/>
      <c r="E809" s="333"/>
      <c r="F809" s="236"/>
      <c r="G809" s="334"/>
      <c r="H809" s="10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  <c r="AB809" s="236"/>
      <c r="AC809" s="236"/>
      <c r="AD809" s="236"/>
    </row>
    <row r="810" spans="1:30">
      <c r="A810" s="236"/>
      <c r="B810" s="236"/>
      <c r="C810" s="236"/>
      <c r="D810" s="236"/>
      <c r="E810" s="333"/>
      <c r="F810" s="236"/>
      <c r="G810" s="334"/>
      <c r="H810" s="10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  <c r="AB810" s="236"/>
      <c r="AC810" s="236"/>
      <c r="AD810" s="236"/>
    </row>
    <row r="811" spans="1:30">
      <c r="A811" s="236"/>
      <c r="B811" s="236"/>
      <c r="C811" s="236"/>
      <c r="D811" s="236"/>
      <c r="E811" s="333"/>
      <c r="F811" s="236"/>
      <c r="G811" s="334"/>
      <c r="H811" s="10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  <c r="AB811" s="236"/>
      <c r="AC811" s="236"/>
      <c r="AD811" s="236"/>
    </row>
    <row r="812" spans="1:30">
      <c r="A812" s="236"/>
      <c r="B812" s="236"/>
      <c r="C812" s="236"/>
      <c r="D812" s="236"/>
      <c r="E812" s="333"/>
      <c r="F812" s="236"/>
      <c r="G812" s="334"/>
      <c r="H812" s="10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  <c r="AB812" s="236"/>
      <c r="AC812" s="236"/>
      <c r="AD812" s="236"/>
    </row>
    <row r="813" spans="1:30">
      <c r="A813" s="236"/>
      <c r="B813" s="236"/>
      <c r="C813" s="236"/>
      <c r="D813" s="236"/>
      <c r="E813" s="333"/>
      <c r="F813" s="236"/>
      <c r="G813" s="334"/>
      <c r="H813" s="10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  <c r="AB813" s="236"/>
      <c r="AC813" s="236"/>
      <c r="AD813" s="236"/>
    </row>
    <row r="814" spans="1:30">
      <c r="A814" s="236"/>
      <c r="B814" s="236"/>
      <c r="C814" s="236"/>
      <c r="D814" s="236"/>
      <c r="E814" s="333"/>
      <c r="F814" s="236"/>
      <c r="G814" s="334"/>
      <c r="H814" s="10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  <c r="AB814" s="236"/>
      <c r="AC814" s="236"/>
      <c r="AD814" s="236"/>
    </row>
    <row r="815" spans="1:30">
      <c r="A815" s="236"/>
      <c r="B815" s="236"/>
      <c r="C815" s="236"/>
      <c r="D815" s="236"/>
      <c r="E815" s="333"/>
      <c r="F815" s="236"/>
      <c r="G815" s="334"/>
      <c r="H815" s="10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  <c r="AB815" s="236"/>
      <c r="AC815" s="236"/>
      <c r="AD815" s="236"/>
    </row>
    <row r="816" spans="1:30">
      <c r="A816" s="236"/>
      <c r="B816" s="236"/>
      <c r="C816" s="236"/>
      <c r="D816" s="236"/>
      <c r="E816" s="333"/>
      <c r="F816" s="236"/>
      <c r="G816" s="334"/>
      <c r="H816" s="10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  <c r="AB816" s="236"/>
      <c r="AC816" s="236"/>
      <c r="AD816" s="236"/>
    </row>
    <row r="817" spans="1:30">
      <c r="A817" s="236"/>
      <c r="B817" s="236"/>
      <c r="C817" s="236"/>
      <c r="D817" s="236"/>
      <c r="E817" s="333"/>
      <c r="F817" s="236"/>
      <c r="G817" s="334"/>
      <c r="H817" s="10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  <c r="AA817" s="236"/>
      <c r="AB817" s="236"/>
      <c r="AC817" s="236"/>
      <c r="AD817" s="236"/>
    </row>
    <row r="818" spans="1:30">
      <c r="A818" s="236"/>
      <c r="B818" s="236"/>
      <c r="C818" s="236"/>
      <c r="D818" s="236"/>
      <c r="E818" s="333"/>
      <c r="F818" s="236"/>
      <c r="G818" s="334"/>
      <c r="H818" s="10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  <c r="AB818" s="236"/>
      <c r="AC818" s="236"/>
      <c r="AD818" s="236"/>
    </row>
    <row r="819" spans="1:30">
      <c r="A819" s="236"/>
      <c r="B819" s="236"/>
      <c r="C819" s="236"/>
      <c r="D819" s="236"/>
      <c r="E819" s="333"/>
      <c r="F819" s="236"/>
      <c r="G819" s="334"/>
      <c r="H819" s="10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  <c r="AB819" s="236"/>
      <c r="AC819" s="236"/>
      <c r="AD819" s="236"/>
    </row>
    <row r="820" spans="1:30">
      <c r="A820" s="236"/>
      <c r="B820" s="236"/>
      <c r="C820" s="236"/>
      <c r="D820" s="236"/>
      <c r="E820" s="333"/>
      <c r="F820" s="236"/>
      <c r="G820" s="334"/>
      <c r="H820" s="10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  <c r="AB820" s="236"/>
      <c r="AC820" s="236"/>
      <c r="AD820" s="236"/>
    </row>
    <row r="821" spans="1:30">
      <c r="A821" s="236"/>
      <c r="B821" s="236"/>
      <c r="C821" s="236"/>
      <c r="D821" s="236"/>
      <c r="E821" s="333"/>
      <c r="F821" s="236"/>
      <c r="G821" s="334"/>
      <c r="H821" s="10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  <c r="AB821" s="236"/>
      <c r="AC821" s="236"/>
      <c r="AD821" s="236"/>
    </row>
    <row r="822" spans="1:30">
      <c r="A822" s="236"/>
      <c r="B822" s="236"/>
      <c r="C822" s="236"/>
      <c r="D822" s="236"/>
      <c r="E822" s="333"/>
      <c r="F822" s="236"/>
      <c r="G822" s="334"/>
      <c r="H822" s="10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  <c r="AA822" s="236"/>
      <c r="AB822" s="236"/>
      <c r="AC822" s="236"/>
      <c r="AD822" s="236"/>
    </row>
    <row r="823" spans="1:30">
      <c r="A823" s="236"/>
      <c r="B823" s="236"/>
      <c r="C823" s="236"/>
      <c r="D823" s="236"/>
      <c r="E823" s="333"/>
      <c r="F823" s="236"/>
      <c r="G823" s="334"/>
      <c r="H823" s="10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  <c r="AB823" s="236"/>
      <c r="AC823" s="236"/>
      <c r="AD823" s="236"/>
    </row>
    <row r="824" spans="1:30">
      <c r="A824" s="236"/>
      <c r="B824" s="236"/>
      <c r="C824" s="236"/>
      <c r="D824" s="236"/>
      <c r="E824" s="333"/>
      <c r="F824" s="236"/>
      <c r="G824" s="334"/>
      <c r="H824" s="10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  <c r="AB824" s="236"/>
      <c r="AC824" s="236"/>
      <c r="AD824" s="236"/>
    </row>
    <row r="825" spans="1:30">
      <c r="A825" s="236"/>
      <c r="B825" s="236"/>
      <c r="C825" s="236"/>
      <c r="D825" s="236"/>
      <c r="E825" s="333"/>
      <c r="F825" s="236"/>
      <c r="G825" s="334"/>
      <c r="H825" s="10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  <c r="AB825" s="236"/>
      <c r="AC825" s="236"/>
      <c r="AD825" s="236"/>
    </row>
    <row r="826" spans="1:30">
      <c r="A826" s="236"/>
      <c r="B826" s="236"/>
      <c r="C826" s="236"/>
      <c r="D826" s="236"/>
      <c r="E826" s="333"/>
      <c r="F826" s="236"/>
      <c r="G826" s="334"/>
      <c r="H826" s="10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  <c r="AB826" s="236"/>
      <c r="AC826" s="236"/>
      <c r="AD826" s="236"/>
    </row>
    <row r="827" spans="1:30">
      <c r="A827" s="236"/>
      <c r="B827" s="236"/>
      <c r="C827" s="236"/>
      <c r="D827" s="236"/>
      <c r="E827" s="333"/>
      <c r="F827" s="236"/>
      <c r="G827" s="334"/>
      <c r="H827" s="10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  <c r="AB827" s="236"/>
      <c r="AC827" s="236"/>
      <c r="AD827" s="236"/>
    </row>
    <row r="828" spans="1:30">
      <c r="A828" s="236"/>
      <c r="B828" s="236"/>
      <c r="C828" s="236"/>
      <c r="D828" s="236"/>
      <c r="E828" s="333"/>
      <c r="F828" s="236"/>
      <c r="G828" s="334"/>
      <c r="H828" s="10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  <c r="AB828" s="236"/>
      <c r="AC828" s="236"/>
      <c r="AD828" s="236"/>
    </row>
    <row r="829" spans="1:30">
      <c r="A829" s="236"/>
      <c r="B829" s="236"/>
      <c r="C829" s="236"/>
      <c r="D829" s="236"/>
      <c r="E829" s="333"/>
      <c r="F829" s="236"/>
      <c r="G829" s="334"/>
      <c r="H829" s="10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  <c r="AB829" s="236"/>
      <c r="AC829" s="236"/>
      <c r="AD829" s="236"/>
    </row>
    <row r="830" spans="1:30">
      <c r="A830" s="236"/>
      <c r="B830" s="236"/>
      <c r="C830" s="236"/>
      <c r="D830" s="236"/>
      <c r="E830" s="333"/>
      <c r="F830" s="236"/>
      <c r="G830" s="334"/>
      <c r="H830" s="10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  <c r="AA830" s="236"/>
      <c r="AB830" s="236"/>
      <c r="AC830" s="236"/>
      <c r="AD830" s="236"/>
    </row>
    <row r="831" spans="1:30">
      <c r="A831" s="236"/>
      <c r="B831" s="236"/>
      <c r="C831" s="236"/>
      <c r="D831" s="236"/>
      <c r="E831" s="333"/>
      <c r="F831" s="236"/>
      <c r="G831" s="334"/>
      <c r="H831" s="10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  <c r="AB831" s="236"/>
      <c r="AC831" s="236"/>
      <c r="AD831" s="236"/>
    </row>
    <row r="832" spans="1:30">
      <c r="A832" s="236"/>
      <c r="B832" s="236"/>
      <c r="C832" s="236"/>
      <c r="D832" s="236"/>
      <c r="E832" s="333"/>
      <c r="F832" s="236"/>
      <c r="G832" s="334"/>
      <c r="H832" s="10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  <c r="AB832" s="236"/>
      <c r="AC832" s="236"/>
      <c r="AD832" s="236"/>
    </row>
    <row r="833" spans="1:30">
      <c r="A833" s="236"/>
      <c r="B833" s="236"/>
      <c r="C833" s="236"/>
      <c r="D833" s="236"/>
      <c r="E833" s="333"/>
      <c r="F833" s="236"/>
      <c r="G833" s="334"/>
      <c r="H833" s="10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  <c r="AB833" s="236"/>
      <c r="AC833" s="236"/>
      <c r="AD833" s="236"/>
    </row>
    <row r="834" spans="1:30">
      <c r="A834" s="236"/>
      <c r="B834" s="236"/>
      <c r="C834" s="236"/>
      <c r="D834" s="236"/>
      <c r="E834" s="333"/>
      <c r="F834" s="236"/>
      <c r="G834" s="334"/>
      <c r="H834" s="10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  <c r="AB834" s="236"/>
      <c r="AC834" s="236"/>
      <c r="AD834" s="236"/>
    </row>
    <row r="835" spans="1:30">
      <c r="A835" s="236"/>
      <c r="B835" s="236"/>
      <c r="C835" s="236"/>
      <c r="D835" s="236"/>
      <c r="E835" s="333"/>
      <c r="F835" s="236"/>
      <c r="G835" s="334"/>
      <c r="H835" s="10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  <c r="AB835" s="236"/>
      <c r="AC835" s="236"/>
      <c r="AD835" s="236"/>
    </row>
    <row r="836" spans="1:30">
      <c r="A836" s="236"/>
      <c r="B836" s="236"/>
      <c r="C836" s="236"/>
      <c r="D836" s="236"/>
      <c r="E836" s="333"/>
      <c r="F836" s="236"/>
      <c r="G836" s="334"/>
      <c r="H836" s="10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  <c r="AA836" s="236"/>
      <c r="AB836" s="236"/>
      <c r="AC836" s="236"/>
      <c r="AD836" s="236"/>
    </row>
    <row r="837" spans="1:30">
      <c r="A837" s="236"/>
      <c r="B837" s="236"/>
      <c r="C837" s="236"/>
      <c r="D837" s="236"/>
      <c r="E837" s="333"/>
      <c r="F837" s="236"/>
      <c r="G837" s="334"/>
      <c r="H837" s="10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  <c r="AB837" s="236"/>
      <c r="AC837" s="236"/>
      <c r="AD837" s="236"/>
    </row>
    <row r="838" spans="1:30">
      <c r="A838" s="236"/>
      <c r="B838" s="236"/>
      <c r="C838" s="236"/>
      <c r="D838" s="236"/>
      <c r="E838" s="333"/>
      <c r="F838" s="236"/>
      <c r="G838" s="334"/>
      <c r="H838" s="10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  <c r="AB838" s="236"/>
      <c r="AC838" s="236"/>
      <c r="AD838" s="236"/>
    </row>
    <row r="839" spans="1:30">
      <c r="A839" s="236"/>
      <c r="B839" s="236"/>
      <c r="C839" s="236"/>
      <c r="D839" s="236"/>
      <c r="E839" s="333"/>
      <c r="F839" s="236"/>
      <c r="G839" s="334"/>
      <c r="H839" s="10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  <c r="AB839" s="236"/>
      <c r="AC839" s="236"/>
      <c r="AD839" s="236"/>
    </row>
    <row r="840" spans="1:30">
      <c r="A840" s="236"/>
      <c r="B840" s="236"/>
      <c r="C840" s="236"/>
      <c r="D840" s="236"/>
      <c r="E840" s="333"/>
      <c r="F840" s="236"/>
      <c r="G840" s="334"/>
      <c r="H840" s="10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  <c r="AB840" s="236"/>
      <c r="AC840" s="236"/>
      <c r="AD840" s="236"/>
    </row>
    <row r="841" spans="1:30">
      <c r="A841" s="236"/>
      <c r="B841" s="236"/>
      <c r="C841" s="236"/>
      <c r="D841" s="236"/>
      <c r="E841" s="333"/>
      <c r="F841" s="236"/>
      <c r="G841" s="334"/>
      <c r="H841" s="10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  <c r="AB841" s="236"/>
      <c r="AC841" s="236"/>
      <c r="AD841" s="236"/>
    </row>
    <row r="842" spans="1:30">
      <c r="A842" s="236"/>
      <c r="B842" s="236"/>
      <c r="C842" s="236"/>
      <c r="D842" s="236"/>
      <c r="E842" s="333"/>
      <c r="F842" s="236"/>
      <c r="G842" s="334"/>
      <c r="H842" s="10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  <c r="AB842" s="236"/>
      <c r="AC842" s="236"/>
      <c r="AD842" s="236"/>
    </row>
    <row r="843" spans="1:30">
      <c r="A843" s="236"/>
      <c r="B843" s="236"/>
      <c r="C843" s="236"/>
      <c r="D843" s="236"/>
      <c r="E843" s="333"/>
      <c r="F843" s="236"/>
      <c r="G843" s="334"/>
      <c r="H843" s="10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  <c r="AB843" s="236"/>
      <c r="AC843" s="236"/>
      <c r="AD843" s="236"/>
    </row>
    <row r="844" spans="1:30">
      <c r="A844" s="236"/>
      <c r="B844" s="236"/>
      <c r="C844" s="236"/>
      <c r="D844" s="236"/>
      <c r="E844" s="333"/>
      <c r="F844" s="236"/>
      <c r="G844" s="334"/>
      <c r="H844" s="10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  <c r="AB844" s="236"/>
      <c r="AC844" s="236"/>
      <c r="AD844" s="236"/>
    </row>
    <row r="845" spans="1:30">
      <c r="A845" s="236"/>
      <c r="B845" s="236"/>
      <c r="C845" s="236"/>
      <c r="D845" s="236"/>
      <c r="E845" s="333"/>
      <c r="F845" s="236"/>
      <c r="G845" s="334"/>
      <c r="H845" s="10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  <c r="AB845" s="236"/>
      <c r="AC845" s="236"/>
      <c r="AD845" s="236"/>
    </row>
    <row r="846" spans="1:30">
      <c r="A846" s="236"/>
      <c r="B846" s="236"/>
      <c r="C846" s="236"/>
      <c r="D846" s="236"/>
      <c r="E846" s="333"/>
      <c r="F846" s="236"/>
      <c r="G846" s="334"/>
      <c r="H846" s="10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  <c r="AB846" s="236"/>
      <c r="AC846" s="236"/>
      <c r="AD846" s="236"/>
    </row>
    <row r="847" spans="1:30">
      <c r="A847" s="236"/>
      <c r="B847" s="236"/>
      <c r="C847" s="236"/>
      <c r="D847" s="236"/>
      <c r="E847" s="333"/>
      <c r="F847" s="236"/>
      <c r="G847" s="334"/>
      <c r="H847" s="10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  <c r="AB847" s="236"/>
      <c r="AC847" s="236"/>
      <c r="AD847" s="236"/>
    </row>
    <row r="848" spans="1:30">
      <c r="A848" s="236"/>
      <c r="B848" s="236"/>
      <c r="C848" s="236"/>
      <c r="D848" s="236"/>
      <c r="E848" s="333"/>
      <c r="F848" s="236"/>
      <c r="G848" s="334"/>
      <c r="H848" s="10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  <c r="AB848" s="236"/>
      <c r="AC848" s="236"/>
      <c r="AD848" s="236"/>
    </row>
    <row r="849" spans="1:30">
      <c r="A849" s="236"/>
      <c r="B849" s="236"/>
      <c r="C849" s="236"/>
      <c r="D849" s="236"/>
      <c r="E849" s="333"/>
      <c r="F849" s="236"/>
      <c r="G849" s="334"/>
      <c r="H849" s="10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  <c r="AB849" s="236"/>
      <c r="AC849" s="236"/>
      <c r="AD849" s="236"/>
    </row>
    <row r="850" spans="1:30">
      <c r="A850" s="236"/>
      <c r="B850" s="236"/>
      <c r="C850" s="236"/>
      <c r="D850" s="236"/>
      <c r="E850" s="333"/>
      <c r="F850" s="236"/>
      <c r="G850" s="334"/>
      <c r="H850" s="10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  <c r="AB850" s="236"/>
      <c r="AC850" s="236"/>
      <c r="AD850" s="236"/>
    </row>
    <row r="851" spans="1:30">
      <c r="A851" s="236"/>
      <c r="B851" s="236"/>
      <c r="C851" s="236"/>
      <c r="D851" s="236"/>
      <c r="E851" s="333"/>
      <c r="F851" s="236"/>
      <c r="G851" s="334"/>
      <c r="H851" s="10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  <c r="AB851" s="236"/>
      <c r="AC851" s="236"/>
      <c r="AD851" s="236"/>
    </row>
    <row r="852" spans="1:30">
      <c r="A852" s="236"/>
      <c r="B852" s="236"/>
      <c r="C852" s="236"/>
      <c r="D852" s="236"/>
      <c r="E852" s="333"/>
      <c r="F852" s="236"/>
      <c r="G852" s="334"/>
      <c r="H852" s="10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  <c r="AB852" s="236"/>
      <c r="AC852" s="236"/>
      <c r="AD852" s="236"/>
    </row>
    <row r="853" spans="1:30">
      <c r="A853" s="236"/>
      <c r="B853" s="236"/>
      <c r="C853" s="236"/>
      <c r="D853" s="236"/>
      <c r="E853" s="333"/>
      <c r="F853" s="236"/>
      <c r="G853" s="334"/>
      <c r="H853" s="10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  <c r="AB853" s="236"/>
      <c r="AC853" s="236"/>
      <c r="AD853" s="236"/>
    </row>
    <row r="854" spans="1:30">
      <c r="A854" s="236"/>
      <c r="B854" s="236"/>
      <c r="C854" s="236"/>
      <c r="D854" s="236"/>
      <c r="E854" s="333"/>
      <c r="F854" s="236"/>
      <c r="G854" s="334"/>
      <c r="H854" s="10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  <c r="AB854" s="236"/>
      <c r="AC854" s="236"/>
      <c r="AD854" s="236"/>
    </row>
    <row r="855" spans="1:30">
      <c r="A855" s="236"/>
      <c r="B855" s="236"/>
      <c r="C855" s="236"/>
      <c r="D855" s="236"/>
      <c r="E855" s="333"/>
      <c r="F855" s="236"/>
      <c r="G855" s="334"/>
      <c r="H855" s="10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  <c r="AB855" s="236"/>
      <c r="AC855" s="236"/>
      <c r="AD855" s="236"/>
    </row>
    <row r="856" spans="1:30">
      <c r="A856" s="236"/>
      <c r="B856" s="236"/>
      <c r="C856" s="236"/>
      <c r="D856" s="236"/>
      <c r="E856" s="333"/>
      <c r="F856" s="236"/>
      <c r="G856" s="334"/>
      <c r="H856" s="10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  <c r="AB856" s="236"/>
      <c r="AC856" s="236"/>
      <c r="AD856" s="236"/>
    </row>
    <row r="857" spans="1:30">
      <c r="A857" s="236"/>
      <c r="B857" s="236"/>
      <c r="C857" s="236"/>
      <c r="D857" s="236"/>
      <c r="E857" s="333"/>
      <c r="F857" s="236"/>
      <c r="G857" s="334"/>
      <c r="H857" s="10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  <c r="AB857" s="236"/>
      <c r="AC857" s="236"/>
      <c r="AD857" s="236"/>
    </row>
    <row r="858" spans="1:30">
      <c r="A858" s="236"/>
      <c r="B858" s="236"/>
      <c r="C858" s="236"/>
      <c r="D858" s="236"/>
      <c r="E858" s="333"/>
      <c r="F858" s="236"/>
      <c r="G858" s="334"/>
      <c r="H858" s="10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  <c r="AB858" s="236"/>
      <c r="AC858" s="236"/>
      <c r="AD858" s="236"/>
    </row>
    <row r="859" spans="1:30">
      <c r="A859" s="236"/>
      <c r="B859" s="236"/>
      <c r="C859" s="236"/>
      <c r="D859" s="236"/>
      <c r="E859" s="333"/>
      <c r="F859" s="236"/>
      <c r="G859" s="334"/>
      <c r="H859" s="10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  <c r="AA859" s="236"/>
      <c r="AB859" s="236"/>
      <c r="AC859" s="236"/>
      <c r="AD859" s="236"/>
    </row>
    <row r="860" spans="1:30">
      <c r="A860" s="236"/>
      <c r="B860" s="236"/>
      <c r="C860" s="236"/>
      <c r="D860" s="236"/>
      <c r="E860" s="333"/>
      <c r="F860" s="236"/>
      <c r="G860" s="334"/>
      <c r="H860" s="10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  <c r="AB860" s="236"/>
      <c r="AC860" s="236"/>
      <c r="AD860" s="236"/>
    </row>
    <row r="861" spans="1:30">
      <c r="A861" s="236"/>
      <c r="B861" s="236"/>
      <c r="C861" s="236"/>
      <c r="D861" s="236"/>
      <c r="E861" s="333"/>
      <c r="F861" s="236"/>
      <c r="G861" s="334"/>
      <c r="H861" s="10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  <c r="AB861" s="236"/>
      <c r="AC861" s="236"/>
      <c r="AD861" s="236"/>
    </row>
    <row r="862" spans="1:30">
      <c r="A862" s="236"/>
      <c r="B862" s="236"/>
      <c r="C862" s="236"/>
      <c r="D862" s="236"/>
      <c r="E862" s="333"/>
      <c r="F862" s="236"/>
      <c r="G862" s="334"/>
      <c r="H862" s="10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  <c r="AB862" s="236"/>
      <c r="AC862" s="236"/>
      <c r="AD862" s="236"/>
    </row>
    <row r="863" spans="1:30">
      <c r="A863" s="236"/>
      <c r="B863" s="236"/>
      <c r="C863" s="236"/>
      <c r="D863" s="236"/>
      <c r="E863" s="333"/>
      <c r="F863" s="236"/>
      <c r="G863" s="334"/>
      <c r="H863" s="10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  <c r="AB863" s="236"/>
      <c r="AC863" s="236"/>
      <c r="AD863" s="236"/>
    </row>
    <row r="864" spans="1:30">
      <c r="A864" s="236"/>
      <c r="B864" s="236"/>
      <c r="C864" s="236"/>
      <c r="D864" s="236"/>
      <c r="E864" s="333"/>
      <c r="F864" s="236"/>
      <c r="G864" s="334"/>
      <c r="H864" s="10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  <c r="AA864" s="236"/>
      <c r="AB864" s="236"/>
      <c r="AC864" s="236"/>
      <c r="AD864" s="236"/>
    </row>
    <row r="865" spans="1:30">
      <c r="A865" s="236"/>
      <c r="B865" s="236"/>
      <c r="C865" s="236"/>
      <c r="D865" s="236"/>
      <c r="E865" s="333"/>
      <c r="F865" s="236"/>
      <c r="G865" s="334"/>
      <c r="H865" s="10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  <c r="AB865" s="236"/>
      <c r="AC865" s="236"/>
      <c r="AD865" s="236"/>
    </row>
    <row r="866" spans="1:30">
      <c r="A866" s="236"/>
      <c r="B866" s="236"/>
      <c r="C866" s="236"/>
      <c r="D866" s="236"/>
      <c r="E866" s="333"/>
      <c r="F866" s="236"/>
      <c r="G866" s="334"/>
      <c r="H866" s="10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  <c r="AB866" s="236"/>
      <c r="AC866" s="236"/>
      <c r="AD866" s="236"/>
    </row>
    <row r="867" spans="1:30">
      <c r="A867" s="236"/>
      <c r="B867" s="236"/>
      <c r="C867" s="236"/>
      <c r="D867" s="236"/>
      <c r="E867" s="333"/>
      <c r="F867" s="236"/>
      <c r="G867" s="334"/>
      <c r="H867" s="10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  <c r="AB867" s="236"/>
      <c r="AC867" s="236"/>
      <c r="AD867" s="236"/>
    </row>
    <row r="868" spans="1:30">
      <c r="A868" s="236"/>
      <c r="B868" s="236"/>
      <c r="C868" s="236"/>
      <c r="D868" s="236"/>
      <c r="E868" s="333"/>
      <c r="F868" s="236"/>
      <c r="G868" s="334"/>
      <c r="H868" s="10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  <c r="AB868" s="236"/>
      <c r="AC868" s="236"/>
      <c r="AD868" s="236"/>
    </row>
    <row r="869" spans="1:30">
      <c r="A869" s="236"/>
      <c r="B869" s="236"/>
      <c r="C869" s="236"/>
      <c r="D869" s="236"/>
      <c r="E869" s="333"/>
      <c r="F869" s="236"/>
      <c r="G869" s="334"/>
      <c r="H869" s="10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  <c r="AB869" s="236"/>
      <c r="AC869" s="236"/>
      <c r="AD869" s="236"/>
    </row>
    <row r="870" spans="1:30">
      <c r="A870" s="236"/>
      <c r="B870" s="236"/>
      <c r="C870" s="236"/>
      <c r="D870" s="236"/>
      <c r="E870" s="333"/>
      <c r="F870" s="236"/>
      <c r="G870" s="334"/>
      <c r="H870" s="10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  <c r="AB870" s="236"/>
      <c r="AC870" s="236"/>
      <c r="AD870" s="236"/>
    </row>
    <row r="871" spans="1:30">
      <c r="A871" s="236"/>
      <c r="B871" s="236"/>
      <c r="C871" s="236"/>
      <c r="D871" s="236"/>
      <c r="E871" s="333"/>
      <c r="F871" s="236"/>
      <c r="G871" s="334"/>
      <c r="H871" s="10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  <c r="AB871" s="236"/>
      <c r="AC871" s="236"/>
      <c r="AD871" s="236"/>
    </row>
    <row r="872" spans="1:30">
      <c r="A872" s="236"/>
      <c r="B872" s="236"/>
      <c r="C872" s="236"/>
      <c r="D872" s="236"/>
      <c r="E872" s="333"/>
      <c r="F872" s="236"/>
      <c r="G872" s="334"/>
      <c r="H872" s="10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  <c r="AA872" s="236"/>
      <c r="AB872" s="236"/>
      <c r="AC872" s="236"/>
      <c r="AD872" s="236"/>
    </row>
    <row r="873" spans="1:30">
      <c r="A873" s="236"/>
      <c r="B873" s="236"/>
      <c r="C873" s="236"/>
      <c r="D873" s="236"/>
      <c r="E873" s="333"/>
      <c r="F873" s="236"/>
      <c r="G873" s="334"/>
      <c r="H873" s="10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  <c r="AB873" s="236"/>
      <c r="AC873" s="236"/>
      <c r="AD873" s="236"/>
    </row>
    <row r="874" spans="1:30">
      <c r="A874" s="236"/>
      <c r="B874" s="236"/>
      <c r="C874" s="236"/>
      <c r="D874" s="236"/>
      <c r="E874" s="333"/>
      <c r="F874" s="236"/>
      <c r="G874" s="334"/>
      <c r="H874" s="10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  <c r="AB874" s="236"/>
      <c r="AC874" s="236"/>
      <c r="AD874" s="236"/>
    </row>
    <row r="875" spans="1:30">
      <c r="A875" s="236"/>
      <c r="B875" s="236"/>
      <c r="C875" s="236"/>
      <c r="D875" s="236"/>
      <c r="E875" s="333"/>
      <c r="F875" s="236"/>
      <c r="G875" s="334"/>
      <c r="H875" s="10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  <c r="AB875" s="236"/>
      <c r="AC875" s="236"/>
      <c r="AD875" s="236"/>
    </row>
    <row r="876" spans="1:30">
      <c r="A876" s="236"/>
      <c r="B876" s="236"/>
      <c r="C876" s="236"/>
      <c r="D876" s="236"/>
      <c r="E876" s="333"/>
      <c r="F876" s="236"/>
      <c r="G876" s="334"/>
      <c r="H876" s="10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  <c r="AB876" s="236"/>
      <c r="AC876" s="236"/>
      <c r="AD876" s="236"/>
    </row>
    <row r="877" spans="1:30">
      <c r="A877" s="236"/>
      <c r="B877" s="236"/>
      <c r="C877" s="236"/>
      <c r="D877" s="236"/>
      <c r="E877" s="333"/>
      <c r="F877" s="236"/>
      <c r="G877" s="334"/>
      <c r="H877" s="10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  <c r="AB877" s="236"/>
      <c r="AC877" s="236"/>
      <c r="AD877" s="236"/>
    </row>
    <row r="878" spans="1:30">
      <c r="A878" s="236"/>
      <c r="B878" s="236"/>
      <c r="C878" s="236"/>
      <c r="D878" s="236"/>
      <c r="E878" s="333"/>
      <c r="F878" s="236"/>
      <c r="G878" s="334"/>
      <c r="H878" s="10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  <c r="AA878" s="236"/>
      <c r="AB878" s="236"/>
      <c r="AC878" s="236"/>
      <c r="AD878" s="236"/>
    </row>
    <row r="879" spans="1:30">
      <c r="A879" s="236"/>
      <c r="B879" s="236"/>
      <c r="C879" s="236"/>
      <c r="D879" s="236"/>
      <c r="E879" s="333"/>
      <c r="F879" s="236"/>
      <c r="G879" s="334"/>
      <c r="H879" s="10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  <c r="AB879" s="236"/>
      <c r="AC879" s="236"/>
      <c r="AD879" s="236"/>
    </row>
    <row r="880" spans="1:30">
      <c r="A880" s="236"/>
      <c r="B880" s="236"/>
      <c r="C880" s="236"/>
      <c r="D880" s="236"/>
      <c r="E880" s="333"/>
      <c r="F880" s="236"/>
      <c r="G880" s="334"/>
      <c r="H880" s="10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  <c r="AB880" s="236"/>
      <c r="AC880" s="236"/>
      <c r="AD880" s="236"/>
    </row>
    <row r="881" spans="1:30">
      <c r="A881" s="236"/>
      <c r="B881" s="236"/>
      <c r="C881" s="236"/>
      <c r="D881" s="236"/>
      <c r="E881" s="333"/>
      <c r="F881" s="236"/>
      <c r="G881" s="334"/>
      <c r="H881" s="10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  <c r="AB881" s="236"/>
      <c r="AC881" s="236"/>
      <c r="AD881" s="236"/>
    </row>
    <row r="882" spans="1:30">
      <c r="A882" s="236"/>
      <c r="B882" s="236"/>
      <c r="C882" s="236"/>
      <c r="D882" s="236"/>
      <c r="E882" s="333"/>
      <c r="F882" s="236"/>
      <c r="G882" s="334"/>
      <c r="H882" s="10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  <c r="AB882" s="236"/>
      <c r="AC882" s="236"/>
      <c r="AD882" s="236"/>
    </row>
    <row r="883" spans="1:30">
      <c r="A883" s="236"/>
      <c r="B883" s="236"/>
      <c r="C883" s="236"/>
      <c r="D883" s="236"/>
      <c r="E883" s="333"/>
      <c r="F883" s="236"/>
      <c r="G883" s="334"/>
      <c r="H883" s="10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  <c r="AB883" s="236"/>
      <c r="AC883" s="236"/>
      <c r="AD883" s="236"/>
    </row>
    <row r="884" spans="1:30">
      <c r="A884" s="236"/>
      <c r="B884" s="236"/>
      <c r="C884" s="236"/>
      <c r="D884" s="236"/>
      <c r="E884" s="333"/>
      <c r="F884" s="236"/>
      <c r="G884" s="334"/>
      <c r="H884" s="10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  <c r="AB884" s="236"/>
      <c r="AC884" s="236"/>
      <c r="AD884" s="236"/>
    </row>
    <row r="885" spans="1:30">
      <c r="A885" s="236"/>
      <c r="B885" s="236"/>
      <c r="C885" s="236"/>
      <c r="D885" s="236"/>
      <c r="E885" s="333"/>
      <c r="F885" s="236"/>
      <c r="G885" s="334"/>
      <c r="H885" s="10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  <c r="AB885" s="236"/>
      <c r="AC885" s="236"/>
      <c r="AD885" s="236"/>
    </row>
    <row r="886" spans="1:30">
      <c r="A886" s="236"/>
      <c r="B886" s="236"/>
      <c r="C886" s="236"/>
      <c r="D886" s="236"/>
      <c r="E886" s="333"/>
      <c r="F886" s="236"/>
      <c r="G886" s="334"/>
      <c r="H886" s="10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  <c r="AB886" s="236"/>
      <c r="AC886" s="236"/>
      <c r="AD886" s="236"/>
    </row>
    <row r="887" spans="1:30">
      <c r="A887" s="236"/>
      <c r="B887" s="236"/>
      <c r="C887" s="236"/>
      <c r="D887" s="236"/>
      <c r="E887" s="333"/>
      <c r="F887" s="236"/>
      <c r="G887" s="334"/>
      <c r="H887" s="10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  <c r="AB887" s="236"/>
      <c r="AC887" s="236"/>
      <c r="AD887" s="236"/>
    </row>
    <row r="888" spans="1:30">
      <c r="A888" s="236"/>
      <c r="B888" s="236"/>
      <c r="C888" s="236"/>
      <c r="D888" s="236"/>
      <c r="E888" s="333"/>
      <c r="F888" s="236"/>
      <c r="G888" s="334"/>
      <c r="H888" s="10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  <c r="AB888" s="236"/>
      <c r="AC888" s="236"/>
      <c r="AD888" s="236"/>
    </row>
    <row r="889" spans="1:30">
      <c r="A889" s="236"/>
      <c r="B889" s="236"/>
      <c r="C889" s="236"/>
      <c r="D889" s="236"/>
      <c r="E889" s="333"/>
      <c r="F889" s="236"/>
      <c r="G889" s="334"/>
      <c r="H889" s="10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  <c r="AB889" s="236"/>
      <c r="AC889" s="236"/>
      <c r="AD889" s="236"/>
    </row>
    <row r="890" spans="1:30">
      <c r="A890" s="236"/>
      <c r="B890" s="236"/>
      <c r="C890" s="236"/>
      <c r="D890" s="236"/>
      <c r="E890" s="333"/>
      <c r="F890" s="236"/>
      <c r="G890" s="334"/>
      <c r="H890" s="10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  <c r="AB890" s="236"/>
      <c r="AC890" s="236"/>
      <c r="AD890" s="236"/>
    </row>
    <row r="891" spans="1:30">
      <c r="A891" s="236"/>
      <c r="B891" s="236"/>
      <c r="C891" s="236"/>
      <c r="D891" s="236"/>
      <c r="E891" s="333"/>
      <c r="F891" s="236"/>
      <c r="G891" s="334"/>
      <c r="H891" s="10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  <c r="AB891" s="236"/>
      <c r="AC891" s="236"/>
      <c r="AD891" s="236"/>
    </row>
    <row r="892" spans="1:30">
      <c r="A892" s="236"/>
      <c r="B892" s="236"/>
      <c r="C892" s="236"/>
      <c r="D892" s="236"/>
      <c r="E892" s="333"/>
      <c r="F892" s="236"/>
      <c r="G892" s="334"/>
      <c r="H892" s="10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  <c r="AB892" s="236"/>
      <c r="AC892" s="236"/>
      <c r="AD892" s="236"/>
    </row>
    <row r="893" spans="1:30">
      <c r="A893" s="236"/>
      <c r="B893" s="236"/>
      <c r="C893" s="236"/>
      <c r="D893" s="236"/>
      <c r="E893" s="333"/>
      <c r="F893" s="236"/>
      <c r="G893" s="334"/>
      <c r="H893" s="10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  <c r="AB893" s="236"/>
      <c r="AC893" s="236"/>
      <c r="AD893" s="236"/>
    </row>
    <row r="894" spans="1:30">
      <c r="A894" s="236"/>
      <c r="B894" s="236"/>
      <c r="C894" s="236"/>
      <c r="D894" s="236"/>
      <c r="E894" s="333"/>
      <c r="F894" s="236"/>
      <c r="G894" s="334"/>
      <c r="H894" s="10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  <c r="AB894" s="236"/>
      <c r="AC894" s="236"/>
      <c r="AD894" s="236"/>
    </row>
    <row r="895" spans="1:30">
      <c r="A895" s="236"/>
      <c r="B895" s="236"/>
      <c r="C895" s="236"/>
      <c r="D895" s="236"/>
      <c r="E895" s="333"/>
      <c r="F895" s="236"/>
      <c r="G895" s="334"/>
      <c r="H895" s="10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  <c r="AB895" s="236"/>
      <c r="AC895" s="236"/>
      <c r="AD895" s="236"/>
    </row>
    <row r="896" spans="1:30">
      <c r="A896" s="236"/>
      <c r="B896" s="236"/>
      <c r="C896" s="236"/>
      <c r="D896" s="236"/>
      <c r="E896" s="333"/>
      <c r="F896" s="236"/>
      <c r="G896" s="334"/>
      <c r="H896" s="10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  <c r="AB896" s="236"/>
      <c r="AC896" s="236"/>
      <c r="AD896" s="236"/>
    </row>
    <row r="897" spans="1:30">
      <c r="A897" s="236"/>
      <c r="B897" s="236"/>
      <c r="C897" s="236"/>
      <c r="D897" s="236"/>
      <c r="E897" s="333"/>
      <c r="F897" s="236"/>
      <c r="G897" s="334"/>
      <c r="H897" s="10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  <c r="AB897" s="236"/>
      <c r="AC897" s="236"/>
      <c r="AD897" s="236"/>
    </row>
    <row r="898" spans="1:30">
      <c r="A898" s="236"/>
      <c r="B898" s="236"/>
      <c r="C898" s="236"/>
      <c r="D898" s="236"/>
      <c r="E898" s="333"/>
      <c r="F898" s="236"/>
      <c r="G898" s="334"/>
      <c r="H898" s="10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  <c r="AB898" s="236"/>
      <c r="AC898" s="236"/>
      <c r="AD898" s="236"/>
    </row>
    <row r="899" spans="1:30">
      <c r="A899" s="236"/>
      <c r="B899" s="236"/>
      <c r="C899" s="236"/>
      <c r="D899" s="236"/>
      <c r="E899" s="333"/>
      <c r="F899" s="236"/>
      <c r="G899" s="334"/>
      <c r="H899" s="10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  <c r="AB899" s="236"/>
      <c r="AC899" s="236"/>
      <c r="AD899" s="236"/>
    </row>
    <row r="900" spans="1:30">
      <c r="A900" s="236"/>
      <c r="B900" s="236"/>
      <c r="C900" s="236"/>
      <c r="D900" s="236"/>
      <c r="E900" s="333"/>
      <c r="F900" s="236"/>
      <c r="G900" s="334"/>
      <c r="H900" s="10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  <c r="AB900" s="236"/>
      <c r="AC900" s="236"/>
      <c r="AD900" s="236"/>
    </row>
    <row r="901" spans="1:30">
      <c r="A901" s="236"/>
      <c r="B901" s="236"/>
      <c r="C901" s="236"/>
      <c r="D901" s="236"/>
      <c r="E901" s="333"/>
      <c r="F901" s="236"/>
      <c r="G901" s="334"/>
      <c r="H901" s="10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  <c r="AA901" s="236"/>
      <c r="AB901" s="236"/>
      <c r="AC901" s="236"/>
      <c r="AD901" s="236"/>
    </row>
    <row r="902" spans="1:30">
      <c r="A902" s="236"/>
      <c r="B902" s="236"/>
      <c r="C902" s="236"/>
      <c r="D902" s="236"/>
      <c r="E902" s="333"/>
      <c r="F902" s="236"/>
      <c r="G902" s="334"/>
      <c r="H902" s="10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  <c r="AB902" s="236"/>
      <c r="AC902" s="236"/>
      <c r="AD902" s="236"/>
    </row>
    <row r="903" spans="1:30">
      <c r="A903" s="236"/>
      <c r="B903" s="236"/>
      <c r="C903" s="236"/>
      <c r="D903" s="236"/>
      <c r="E903" s="333"/>
      <c r="F903" s="236"/>
      <c r="G903" s="334"/>
      <c r="H903" s="10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  <c r="AB903" s="236"/>
      <c r="AC903" s="236"/>
      <c r="AD903" s="236"/>
    </row>
    <row r="904" spans="1:30">
      <c r="A904" s="236"/>
      <c r="B904" s="236"/>
      <c r="C904" s="236"/>
      <c r="D904" s="236"/>
      <c r="E904" s="333"/>
      <c r="F904" s="236"/>
      <c r="G904" s="334"/>
      <c r="H904" s="10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  <c r="AB904" s="236"/>
      <c r="AC904" s="236"/>
      <c r="AD904" s="236"/>
    </row>
    <row r="905" spans="1:30">
      <c r="A905" s="236"/>
      <c r="B905" s="236"/>
      <c r="C905" s="236"/>
      <c r="D905" s="236"/>
      <c r="E905" s="333"/>
      <c r="F905" s="236"/>
      <c r="G905" s="334"/>
      <c r="H905" s="10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  <c r="AB905" s="236"/>
      <c r="AC905" s="236"/>
      <c r="AD905" s="236"/>
    </row>
    <row r="906" spans="1:30">
      <c r="A906" s="236"/>
      <c r="B906" s="236"/>
      <c r="C906" s="236"/>
      <c r="D906" s="236"/>
      <c r="E906" s="333"/>
      <c r="F906" s="236"/>
      <c r="G906" s="334"/>
      <c r="H906" s="10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  <c r="AA906" s="236"/>
      <c r="AB906" s="236"/>
      <c r="AC906" s="236"/>
      <c r="AD906" s="236"/>
    </row>
    <row r="907" spans="1:30">
      <c r="A907" s="236"/>
      <c r="B907" s="236"/>
      <c r="C907" s="236"/>
      <c r="D907" s="236"/>
      <c r="E907" s="333"/>
      <c r="F907" s="236"/>
      <c r="G907" s="334"/>
      <c r="H907" s="10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  <c r="AB907" s="236"/>
      <c r="AC907" s="236"/>
      <c r="AD907" s="236"/>
    </row>
    <row r="908" spans="1:30">
      <c r="A908" s="236"/>
      <c r="B908" s="236"/>
      <c r="C908" s="236"/>
      <c r="D908" s="236"/>
      <c r="E908" s="333"/>
      <c r="F908" s="236"/>
      <c r="G908" s="334"/>
      <c r="H908" s="10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  <c r="AB908" s="236"/>
      <c r="AC908" s="236"/>
      <c r="AD908" s="236"/>
    </row>
    <row r="909" spans="1:30">
      <c r="A909" s="236"/>
      <c r="B909" s="236"/>
      <c r="C909" s="236"/>
      <c r="D909" s="236"/>
      <c r="E909" s="333"/>
      <c r="F909" s="236"/>
      <c r="G909" s="334"/>
      <c r="H909" s="10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  <c r="AB909" s="236"/>
      <c r="AC909" s="236"/>
      <c r="AD909" s="236"/>
    </row>
    <row r="910" spans="1:30">
      <c r="A910" s="236"/>
      <c r="B910" s="236"/>
      <c r="C910" s="236"/>
      <c r="D910" s="236"/>
      <c r="E910" s="333"/>
      <c r="F910" s="236"/>
      <c r="G910" s="334"/>
      <c r="H910" s="10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  <c r="AB910" s="236"/>
      <c r="AC910" s="236"/>
      <c r="AD910" s="236"/>
    </row>
    <row r="911" spans="1:30">
      <c r="A911" s="236"/>
      <c r="B911" s="236"/>
      <c r="C911" s="236"/>
      <c r="D911" s="236"/>
      <c r="E911" s="333"/>
      <c r="F911" s="236"/>
      <c r="G911" s="334"/>
      <c r="H911" s="10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  <c r="AB911" s="236"/>
      <c r="AC911" s="236"/>
      <c r="AD911" s="236"/>
    </row>
    <row r="912" spans="1:30">
      <c r="A912" s="236"/>
      <c r="B912" s="236"/>
      <c r="C912" s="236"/>
      <c r="D912" s="236"/>
      <c r="E912" s="333"/>
      <c r="F912" s="236"/>
      <c r="G912" s="334"/>
      <c r="H912" s="10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  <c r="AB912" s="236"/>
      <c r="AC912" s="236"/>
      <c r="AD912" s="236"/>
    </row>
    <row r="913" spans="1:30">
      <c r="A913" s="236"/>
      <c r="B913" s="236"/>
      <c r="C913" s="236"/>
      <c r="D913" s="236"/>
      <c r="E913" s="333"/>
      <c r="F913" s="236"/>
      <c r="G913" s="334"/>
      <c r="H913" s="10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  <c r="AB913" s="236"/>
      <c r="AC913" s="236"/>
      <c r="AD913" s="236"/>
    </row>
    <row r="914" spans="1:30">
      <c r="A914" s="236"/>
      <c r="B914" s="236"/>
      <c r="C914" s="236"/>
      <c r="D914" s="236"/>
      <c r="E914" s="333"/>
      <c r="F914" s="236"/>
      <c r="G914" s="334"/>
      <c r="H914" s="10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  <c r="AA914" s="236"/>
      <c r="AB914" s="236"/>
      <c r="AC914" s="236"/>
      <c r="AD914" s="236"/>
    </row>
    <row r="915" spans="1:30">
      <c r="A915" s="236"/>
      <c r="B915" s="236"/>
      <c r="C915" s="236"/>
      <c r="D915" s="236"/>
      <c r="E915" s="333"/>
      <c r="F915" s="236"/>
      <c r="G915" s="334"/>
      <c r="H915" s="10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  <c r="AB915" s="236"/>
      <c r="AC915" s="236"/>
      <c r="AD915" s="236"/>
    </row>
    <row r="916" spans="1:30">
      <c r="A916" s="236"/>
      <c r="B916" s="236"/>
      <c r="C916" s="236"/>
      <c r="D916" s="236"/>
      <c r="E916" s="333"/>
      <c r="F916" s="236"/>
      <c r="G916" s="334"/>
      <c r="H916" s="10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  <c r="AB916" s="236"/>
      <c r="AC916" s="236"/>
      <c r="AD916" s="236"/>
    </row>
    <row r="917" spans="1:30">
      <c r="A917" s="236"/>
      <c r="B917" s="236"/>
      <c r="C917" s="236"/>
      <c r="D917" s="236"/>
      <c r="E917" s="333"/>
      <c r="F917" s="236"/>
      <c r="G917" s="334"/>
      <c r="H917" s="10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  <c r="AB917" s="236"/>
      <c r="AC917" s="236"/>
      <c r="AD917" s="236"/>
    </row>
    <row r="918" spans="1:30">
      <c r="A918" s="236"/>
      <c r="B918" s="236"/>
      <c r="C918" s="236"/>
      <c r="D918" s="236"/>
      <c r="E918" s="333"/>
      <c r="F918" s="236"/>
      <c r="G918" s="334"/>
      <c r="H918" s="10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  <c r="AB918" s="236"/>
      <c r="AC918" s="236"/>
      <c r="AD918" s="236"/>
    </row>
    <row r="919" spans="1:30">
      <c r="A919" s="236"/>
      <c r="B919" s="236"/>
      <c r="C919" s="236"/>
      <c r="D919" s="236"/>
      <c r="E919" s="333"/>
      <c r="F919" s="236"/>
      <c r="G919" s="334"/>
      <c r="H919" s="10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  <c r="AB919" s="236"/>
      <c r="AC919" s="236"/>
      <c r="AD919" s="236"/>
    </row>
    <row r="920" spans="1:30">
      <c r="A920" s="236"/>
      <c r="B920" s="236"/>
      <c r="C920" s="236"/>
      <c r="D920" s="236"/>
      <c r="E920" s="333"/>
      <c r="F920" s="236"/>
      <c r="G920" s="334"/>
      <c r="H920" s="10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  <c r="AA920" s="236"/>
      <c r="AB920" s="236"/>
      <c r="AC920" s="236"/>
      <c r="AD920" s="236"/>
    </row>
    <row r="921" spans="1:30">
      <c r="A921" s="236"/>
      <c r="B921" s="236"/>
      <c r="C921" s="236"/>
      <c r="D921" s="236"/>
      <c r="E921" s="333"/>
      <c r="F921" s="236"/>
      <c r="G921" s="334"/>
      <c r="H921" s="10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  <c r="AB921" s="236"/>
      <c r="AC921" s="236"/>
      <c r="AD921" s="236"/>
    </row>
    <row r="922" spans="1:30">
      <c r="A922" s="236"/>
      <c r="B922" s="236"/>
      <c r="C922" s="236"/>
      <c r="D922" s="236"/>
      <c r="E922" s="333"/>
      <c r="F922" s="236"/>
      <c r="G922" s="334"/>
      <c r="H922" s="10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  <c r="AB922" s="236"/>
      <c r="AC922" s="236"/>
      <c r="AD922" s="236"/>
    </row>
    <row r="923" spans="1:30">
      <c r="A923" s="236"/>
      <c r="B923" s="236"/>
      <c r="C923" s="236"/>
      <c r="D923" s="236"/>
      <c r="E923" s="333"/>
      <c r="F923" s="236"/>
      <c r="G923" s="334"/>
      <c r="H923" s="10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  <c r="AB923" s="236"/>
      <c r="AC923" s="236"/>
      <c r="AD923" s="236"/>
    </row>
    <row r="924" spans="1:30">
      <c r="A924" s="236"/>
      <c r="B924" s="236"/>
      <c r="C924" s="236"/>
      <c r="D924" s="236"/>
      <c r="E924" s="333"/>
      <c r="F924" s="236"/>
      <c r="G924" s="334"/>
      <c r="H924" s="10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  <c r="AB924" s="236"/>
      <c r="AC924" s="236"/>
      <c r="AD924" s="236"/>
    </row>
    <row r="925" spans="1:30">
      <c r="A925" s="236"/>
      <c r="B925" s="236"/>
      <c r="C925" s="236"/>
      <c r="D925" s="236"/>
      <c r="E925" s="333"/>
      <c r="F925" s="236"/>
      <c r="G925" s="334"/>
      <c r="H925" s="10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  <c r="AB925" s="236"/>
      <c r="AC925" s="236"/>
      <c r="AD925" s="236"/>
    </row>
    <row r="926" spans="1:30">
      <c r="A926" s="236"/>
      <c r="B926" s="236"/>
      <c r="C926" s="236"/>
      <c r="D926" s="236"/>
      <c r="E926" s="333"/>
      <c r="F926" s="236"/>
      <c r="G926" s="334"/>
      <c r="H926" s="10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  <c r="AB926" s="236"/>
      <c r="AC926" s="236"/>
      <c r="AD926" s="236"/>
    </row>
    <row r="927" spans="1:30">
      <c r="A927" s="236"/>
      <c r="B927" s="236"/>
      <c r="C927" s="236"/>
      <c r="D927" s="236"/>
      <c r="E927" s="333"/>
      <c r="F927" s="236"/>
      <c r="G927" s="334"/>
      <c r="H927" s="10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  <c r="AB927" s="236"/>
      <c r="AC927" s="236"/>
      <c r="AD927" s="236"/>
    </row>
    <row r="928" spans="1:30">
      <c r="A928" s="236"/>
      <c r="B928" s="236"/>
      <c r="C928" s="236"/>
      <c r="D928" s="236"/>
      <c r="E928" s="333"/>
      <c r="F928" s="236"/>
      <c r="G928" s="334"/>
      <c r="H928" s="10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  <c r="AB928" s="236"/>
      <c r="AC928" s="236"/>
      <c r="AD928" s="236"/>
    </row>
    <row r="929" spans="1:30">
      <c r="A929" s="236"/>
      <c r="B929" s="236"/>
      <c r="C929" s="236"/>
      <c r="D929" s="236"/>
      <c r="E929" s="333"/>
      <c r="F929" s="236"/>
      <c r="G929" s="334"/>
      <c r="H929" s="10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  <c r="AB929" s="236"/>
      <c r="AC929" s="236"/>
      <c r="AD929" s="236"/>
    </row>
    <row r="930" spans="1:30">
      <c r="A930" s="236"/>
      <c r="B930" s="236"/>
      <c r="C930" s="236"/>
      <c r="D930" s="236"/>
      <c r="E930" s="333"/>
      <c r="F930" s="236"/>
      <c r="G930" s="334"/>
      <c r="H930" s="10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  <c r="AB930" s="236"/>
      <c r="AC930" s="236"/>
      <c r="AD930" s="236"/>
    </row>
    <row r="931" spans="1:30">
      <c r="A931" s="236"/>
      <c r="B931" s="236"/>
      <c r="C931" s="236"/>
      <c r="D931" s="236"/>
      <c r="E931" s="333"/>
      <c r="F931" s="236"/>
      <c r="G931" s="334"/>
      <c r="H931" s="10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  <c r="AB931" s="236"/>
      <c r="AC931" s="236"/>
      <c r="AD931" s="236"/>
    </row>
    <row r="932" spans="1:30">
      <c r="A932" s="236"/>
      <c r="B932" s="236"/>
      <c r="C932" s="236"/>
      <c r="D932" s="236"/>
      <c r="E932" s="333"/>
      <c r="F932" s="236"/>
      <c r="G932" s="334"/>
      <c r="H932" s="10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  <c r="AB932" s="236"/>
      <c r="AC932" s="236"/>
      <c r="AD932" s="236"/>
    </row>
    <row r="933" spans="1:30">
      <c r="A933" s="236"/>
      <c r="B933" s="236"/>
      <c r="C933" s="236"/>
      <c r="D933" s="236"/>
      <c r="E933" s="333"/>
      <c r="F933" s="236"/>
      <c r="G933" s="334"/>
      <c r="H933" s="10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  <c r="AB933" s="236"/>
      <c r="AC933" s="236"/>
      <c r="AD933" s="236"/>
    </row>
    <row r="934" spans="1:30">
      <c r="A934" s="236"/>
      <c r="B934" s="236"/>
      <c r="C934" s="236"/>
      <c r="D934" s="236"/>
      <c r="E934" s="333"/>
      <c r="F934" s="236"/>
      <c r="G934" s="334"/>
      <c r="H934" s="10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  <c r="AB934" s="236"/>
      <c r="AC934" s="236"/>
      <c r="AD934" s="236"/>
    </row>
    <row r="935" spans="1:30">
      <c r="A935" s="236"/>
      <c r="B935" s="236"/>
      <c r="C935" s="236"/>
      <c r="D935" s="236"/>
      <c r="E935" s="333"/>
      <c r="F935" s="236"/>
      <c r="G935" s="334"/>
      <c r="H935" s="10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  <c r="AB935" s="236"/>
      <c r="AC935" s="236"/>
      <c r="AD935" s="236"/>
    </row>
    <row r="936" spans="1:30">
      <c r="A936" s="236"/>
      <c r="B936" s="236"/>
      <c r="C936" s="236"/>
      <c r="D936" s="236"/>
      <c r="E936" s="333"/>
      <c r="F936" s="236"/>
      <c r="G936" s="334"/>
      <c r="H936" s="10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  <c r="AB936" s="236"/>
      <c r="AC936" s="236"/>
      <c r="AD936" s="236"/>
    </row>
    <row r="937" spans="1:30">
      <c r="A937" s="236"/>
      <c r="B937" s="236"/>
      <c r="C937" s="236"/>
      <c r="D937" s="236"/>
      <c r="E937" s="333"/>
      <c r="F937" s="236"/>
      <c r="G937" s="334"/>
      <c r="H937" s="10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  <c r="AB937" s="236"/>
      <c r="AC937" s="236"/>
      <c r="AD937" s="236"/>
    </row>
    <row r="938" spans="1:30">
      <c r="A938" s="236"/>
      <c r="B938" s="236"/>
      <c r="C938" s="236"/>
      <c r="D938" s="236"/>
      <c r="E938" s="333"/>
      <c r="F938" s="236"/>
      <c r="G938" s="334"/>
      <c r="H938" s="10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  <c r="AB938" s="236"/>
      <c r="AC938" s="236"/>
      <c r="AD938" s="236"/>
    </row>
    <row r="939" spans="1:30">
      <c r="A939" s="236"/>
      <c r="B939" s="236"/>
      <c r="C939" s="236"/>
      <c r="D939" s="236"/>
      <c r="E939" s="333"/>
      <c r="F939" s="236"/>
      <c r="G939" s="334"/>
      <c r="H939" s="10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  <c r="AB939" s="236"/>
      <c r="AC939" s="236"/>
      <c r="AD939" s="236"/>
    </row>
    <row r="940" spans="1:30">
      <c r="A940" s="236"/>
      <c r="B940" s="236"/>
      <c r="C940" s="236"/>
      <c r="D940" s="236"/>
      <c r="E940" s="333"/>
      <c r="F940" s="236"/>
      <c r="G940" s="334"/>
      <c r="H940" s="10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  <c r="AB940" s="236"/>
      <c r="AC940" s="236"/>
      <c r="AD940" s="236"/>
    </row>
    <row r="941" spans="1:30">
      <c r="A941" s="236"/>
      <c r="B941" s="236"/>
      <c r="C941" s="236"/>
      <c r="D941" s="236"/>
      <c r="E941" s="333"/>
      <c r="F941" s="236"/>
      <c r="G941" s="334"/>
      <c r="H941" s="10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  <c r="AB941" s="236"/>
      <c r="AC941" s="236"/>
      <c r="AD941" s="236"/>
    </row>
    <row r="942" spans="1:30">
      <c r="A942" s="236"/>
      <c r="B942" s="236"/>
      <c r="C942" s="236"/>
      <c r="D942" s="236"/>
      <c r="E942" s="333"/>
      <c r="F942" s="236"/>
      <c r="G942" s="334"/>
      <c r="H942" s="10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  <c r="AB942" s="236"/>
      <c r="AC942" s="236"/>
      <c r="AD942" s="236"/>
    </row>
    <row r="943" spans="1:30">
      <c r="A943" s="236"/>
      <c r="B943" s="236"/>
      <c r="C943" s="236"/>
      <c r="D943" s="236"/>
      <c r="E943" s="333"/>
      <c r="F943" s="236"/>
      <c r="G943" s="334"/>
      <c r="H943" s="10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  <c r="AA943" s="236"/>
      <c r="AB943" s="236"/>
      <c r="AC943" s="236"/>
      <c r="AD943" s="236"/>
    </row>
    <row r="944" spans="1:30">
      <c r="A944" s="236"/>
      <c r="B944" s="236"/>
      <c r="C944" s="236"/>
      <c r="D944" s="236"/>
      <c r="E944" s="333"/>
      <c r="F944" s="236"/>
      <c r="G944" s="334"/>
      <c r="H944" s="10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  <c r="AB944" s="236"/>
      <c r="AC944" s="236"/>
      <c r="AD944" s="236"/>
    </row>
    <row r="945" spans="1:30">
      <c r="A945" s="236"/>
      <c r="B945" s="236"/>
      <c r="C945" s="236"/>
      <c r="D945" s="236"/>
      <c r="E945" s="333"/>
      <c r="F945" s="236"/>
      <c r="G945" s="334"/>
      <c r="H945" s="10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  <c r="AB945" s="236"/>
      <c r="AC945" s="236"/>
      <c r="AD945" s="236"/>
    </row>
    <row r="946" spans="1:30">
      <c r="A946" s="236"/>
      <c r="B946" s="236"/>
      <c r="C946" s="236"/>
      <c r="D946" s="236"/>
      <c r="E946" s="333"/>
      <c r="F946" s="236"/>
      <c r="G946" s="334"/>
      <c r="H946" s="10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  <c r="AB946" s="236"/>
      <c r="AC946" s="236"/>
      <c r="AD946" s="236"/>
    </row>
    <row r="947" spans="1:30">
      <c r="A947" s="236"/>
      <c r="B947" s="236"/>
      <c r="C947" s="236"/>
      <c r="D947" s="236"/>
      <c r="E947" s="333"/>
      <c r="F947" s="236"/>
      <c r="G947" s="334"/>
      <c r="H947" s="10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  <c r="AB947" s="236"/>
      <c r="AC947" s="236"/>
      <c r="AD947" s="236"/>
    </row>
    <row r="948" spans="1:30">
      <c r="A948" s="236"/>
      <c r="B948" s="236"/>
      <c r="C948" s="236"/>
      <c r="D948" s="236"/>
      <c r="E948" s="333"/>
      <c r="F948" s="236"/>
      <c r="G948" s="334"/>
      <c r="H948" s="10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  <c r="AA948" s="236"/>
      <c r="AB948" s="236"/>
      <c r="AC948" s="236"/>
      <c r="AD948" s="236"/>
    </row>
    <row r="949" spans="1:30">
      <c r="A949" s="236"/>
      <c r="B949" s="236"/>
      <c r="C949" s="236"/>
      <c r="D949" s="236"/>
      <c r="E949" s="333"/>
      <c r="F949" s="236"/>
      <c r="G949" s="334"/>
      <c r="H949" s="10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  <c r="AB949" s="236"/>
      <c r="AC949" s="236"/>
      <c r="AD949" s="236"/>
    </row>
    <row r="950" spans="1:30">
      <c r="A950" s="236"/>
      <c r="B950" s="236"/>
      <c r="C950" s="236"/>
      <c r="D950" s="236"/>
      <c r="E950" s="333"/>
      <c r="F950" s="236"/>
      <c r="G950" s="334"/>
      <c r="H950" s="10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  <c r="AB950" s="236"/>
      <c r="AC950" s="236"/>
      <c r="AD950" s="236"/>
    </row>
    <row r="951" spans="1:30">
      <c r="A951" s="236"/>
      <c r="B951" s="236"/>
      <c r="C951" s="236"/>
      <c r="D951" s="236"/>
      <c r="E951" s="333"/>
      <c r="F951" s="236"/>
      <c r="G951" s="334"/>
      <c r="H951" s="10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  <c r="AA951" s="236"/>
      <c r="AB951" s="236"/>
      <c r="AC951" s="236"/>
      <c r="AD951" s="236"/>
    </row>
    <row r="952" spans="1:30">
      <c r="A952" s="236"/>
      <c r="B952" s="236"/>
      <c r="C952" s="236"/>
      <c r="D952" s="236"/>
      <c r="E952" s="333"/>
      <c r="F952" s="236"/>
      <c r="G952" s="334"/>
      <c r="H952" s="10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  <c r="AB952" s="236"/>
      <c r="AC952" s="236"/>
      <c r="AD952" s="236"/>
    </row>
    <row r="953" spans="1:30">
      <c r="A953" s="236"/>
      <c r="B953" s="236"/>
      <c r="C953" s="236"/>
      <c r="D953" s="236"/>
      <c r="E953" s="333"/>
      <c r="F953" s="236"/>
      <c r="G953" s="334"/>
      <c r="H953" s="10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  <c r="AB953" s="236"/>
      <c r="AC953" s="236"/>
      <c r="AD953" s="236"/>
    </row>
    <row r="954" spans="1:30">
      <c r="A954" s="236"/>
      <c r="B954" s="236"/>
      <c r="C954" s="236"/>
      <c r="D954" s="236"/>
      <c r="E954" s="333"/>
      <c r="F954" s="236"/>
      <c r="G954" s="334"/>
      <c r="H954" s="10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  <c r="AB954" s="236"/>
      <c r="AC954" s="236"/>
      <c r="AD954" s="236"/>
    </row>
    <row r="955" spans="1:30">
      <c r="A955" s="236"/>
      <c r="B955" s="236"/>
      <c r="C955" s="236"/>
      <c r="D955" s="236"/>
      <c r="E955" s="333"/>
      <c r="F955" s="236"/>
      <c r="G955" s="334"/>
      <c r="H955" s="10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  <c r="AB955" s="236"/>
      <c r="AC955" s="236"/>
      <c r="AD955" s="236"/>
    </row>
    <row r="956" spans="1:30">
      <c r="A956" s="236"/>
      <c r="B956" s="236"/>
      <c r="C956" s="236"/>
      <c r="D956" s="236"/>
      <c r="E956" s="333"/>
      <c r="F956" s="236"/>
      <c r="G956" s="334"/>
      <c r="H956" s="10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  <c r="AB956" s="236"/>
      <c r="AC956" s="236"/>
      <c r="AD956" s="236"/>
    </row>
    <row r="957" spans="1:30">
      <c r="A957" s="236"/>
      <c r="B957" s="236"/>
      <c r="C957" s="236"/>
      <c r="D957" s="236"/>
      <c r="E957" s="333"/>
      <c r="F957" s="236"/>
      <c r="G957" s="334"/>
      <c r="H957" s="10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  <c r="AB957" s="236"/>
      <c r="AC957" s="236"/>
      <c r="AD957" s="236"/>
    </row>
    <row r="958" spans="1:30">
      <c r="A958" s="236"/>
      <c r="B958" s="236"/>
      <c r="C958" s="236"/>
      <c r="D958" s="236"/>
      <c r="E958" s="333"/>
      <c r="F958" s="236"/>
      <c r="G958" s="334"/>
      <c r="H958" s="10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  <c r="AB958" s="236"/>
      <c r="AC958" s="236"/>
      <c r="AD958" s="236"/>
    </row>
    <row r="959" spans="1:30">
      <c r="A959" s="236"/>
      <c r="B959" s="236"/>
      <c r="C959" s="236"/>
      <c r="D959" s="236"/>
      <c r="E959" s="333"/>
      <c r="F959" s="236"/>
      <c r="G959" s="334"/>
      <c r="H959" s="10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  <c r="AB959" s="236"/>
      <c r="AC959" s="236"/>
      <c r="AD959" s="236"/>
    </row>
    <row r="960" spans="1:30">
      <c r="A960" s="236"/>
      <c r="B960" s="236"/>
      <c r="C960" s="236"/>
      <c r="D960" s="236"/>
      <c r="E960" s="333"/>
      <c r="F960" s="236"/>
      <c r="G960" s="334"/>
      <c r="H960" s="10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  <c r="AB960" s="236"/>
      <c r="AC960" s="236"/>
      <c r="AD960" s="236"/>
    </row>
    <row r="961" spans="1:30">
      <c r="A961" s="236"/>
      <c r="B961" s="236"/>
      <c r="C961" s="236"/>
      <c r="D961" s="236"/>
      <c r="E961" s="333"/>
      <c r="F961" s="236"/>
      <c r="G961" s="334"/>
      <c r="H961" s="10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  <c r="AB961" s="236"/>
      <c r="AC961" s="236"/>
      <c r="AD961" s="236"/>
    </row>
    <row r="962" spans="1:30">
      <c r="A962" s="236"/>
      <c r="B962" s="236"/>
      <c r="C962" s="236"/>
      <c r="D962" s="236"/>
      <c r="E962" s="333"/>
      <c r="F962" s="236"/>
      <c r="G962" s="334"/>
      <c r="H962" s="10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  <c r="AB962" s="236"/>
      <c r="AC962" s="236"/>
      <c r="AD962" s="236"/>
    </row>
    <row r="963" spans="1:30">
      <c r="A963" s="236"/>
      <c r="B963" s="236"/>
      <c r="C963" s="236"/>
      <c r="D963" s="236"/>
      <c r="E963" s="333"/>
      <c r="F963" s="236"/>
      <c r="G963" s="334"/>
      <c r="H963" s="10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  <c r="AB963" s="236"/>
      <c r="AC963" s="236"/>
      <c r="AD963" s="236"/>
    </row>
    <row r="964" spans="1:30">
      <c r="A964" s="236"/>
      <c r="B964" s="236"/>
      <c r="C964" s="236"/>
      <c r="D964" s="236"/>
      <c r="E964" s="333"/>
      <c r="F964" s="236"/>
      <c r="G964" s="334"/>
      <c r="H964" s="10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  <c r="AB964" s="236"/>
      <c r="AC964" s="236"/>
      <c r="AD964" s="236"/>
    </row>
    <row r="965" spans="1:30">
      <c r="A965" s="236"/>
      <c r="B965" s="236"/>
      <c r="C965" s="236"/>
      <c r="D965" s="236"/>
      <c r="E965" s="333"/>
      <c r="F965" s="236"/>
      <c r="G965" s="334"/>
      <c r="H965" s="10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  <c r="AB965" s="236"/>
      <c r="AC965" s="236"/>
      <c r="AD965" s="236"/>
    </row>
    <row r="966" spans="1:30">
      <c r="A966" s="236"/>
      <c r="B966" s="236"/>
      <c r="C966" s="236"/>
      <c r="D966" s="236"/>
      <c r="E966" s="333"/>
      <c r="F966" s="236"/>
      <c r="G966" s="334"/>
      <c r="H966" s="10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  <c r="AB966" s="236"/>
      <c r="AC966" s="236"/>
      <c r="AD966" s="236"/>
    </row>
    <row r="967" spans="1:30">
      <c r="A967" s="236"/>
      <c r="B967" s="236"/>
      <c r="C967" s="236"/>
      <c r="D967" s="236"/>
      <c r="E967" s="333"/>
      <c r="F967" s="236"/>
      <c r="G967" s="334"/>
      <c r="H967" s="10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  <c r="AB967" s="236"/>
      <c r="AC967" s="236"/>
      <c r="AD967" s="236"/>
    </row>
    <row r="968" spans="1:30">
      <c r="A968" s="236"/>
      <c r="B968" s="236"/>
      <c r="C968" s="236"/>
      <c r="D968" s="236"/>
      <c r="E968" s="333"/>
      <c r="F968" s="236"/>
      <c r="G968" s="334"/>
      <c r="H968" s="10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  <c r="AB968" s="236"/>
      <c r="AC968" s="236"/>
      <c r="AD968" s="236"/>
    </row>
    <row r="969" spans="1:30">
      <c r="A969" s="236"/>
      <c r="B969" s="236"/>
      <c r="C969" s="236"/>
      <c r="D969" s="236"/>
      <c r="E969" s="333"/>
      <c r="F969" s="236"/>
      <c r="G969" s="334"/>
      <c r="H969" s="10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  <c r="AB969" s="236"/>
      <c r="AC969" s="236"/>
      <c r="AD969" s="236"/>
    </row>
    <row r="970" spans="1:30">
      <c r="A970" s="236"/>
      <c r="B970" s="236"/>
      <c r="C970" s="236"/>
      <c r="D970" s="236"/>
      <c r="E970" s="333"/>
      <c r="F970" s="236"/>
      <c r="G970" s="334"/>
      <c r="H970" s="10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  <c r="AB970" s="236"/>
      <c r="AC970" s="236"/>
      <c r="AD970" s="236"/>
    </row>
    <row r="971" spans="1:30">
      <c r="A971" s="236"/>
      <c r="B971" s="236"/>
      <c r="C971" s="236"/>
      <c r="D971" s="236"/>
      <c r="E971" s="333"/>
      <c r="F971" s="236"/>
      <c r="G971" s="334"/>
      <c r="H971" s="10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  <c r="AB971" s="236"/>
      <c r="AC971" s="236"/>
      <c r="AD971" s="236"/>
    </row>
    <row r="972" spans="1:30">
      <c r="A972" s="236"/>
      <c r="B972" s="236"/>
      <c r="C972" s="236"/>
      <c r="D972" s="236"/>
      <c r="E972" s="333"/>
      <c r="F972" s="236"/>
      <c r="G972" s="334"/>
      <c r="H972" s="10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  <c r="AB972" s="236"/>
      <c r="AC972" s="236"/>
      <c r="AD972" s="236"/>
    </row>
    <row r="973" spans="1:30">
      <c r="A973" s="236"/>
      <c r="B973" s="236"/>
      <c r="C973" s="236"/>
      <c r="D973" s="236"/>
      <c r="E973" s="333"/>
      <c r="F973" s="236"/>
      <c r="G973" s="334"/>
      <c r="H973" s="10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  <c r="AB973" s="236"/>
      <c r="AC973" s="236"/>
      <c r="AD973" s="236"/>
    </row>
    <row r="974" spans="1:30">
      <c r="A974" s="236"/>
      <c r="B974" s="236"/>
      <c r="C974" s="236"/>
      <c r="D974" s="236"/>
      <c r="E974" s="333"/>
      <c r="F974" s="236"/>
      <c r="G974" s="334"/>
      <c r="H974" s="10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  <c r="AA974" s="236"/>
      <c r="AB974" s="236"/>
      <c r="AC974" s="236"/>
      <c r="AD974" s="236"/>
    </row>
    <row r="975" spans="1:30">
      <c r="A975" s="236"/>
      <c r="B975" s="236"/>
      <c r="C975" s="236"/>
      <c r="D975" s="236"/>
      <c r="E975" s="333"/>
      <c r="F975" s="236"/>
      <c r="G975" s="334"/>
      <c r="H975" s="10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  <c r="AB975" s="236"/>
      <c r="AC975" s="236"/>
      <c r="AD975" s="236"/>
    </row>
    <row r="976" spans="1:30">
      <c r="A976" s="236"/>
      <c r="B976" s="236"/>
      <c r="C976" s="236"/>
      <c r="D976" s="236"/>
      <c r="E976" s="333"/>
      <c r="F976" s="236"/>
      <c r="G976" s="334"/>
      <c r="H976" s="10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  <c r="AB976" s="236"/>
      <c r="AC976" s="236"/>
      <c r="AD976" s="236"/>
    </row>
    <row r="977" spans="1:30">
      <c r="A977" s="236"/>
      <c r="B977" s="236"/>
      <c r="C977" s="236"/>
      <c r="D977" s="236"/>
      <c r="E977" s="333"/>
      <c r="F977" s="236"/>
      <c r="G977" s="334"/>
      <c r="H977" s="10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  <c r="AB977" s="236"/>
      <c r="AC977" s="236"/>
      <c r="AD977" s="236"/>
    </row>
    <row r="978" spans="1:30">
      <c r="A978" s="236"/>
      <c r="B978" s="236"/>
      <c r="C978" s="236"/>
      <c r="D978" s="236"/>
      <c r="E978" s="333"/>
      <c r="F978" s="236"/>
      <c r="G978" s="334"/>
      <c r="H978" s="10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  <c r="AB978" s="236"/>
      <c r="AC978" s="236"/>
      <c r="AD978" s="236"/>
    </row>
    <row r="979" spans="1:30">
      <c r="A979" s="236"/>
      <c r="B979" s="236"/>
      <c r="C979" s="236"/>
      <c r="D979" s="236"/>
      <c r="E979" s="333"/>
      <c r="F979" s="236"/>
      <c r="G979" s="334"/>
      <c r="H979" s="10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  <c r="AA979" s="236"/>
      <c r="AB979" s="236"/>
      <c r="AC979" s="236"/>
      <c r="AD979" s="236"/>
    </row>
    <row r="980" spans="1:30">
      <c r="A980" s="236"/>
      <c r="B980" s="236"/>
      <c r="C980" s="236"/>
      <c r="D980" s="236"/>
      <c r="E980" s="333"/>
      <c r="F980" s="236"/>
      <c r="G980" s="334"/>
      <c r="H980" s="10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  <c r="AB980" s="236"/>
      <c r="AC980" s="236"/>
      <c r="AD980" s="236"/>
    </row>
    <row r="981" spans="1:30">
      <c r="A981" s="236"/>
      <c r="B981" s="236"/>
      <c r="C981" s="236"/>
      <c r="D981" s="236"/>
      <c r="E981" s="333"/>
      <c r="F981" s="236"/>
      <c r="G981" s="334"/>
      <c r="H981" s="10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  <c r="AB981" s="236"/>
      <c r="AC981" s="236"/>
      <c r="AD981" s="236"/>
    </row>
    <row r="982" spans="1:30">
      <c r="A982" s="236"/>
      <c r="B982" s="236"/>
      <c r="C982" s="236"/>
      <c r="D982" s="236"/>
      <c r="E982" s="333"/>
      <c r="F982" s="236"/>
      <c r="G982" s="334"/>
      <c r="H982" s="10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  <c r="AB982" s="236"/>
      <c r="AC982" s="236"/>
      <c r="AD982" s="236"/>
    </row>
    <row r="983" spans="1:30">
      <c r="A983" s="236"/>
      <c r="B983" s="236"/>
      <c r="C983" s="236"/>
      <c r="D983" s="236"/>
      <c r="E983" s="333"/>
      <c r="F983" s="236"/>
      <c r="G983" s="334"/>
      <c r="H983" s="10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  <c r="AB983" s="236"/>
      <c r="AC983" s="236"/>
      <c r="AD983" s="236"/>
    </row>
    <row r="984" spans="1:30">
      <c r="A984" s="236"/>
      <c r="B984" s="236"/>
      <c r="C984" s="236"/>
      <c r="D984" s="236"/>
      <c r="E984" s="333"/>
      <c r="F984" s="236"/>
      <c r="G984" s="334"/>
      <c r="H984" s="10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  <c r="AB984" s="236"/>
      <c r="AC984" s="236"/>
      <c r="AD984" s="236"/>
    </row>
    <row r="985" spans="1:30">
      <c r="A985" s="236"/>
      <c r="B985" s="236"/>
      <c r="C985" s="236"/>
      <c r="D985" s="236"/>
      <c r="E985" s="333"/>
      <c r="F985" s="236"/>
      <c r="G985" s="334"/>
      <c r="H985" s="10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  <c r="AB985" s="236"/>
      <c r="AC985" s="236"/>
      <c r="AD985" s="236"/>
    </row>
    <row r="986" spans="1:30">
      <c r="A986" s="236"/>
      <c r="B986" s="236"/>
      <c r="C986" s="236"/>
      <c r="D986" s="236"/>
      <c r="E986" s="333"/>
      <c r="F986" s="236"/>
      <c r="G986" s="334"/>
      <c r="H986" s="10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  <c r="AB986" s="236"/>
      <c r="AC986" s="236"/>
      <c r="AD986" s="236"/>
    </row>
    <row r="987" spans="1:30">
      <c r="A987" s="236"/>
      <c r="B987" s="236"/>
      <c r="C987" s="236"/>
      <c r="D987" s="236"/>
      <c r="E987" s="333"/>
      <c r="F987" s="236"/>
      <c r="G987" s="334"/>
      <c r="H987" s="10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  <c r="AA987" s="236"/>
      <c r="AB987" s="236"/>
      <c r="AC987" s="236"/>
      <c r="AD987" s="236"/>
    </row>
    <row r="988" spans="1:30">
      <c r="A988" s="236"/>
      <c r="B988" s="236"/>
      <c r="C988" s="236"/>
      <c r="D988" s="236"/>
      <c r="E988" s="333"/>
      <c r="F988" s="236"/>
      <c r="G988" s="334"/>
      <c r="H988" s="10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  <c r="AB988" s="236"/>
      <c r="AC988" s="236"/>
      <c r="AD988" s="236"/>
    </row>
    <row r="989" spans="1:30">
      <c r="A989" s="236"/>
      <c r="B989" s="236"/>
      <c r="C989" s="236"/>
      <c r="D989" s="236"/>
      <c r="E989" s="333"/>
      <c r="F989" s="236"/>
      <c r="G989" s="334"/>
      <c r="H989" s="10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  <c r="AB989" s="236"/>
      <c r="AC989" s="236"/>
      <c r="AD989" s="236"/>
    </row>
    <row r="990" spans="1:30">
      <c r="A990" s="236"/>
      <c r="B990" s="236"/>
      <c r="C990" s="236"/>
      <c r="D990" s="236"/>
      <c r="E990" s="333"/>
      <c r="F990" s="236"/>
      <c r="G990" s="334"/>
      <c r="H990" s="10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  <c r="AB990" s="236"/>
      <c r="AC990" s="236"/>
      <c r="AD990" s="236"/>
    </row>
    <row r="991" spans="1:30">
      <c r="A991" s="236"/>
      <c r="B991" s="236"/>
      <c r="C991" s="236"/>
      <c r="D991" s="236"/>
      <c r="E991" s="333"/>
      <c r="F991" s="236"/>
      <c r="G991" s="334"/>
      <c r="H991" s="10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  <c r="AB991" s="236"/>
      <c r="AC991" s="236"/>
      <c r="AD991" s="236"/>
    </row>
    <row r="992" spans="1:30">
      <c r="A992" s="236"/>
      <c r="B992" s="236"/>
      <c r="C992" s="236"/>
      <c r="D992" s="236"/>
      <c r="E992" s="333"/>
      <c r="F992" s="236"/>
      <c r="G992" s="334"/>
      <c r="H992" s="10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  <c r="AB992" s="236"/>
      <c r="AC992" s="236"/>
      <c r="AD992" s="236"/>
    </row>
    <row r="993" spans="1:30">
      <c r="A993" s="236"/>
      <c r="B993" s="236"/>
      <c r="C993" s="236"/>
      <c r="D993" s="236"/>
      <c r="E993" s="333"/>
      <c r="F993" s="236"/>
      <c r="G993" s="334"/>
      <c r="H993" s="10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  <c r="AA993" s="236"/>
      <c r="AB993" s="236"/>
      <c r="AC993" s="236"/>
      <c r="AD993" s="236"/>
    </row>
    <row r="994" spans="1:30">
      <c r="A994" s="236"/>
      <c r="B994" s="236"/>
      <c r="C994" s="236"/>
      <c r="D994" s="236"/>
      <c r="E994" s="333"/>
      <c r="F994" s="236"/>
      <c r="G994" s="334"/>
      <c r="H994" s="10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  <c r="AB994" s="236"/>
      <c r="AC994" s="236"/>
      <c r="AD994" s="236"/>
    </row>
    <row r="995" spans="1:30">
      <c r="A995" s="236"/>
      <c r="B995" s="236"/>
      <c r="C995" s="236"/>
      <c r="D995" s="236"/>
      <c r="E995" s="333"/>
      <c r="F995" s="236"/>
      <c r="G995" s="334"/>
      <c r="H995" s="10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  <c r="AA995" s="236"/>
      <c r="AB995" s="236"/>
      <c r="AC995" s="236"/>
      <c r="AD995" s="236"/>
    </row>
    <row r="996" spans="1:30">
      <c r="A996" s="236"/>
      <c r="B996" s="236"/>
      <c r="C996" s="236"/>
      <c r="D996" s="236"/>
      <c r="E996" s="333"/>
      <c r="F996" s="236"/>
      <c r="G996" s="334"/>
      <c r="H996" s="10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  <c r="AA996" s="236"/>
      <c r="AB996" s="236"/>
      <c r="AC996" s="236"/>
      <c r="AD996" s="236"/>
    </row>
    <row r="997" spans="1:30">
      <c r="A997" s="236"/>
      <c r="B997" s="236"/>
      <c r="C997" s="236"/>
      <c r="D997" s="236"/>
      <c r="E997" s="333"/>
      <c r="F997" s="236"/>
      <c r="G997" s="334"/>
      <c r="H997" s="10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  <c r="AA997" s="236"/>
      <c r="AB997" s="236"/>
      <c r="AC997" s="236"/>
      <c r="AD997" s="236"/>
    </row>
    <row r="998" spans="1:30">
      <c r="A998" s="236"/>
      <c r="B998" s="236"/>
      <c r="C998" s="236"/>
      <c r="D998" s="236"/>
      <c r="E998" s="333"/>
      <c r="F998" s="236"/>
      <c r="G998" s="334"/>
      <c r="H998" s="10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  <c r="AA998" s="236"/>
      <c r="AB998" s="236"/>
      <c r="AC998" s="236"/>
      <c r="AD998" s="236"/>
    </row>
  </sheetData>
  <mergeCells count="2">
    <mergeCell ref="I2:T2"/>
    <mergeCell ref="A263:L26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8"/>
  <sheetViews>
    <sheetView showGridLines="0" zoomScale="73" zoomScaleNormal="73" workbookViewId="0">
      <pane ySplit="1" topLeftCell="A2" activePane="bottomLeft" state="frozen"/>
      <selection pane="bottomLeft" activeCell="S32" sqref="S32"/>
    </sheetView>
  </sheetViews>
  <sheetFormatPr baseColWidth="10" defaultColWidth="15.140625" defaultRowHeight="15" customHeight="1"/>
  <cols>
    <col min="1" max="1" width="5.28515625" customWidth="1"/>
    <col min="2" max="2" width="4.42578125" customWidth="1"/>
    <col min="3" max="3" width="5.42578125" customWidth="1"/>
    <col min="4" max="4" width="21.42578125" customWidth="1"/>
    <col min="5" max="5" width="19.85546875" customWidth="1"/>
    <col min="6" max="6" width="6.28515625" customWidth="1"/>
    <col min="7" max="7" width="7.140625" bestFit="1" customWidth="1"/>
    <col min="8" max="8" width="6" bestFit="1" customWidth="1"/>
    <col min="9" max="9" width="8.28515625" customWidth="1"/>
    <col min="10" max="11" width="8.42578125" customWidth="1"/>
    <col min="12" max="12" width="9.42578125" customWidth="1"/>
    <col min="13" max="13" width="9.140625" customWidth="1"/>
    <col min="14" max="15" width="8.42578125" customWidth="1"/>
    <col min="16" max="16" width="8.7109375" customWidth="1"/>
    <col min="17" max="17" width="8.28515625" customWidth="1"/>
    <col min="18" max="18" width="9.28515625" customWidth="1"/>
    <col min="19" max="19" width="11" customWidth="1"/>
    <col min="20" max="20" width="28.85546875" customWidth="1"/>
    <col min="21" max="21" width="20.5703125" customWidth="1"/>
    <col min="22" max="30" width="8" customWidth="1"/>
  </cols>
  <sheetData>
    <row r="1" spans="1:30" ht="13.5" customHeight="1">
      <c r="A1" s="189"/>
      <c r="B1" s="189"/>
      <c r="C1" s="189"/>
      <c r="D1" s="189"/>
      <c r="E1" s="189"/>
      <c r="F1" s="189"/>
      <c r="G1" s="189"/>
      <c r="H1" s="189"/>
      <c r="I1" s="177">
        <v>1</v>
      </c>
      <c r="J1" s="177">
        <v>2</v>
      </c>
      <c r="K1" s="177">
        <v>3</v>
      </c>
      <c r="L1" s="177">
        <v>4</v>
      </c>
      <c r="M1" s="177">
        <v>5</v>
      </c>
      <c r="N1" s="177">
        <v>6</v>
      </c>
      <c r="O1" s="177">
        <v>7</v>
      </c>
      <c r="P1" s="177">
        <v>8</v>
      </c>
      <c r="Q1" s="177">
        <v>9</v>
      </c>
      <c r="R1" s="177">
        <v>10</v>
      </c>
      <c r="S1" s="177" t="s">
        <v>21</v>
      </c>
      <c r="T1" s="252" t="s">
        <v>1</v>
      </c>
      <c r="U1" s="189"/>
      <c r="V1" s="189"/>
      <c r="W1" s="189"/>
      <c r="X1" s="189"/>
      <c r="Y1" s="189"/>
      <c r="Z1" s="189"/>
      <c r="AA1" s="189"/>
      <c r="AB1" s="189"/>
      <c r="AC1" s="189"/>
      <c r="AD1" s="189"/>
    </row>
    <row r="2" spans="1:30" ht="27" customHeight="1">
      <c r="A2" s="189"/>
      <c r="B2" s="189"/>
      <c r="C2" s="189"/>
      <c r="D2" s="189"/>
      <c r="E2" s="253"/>
      <c r="F2" s="238"/>
      <c r="G2" s="238"/>
      <c r="H2" s="238"/>
      <c r="I2" s="671" t="s">
        <v>249</v>
      </c>
      <c r="J2" s="670"/>
      <c r="K2" s="670"/>
      <c r="L2" s="670"/>
      <c r="M2" s="670"/>
      <c r="N2" s="670"/>
      <c r="O2" s="670"/>
      <c r="P2" s="670"/>
      <c r="Q2" s="670"/>
      <c r="R2" s="670"/>
      <c r="S2" s="670"/>
      <c r="T2" s="673"/>
      <c r="U2" s="189"/>
      <c r="V2" s="189"/>
      <c r="W2" s="189"/>
      <c r="X2" s="189"/>
      <c r="Y2" s="189"/>
      <c r="Z2" s="189"/>
      <c r="AA2" s="189"/>
      <c r="AB2" s="189"/>
      <c r="AC2" s="189"/>
      <c r="AD2" s="189"/>
    </row>
    <row r="3" spans="1:30" ht="24.75" customHeight="1">
      <c r="A3" s="17" t="s">
        <v>3</v>
      </c>
      <c r="B3" s="17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7" t="s">
        <v>9</v>
      </c>
      <c r="H3" s="17" t="s">
        <v>10</v>
      </c>
      <c r="I3" s="24" t="s">
        <v>11</v>
      </c>
      <c r="J3" s="24" t="s">
        <v>12</v>
      </c>
      <c r="K3" s="24" t="s">
        <v>13</v>
      </c>
      <c r="L3" s="24" t="s">
        <v>14</v>
      </c>
      <c r="M3" s="24" t="s">
        <v>15</v>
      </c>
      <c r="N3" s="24" t="s">
        <v>16</v>
      </c>
      <c r="O3" s="24" t="s">
        <v>17</v>
      </c>
      <c r="P3" s="24" t="s">
        <v>18</v>
      </c>
      <c r="Q3" s="24" t="s">
        <v>19</v>
      </c>
      <c r="R3" s="24" t="s">
        <v>20</v>
      </c>
      <c r="S3" s="24" t="s">
        <v>21</v>
      </c>
      <c r="T3" s="28" t="s">
        <v>1</v>
      </c>
      <c r="U3" s="189"/>
      <c r="V3" s="189"/>
      <c r="W3" s="189"/>
      <c r="X3" s="189"/>
      <c r="Y3" s="189"/>
      <c r="Z3" s="189"/>
      <c r="AA3" s="189"/>
      <c r="AB3" s="189"/>
      <c r="AC3" s="189"/>
      <c r="AD3" s="189"/>
    </row>
    <row r="4" spans="1:30" ht="15.75" customHeight="1">
      <c r="A4" s="35">
        <v>2</v>
      </c>
      <c r="B4" s="35">
        <v>1</v>
      </c>
      <c r="C4" s="35">
        <v>1</v>
      </c>
      <c r="D4" s="16" t="s">
        <v>22</v>
      </c>
      <c r="E4" s="16" t="s">
        <v>23</v>
      </c>
      <c r="F4" s="16" t="s">
        <v>25</v>
      </c>
      <c r="G4" s="37">
        <v>30876</v>
      </c>
      <c r="H4" s="39">
        <v>510</v>
      </c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45" t="s">
        <v>26</v>
      </c>
      <c r="U4" s="189"/>
      <c r="V4" s="189"/>
      <c r="W4" s="189"/>
      <c r="X4" s="189"/>
      <c r="Y4" s="189"/>
      <c r="Z4" s="189"/>
      <c r="AA4" s="189"/>
      <c r="AB4" s="189"/>
      <c r="AC4" s="189"/>
      <c r="AD4" s="189"/>
    </row>
    <row r="5" spans="1:30" ht="15.75" customHeight="1">
      <c r="A5" s="35">
        <v>2</v>
      </c>
      <c r="B5" s="35">
        <v>1</v>
      </c>
      <c r="C5" s="35">
        <v>2</v>
      </c>
      <c r="D5" s="16" t="s">
        <v>27</v>
      </c>
      <c r="E5" s="16" t="s">
        <v>28</v>
      </c>
      <c r="F5" s="16" t="s">
        <v>25</v>
      </c>
      <c r="G5" s="37">
        <v>30877</v>
      </c>
      <c r="H5" s="39">
        <v>250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45" t="s">
        <v>26</v>
      </c>
      <c r="U5" s="189"/>
      <c r="V5" s="189"/>
      <c r="W5" s="189"/>
      <c r="X5" s="189"/>
      <c r="Y5" s="189"/>
      <c r="Z5" s="189"/>
      <c r="AA5" s="189"/>
      <c r="AB5" s="189"/>
      <c r="AC5" s="189"/>
      <c r="AD5" s="189"/>
    </row>
    <row r="6" spans="1:30" ht="15.75" customHeight="1">
      <c r="A6" s="35">
        <v>2</v>
      </c>
      <c r="B6" s="35">
        <v>1</v>
      </c>
      <c r="C6" s="35">
        <v>2</v>
      </c>
      <c r="D6" s="16" t="s">
        <v>22</v>
      </c>
      <c r="E6" s="16" t="s">
        <v>23</v>
      </c>
      <c r="F6" s="16" t="s">
        <v>25</v>
      </c>
      <c r="G6" s="37">
        <v>30876</v>
      </c>
      <c r="H6" s="39">
        <v>290</v>
      </c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45" t="s">
        <v>26</v>
      </c>
      <c r="U6" s="189"/>
      <c r="V6" s="189"/>
      <c r="W6" s="189"/>
      <c r="X6" s="189"/>
      <c r="Y6" s="189"/>
      <c r="Z6" s="189"/>
      <c r="AA6" s="189"/>
      <c r="AB6" s="189"/>
      <c r="AC6" s="189"/>
      <c r="AD6" s="189"/>
    </row>
    <row r="7" spans="1:30" ht="15.75" customHeight="1">
      <c r="A7" s="47">
        <v>2</v>
      </c>
      <c r="B7" s="47">
        <v>1</v>
      </c>
      <c r="C7" s="47">
        <v>3</v>
      </c>
      <c r="D7" s="25" t="s">
        <v>29</v>
      </c>
      <c r="E7" s="25" t="s">
        <v>30</v>
      </c>
      <c r="F7" s="25" t="s">
        <v>31</v>
      </c>
      <c r="G7" s="49">
        <v>50759</v>
      </c>
      <c r="H7" s="51">
        <v>232</v>
      </c>
      <c r="I7" s="33">
        <v>1.6950000000000001</v>
      </c>
      <c r="J7" s="33">
        <v>0.50800000000000001</v>
      </c>
      <c r="K7" s="33">
        <v>1.47</v>
      </c>
      <c r="L7" s="33">
        <v>1.26</v>
      </c>
      <c r="M7" s="33">
        <v>1.984</v>
      </c>
      <c r="N7" s="33">
        <v>1.83</v>
      </c>
      <c r="O7" s="33">
        <v>1.18</v>
      </c>
      <c r="P7" s="33">
        <v>1.25</v>
      </c>
      <c r="Q7" s="33">
        <v>1.53</v>
      </c>
      <c r="R7" s="33">
        <v>2.3199999999999998</v>
      </c>
      <c r="S7" s="62">
        <f t="shared" ref="S7:S259" si="0">AVERAGE(I7:R7)</f>
        <v>1.5026999999999999</v>
      </c>
      <c r="T7" s="60"/>
      <c r="U7" s="189"/>
      <c r="V7" s="189"/>
      <c r="W7" s="189"/>
      <c r="X7" s="189"/>
      <c r="Y7" s="189"/>
      <c r="Z7" s="189"/>
      <c r="AA7" s="189"/>
      <c r="AB7" s="189"/>
      <c r="AC7" s="189"/>
      <c r="AD7" s="189"/>
    </row>
    <row r="8" spans="1:30" ht="15.75" customHeight="1">
      <c r="A8" s="47">
        <v>2</v>
      </c>
      <c r="B8" s="47">
        <v>1</v>
      </c>
      <c r="C8" s="47">
        <v>5</v>
      </c>
      <c r="D8" s="25" t="s">
        <v>32</v>
      </c>
      <c r="E8" s="25" t="s">
        <v>33</v>
      </c>
      <c r="F8" s="25" t="s">
        <v>34</v>
      </c>
      <c r="G8" s="49">
        <v>50616</v>
      </c>
      <c r="H8" s="51">
        <v>468</v>
      </c>
      <c r="I8" s="33">
        <v>0.63700000000000001</v>
      </c>
      <c r="J8" s="33">
        <v>0.85899999999999999</v>
      </c>
      <c r="K8" s="33">
        <v>0.95599999999999996</v>
      </c>
      <c r="L8" s="33">
        <v>1.464</v>
      </c>
      <c r="M8" s="33">
        <v>1.7509999999999999</v>
      </c>
      <c r="N8" s="33">
        <v>1.5920000000000001</v>
      </c>
      <c r="O8" s="33">
        <v>1.593</v>
      </c>
      <c r="P8" s="33">
        <v>1.5920000000000001</v>
      </c>
      <c r="Q8" s="33">
        <v>1.8140000000000001</v>
      </c>
      <c r="R8" s="33">
        <v>1.56</v>
      </c>
      <c r="S8" s="62">
        <f t="shared" si="0"/>
        <v>1.3818000000000001</v>
      </c>
      <c r="T8" s="60"/>
      <c r="U8" s="189"/>
      <c r="V8" s="189"/>
      <c r="W8" s="189"/>
      <c r="X8" s="189"/>
      <c r="Y8" s="189"/>
      <c r="Z8" s="189"/>
      <c r="AA8" s="189"/>
      <c r="AB8" s="189"/>
      <c r="AC8" s="189"/>
      <c r="AD8" s="189"/>
    </row>
    <row r="9" spans="1:30" ht="15.75" customHeight="1">
      <c r="A9" s="47">
        <v>2</v>
      </c>
      <c r="B9" s="47">
        <v>1</v>
      </c>
      <c r="C9" s="47">
        <v>8</v>
      </c>
      <c r="D9" s="25" t="s">
        <v>35</v>
      </c>
      <c r="E9" s="25" t="s">
        <v>36</v>
      </c>
      <c r="F9" s="25" t="s">
        <v>31</v>
      </c>
      <c r="G9" s="49">
        <v>50794</v>
      </c>
      <c r="H9" s="51">
        <v>392</v>
      </c>
      <c r="I9" s="33">
        <v>1.56</v>
      </c>
      <c r="J9" s="33">
        <v>1.2370000000000001</v>
      </c>
      <c r="K9" s="33">
        <v>1.4370000000000001</v>
      </c>
      <c r="L9" s="33">
        <v>1.56</v>
      </c>
      <c r="M9" s="33">
        <v>1.3049999999999999</v>
      </c>
      <c r="N9" s="33">
        <v>1.8779999999999999</v>
      </c>
      <c r="O9" s="33">
        <v>1.6930000000000001</v>
      </c>
      <c r="P9" s="33">
        <v>1.331</v>
      </c>
      <c r="Q9" s="33">
        <v>1.401</v>
      </c>
      <c r="R9" s="33">
        <v>1.7829999999999999</v>
      </c>
      <c r="S9" s="62">
        <f t="shared" si="0"/>
        <v>1.5185</v>
      </c>
      <c r="T9" s="60"/>
      <c r="U9" s="189"/>
      <c r="V9" s="189"/>
      <c r="W9" s="189"/>
      <c r="X9" s="189"/>
      <c r="Y9" s="189"/>
      <c r="Z9" s="189"/>
      <c r="AA9" s="189"/>
      <c r="AB9" s="189"/>
      <c r="AC9" s="189"/>
      <c r="AD9" s="189"/>
    </row>
    <row r="10" spans="1:30" ht="15.75" customHeight="1">
      <c r="A10" s="47">
        <v>2</v>
      </c>
      <c r="B10" s="47">
        <v>1</v>
      </c>
      <c r="C10" s="47">
        <v>9</v>
      </c>
      <c r="D10" s="25" t="s">
        <v>37</v>
      </c>
      <c r="E10" s="25" t="s">
        <v>38</v>
      </c>
      <c r="F10" s="25" t="s">
        <v>34</v>
      </c>
      <c r="G10" s="49">
        <v>50663</v>
      </c>
      <c r="H10" s="51">
        <v>127</v>
      </c>
      <c r="I10" s="33">
        <v>1.337</v>
      </c>
      <c r="J10" s="33">
        <v>1.2729999999999999</v>
      </c>
      <c r="K10" s="33">
        <v>1.05</v>
      </c>
      <c r="L10" s="33">
        <v>1.05</v>
      </c>
      <c r="M10" s="33">
        <v>1.0189999999999999</v>
      </c>
      <c r="N10" s="33">
        <v>1.7509999999999999</v>
      </c>
      <c r="O10" s="33">
        <v>0.79400000000000004</v>
      </c>
      <c r="P10" s="33">
        <v>0.85899999999999999</v>
      </c>
      <c r="Q10" s="36"/>
      <c r="R10" s="36"/>
      <c r="S10" s="62">
        <f t="shared" si="0"/>
        <v>1.1416250000000001</v>
      </c>
      <c r="T10" s="60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</row>
    <row r="11" spans="1:30" ht="15.75" customHeight="1">
      <c r="A11" s="47">
        <v>2</v>
      </c>
      <c r="B11" s="47">
        <v>1</v>
      </c>
      <c r="C11" s="47">
        <v>9</v>
      </c>
      <c r="D11" s="25" t="s">
        <v>39</v>
      </c>
      <c r="E11" s="25" t="s">
        <v>40</v>
      </c>
      <c r="F11" s="25" t="s">
        <v>25</v>
      </c>
      <c r="G11" s="49">
        <v>50530</v>
      </c>
      <c r="H11" s="51">
        <v>48</v>
      </c>
      <c r="I11" s="33">
        <v>2.4550000000000001</v>
      </c>
      <c r="J11" s="33">
        <v>1.91</v>
      </c>
      <c r="K11" s="33">
        <v>1.528</v>
      </c>
      <c r="L11" s="36"/>
      <c r="M11" s="36"/>
      <c r="N11" s="36"/>
      <c r="O11" s="36"/>
      <c r="P11" s="36"/>
      <c r="Q11" s="36"/>
      <c r="R11" s="36"/>
      <c r="S11" s="62">
        <f t="shared" si="0"/>
        <v>1.9643333333333335</v>
      </c>
      <c r="T11" s="60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</row>
    <row r="12" spans="1:30" ht="15.75" customHeight="1">
      <c r="A12" s="63">
        <v>2</v>
      </c>
      <c r="B12" s="63">
        <v>1</v>
      </c>
      <c r="C12" s="63">
        <v>9</v>
      </c>
      <c r="D12" s="38" t="s">
        <v>41</v>
      </c>
      <c r="E12" s="38" t="s">
        <v>42</v>
      </c>
      <c r="F12" s="38" t="s">
        <v>25</v>
      </c>
      <c r="G12" s="64">
        <v>50721</v>
      </c>
      <c r="H12" s="65">
        <v>23</v>
      </c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62"/>
      <c r="T12" s="67" t="s">
        <v>43</v>
      </c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</row>
    <row r="13" spans="1:30" ht="15.75" customHeight="1">
      <c r="A13" s="47">
        <v>2</v>
      </c>
      <c r="B13" s="47">
        <v>1</v>
      </c>
      <c r="C13" s="47">
        <v>11</v>
      </c>
      <c r="D13" s="25" t="s">
        <v>44</v>
      </c>
      <c r="E13" s="25" t="s">
        <v>45</v>
      </c>
      <c r="F13" s="25" t="s">
        <v>31</v>
      </c>
      <c r="G13" s="49">
        <v>50795</v>
      </c>
      <c r="H13" s="51">
        <v>754</v>
      </c>
      <c r="I13" s="33">
        <v>1.464</v>
      </c>
      <c r="J13" s="33">
        <v>1.401</v>
      </c>
      <c r="K13" s="33">
        <v>1.337</v>
      </c>
      <c r="L13" s="33">
        <v>1.2729999999999999</v>
      </c>
      <c r="M13" s="33">
        <v>1.577</v>
      </c>
      <c r="N13" s="33">
        <v>1.262</v>
      </c>
      <c r="O13" s="33">
        <v>1.3240000000000001</v>
      </c>
      <c r="P13" s="33">
        <v>1.0189999999999999</v>
      </c>
      <c r="Q13" s="33">
        <v>0.79600000000000004</v>
      </c>
      <c r="R13" s="33">
        <v>1.64</v>
      </c>
      <c r="S13" s="62">
        <f t="shared" si="0"/>
        <v>1.3092999999999999</v>
      </c>
      <c r="T13" s="60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</row>
    <row r="14" spans="1:30" ht="15.75" customHeight="1">
      <c r="A14" s="47">
        <v>2</v>
      </c>
      <c r="B14" s="47">
        <v>1</v>
      </c>
      <c r="C14" s="47">
        <v>12</v>
      </c>
      <c r="D14" s="25" t="s">
        <v>46</v>
      </c>
      <c r="E14" s="25" t="s">
        <v>47</v>
      </c>
      <c r="F14" s="25" t="s">
        <v>25</v>
      </c>
      <c r="G14" s="49">
        <v>50262</v>
      </c>
      <c r="H14" s="51">
        <v>472</v>
      </c>
      <c r="I14" s="33">
        <v>1.496</v>
      </c>
      <c r="J14" s="33">
        <v>1.8460000000000001</v>
      </c>
      <c r="K14" s="33">
        <v>1.91</v>
      </c>
      <c r="L14" s="33">
        <v>1.7829999999999999</v>
      </c>
      <c r="M14" s="33">
        <v>1.7509999999999999</v>
      </c>
      <c r="N14" s="33">
        <v>1.5920000000000001</v>
      </c>
      <c r="O14" s="33">
        <v>1.61</v>
      </c>
      <c r="P14" s="33">
        <v>1.5920000000000001</v>
      </c>
      <c r="Q14" s="33">
        <v>1.2729999999999999</v>
      </c>
      <c r="R14" s="33">
        <v>1.528</v>
      </c>
      <c r="S14" s="62">
        <f t="shared" si="0"/>
        <v>1.6381000000000001</v>
      </c>
      <c r="T14" s="60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</row>
    <row r="15" spans="1:30" ht="15.75" customHeight="1">
      <c r="A15" s="47">
        <v>2</v>
      </c>
      <c r="B15" s="47">
        <v>1</v>
      </c>
      <c r="C15" s="47">
        <v>13</v>
      </c>
      <c r="D15" s="25" t="s">
        <v>32</v>
      </c>
      <c r="E15" s="25" t="s">
        <v>33</v>
      </c>
      <c r="F15" s="25" t="s">
        <v>48</v>
      </c>
      <c r="G15" s="49">
        <v>50267</v>
      </c>
      <c r="H15" s="51">
        <v>442</v>
      </c>
      <c r="I15" s="33">
        <v>1.2729999999999999</v>
      </c>
      <c r="J15" s="33">
        <v>0.66800000000000004</v>
      </c>
      <c r="K15" s="33">
        <v>1.1140000000000001</v>
      </c>
      <c r="L15" s="33">
        <v>1.55</v>
      </c>
      <c r="M15" s="33">
        <v>1.4319999999999999</v>
      </c>
      <c r="N15" s="33">
        <v>1.464</v>
      </c>
      <c r="O15" s="33">
        <v>1.2410000000000001</v>
      </c>
      <c r="P15" s="33">
        <v>1.5920000000000001</v>
      </c>
      <c r="Q15" s="33">
        <v>1.2729999999999999</v>
      </c>
      <c r="R15" s="33">
        <v>1.1140000000000001</v>
      </c>
      <c r="S15" s="62">
        <f t="shared" si="0"/>
        <v>1.2721</v>
      </c>
      <c r="T15" s="60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</row>
    <row r="16" spans="1:30" ht="15.75" customHeight="1">
      <c r="A16" s="47">
        <v>2</v>
      </c>
      <c r="B16" s="47">
        <v>1</v>
      </c>
      <c r="C16" s="47">
        <v>13</v>
      </c>
      <c r="D16" s="25" t="s">
        <v>32</v>
      </c>
      <c r="E16" s="25" t="s">
        <v>33</v>
      </c>
      <c r="F16" s="25" t="s">
        <v>34</v>
      </c>
      <c r="G16" s="49">
        <v>50462</v>
      </c>
      <c r="H16" s="51">
        <v>206</v>
      </c>
      <c r="I16" s="33">
        <v>1.464</v>
      </c>
      <c r="J16" s="33">
        <v>1.6870000000000001</v>
      </c>
      <c r="K16" s="33">
        <v>1.8140000000000001</v>
      </c>
      <c r="L16" s="33">
        <v>1.1779999999999999</v>
      </c>
      <c r="M16" s="33">
        <v>1.464</v>
      </c>
      <c r="N16" s="33">
        <v>1.3049999999999999</v>
      </c>
      <c r="O16" s="36"/>
      <c r="P16" s="36"/>
      <c r="Q16" s="36"/>
      <c r="R16" s="36"/>
      <c r="S16" s="62">
        <f t="shared" si="0"/>
        <v>1.4853333333333332</v>
      </c>
      <c r="T16" s="60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</row>
    <row r="17" spans="1:30" ht="15.75" customHeight="1">
      <c r="A17" s="47">
        <v>2</v>
      </c>
      <c r="B17" s="47">
        <v>1</v>
      </c>
      <c r="C17" s="47">
        <v>13</v>
      </c>
      <c r="D17" s="25" t="s">
        <v>32</v>
      </c>
      <c r="E17" s="25" t="s">
        <v>33</v>
      </c>
      <c r="F17" s="25" t="s">
        <v>34</v>
      </c>
      <c r="G17" s="49">
        <v>50616</v>
      </c>
      <c r="H17" s="51">
        <v>21</v>
      </c>
      <c r="I17" s="33">
        <v>1.1140000000000001</v>
      </c>
      <c r="J17" s="33">
        <v>1.2410000000000001</v>
      </c>
      <c r="K17" s="36"/>
      <c r="L17" s="36"/>
      <c r="M17" s="36"/>
      <c r="N17" s="36"/>
      <c r="O17" s="36"/>
      <c r="P17" s="36"/>
      <c r="Q17" s="36"/>
      <c r="R17" s="36"/>
      <c r="S17" s="62">
        <f t="shared" si="0"/>
        <v>1.1775000000000002</v>
      </c>
      <c r="T17" s="60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</row>
    <row r="18" spans="1:30" ht="15.75" customHeight="1">
      <c r="A18" s="47">
        <v>2</v>
      </c>
      <c r="B18" s="47">
        <v>1</v>
      </c>
      <c r="C18" s="47">
        <v>13</v>
      </c>
      <c r="D18" s="25" t="s">
        <v>32</v>
      </c>
      <c r="E18" s="25" t="s">
        <v>33</v>
      </c>
      <c r="F18" s="25" t="s">
        <v>31</v>
      </c>
      <c r="G18" s="49">
        <v>50184</v>
      </c>
      <c r="H18" s="51">
        <v>39</v>
      </c>
      <c r="I18" s="33">
        <v>0.95499999999999996</v>
      </c>
      <c r="J18" s="33">
        <v>1.0189999999999999</v>
      </c>
      <c r="K18" s="36"/>
      <c r="L18" s="36"/>
      <c r="M18" s="36"/>
      <c r="N18" s="36"/>
      <c r="O18" s="36"/>
      <c r="P18" s="36"/>
      <c r="Q18" s="36"/>
      <c r="R18" s="36"/>
      <c r="S18" s="62">
        <f t="shared" si="0"/>
        <v>0.98699999999999988</v>
      </c>
      <c r="T18" s="60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</row>
    <row r="19" spans="1:30" ht="15.75" customHeight="1">
      <c r="A19" s="47">
        <v>2</v>
      </c>
      <c r="B19" s="47">
        <v>1</v>
      </c>
      <c r="C19" s="47">
        <v>13</v>
      </c>
      <c r="D19" s="25" t="s">
        <v>32</v>
      </c>
      <c r="E19" s="25" t="s">
        <v>33</v>
      </c>
      <c r="F19" s="25" t="s">
        <v>34</v>
      </c>
      <c r="G19" s="49">
        <v>50104</v>
      </c>
      <c r="H19" s="51">
        <v>22</v>
      </c>
      <c r="I19" s="33">
        <v>1.496</v>
      </c>
      <c r="J19" s="36"/>
      <c r="K19" s="36"/>
      <c r="L19" s="36"/>
      <c r="M19" s="36"/>
      <c r="N19" s="36"/>
      <c r="O19" s="36"/>
      <c r="P19" s="36"/>
      <c r="Q19" s="36"/>
      <c r="R19" s="36"/>
      <c r="S19" s="62">
        <f t="shared" si="0"/>
        <v>1.496</v>
      </c>
      <c r="T19" s="60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</row>
    <row r="20" spans="1:30" ht="15.75" customHeight="1">
      <c r="A20" s="47">
        <v>2</v>
      </c>
      <c r="B20" s="47">
        <v>1</v>
      </c>
      <c r="C20" s="47">
        <v>14</v>
      </c>
      <c r="D20" s="25" t="s">
        <v>49</v>
      </c>
      <c r="E20" s="25" t="s">
        <v>50</v>
      </c>
      <c r="F20" s="25" t="s">
        <v>25</v>
      </c>
      <c r="G20" s="49">
        <v>50874</v>
      </c>
      <c r="H20" s="51">
        <v>282</v>
      </c>
      <c r="I20" s="33" t="s">
        <v>55</v>
      </c>
      <c r="J20" s="33">
        <v>0.52900000000000003</v>
      </c>
      <c r="K20" s="33">
        <v>0.434</v>
      </c>
      <c r="L20" s="33">
        <v>0.253</v>
      </c>
      <c r="M20" s="33">
        <v>0.67400000000000004</v>
      </c>
      <c r="N20" s="33">
        <v>0.58099999999999996</v>
      </c>
      <c r="O20" s="33">
        <v>0.57099999999999995</v>
      </c>
      <c r="P20" s="33">
        <v>0.434</v>
      </c>
      <c r="Q20" s="33">
        <v>0.69</v>
      </c>
      <c r="R20" s="33">
        <v>0.47899999999999998</v>
      </c>
      <c r="S20" s="62">
        <f t="shared" si="0"/>
        <v>0.51611111111111119</v>
      </c>
      <c r="T20" s="60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</row>
    <row r="21" spans="1:30" ht="15.75" customHeight="1">
      <c r="A21" s="47">
        <v>2</v>
      </c>
      <c r="B21" s="47">
        <v>1</v>
      </c>
      <c r="C21" s="47">
        <v>14</v>
      </c>
      <c r="D21" s="25" t="s">
        <v>51</v>
      </c>
      <c r="E21" s="25" t="s">
        <v>52</v>
      </c>
      <c r="F21" s="25" t="s">
        <v>25</v>
      </c>
      <c r="G21" s="49">
        <v>50875</v>
      </c>
      <c r="H21" s="51">
        <v>348</v>
      </c>
      <c r="I21" s="33">
        <v>0.11</v>
      </c>
      <c r="J21" s="33">
        <v>7.0000000000000007E-2</v>
      </c>
      <c r="K21" s="33">
        <v>0.13</v>
      </c>
      <c r="L21" s="33">
        <v>0.18</v>
      </c>
      <c r="M21" s="33">
        <v>0.12</v>
      </c>
      <c r="N21" s="33">
        <v>0.13</v>
      </c>
      <c r="O21" s="33">
        <v>0.16</v>
      </c>
      <c r="P21" s="33">
        <v>0.14000000000000001</v>
      </c>
      <c r="Q21" s="33">
        <v>0.18</v>
      </c>
      <c r="R21" s="33">
        <v>0.19</v>
      </c>
      <c r="S21" s="62">
        <f t="shared" si="0"/>
        <v>0.14099999999999999</v>
      </c>
      <c r="T21" s="60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</row>
    <row r="22" spans="1:30" ht="15.75" customHeight="1">
      <c r="A22" s="71">
        <v>2</v>
      </c>
      <c r="B22" s="71">
        <v>1</v>
      </c>
      <c r="C22" s="71">
        <v>14</v>
      </c>
      <c r="D22" s="53" t="s">
        <v>53</v>
      </c>
      <c r="E22" s="53" t="s">
        <v>54</v>
      </c>
      <c r="F22" s="53" t="s">
        <v>25</v>
      </c>
      <c r="G22" s="73">
        <v>50877</v>
      </c>
      <c r="H22" s="74">
        <v>101</v>
      </c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62"/>
      <c r="T22" s="79" t="s">
        <v>55</v>
      </c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</row>
    <row r="23" spans="1:30" ht="15.75" customHeight="1">
      <c r="A23" s="47">
        <v>2</v>
      </c>
      <c r="B23" s="47">
        <v>1</v>
      </c>
      <c r="C23" s="47">
        <v>15</v>
      </c>
      <c r="D23" s="25" t="s">
        <v>56</v>
      </c>
      <c r="E23" s="25" t="s">
        <v>57</v>
      </c>
      <c r="F23" s="25" t="s">
        <v>34</v>
      </c>
      <c r="G23" s="49">
        <v>50594</v>
      </c>
      <c r="H23" s="51">
        <v>154</v>
      </c>
      <c r="I23" s="33">
        <v>1.7509999999999999</v>
      </c>
      <c r="J23" s="33">
        <v>1.2729999999999999</v>
      </c>
      <c r="K23" s="36"/>
      <c r="L23" s="36"/>
      <c r="M23" s="36"/>
      <c r="N23" s="36"/>
      <c r="O23" s="36"/>
      <c r="P23" s="36"/>
      <c r="Q23" s="36"/>
      <c r="R23" s="36"/>
      <c r="S23" s="62">
        <f t="shared" si="0"/>
        <v>1.512</v>
      </c>
      <c r="T23" s="60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</row>
    <row r="24" spans="1:30" ht="15.75" customHeight="1">
      <c r="A24" s="47">
        <v>2</v>
      </c>
      <c r="B24" s="47">
        <v>1</v>
      </c>
      <c r="C24" s="47">
        <v>16</v>
      </c>
      <c r="D24" s="25" t="s">
        <v>58</v>
      </c>
      <c r="E24" s="25" t="s">
        <v>59</v>
      </c>
      <c r="F24" s="25" t="s">
        <v>31</v>
      </c>
      <c r="G24" s="49">
        <v>50797</v>
      </c>
      <c r="H24" s="51">
        <v>311</v>
      </c>
      <c r="I24" s="33">
        <v>2.0369999999999999</v>
      </c>
      <c r="J24" s="33">
        <v>1.8140000000000001</v>
      </c>
      <c r="K24" s="33">
        <v>1.4750000000000001</v>
      </c>
      <c r="L24" s="33">
        <v>1.7190000000000001</v>
      </c>
      <c r="M24" s="33">
        <v>1.91</v>
      </c>
      <c r="N24" s="33">
        <v>1.35</v>
      </c>
      <c r="O24" s="33">
        <v>1.8779999999999999</v>
      </c>
      <c r="P24" s="33">
        <v>1.369</v>
      </c>
      <c r="Q24" s="33">
        <v>1.7509999999999999</v>
      </c>
      <c r="R24" s="33">
        <v>1.2729999999999999</v>
      </c>
      <c r="S24" s="62">
        <f t="shared" si="0"/>
        <v>1.6576</v>
      </c>
      <c r="T24" s="60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</row>
    <row r="25" spans="1:30" ht="15.75" customHeight="1">
      <c r="A25" s="47">
        <v>2</v>
      </c>
      <c r="B25" s="47">
        <v>1</v>
      </c>
      <c r="C25" s="47">
        <v>17</v>
      </c>
      <c r="D25" s="25" t="s">
        <v>60</v>
      </c>
      <c r="E25" s="25" t="s">
        <v>61</v>
      </c>
      <c r="F25" s="25" t="s">
        <v>34</v>
      </c>
      <c r="G25" s="49">
        <v>50467</v>
      </c>
      <c r="H25" s="51">
        <v>426</v>
      </c>
      <c r="I25" s="33">
        <v>2.714</v>
      </c>
      <c r="J25" s="33">
        <v>1.3049999999999999</v>
      </c>
      <c r="K25" s="33">
        <v>1.623</v>
      </c>
      <c r="L25" s="33">
        <v>1.4319999999999999</v>
      </c>
      <c r="M25" s="33">
        <v>1.1140000000000001</v>
      </c>
      <c r="N25" s="33">
        <v>1.369</v>
      </c>
      <c r="O25" s="33">
        <v>1.3049999999999999</v>
      </c>
      <c r="P25" s="33">
        <v>1.464</v>
      </c>
      <c r="Q25" s="33">
        <v>1.0820000000000001</v>
      </c>
      <c r="R25" s="33">
        <v>1.05</v>
      </c>
      <c r="S25" s="62">
        <f t="shared" si="0"/>
        <v>1.4458000000000002</v>
      </c>
      <c r="T25" s="60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</row>
    <row r="26" spans="1:30" ht="15.75" customHeight="1">
      <c r="A26" s="47">
        <v>2</v>
      </c>
      <c r="B26" s="47">
        <v>1</v>
      </c>
      <c r="C26" s="47">
        <v>18</v>
      </c>
      <c r="D26" s="25" t="s">
        <v>46</v>
      </c>
      <c r="E26" s="25" t="s">
        <v>47</v>
      </c>
      <c r="F26" s="25" t="s">
        <v>25</v>
      </c>
      <c r="G26" s="49">
        <v>50262</v>
      </c>
      <c r="H26" s="51">
        <v>81</v>
      </c>
      <c r="I26" s="33">
        <v>1.8460000000000001</v>
      </c>
      <c r="J26" s="33">
        <v>1.7829999999999999</v>
      </c>
      <c r="K26" s="33">
        <v>1.8460000000000001</v>
      </c>
      <c r="L26" s="33">
        <v>1.8779999999999999</v>
      </c>
      <c r="M26" s="33">
        <v>1.974</v>
      </c>
      <c r="N26" s="33">
        <v>1.337</v>
      </c>
      <c r="O26" s="33">
        <v>1.56</v>
      </c>
      <c r="P26" s="33">
        <v>1.6870000000000001</v>
      </c>
      <c r="Q26" s="33">
        <v>1.974</v>
      </c>
      <c r="R26" s="33">
        <v>1.7829999999999999</v>
      </c>
      <c r="S26" s="62">
        <f t="shared" si="0"/>
        <v>1.7667999999999999</v>
      </c>
      <c r="T26" s="60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</row>
    <row r="27" spans="1:30" ht="15.75" customHeight="1">
      <c r="A27" s="47">
        <v>2</v>
      </c>
      <c r="B27" s="47">
        <v>1</v>
      </c>
      <c r="C27" s="47">
        <v>18</v>
      </c>
      <c r="D27" s="25" t="s">
        <v>46</v>
      </c>
      <c r="E27" s="25" t="s">
        <v>47</v>
      </c>
      <c r="F27" s="25" t="s">
        <v>34</v>
      </c>
      <c r="G27" s="49">
        <v>50542</v>
      </c>
      <c r="H27" s="51">
        <v>109</v>
      </c>
      <c r="I27" s="33">
        <v>1.4319999999999999</v>
      </c>
      <c r="J27" s="33">
        <v>1.464</v>
      </c>
      <c r="K27" s="33">
        <v>1.401</v>
      </c>
      <c r="L27" s="33">
        <v>1.464</v>
      </c>
      <c r="M27" s="33">
        <v>1.337</v>
      </c>
      <c r="N27" s="33">
        <v>1.4319999999999999</v>
      </c>
      <c r="O27" s="33">
        <v>1.337</v>
      </c>
      <c r="P27" s="36"/>
      <c r="Q27" s="36"/>
      <c r="R27" s="36"/>
      <c r="S27" s="62">
        <f t="shared" si="0"/>
        <v>1.4095714285714285</v>
      </c>
      <c r="T27" s="60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</row>
    <row r="28" spans="1:30" ht="15.75" customHeight="1">
      <c r="A28" s="47">
        <v>2</v>
      </c>
      <c r="B28" s="47">
        <v>2</v>
      </c>
      <c r="C28" s="47">
        <v>2</v>
      </c>
      <c r="D28" s="25" t="s">
        <v>62</v>
      </c>
      <c r="E28" s="25" t="s">
        <v>63</v>
      </c>
      <c r="F28" s="25" t="s">
        <v>34</v>
      </c>
      <c r="G28" s="49">
        <v>50752</v>
      </c>
      <c r="H28" s="51">
        <v>89</v>
      </c>
      <c r="I28" s="33">
        <v>1.073</v>
      </c>
      <c r="J28" s="33">
        <v>0.62</v>
      </c>
      <c r="K28" s="33">
        <v>0.69</v>
      </c>
      <c r="L28" s="33">
        <v>1.169</v>
      </c>
      <c r="M28" s="36"/>
      <c r="N28" s="36"/>
      <c r="O28" s="36"/>
      <c r="P28" s="36"/>
      <c r="Q28" s="36"/>
      <c r="R28" s="36"/>
      <c r="S28" s="62">
        <f t="shared" si="0"/>
        <v>0.88800000000000001</v>
      </c>
      <c r="T28" s="60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</row>
    <row r="29" spans="1:30" ht="15.75" customHeight="1">
      <c r="A29" s="63">
        <v>2</v>
      </c>
      <c r="B29" s="63">
        <v>2</v>
      </c>
      <c r="C29" s="63">
        <v>2</v>
      </c>
      <c r="D29" s="38" t="s">
        <v>64</v>
      </c>
      <c r="E29" s="38" t="s">
        <v>65</v>
      </c>
      <c r="F29" s="38" t="s">
        <v>31</v>
      </c>
      <c r="G29" s="64">
        <v>30869</v>
      </c>
      <c r="H29" s="65">
        <v>319</v>
      </c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62"/>
      <c r="T29" s="67" t="s">
        <v>43</v>
      </c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</row>
    <row r="30" spans="1:30" ht="15.75" customHeight="1">
      <c r="A30" s="269">
        <v>2</v>
      </c>
      <c r="B30" s="82">
        <v>2</v>
      </c>
      <c r="C30" s="82">
        <v>2</v>
      </c>
      <c r="D30" s="84" t="s">
        <v>62</v>
      </c>
      <c r="E30" s="84" t="s">
        <v>63</v>
      </c>
      <c r="F30" s="84" t="s">
        <v>34</v>
      </c>
      <c r="G30" s="86">
        <v>50719</v>
      </c>
      <c r="H30" s="87">
        <v>25</v>
      </c>
      <c r="I30" s="270"/>
      <c r="J30" s="88"/>
      <c r="K30" s="88"/>
      <c r="L30" s="88"/>
      <c r="M30" s="88"/>
      <c r="N30" s="88"/>
      <c r="O30" s="88"/>
      <c r="P30" s="88"/>
      <c r="Q30" s="88"/>
      <c r="R30" s="88"/>
      <c r="S30" s="62"/>
      <c r="T30" s="89" t="s">
        <v>88</v>
      </c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</row>
    <row r="31" spans="1:30" ht="15.75" customHeight="1">
      <c r="A31" s="47">
        <v>2</v>
      </c>
      <c r="B31" s="47">
        <v>2</v>
      </c>
      <c r="C31" s="47">
        <v>2</v>
      </c>
      <c r="D31" s="25" t="s">
        <v>62</v>
      </c>
      <c r="E31" s="25" t="s">
        <v>63</v>
      </c>
      <c r="F31" s="25" t="s">
        <v>25</v>
      </c>
      <c r="G31" s="49">
        <v>50188</v>
      </c>
      <c r="H31" s="51">
        <v>24</v>
      </c>
      <c r="I31" s="33">
        <v>0.53</v>
      </c>
      <c r="J31" s="33">
        <v>0.84</v>
      </c>
      <c r="K31" s="36"/>
      <c r="L31" s="36"/>
      <c r="M31" s="36"/>
      <c r="N31" s="36"/>
      <c r="O31" s="36"/>
      <c r="P31" s="36"/>
      <c r="Q31" s="36"/>
      <c r="R31" s="36"/>
      <c r="S31" s="62">
        <f t="shared" si="0"/>
        <v>0.68500000000000005</v>
      </c>
      <c r="T31" s="60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</row>
    <row r="32" spans="1:30" ht="15.75" customHeight="1">
      <c r="A32" s="47">
        <v>2</v>
      </c>
      <c r="B32" s="47">
        <v>2</v>
      </c>
      <c r="C32" s="47">
        <v>3</v>
      </c>
      <c r="D32" s="25" t="s">
        <v>66</v>
      </c>
      <c r="E32" s="25" t="s">
        <v>67</v>
      </c>
      <c r="F32" s="25" t="s">
        <v>68</v>
      </c>
      <c r="G32" s="49">
        <v>50632</v>
      </c>
      <c r="H32" s="51">
        <v>220</v>
      </c>
      <c r="I32" s="33">
        <v>1.91</v>
      </c>
      <c r="J32" s="33">
        <v>1.5920000000000001</v>
      </c>
      <c r="K32" s="33">
        <v>1.9419999999999999</v>
      </c>
      <c r="L32" s="33">
        <v>2.2919999999999998</v>
      </c>
      <c r="M32" s="33">
        <v>1.5920000000000001</v>
      </c>
      <c r="N32" s="33">
        <v>1.8460000000000001</v>
      </c>
      <c r="O32" s="33">
        <v>1.9419999999999999</v>
      </c>
      <c r="P32" s="33">
        <v>1.2410000000000001</v>
      </c>
      <c r="Q32" s="33">
        <v>1.6870000000000001</v>
      </c>
      <c r="R32" s="33">
        <v>0.57299999999999995</v>
      </c>
      <c r="S32" s="62">
        <f t="shared" si="0"/>
        <v>1.6617000000000002</v>
      </c>
      <c r="T32" s="60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</row>
    <row r="33" spans="1:30" ht="15.75" customHeight="1">
      <c r="A33" s="47">
        <v>2</v>
      </c>
      <c r="B33" s="47">
        <v>2</v>
      </c>
      <c r="C33" s="47">
        <v>3</v>
      </c>
      <c r="D33" s="25" t="s">
        <v>66</v>
      </c>
      <c r="E33" s="25" t="s">
        <v>67</v>
      </c>
      <c r="F33" s="25" t="s">
        <v>34</v>
      </c>
      <c r="G33" s="49">
        <v>50558</v>
      </c>
      <c r="H33" s="51">
        <v>227</v>
      </c>
      <c r="I33" s="33" t="s">
        <v>55</v>
      </c>
      <c r="J33" s="33">
        <v>1.401</v>
      </c>
      <c r="K33" s="33">
        <v>0.66</v>
      </c>
      <c r="L33" s="33">
        <v>0.46100000000000002</v>
      </c>
      <c r="M33" s="33">
        <v>1.23</v>
      </c>
      <c r="N33" s="33">
        <v>1.468</v>
      </c>
      <c r="O33" s="33">
        <v>1.0209999999999999</v>
      </c>
      <c r="P33" s="33">
        <v>1.87</v>
      </c>
      <c r="Q33" s="33">
        <v>1.36</v>
      </c>
      <c r="R33" s="33">
        <v>2.302</v>
      </c>
      <c r="S33" s="62">
        <f t="shared" si="0"/>
        <v>1.308111111111111</v>
      </c>
      <c r="T33" s="60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</row>
    <row r="34" spans="1:30" ht="15.75" customHeight="1">
      <c r="A34" s="47">
        <v>2</v>
      </c>
      <c r="B34" s="47">
        <v>2</v>
      </c>
      <c r="C34" s="47">
        <v>4</v>
      </c>
      <c r="D34" s="25" t="s">
        <v>69</v>
      </c>
      <c r="E34" s="25" t="s">
        <v>70</v>
      </c>
      <c r="F34" s="25" t="s">
        <v>25</v>
      </c>
      <c r="G34" s="49">
        <v>50754</v>
      </c>
      <c r="H34" s="51">
        <v>205</v>
      </c>
      <c r="I34" s="33">
        <v>1.5920000000000001</v>
      </c>
      <c r="J34" s="33">
        <v>1.357</v>
      </c>
      <c r="K34" s="33">
        <v>1.655</v>
      </c>
      <c r="L34" s="33">
        <v>1.8779999999999999</v>
      </c>
      <c r="M34" s="33">
        <v>2.2919999999999998</v>
      </c>
      <c r="N34" s="33">
        <v>1.401</v>
      </c>
      <c r="O34" s="33">
        <v>1.4319999999999999</v>
      </c>
      <c r="P34" s="33">
        <v>1.464</v>
      </c>
      <c r="Q34" s="33">
        <v>1.5920000000000001</v>
      </c>
      <c r="R34" s="33">
        <v>2.2280000000000002</v>
      </c>
      <c r="S34" s="62">
        <f t="shared" si="0"/>
        <v>1.6891000000000003</v>
      </c>
      <c r="T34" s="60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</row>
    <row r="35" spans="1:30" ht="15.75" customHeight="1">
      <c r="A35" s="47">
        <v>2</v>
      </c>
      <c r="B35" s="47">
        <v>2</v>
      </c>
      <c r="C35" s="47">
        <v>4</v>
      </c>
      <c r="D35" s="25" t="s">
        <v>69</v>
      </c>
      <c r="E35" s="25" t="s">
        <v>70</v>
      </c>
      <c r="F35" s="25" t="s">
        <v>68</v>
      </c>
      <c r="G35" s="49">
        <v>50820</v>
      </c>
      <c r="H35" s="51">
        <v>9</v>
      </c>
      <c r="I35" s="33">
        <v>1.6259999999999999</v>
      </c>
      <c r="J35" s="36"/>
      <c r="K35" s="36"/>
      <c r="L35" s="36"/>
      <c r="M35" s="36"/>
      <c r="N35" s="36"/>
      <c r="O35" s="36"/>
      <c r="P35" s="36"/>
      <c r="Q35" s="36"/>
      <c r="R35" s="36"/>
      <c r="S35" s="62">
        <f t="shared" si="0"/>
        <v>1.6259999999999999</v>
      </c>
      <c r="T35" s="60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</row>
    <row r="36" spans="1:30" ht="15.75" customHeight="1">
      <c r="A36" s="47">
        <v>2</v>
      </c>
      <c r="B36" s="47">
        <v>2</v>
      </c>
      <c r="C36" s="47">
        <v>5</v>
      </c>
      <c r="D36" s="25" t="s">
        <v>60</v>
      </c>
      <c r="E36" s="25" t="s">
        <v>71</v>
      </c>
      <c r="F36" s="25" t="s">
        <v>31</v>
      </c>
      <c r="G36" s="49">
        <v>50764</v>
      </c>
      <c r="H36" s="51">
        <v>175</v>
      </c>
      <c r="I36" s="33">
        <v>1.7190000000000001</v>
      </c>
      <c r="J36" s="33">
        <v>0.98699999999999999</v>
      </c>
      <c r="K36" s="33">
        <v>1.1559999999999999</v>
      </c>
      <c r="L36" s="33">
        <v>1.464</v>
      </c>
      <c r="M36" s="33">
        <v>1.2350000000000001</v>
      </c>
      <c r="N36" s="33">
        <v>1.2729999999999999</v>
      </c>
      <c r="O36" s="33">
        <v>1.7190000000000001</v>
      </c>
      <c r="P36" s="33">
        <v>1.05</v>
      </c>
      <c r="Q36" s="33">
        <v>1.8460000000000001</v>
      </c>
      <c r="R36" s="33">
        <v>1.1459999999999999</v>
      </c>
      <c r="S36" s="62">
        <f t="shared" si="0"/>
        <v>1.3595000000000002</v>
      </c>
      <c r="T36" s="60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</row>
    <row r="37" spans="1:30" ht="15.75" customHeight="1">
      <c r="A37" s="47">
        <v>2</v>
      </c>
      <c r="B37" s="47">
        <v>2</v>
      </c>
      <c r="C37" s="47">
        <v>8</v>
      </c>
      <c r="D37" s="25" t="s">
        <v>72</v>
      </c>
      <c r="E37" s="25" t="s">
        <v>73</v>
      </c>
      <c r="F37" s="25" t="s">
        <v>34</v>
      </c>
      <c r="G37" s="49">
        <v>50426</v>
      </c>
      <c r="H37" s="51">
        <v>320</v>
      </c>
      <c r="I37" s="33">
        <v>0.19</v>
      </c>
      <c r="J37" s="33">
        <v>0.246</v>
      </c>
      <c r="K37" s="33">
        <v>0.48</v>
      </c>
      <c r="L37" s="33">
        <v>0.20399999999999999</v>
      </c>
      <c r="M37" s="33">
        <v>0.316</v>
      </c>
      <c r="N37" s="33">
        <v>0.44400000000000001</v>
      </c>
      <c r="O37" s="33">
        <v>0.31</v>
      </c>
      <c r="P37" s="33">
        <v>0.36399999999999999</v>
      </c>
      <c r="Q37" s="33">
        <v>0.64</v>
      </c>
      <c r="R37" s="33">
        <v>1.59</v>
      </c>
      <c r="S37" s="62">
        <f t="shared" si="0"/>
        <v>0.47839999999999999</v>
      </c>
      <c r="T37" s="60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</row>
    <row r="38" spans="1:30" ht="15.75" customHeight="1">
      <c r="A38" s="47">
        <v>2</v>
      </c>
      <c r="B38" s="47">
        <v>2</v>
      </c>
      <c r="C38" s="47">
        <v>8</v>
      </c>
      <c r="D38" s="25" t="s">
        <v>72</v>
      </c>
      <c r="E38" s="25" t="s">
        <v>73</v>
      </c>
      <c r="F38" s="25" t="s">
        <v>34</v>
      </c>
      <c r="G38" s="49">
        <v>50760</v>
      </c>
      <c r="H38" s="51">
        <v>140</v>
      </c>
      <c r="I38" s="33">
        <v>1.1299999999999999</v>
      </c>
      <c r="J38" s="33">
        <v>0.85499999999999998</v>
      </c>
      <c r="K38" s="33">
        <v>1.0609999999999999</v>
      </c>
      <c r="L38" s="33">
        <v>1.43</v>
      </c>
      <c r="M38" s="33">
        <v>1.33</v>
      </c>
      <c r="N38" s="33">
        <v>1.27</v>
      </c>
      <c r="O38" s="33">
        <v>0.86</v>
      </c>
      <c r="P38" s="33">
        <v>1.21</v>
      </c>
      <c r="Q38" s="36"/>
      <c r="R38" s="36"/>
      <c r="S38" s="62">
        <f t="shared" si="0"/>
        <v>1.1432500000000001</v>
      </c>
      <c r="T38" s="60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</row>
    <row r="39" spans="1:30" ht="15.75" customHeight="1">
      <c r="A39" s="47">
        <v>2</v>
      </c>
      <c r="B39" s="47">
        <v>2</v>
      </c>
      <c r="C39" s="47">
        <v>9</v>
      </c>
      <c r="D39" s="25" t="s">
        <v>60</v>
      </c>
      <c r="E39" s="25" t="s">
        <v>71</v>
      </c>
      <c r="F39" s="25" t="s">
        <v>31</v>
      </c>
      <c r="G39" s="49">
        <v>50764</v>
      </c>
      <c r="H39" s="51">
        <v>48</v>
      </c>
      <c r="I39" s="33">
        <v>1.5269999999999999</v>
      </c>
      <c r="J39" s="33">
        <v>1.212</v>
      </c>
      <c r="K39" s="33">
        <v>1.5589999999999999</v>
      </c>
      <c r="L39" s="36"/>
      <c r="M39" s="36"/>
      <c r="N39" s="36"/>
      <c r="O39" s="36"/>
      <c r="P39" s="36"/>
      <c r="Q39" s="36"/>
      <c r="R39" s="36"/>
      <c r="S39" s="62">
        <f t="shared" si="0"/>
        <v>1.4326666666666668</v>
      </c>
      <c r="T39" s="60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</row>
    <row r="40" spans="1:30" ht="15.75" customHeight="1">
      <c r="A40" s="47">
        <v>2</v>
      </c>
      <c r="B40" s="47">
        <v>2</v>
      </c>
      <c r="C40" s="47">
        <v>11</v>
      </c>
      <c r="D40" s="25" t="s">
        <v>74</v>
      </c>
      <c r="E40" s="25" t="s">
        <v>75</v>
      </c>
      <c r="F40" s="25" t="s">
        <v>25</v>
      </c>
      <c r="G40" s="49">
        <v>50736</v>
      </c>
      <c r="H40" s="51">
        <v>354</v>
      </c>
      <c r="I40" s="33">
        <v>1.05</v>
      </c>
      <c r="J40" s="33">
        <v>1.05</v>
      </c>
      <c r="K40" s="33">
        <v>1.337</v>
      </c>
      <c r="L40" s="33">
        <v>1.623</v>
      </c>
      <c r="M40" s="33">
        <v>1.865</v>
      </c>
      <c r="N40" s="33">
        <v>1.49</v>
      </c>
      <c r="O40" s="33">
        <v>1.946</v>
      </c>
      <c r="P40" s="33">
        <v>1.718</v>
      </c>
      <c r="Q40" s="33">
        <v>1.6870000000000001</v>
      </c>
      <c r="R40" s="33">
        <v>1.4319999999999999</v>
      </c>
      <c r="S40" s="62">
        <f t="shared" si="0"/>
        <v>1.5198</v>
      </c>
      <c r="T40" s="60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</row>
    <row r="41" spans="1:30" ht="15.75" customHeight="1">
      <c r="A41" s="47">
        <v>2</v>
      </c>
      <c r="B41" s="47">
        <v>2</v>
      </c>
      <c r="C41" s="47">
        <v>11</v>
      </c>
      <c r="D41" s="25" t="s">
        <v>74</v>
      </c>
      <c r="E41" s="25" t="s">
        <v>75</v>
      </c>
      <c r="F41" s="25" t="s">
        <v>34</v>
      </c>
      <c r="G41" s="49">
        <v>50505</v>
      </c>
      <c r="H41" s="51">
        <v>15</v>
      </c>
      <c r="I41" s="33">
        <v>1.3049999999999999</v>
      </c>
      <c r="J41" s="36"/>
      <c r="K41" s="36"/>
      <c r="L41" s="36"/>
      <c r="M41" s="36"/>
      <c r="N41" s="36"/>
      <c r="O41" s="36"/>
      <c r="P41" s="36"/>
      <c r="Q41" s="36"/>
      <c r="R41" s="36"/>
      <c r="S41" s="62">
        <f t="shared" si="0"/>
        <v>1.3049999999999999</v>
      </c>
      <c r="T41" s="60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</row>
    <row r="42" spans="1:30" ht="15.75" customHeight="1">
      <c r="A42" s="47">
        <v>2</v>
      </c>
      <c r="B42" s="47">
        <v>2</v>
      </c>
      <c r="C42" s="47">
        <v>13</v>
      </c>
      <c r="D42" s="25" t="s">
        <v>60</v>
      </c>
      <c r="E42" s="25" t="s">
        <v>61</v>
      </c>
      <c r="F42" s="25" t="s">
        <v>25</v>
      </c>
      <c r="G42" s="49">
        <v>50749</v>
      </c>
      <c r="H42" s="51">
        <v>200</v>
      </c>
      <c r="I42" s="277">
        <v>1.0660000000000001</v>
      </c>
      <c r="J42" s="277">
        <v>1.05</v>
      </c>
      <c r="K42" s="277">
        <v>1.8779999999999999</v>
      </c>
      <c r="L42" s="277">
        <v>1.5920000000000001</v>
      </c>
      <c r="M42" s="277">
        <v>1.7829999999999999</v>
      </c>
      <c r="N42" s="277">
        <v>1.337</v>
      </c>
      <c r="O42" s="277">
        <v>1.704</v>
      </c>
      <c r="P42" s="277">
        <v>1.6870000000000001</v>
      </c>
      <c r="Q42" s="158"/>
      <c r="R42" s="158"/>
      <c r="S42" s="62">
        <f t="shared" si="0"/>
        <v>1.5121249999999999</v>
      </c>
      <c r="T42" s="27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</row>
    <row r="43" spans="1:30" ht="15.75" customHeight="1">
      <c r="A43" s="47">
        <v>2</v>
      </c>
      <c r="B43" s="47">
        <v>2</v>
      </c>
      <c r="C43" s="47">
        <v>13</v>
      </c>
      <c r="D43" s="25" t="s">
        <v>76</v>
      </c>
      <c r="E43" s="25" t="s">
        <v>77</v>
      </c>
      <c r="F43" s="25" t="s">
        <v>25</v>
      </c>
      <c r="G43" s="49">
        <v>50748</v>
      </c>
      <c r="H43" s="51">
        <v>296</v>
      </c>
      <c r="I43" s="32">
        <v>0.41</v>
      </c>
      <c r="J43" s="32">
        <v>0.46800000000000003</v>
      </c>
      <c r="K43" s="32">
        <v>0.81</v>
      </c>
      <c r="L43" s="32">
        <v>0.48199999999999998</v>
      </c>
      <c r="M43" s="32">
        <v>0.51900000000000002</v>
      </c>
      <c r="N43" s="32">
        <v>0.39100000000000001</v>
      </c>
      <c r="O43" s="32">
        <v>0.57399999999999995</v>
      </c>
      <c r="P43" s="32">
        <v>0.42799999999999999</v>
      </c>
      <c r="Q43" s="36"/>
      <c r="R43" s="36"/>
      <c r="S43" s="62">
        <f t="shared" si="0"/>
        <v>0.51024999999999998</v>
      </c>
      <c r="T43" s="27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</row>
    <row r="44" spans="1:30" ht="15.75" customHeight="1">
      <c r="A44" s="47">
        <v>2</v>
      </c>
      <c r="B44" s="47">
        <v>2</v>
      </c>
      <c r="C44" s="47">
        <v>18</v>
      </c>
      <c r="D44" s="25" t="s">
        <v>72</v>
      </c>
      <c r="E44" s="25" t="s">
        <v>73</v>
      </c>
      <c r="F44" s="25" t="s">
        <v>25</v>
      </c>
      <c r="G44" s="49">
        <v>50706</v>
      </c>
      <c r="H44" s="51">
        <v>71</v>
      </c>
      <c r="I44" s="32">
        <v>0.45</v>
      </c>
      <c r="J44" s="32">
        <v>0.48</v>
      </c>
      <c r="K44" s="32">
        <v>0.43099999999999999</v>
      </c>
      <c r="L44" s="36"/>
      <c r="M44" s="36"/>
      <c r="N44" s="36"/>
      <c r="O44" s="36"/>
      <c r="P44" s="36"/>
      <c r="Q44" s="36"/>
      <c r="R44" s="36"/>
      <c r="S44" s="62">
        <f t="shared" si="0"/>
        <v>0.45366666666666666</v>
      </c>
      <c r="T44" s="27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</row>
    <row r="45" spans="1:30" ht="15.75" customHeight="1">
      <c r="A45" s="47">
        <v>2</v>
      </c>
      <c r="B45" s="47">
        <v>3</v>
      </c>
      <c r="C45" s="47">
        <v>1</v>
      </c>
      <c r="D45" s="25" t="s">
        <v>78</v>
      </c>
      <c r="E45" s="25" t="s">
        <v>79</v>
      </c>
      <c r="F45" s="25" t="s">
        <v>31</v>
      </c>
      <c r="G45" s="49">
        <v>50801</v>
      </c>
      <c r="H45" s="51">
        <v>371</v>
      </c>
      <c r="I45" s="32">
        <v>0.9</v>
      </c>
      <c r="J45" s="32">
        <v>1.244</v>
      </c>
      <c r="K45" s="32">
        <v>0.64</v>
      </c>
      <c r="L45" s="32">
        <v>0.63</v>
      </c>
      <c r="M45" s="32">
        <v>1.1399999999999999</v>
      </c>
      <c r="N45" s="32">
        <v>0.77</v>
      </c>
      <c r="O45" s="32">
        <v>0.66</v>
      </c>
      <c r="P45" s="32">
        <v>0.72599999999999998</v>
      </c>
      <c r="Q45" s="32">
        <v>0.74299999999999999</v>
      </c>
      <c r="R45" s="32">
        <v>0.44900000000000001</v>
      </c>
      <c r="S45" s="62">
        <f t="shared" si="0"/>
        <v>0.79020000000000001</v>
      </c>
      <c r="T45" s="27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</row>
    <row r="46" spans="1:30" ht="15.75" customHeight="1">
      <c r="A46" s="47">
        <v>2</v>
      </c>
      <c r="B46" s="47">
        <v>3</v>
      </c>
      <c r="C46" s="47">
        <v>1</v>
      </c>
      <c r="D46" s="25" t="s">
        <v>78</v>
      </c>
      <c r="E46" s="25" t="s">
        <v>79</v>
      </c>
      <c r="F46" s="25" t="s">
        <v>68</v>
      </c>
      <c r="G46" s="49">
        <v>50814</v>
      </c>
      <c r="H46" s="51">
        <v>218</v>
      </c>
      <c r="I46" s="32">
        <v>0.7</v>
      </c>
      <c r="J46" s="32">
        <v>0.76100000000000001</v>
      </c>
      <c r="K46" s="32">
        <v>0.32</v>
      </c>
      <c r="L46" s="32">
        <v>0.6</v>
      </c>
      <c r="M46" s="32">
        <v>0.67</v>
      </c>
      <c r="N46" s="32">
        <v>0.66</v>
      </c>
      <c r="O46" s="32">
        <v>0.51400000000000001</v>
      </c>
      <c r="P46" s="32">
        <v>0.5</v>
      </c>
      <c r="Q46" s="36"/>
      <c r="R46" s="36"/>
      <c r="S46" s="62">
        <f t="shared" si="0"/>
        <v>0.59062499999999996</v>
      </c>
      <c r="T46" s="27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</row>
    <row r="47" spans="1:30" ht="15.75" customHeight="1">
      <c r="A47" s="47">
        <v>2</v>
      </c>
      <c r="B47" s="47">
        <v>3</v>
      </c>
      <c r="C47" s="47">
        <v>1</v>
      </c>
      <c r="D47" s="25" t="s">
        <v>78</v>
      </c>
      <c r="E47" s="25" t="s">
        <v>79</v>
      </c>
      <c r="F47" s="25" t="s">
        <v>25</v>
      </c>
      <c r="G47" s="49">
        <v>50741</v>
      </c>
      <c r="H47" s="51">
        <v>55</v>
      </c>
      <c r="I47" s="32">
        <v>0.96</v>
      </c>
      <c r="J47" s="32">
        <v>0.5</v>
      </c>
      <c r="K47" s="32">
        <v>0.84</v>
      </c>
      <c r="L47" s="36"/>
      <c r="M47" s="36"/>
      <c r="N47" s="36"/>
      <c r="O47" s="36"/>
      <c r="P47" s="36"/>
      <c r="Q47" s="36"/>
      <c r="R47" s="36"/>
      <c r="S47" s="62">
        <f t="shared" si="0"/>
        <v>0.76666666666666661</v>
      </c>
      <c r="T47" s="27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</row>
    <row r="48" spans="1:30" ht="15.75" customHeight="1">
      <c r="A48" s="47">
        <v>2</v>
      </c>
      <c r="B48" s="47">
        <v>3</v>
      </c>
      <c r="C48" s="47">
        <v>1</v>
      </c>
      <c r="D48" s="25" t="s">
        <v>78</v>
      </c>
      <c r="E48" s="25" t="s">
        <v>79</v>
      </c>
      <c r="F48" s="25" t="s">
        <v>31</v>
      </c>
      <c r="G48" s="49">
        <v>50791</v>
      </c>
      <c r="H48" s="51">
        <v>49</v>
      </c>
      <c r="I48" s="32">
        <v>0.69</v>
      </c>
      <c r="J48" s="32">
        <v>0.48</v>
      </c>
      <c r="K48" s="36"/>
      <c r="L48" s="36"/>
      <c r="M48" s="36"/>
      <c r="N48" s="36"/>
      <c r="O48" s="36"/>
      <c r="P48" s="36"/>
      <c r="Q48" s="36"/>
      <c r="R48" s="36"/>
      <c r="S48" s="62">
        <f t="shared" si="0"/>
        <v>0.58499999999999996</v>
      </c>
      <c r="T48" s="27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</row>
    <row r="49" spans="1:30" ht="15.75" customHeight="1">
      <c r="A49" s="47">
        <v>2</v>
      </c>
      <c r="B49" s="47">
        <v>3</v>
      </c>
      <c r="C49" s="47">
        <v>1</v>
      </c>
      <c r="D49" s="25" t="s">
        <v>78</v>
      </c>
      <c r="E49" s="25" t="s">
        <v>79</v>
      </c>
      <c r="F49" s="25" t="s">
        <v>34</v>
      </c>
      <c r="G49" s="49">
        <v>50850</v>
      </c>
      <c r="H49" s="51">
        <v>46</v>
      </c>
      <c r="I49" s="32">
        <v>0.94</v>
      </c>
      <c r="J49" s="32">
        <v>0.97</v>
      </c>
      <c r="K49" s="36"/>
      <c r="L49" s="36"/>
      <c r="M49" s="36"/>
      <c r="N49" s="36"/>
      <c r="O49" s="36"/>
      <c r="P49" s="36"/>
      <c r="Q49" s="36"/>
      <c r="R49" s="36"/>
      <c r="S49" s="62">
        <f t="shared" si="0"/>
        <v>0.95499999999999996</v>
      </c>
      <c r="T49" s="27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</row>
    <row r="50" spans="1:30" ht="15.75" customHeight="1">
      <c r="A50" s="47">
        <v>2</v>
      </c>
      <c r="B50" s="47">
        <v>3</v>
      </c>
      <c r="C50" s="47">
        <v>2</v>
      </c>
      <c r="D50" s="25" t="s">
        <v>81</v>
      </c>
      <c r="E50" s="25" t="s">
        <v>82</v>
      </c>
      <c r="F50" s="25" t="s">
        <v>25</v>
      </c>
      <c r="G50" s="49">
        <v>50723</v>
      </c>
      <c r="H50" s="51">
        <v>44</v>
      </c>
      <c r="I50" s="32">
        <v>2.1800000000000002</v>
      </c>
      <c r="J50" s="32">
        <v>0.89</v>
      </c>
      <c r="K50" s="36"/>
      <c r="L50" s="36"/>
      <c r="M50" s="36"/>
      <c r="N50" s="36"/>
      <c r="O50" s="36"/>
      <c r="P50" s="36"/>
      <c r="Q50" s="36"/>
      <c r="R50" s="36"/>
      <c r="S50" s="62">
        <f t="shared" si="0"/>
        <v>1.5350000000000001</v>
      </c>
      <c r="T50" s="27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</row>
    <row r="51" spans="1:30" ht="15.75" customHeight="1">
      <c r="A51" s="47">
        <v>2</v>
      </c>
      <c r="B51" s="47">
        <v>3</v>
      </c>
      <c r="C51" s="47">
        <v>2</v>
      </c>
      <c r="D51" s="25" t="s">
        <v>81</v>
      </c>
      <c r="E51" s="25" t="s">
        <v>82</v>
      </c>
      <c r="F51" s="25" t="s">
        <v>34</v>
      </c>
      <c r="G51" s="49">
        <v>50518</v>
      </c>
      <c r="H51" s="51">
        <v>61</v>
      </c>
      <c r="I51" s="32">
        <v>2.0019999999999998</v>
      </c>
      <c r="J51" s="32">
        <v>2.25</v>
      </c>
      <c r="K51" s="32">
        <v>3.09</v>
      </c>
      <c r="L51" s="36"/>
      <c r="M51" s="36"/>
      <c r="N51" s="36"/>
      <c r="O51" s="36"/>
      <c r="P51" s="36"/>
      <c r="Q51" s="36"/>
      <c r="R51" s="36"/>
      <c r="S51" s="62">
        <f t="shared" si="0"/>
        <v>2.4473333333333334</v>
      </c>
      <c r="T51" s="27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</row>
    <row r="52" spans="1:30" ht="15.75" customHeight="1">
      <c r="A52" s="33">
        <v>2</v>
      </c>
      <c r="B52" s="47">
        <v>3</v>
      </c>
      <c r="C52" s="47">
        <v>2</v>
      </c>
      <c r="D52" s="25" t="s">
        <v>85</v>
      </c>
      <c r="E52" s="25" t="s">
        <v>86</v>
      </c>
      <c r="F52" s="25" t="s">
        <v>68</v>
      </c>
      <c r="G52" s="49">
        <v>50832</v>
      </c>
      <c r="H52" s="51">
        <v>251</v>
      </c>
      <c r="I52" s="32">
        <v>0.47</v>
      </c>
      <c r="J52" s="32">
        <v>0.41</v>
      </c>
      <c r="K52" s="32">
        <v>0.59</v>
      </c>
      <c r="L52" s="32">
        <v>0.36</v>
      </c>
      <c r="M52" s="32">
        <v>0.57099999999999995</v>
      </c>
      <c r="N52" s="32">
        <v>0.53600000000000003</v>
      </c>
      <c r="O52" s="32">
        <v>0.64</v>
      </c>
      <c r="P52" s="32">
        <v>0.68</v>
      </c>
      <c r="Q52" s="32">
        <v>0.76</v>
      </c>
      <c r="R52" s="32">
        <v>0.78</v>
      </c>
      <c r="S52" s="62">
        <f t="shared" si="0"/>
        <v>0.57969999999999999</v>
      </c>
      <c r="T52" s="27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</row>
    <row r="53" spans="1:30" ht="15.75" customHeight="1">
      <c r="A53" s="47">
        <v>2</v>
      </c>
      <c r="B53" s="47">
        <v>3</v>
      </c>
      <c r="C53" s="47">
        <v>2</v>
      </c>
      <c r="D53" s="25" t="s">
        <v>81</v>
      </c>
      <c r="E53" s="25" t="s">
        <v>82</v>
      </c>
      <c r="F53" s="25" t="s">
        <v>34</v>
      </c>
      <c r="G53" s="49">
        <v>50628</v>
      </c>
      <c r="H53" s="51">
        <v>28</v>
      </c>
      <c r="I53" s="32">
        <v>1.6</v>
      </c>
      <c r="J53" s="36"/>
      <c r="K53" s="36"/>
      <c r="L53" s="36"/>
      <c r="M53" s="36"/>
      <c r="N53" s="36"/>
      <c r="O53" s="36"/>
      <c r="P53" s="36"/>
      <c r="Q53" s="36"/>
      <c r="R53" s="36"/>
      <c r="S53" s="62">
        <f t="shared" si="0"/>
        <v>1.6</v>
      </c>
      <c r="T53" s="27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</row>
    <row r="54" spans="1:30" ht="15.75" customHeight="1">
      <c r="A54" s="47">
        <v>2</v>
      </c>
      <c r="B54" s="47">
        <v>3</v>
      </c>
      <c r="C54" s="47">
        <v>2</v>
      </c>
      <c r="D54" s="25" t="s">
        <v>81</v>
      </c>
      <c r="E54" s="25" t="s">
        <v>82</v>
      </c>
      <c r="F54" s="25" t="s">
        <v>34</v>
      </c>
      <c r="G54" s="49">
        <v>50520</v>
      </c>
      <c r="H54" s="51">
        <v>142</v>
      </c>
      <c r="I54" s="32">
        <v>0.78</v>
      </c>
      <c r="J54" s="32">
        <v>1.33</v>
      </c>
      <c r="K54" s="32">
        <v>1.72</v>
      </c>
      <c r="L54" s="32">
        <v>0.85</v>
      </c>
      <c r="M54" s="32">
        <v>2.19</v>
      </c>
      <c r="N54" s="32">
        <v>2.23</v>
      </c>
      <c r="O54" s="36"/>
      <c r="P54" s="36"/>
      <c r="Q54" s="36"/>
      <c r="R54" s="36"/>
      <c r="S54" s="62">
        <f t="shared" si="0"/>
        <v>1.5166666666666666</v>
      </c>
      <c r="T54" s="27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</row>
    <row r="55" spans="1:30" ht="15.75" customHeight="1">
      <c r="A55" s="71">
        <v>2</v>
      </c>
      <c r="B55" s="71">
        <v>3</v>
      </c>
      <c r="C55" s="71">
        <v>2</v>
      </c>
      <c r="D55" s="53" t="s">
        <v>81</v>
      </c>
      <c r="E55" s="53" t="s">
        <v>82</v>
      </c>
      <c r="F55" s="53" t="s">
        <v>34</v>
      </c>
      <c r="G55" s="73">
        <v>50483</v>
      </c>
      <c r="H55" s="74">
        <v>3</v>
      </c>
      <c r="I55" s="94"/>
      <c r="J55" s="59"/>
      <c r="K55" s="59"/>
      <c r="L55" s="59"/>
      <c r="M55" s="59"/>
      <c r="N55" s="59"/>
      <c r="O55" s="59"/>
      <c r="P55" s="59"/>
      <c r="Q55" s="59"/>
      <c r="R55" s="59"/>
      <c r="S55" s="62" t="e">
        <f t="shared" si="0"/>
        <v>#DIV/0!</v>
      </c>
      <c r="T55" s="79" t="s">
        <v>55</v>
      </c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</row>
    <row r="56" spans="1:30" ht="15.75" customHeight="1">
      <c r="A56" s="77">
        <v>2</v>
      </c>
      <c r="B56" s="77">
        <v>3</v>
      </c>
      <c r="C56" s="77">
        <v>3</v>
      </c>
      <c r="D56" s="70" t="s">
        <v>72</v>
      </c>
      <c r="E56" s="70" t="s">
        <v>73</v>
      </c>
      <c r="F56" s="70" t="s">
        <v>68</v>
      </c>
      <c r="G56" s="99">
        <v>50618</v>
      </c>
      <c r="H56" s="100">
        <v>96</v>
      </c>
      <c r="I56" s="77">
        <v>0.309</v>
      </c>
      <c r="J56" s="77">
        <v>0.36</v>
      </c>
      <c r="K56" s="77">
        <v>0.316</v>
      </c>
      <c r="L56" s="77">
        <v>0.2</v>
      </c>
      <c r="M56" s="77">
        <v>0.43</v>
      </c>
      <c r="N56" s="77">
        <v>0.22</v>
      </c>
      <c r="O56" s="81"/>
      <c r="P56" s="81"/>
      <c r="Q56" s="81"/>
      <c r="R56" s="81"/>
      <c r="S56" s="62">
        <f t="shared" si="0"/>
        <v>0.30583333333333335</v>
      </c>
      <c r="T56" s="103" t="s">
        <v>87</v>
      </c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</row>
    <row r="57" spans="1:30" ht="15.75" customHeight="1">
      <c r="A57" s="47">
        <v>2</v>
      </c>
      <c r="B57" s="47">
        <v>3</v>
      </c>
      <c r="C57" s="47">
        <v>4</v>
      </c>
      <c r="D57" s="25" t="s">
        <v>72</v>
      </c>
      <c r="E57" s="25" t="s">
        <v>73</v>
      </c>
      <c r="F57" s="25" t="s">
        <v>31</v>
      </c>
      <c r="G57" s="49">
        <v>50803</v>
      </c>
      <c r="H57" s="51">
        <v>486</v>
      </c>
      <c r="I57" s="32">
        <v>0.246</v>
      </c>
      <c r="J57" s="32">
        <v>0.504</v>
      </c>
      <c r="K57" s="32">
        <v>0.51800000000000002</v>
      </c>
      <c r="L57" s="32">
        <v>0.44</v>
      </c>
      <c r="M57" s="32">
        <v>0.44</v>
      </c>
      <c r="N57" s="32">
        <v>0.6</v>
      </c>
      <c r="O57" s="32">
        <v>0.84</v>
      </c>
      <c r="P57" s="32">
        <v>0.871</v>
      </c>
      <c r="Q57" s="36"/>
      <c r="R57" s="36"/>
      <c r="S57" s="62">
        <f t="shared" si="0"/>
        <v>0.55737499999999995</v>
      </c>
      <c r="T57" s="27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</row>
    <row r="58" spans="1:30" ht="15.75" customHeight="1">
      <c r="A58" s="77">
        <v>2</v>
      </c>
      <c r="B58" s="77">
        <v>3</v>
      </c>
      <c r="C58" s="77">
        <v>4</v>
      </c>
      <c r="D58" s="70" t="s">
        <v>72</v>
      </c>
      <c r="E58" s="70" t="s">
        <v>73</v>
      </c>
      <c r="F58" s="70" t="s">
        <v>68</v>
      </c>
      <c r="G58" s="99">
        <v>50618</v>
      </c>
      <c r="H58" s="100">
        <v>49</v>
      </c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62" t="e">
        <f t="shared" si="0"/>
        <v>#DIV/0!</v>
      </c>
      <c r="T58" s="103" t="s">
        <v>87</v>
      </c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</row>
    <row r="59" spans="1:30" ht="15.75" customHeight="1">
      <c r="A59" s="47">
        <v>2</v>
      </c>
      <c r="B59" s="47">
        <v>3</v>
      </c>
      <c r="C59" s="47">
        <v>5</v>
      </c>
      <c r="D59" s="25" t="s">
        <v>89</v>
      </c>
      <c r="E59" s="25" t="s">
        <v>90</v>
      </c>
      <c r="F59" s="25" t="s">
        <v>34</v>
      </c>
      <c r="G59" s="49">
        <v>50854</v>
      </c>
      <c r="H59" s="51">
        <v>179</v>
      </c>
      <c r="I59" s="32">
        <v>1.03</v>
      </c>
      <c r="J59" s="32">
        <v>1.331</v>
      </c>
      <c r="K59" s="32">
        <v>0.80500000000000005</v>
      </c>
      <c r="L59" s="32">
        <v>1.008</v>
      </c>
      <c r="M59" s="32">
        <v>1.02</v>
      </c>
      <c r="N59" s="32">
        <v>0.98899999999999999</v>
      </c>
      <c r="O59" s="32">
        <v>0.83499999999999996</v>
      </c>
      <c r="P59" s="32">
        <v>0.78600000000000003</v>
      </c>
      <c r="Q59" s="158"/>
      <c r="R59" s="158"/>
      <c r="S59" s="62">
        <f t="shared" si="0"/>
        <v>0.97549999999999981</v>
      </c>
      <c r="T59" s="27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</row>
    <row r="60" spans="1:30" ht="15.75" customHeight="1">
      <c r="A60" s="47">
        <v>2</v>
      </c>
      <c r="B60" s="47">
        <v>3</v>
      </c>
      <c r="C60" s="47">
        <v>5</v>
      </c>
      <c r="D60" s="25" t="s">
        <v>89</v>
      </c>
      <c r="E60" s="25" t="s">
        <v>90</v>
      </c>
      <c r="F60" s="25" t="s">
        <v>25</v>
      </c>
      <c r="G60" s="49">
        <v>50846</v>
      </c>
      <c r="H60" s="51">
        <v>114</v>
      </c>
      <c r="I60" s="32">
        <v>2.1</v>
      </c>
      <c r="J60" s="32">
        <v>1.633</v>
      </c>
      <c r="K60" s="32">
        <v>1.742</v>
      </c>
      <c r="L60" s="32">
        <v>1.6479999999999999</v>
      </c>
      <c r="M60" s="32">
        <v>1.2849999999999999</v>
      </c>
      <c r="N60" s="32">
        <v>1.2</v>
      </c>
      <c r="O60" s="36"/>
      <c r="P60" s="36"/>
      <c r="Q60" s="36"/>
      <c r="R60" s="36"/>
      <c r="S60" s="62">
        <f t="shared" si="0"/>
        <v>1.6013333333333331</v>
      </c>
      <c r="T60" s="27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</row>
    <row r="61" spans="1:30" ht="15.75" customHeight="1">
      <c r="A61" s="47">
        <v>2</v>
      </c>
      <c r="B61" s="47">
        <v>3</v>
      </c>
      <c r="C61" s="47">
        <v>6</v>
      </c>
      <c r="D61" s="25" t="s">
        <v>58</v>
      </c>
      <c r="E61" s="25" t="s">
        <v>59</v>
      </c>
      <c r="F61" s="25" t="s">
        <v>68</v>
      </c>
      <c r="G61" s="49">
        <v>50816</v>
      </c>
      <c r="H61" s="51">
        <v>983</v>
      </c>
      <c r="I61" s="32">
        <v>0.99099999999999999</v>
      </c>
      <c r="J61" s="32">
        <v>0.69499999999999995</v>
      </c>
      <c r="K61" s="32">
        <v>1.0529999999999999</v>
      </c>
      <c r="L61" s="32">
        <v>1.0860000000000001</v>
      </c>
      <c r="M61" s="32">
        <v>1.2150000000000001</v>
      </c>
      <c r="N61" s="32">
        <v>1.012</v>
      </c>
      <c r="O61" s="32">
        <v>1.087</v>
      </c>
      <c r="P61" s="32">
        <v>1.1819999999999999</v>
      </c>
      <c r="Q61" s="32">
        <v>1.0189999999999999</v>
      </c>
      <c r="R61" s="32">
        <v>1.62</v>
      </c>
      <c r="S61" s="62">
        <f t="shared" si="0"/>
        <v>1.0960000000000001</v>
      </c>
      <c r="T61" s="27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</row>
    <row r="62" spans="1:30" ht="15.75" customHeight="1">
      <c r="A62" s="47">
        <v>2</v>
      </c>
      <c r="B62" s="47">
        <v>3</v>
      </c>
      <c r="C62" s="47">
        <v>6</v>
      </c>
      <c r="D62" s="25" t="s">
        <v>58</v>
      </c>
      <c r="E62" s="25" t="s">
        <v>59</v>
      </c>
      <c r="F62" s="25" t="s">
        <v>34</v>
      </c>
      <c r="G62" s="49">
        <v>50773</v>
      </c>
      <c r="H62" s="51">
        <v>13</v>
      </c>
      <c r="I62" s="32">
        <v>1.107</v>
      </c>
      <c r="J62" s="36"/>
      <c r="K62" s="36"/>
      <c r="L62" s="36"/>
      <c r="M62" s="36"/>
      <c r="N62" s="36"/>
      <c r="O62" s="36"/>
      <c r="P62" s="36"/>
      <c r="Q62" s="36"/>
      <c r="R62" s="36"/>
      <c r="S62" s="62">
        <f t="shared" si="0"/>
        <v>1.107</v>
      </c>
      <c r="T62" s="27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</row>
    <row r="63" spans="1:30" ht="15.75" customHeight="1">
      <c r="A63" s="47">
        <v>2</v>
      </c>
      <c r="B63" s="47">
        <v>3</v>
      </c>
      <c r="C63" s="47">
        <v>6</v>
      </c>
      <c r="D63" s="25" t="s">
        <v>91</v>
      </c>
      <c r="E63" s="25" t="s">
        <v>92</v>
      </c>
      <c r="F63" s="25" t="s">
        <v>31</v>
      </c>
      <c r="G63" s="49">
        <v>50784</v>
      </c>
      <c r="H63" s="51">
        <v>32</v>
      </c>
      <c r="I63" s="32">
        <v>1.131</v>
      </c>
      <c r="J63" s="36"/>
      <c r="K63" s="36"/>
      <c r="L63" s="36"/>
      <c r="M63" s="36"/>
      <c r="N63" s="36"/>
      <c r="O63" s="36"/>
      <c r="P63" s="36"/>
      <c r="Q63" s="36"/>
      <c r="R63" s="36"/>
      <c r="S63" s="62">
        <f t="shared" si="0"/>
        <v>1.131</v>
      </c>
      <c r="T63" s="27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</row>
    <row r="64" spans="1:30" ht="15.75" customHeight="1">
      <c r="A64" s="47">
        <v>2</v>
      </c>
      <c r="B64" s="47">
        <v>3</v>
      </c>
      <c r="C64" s="47">
        <v>7</v>
      </c>
      <c r="D64" s="25" t="s">
        <v>93</v>
      </c>
      <c r="E64" s="25" t="s">
        <v>94</v>
      </c>
      <c r="F64" s="25" t="s">
        <v>34</v>
      </c>
      <c r="G64" s="49">
        <v>50604</v>
      </c>
      <c r="H64" s="51">
        <v>350</v>
      </c>
      <c r="I64" s="32">
        <v>1.0629999999999999</v>
      </c>
      <c r="J64" s="32">
        <v>1.913</v>
      </c>
      <c r="K64" s="32">
        <v>1.4219999999999999</v>
      </c>
      <c r="L64" s="32">
        <v>1.1399999999999999</v>
      </c>
      <c r="M64" s="32">
        <v>1.1739999999999999</v>
      </c>
      <c r="N64" s="32">
        <v>1.379</v>
      </c>
      <c r="O64" s="32">
        <v>1.655</v>
      </c>
      <c r="P64" s="32">
        <v>1.4</v>
      </c>
      <c r="Q64" s="32">
        <v>1.347</v>
      </c>
      <c r="R64" s="32">
        <v>1.169</v>
      </c>
      <c r="S64" s="62">
        <f t="shared" si="0"/>
        <v>1.3661999999999999</v>
      </c>
      <c r="T64" s="27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</row>
    <row r="65" spans="1:30" ht="15.75" customHeight="1">
      <c r="A65" s="71">
        <v>2</v>
      </c>
      <c r="B65" s="71">
        <v>3</v>
      </c>
      <c r="C65" s="71">
        <v>7</v>
      </c>
      <c r="D65" s="53" t="s">
        <v>72</v>
      </c>
      <c r="E65" s="53" t="s">
        <v>73</v>
      </c>
      <c r="F65" s="53" t="s">
        <v>31</v>
      </c>
      <c r="G65" s="73">
        <v>50803</v>
      </c>
      <c r="H65" s="74">
        <v>132</v>
      </c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62" t="e">
        <f t="shared" si="0"/>
        <v>#DIV/0!</v>
      </c>
      <c r="T65" s="79" t="s">
        <v>55</v>
      </c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</row>
    <row r="66" spans="1:30" ht="15.75" customHeight="1">
      <c r="A66" s="47">
        <v>2</v>
      </c>
      <c r="B66" s="47">
        <v>3</v>
      </c>
      <c r="C66" s="47">
        <v>8</v>
      </c>
      <c r="D66" s="25" t="s">
        <v>95</v>
      </c>
      <c r="E66" s="25" t="s">
        <v>96</v>
      </c>
      <c r="F66" s="25" t="s">
        <v>34</v>
      </c>
      <c r="G66" s="49">
        <v>50886</v>
      </c>
      <c r="H66" s="51">
        <v>289</v>
      </c>
      <c r="I66" s="32">
        <v>0.53400000000000003</v>
      </c>
      <c r="J66" s="32">
        <v>0.36899999999999999</v>
      </c>
      <c r="K66" s="32">
        <v>0.30199999999999999</v>
      </c>
      <c r="L66" s="32">
        <v>0.255</v>
      </c>
      <c r="M66" s="32">
        <v>0.36099999999999999</v>
      </c>
      <c r="N66" s="32">
        <v>0.32100000000000001</v>
      </c>
      <c r="O66" s="32">
        <v>0.314</v>
      </c>
      <c r="P66" s="32">
        <v>0.33200000000000002</v>
      </c>
      <c r="Q66" s="32">
        <v>0.41599999999999998</v>
      </c>
      <c r="R66" s="32">
        <v>0.60299999999999998</v>
      </c>
      <c r="S66" s="62">
        <f t="shared" si="0"/>
        <v>0.38069999999999993</v>
      </c>
      <c r="T66" s="27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</row>
    <row r="67" spans="1:30" ht="15.75" customHeight="1">
      <c r="A67" s="47">
        <v>2</v>
      </c>
      <c r="B67" s="47">
        <v>3</v>
      </c>
      <c r="C67" s="47">
        <v>8</v>
      </c>
      <c r="D67" s="25" t="s">
        <v>74</v>
      </c>
      <c r="E67" s="25" t="s">
        <v>75</v>
      </c>
      <c r="F67" s="25" t="s">
        <v>34</v>
      </c>
      <c r="G67" s="49">
        <v>50887</v>
      </c>
      <c r="H67" s="51">
        <v>179</v>
      </c>
      <c r="I67" s="32">
        <v>0.50800000000000001</v>
      </c>
      <c r="J67" s="32">
        <v>0.34499999999999997</v>
      </c>
      <c r="K67" s="32">
        <v>0.25900000000000001</v>
      </c>
      <c r="L67" s="32">
        <v>0.27700000000000002</v>
      </c>
      <c r="M67" s="32">
        <v>0.247</v>
      </c>
      <c r="N67" s="32">
        <v>0.20300000000000001</v>
      </c>
      <c r="O67" s="32">
        <v>0.22700000000000001</v>
      </c>
      <c r="P67" s="32">
        <v>0.17299999999999999</v>
      </c>
      <c r="Q67" s="32">
        <v>0.16500000000000001</v>
      </c>
      <c r="R67" s="158"/>
      <c r="S67" s="62">
        <f t="shared" si="0"/>
        <v>0.26711111111111113</v>
      </c>
      <c r="T67" s="27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</row>
    <row r="68" spans="1:30" ht="15.75" customHeight="1">
      <c r="A68" s="47">
        <v>2</v>
      </c>
      <c r="B68" s="47">
        <v>3</v>
      </c>
      <c r="C68" s="47">
        <v>9</v>
      </c>
      <c r="D68" s="25" t="s">
        <v>97</v>
      </c>
      <c r="E68" s="25" t="s">
        <v>98</v>
      </c>
      <c r="F68" s="25" t="s">
        <v>68</v>
      </c>
      <c r="G68" s="49">
        <v>50845</v>
      </c>
      <c r="H68" s="51">
        <v>459</v>
      </c>
      <c r="I68" s="32">
        <v>0.48699999999999999</v>
      </c>
      <c r="J68" s="32">
        <v>0.505</v>
      </c>
      <c r="K68" s="32">
        <v>0.33</v>
      </c>
      <c r="L68" s="32">
        <v>0.58499999999999996</v>
      </c>
      <c r="M68" s="32">
        <v>0.49299999999999999</v>
      </c>
      <c r="N68" s="32">
        <v>0.41599999999999998</v>
      </c>
      <c r="O68" s="32">
        <v>0.59099999999999997</v>
      </c>
      <c r="P68" s="32">
        <v>0.625</v>
      </c>
      <c r="Q68" s="32">
        <v>0.34</v>
      </c>
      <c r="R68" s="32">
        <v>0.74399999999999999</v>
      </c>
      <c r="S68" s="62">
        <f t="shared" si="0"/>
        <v>0.51159999999999994</v>
      </c>
      <c r="T68" s="27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</row>
    <row r="69" spans="1:30" ht="15.75" customHeight="1">
      <c r="A69" s="63">
        <v>2</v>
      </c>
      <c r="B69" s="63">
        <v>3</v>
      </c>
      <c r="C69" s="63">
        <v>9</v>
      </c>
      <c r="D69" s="38" t="s">
        <v>97</v>
      </c>
      <c r="E69" s="38" t="s">
        <v>98</v>
      </c>
      <c r="F69" s="38" t="s">
        <v>34</v>
      </c>
      <c r="G69" s="64">
        <v>50590</v>
      </c>
      <c r="H69" s="65">
        <v>3</v>
      </c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62" t="e">
        <f t="shared" si="0"/>
        <v>#DIV/0!</v>
      </c>
      <c r="T69" s="67" t="s">
        <v>43</v>
      </c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</row>
    <row r="70" spans="1:30" ht="15.75" customHeight="1">
      <c r="A70" s="47">
        <v>2</v>
      </c>
      <c r="B70" s="47">
        <v>3</v>
      </c>
      <c r="C70" s="47">
        <v>9</v>
      </c>
      <c r="D70" s="25" t="s">
        <v>99</v>
      </c>
      <c r="E70" s="114"/>
      <c r="F70" s="25" t="s">
        <v>25</v>
      </c>
      <c r="G70" s="49">
        <v>50848</v>
      </c>
      <c r="H70" s="51">
        <v>217</v>
      </c>
      <c r="I70" s="32">
        <v>0.627</v>
      </c>
      <c r="J70" s="32">
        <v>0.56699999999999995</v>
      </c>
      <c r="K70" s="32">
        <v>0.82199999999999995</v>
      </c>
      <c r="L70" s="32">
        <v>0.34399999999999997</v>
      </c>
      <c r="M70" s="32">
        <v>0.47399999999999998</v>
      </c>
      <c r="N70" s="32">
        <v>0.58199999999999996</v>
      </c>
      <c r="O70" s="32">
        <v>0.496</v>
      </c>
      <c r="P70" s="32">
        <v>0.504</v>
      </c>
      <c r="Q70" s="36"/>
      <c r="R70" s="36"/>
      <c r="S70" s="62">
        <f t="shared" si="0"/>
        <v>0.55199999999999994</v>
      </c>
      <c r="T70" s="27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</row>
    <row r="71" spans="1:30" ht="15.75" customHeight="1">
      <c r="A71" s="71">
        <v>2</v>
      </c>
      <c r="B71" s="71">
        <v>3</v>
      </c>
      <c r="C71" s="71">
        <v>9</v>
      </c>
      <c r="D71" s="53" t="s">
        <v>100</v>
      </c>
      <c r="E71" s="53" t="s">
        <v>101</v>
      </c>
      <c r="F71" s="53" t="s">
        <v>68</v>
      </c>
      <c r="G71" s="73">
        <v>50645</v>
      </c>
      <c r="H71" s="74">
        <v>102</v>
      </c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62" t="e">
        <f t="shared" si="0"/>
        <v>#DIV/0!</v>
      </c>
      <c r="T71" s="79" t="s">
        <v>55</v>
      </c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</row>
    <row r="72" spans="1:30" ht="15.75" customHeight="1">
      <c r="A72" s="47">
        <v>2</v>
      </c>
      <c r="B72" s="47">
        <v>3</v>
      </c>
      <c r="C72" s="47">
        <v>9</v>
      </c>
      <c r="D72" s="25" t="s">
        <v>100</v>
      </c>
      <c r="E72" s="25" t="s">
        <v>101</v>
      </c>
      <c r="F72" s="25" t="s">
        <v>25</v>
      </c>
      <c r="G72" s="49">
        <v>50746</v>
      </c>
      <c r="H72" s="51">
        <v>53</v>
      </c>
      <c r="I72" s="32">
        <v>0.84299999999999997</v>
      </c>
      <c r="J72" s="32">
        <v>0.51</v>
      </c>
      <c r="K72" s="32">
        <v>0.35199999999999998</v>
      </c>
      <c r="L72" s="36"/>
      <c r="M72" s="36"/>
      <c r="N72" s="36"/>
      <c r="O72" s="36"/>
      <c r="P72" s="36"/>
      <c r="Q72" s="36"/>
      <c r="R72" s="36"/>
      <c r="S72" s="62">
        <f t="shared" si="0"/>
        <v>0.56833333333333336</v>
      </c>
      <c r="T72" s="27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</row>
    <row r="73" spans="1:30" ht="15.75" customHeight="1">
      <c r="A73" s="47">
        <v>2</v>
      </c>
      <c r="B73" s="47">
        <v>3</v>
      </c>
      <c r="C73" s="47">
        <v>9</v>
      </c>
      <c r="D73" s="25" t="s">
        <v>100</v>
      </c>
      <c r="E73" s="25" t="s">
        <v>101</v>
      </c>
      <c r="F73" s="25" t="s">
        <v>31</v>
      </c>
      <c r="G73" s="49">
        <v>50804</v>
      </c>
      <c r="H73" s="51">
        <v>29</v>
      </c>
      <c r="I73" s="32">
        <v>0.77400000000000002</v>
      </c>
      <c r="J73" s="36"/>
      <c r="K73" s="36"/>
      <c r="L73" s="36"/>
      <c r="M73" s="36"/>
      <c r="N73" s="36"/>
      <c r="O73" s="36"/>
      <c r="P73" s="36"/>
      <c r="Q73" s="36"/>
      <c r="R73" s="36"/>
      <c r="S73" s="62">
        <f t="shared" si="0"/>
        <v>0.77400000000000002</v>
      </c>
      <c r="T73" s="27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</row>
    <row r="74" spans="1:30" ht="15.75" customHeight="1">
      <c r="A74" s="47">
        <v>2</v>
      </c>
      <c r="B74" s="47">
        <v>3</v>
      </c>
      <c r="C74" s="47">
        <v>11</v>
      </c>
      <c r="D74" s="25" t="s">
        <v>102</v>
      </c>
      <c r="E74" s="25" t="s">
        <v>103</v>
      </c>
      <c r="F74" s="25" t="s">
        <v>31</v>
      </c>
      <c r="G74" s="49">
        <v>50821</v>
      </c>
      <c r="H74" s="51">
        <v>369</v>
      </c>
      <c r="I74" s="32">
        <v>0.61799999999999999</v>
      </c>
      <c r="J74" s="32">
        <v>1.0209999999999999</v>
      </c>
      <c r="K74" s="32">
        <v>0.77900000000000003</v>
      </c>
      <c r="L74" s="32">
        <v>1.0780000000000001</v>
      </c>
      <c r="M74" s="32">
        <v>0.67600000000000005</v>
      </c>
      <c r="N74" s="32">
        <v>0.82899999999999996</v>
      </c>
      <c r="O74" s="32">
        <v>1.1100000000000001</v>
      </c>
      <c r="P74" s="32">
        <v>0.90600000000000003</v>
      </c>
      <c r="Q74" s="32">
        <v>0.90700000000000003</v>
      </c>
      <c r="R74" s="32">
        <v>0.96499999999999997</v>
      </c>
      <c r="S74" s="62">
        <f t="shared" si="0"/>
        <v>0.88889999999999991</v>
      </c>
      <c r="T74" s="27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</row>
    <row r="75" spans="1:30" ht="15.75" customHeight="1">
      <c r="A75" s="71">
        <v>2</v>
      </c>
      <c r="B75" s="71">
        <v>3</v>
      </c>
      <c r="C75" s="71">
        <v>11</v>
      </c>
      <c r="D75" s="53" t="s">
        <v>102</v>
      </c>
      <c r="E75" s="53" t="s">
        <v>103</v>
      </c>
      <c r="F75" s="53" t="s">
        <v>34</v>
      </c>
      <c r="G75" s="73">
        <v>50415</v>
      </c>
      <c r="H75" s="74">
        <v>4</v>
      </c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62" t="e">
        <f t="shared" si="0"/>
        <v>#DIV/0!</v>
      </c>
      <c r="T75" s="79" t="s">
        <v>55</v>
      </c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</row>
    <row r="76" spans="1:30" ht="15.75" customHeight="1">
      <c r="A76" s="47">
        <v>2</v>
      </c>
      <c r="B76" s="47">
        <v>3</v>
      </c>
      <c r="C76" s="47">
        <v>11</v>
      </c>
      <c r="D76" s="25" t="s">
        <v>102</v>
      </c>
      <c r="E76" s="25" t="s">
        <v>104</v>
      </c>
      <c r="F76" s="25" t="s">
        <v>68</v>
      </c>
      <c r="G76" s="49">
        <v>50658</v>
      </c>
      <c r="H76" s="51">
        <v>136</v>
      </c>
      <c r="I76" s="32">
        <v>0.91700000000000004</v>
      </c>
      <c r="J76" s="32">
        <v>1.1359999999999999</v>
      </c>
      <c r="K76" s="32">
        <v>1.032</v>
      </c>
      <c r="L76" s="32">
        <v>0.59</v>
      </c>
      <c r="M76" s="32">
        <v>0.749</v>
      </c>
      <c r="N76" s="36"/>
      <c r="O76" s="36"/>
      <c r="P76" s="36"/>
      <c r="Q76" s="36"/>
      <c r="R76" s="36"/>
      <c r="S76" s="62">
        <f t="shared" si="0"/>
        <v>0.88479999999999992</v>
      </c>
      <c r="T76" s="27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</row>
    <row r="77" spans="1:30" ht="15.75" customHeight="1">
      <c r="A77" s="47">
        <v>2</v>
      </c>
      <c r="B77" s="47">
        <v>3</v>
      </c>
      <c r="C77" s="47">
        <v>12</v>
      </c>
      <c r="D77" s="25" t="s">
        <v>102</v>
      </c>
      <c r="E77" s="25" t="s">
        <v>103</v>
      </c>
      <c r="F77" s="25" t="s">
        <v>68</v>
      </c>
      <c r="G77" s="49">
        <v>50817</v>
      </c>
      <c r="H77" s="51">
        <v>1429</v>
      </c>
      <c r="I77" s="32">
        <v>1.2430000000000001</v>
      </c>
      <c r="J77" s="32">
        <v>0.77</v>
      </c>
      <c r="K77" s="32">
        <v>0.79700000000000004</v>
      </c>
      <c r="L77" s="32">
        <v>0.71599999999999997</v>
      </c>
      <c r="M77" s="32">
        <v>0.55600000000000005</v>
      </c>
      <c r="N77" s="32">
        <v>0.81100000000000005</v>
      </c>
      <c r="O77" s="32">
        <v>0.55600000000000005</v>
      </c>
      <c r="P77" s="32">
        <v>0.50900000000000001</v>
      </c>
      <c r="Q77" s="32">
        <v>0.623</v>
      </c>
      <c r="R77" s="32">
        <v>0.36699999999999999</v>
      </c>
      <c r="S77" s="62">
        <f t="shared" si="0"/>
        <v>0.69480000000000008</v>
      </c>
      <c r="T77" s="27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</row>
    <row r="78" spans="1:30" ht="15.75" customHeight="1">
      <c r="A78" s="47">
        <v>2</v>
      </c>
      <c r="B78" s="47">
        <v>3</v>
      </c>
      <c r="C78" s="47">
        <v>13</v>
      </c>
      <c r="D78" s="25" t="s">
        <v>105</v>
      </c>
      <c r="E78" s="25" t="s">
        <v>106</v>
      </c>
      <c r="F78" s="25" t="s">
        <v>25</v>
      </c>
      <c r="G78" s="49">
        <v>50859</v>
      </c>
      <c r="H78" s="51">
        <v>349</v>
      </c>
      <c r="I78" s="32">
        <v>0.95</v>
      </c>
      <c r="J78" s="32">
        <v>0.81599999999999995</v>
      </c>
      <c r="K78" s="32">
        <v>0.61799999999999999</v>
      </c>
      <c r="L78" s="32">
        <v>0.58399999999999996</v>
      </c>
      <c r="M78" s="32">
        <v>0.503</v>
      </c>
      <c r="N78" s="32">
        <v>0.625</v>
      </c>
      <c r="O78" s="32">
        <v>0.66700000000000004</v>
      </c>
      <c r="P78" s="32">
        <v>0.627</v>
      </c>
      <c r="Q78" s="32">
        <v>0.95699999999999996</v>
      </c>
      <c r="R78" s="32">
        <v>0.91500000000000004</v>
      </c>
      <c r="S78" s="62">
        <f t="shared" si="0"/>
        <v>0.72619999999999996</v>
      </c>
      <c r="T78" s="27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</row>
    <row r="79" spans="1:30" ht="15.75" customHeight="1">
      <c r="A79" s="47">
        <v>2</v>
      </c>
      <c r="B79" s="47">
        <v>3</v>
      </c>
      <c r="C79" s="47">
        <v>13</v>
      </c>
      <c r="D79" s="25" t="s">
        <v>105</v>
      </c>
      <c r="E79" s="25" t="s">
        <v>106</v>
      </c>
      <c r="F79" s="25" t="s">
        <v>25</v>
      </c>
      <c r="G79" s="49">
        <v>50735</v>
      </c>
      <c r="H79" s="51">
        <v>22</v>
      </c>
      <c r="I79" s="32">
        <v>0.68100000000000005</v>
      </c>
      <c r="J79" s="36"/>
      <c r="K79" s="36"/>
      <c r="L79" s="36"/>
      <c r="M79" s="36"/>
      <c r="N79" s="36"/>
      <c r="O79" s="36"/>
      <c r="P79" s="36"/>
      <c r="Q79" s="36"/>
      <c r="R79" s="36"/>
      <c r="S79" s="62">
        <f t="shared" si="0"/>
        <v>0.68100000000000005</v>
      </c>
      <c r="T79" s="27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</row>
    <row r="80" spans="1:30" ht="15.75" customHeight="1">
      <c r="A80" s="47">
        <v>2</v>
      </c>
      <c r="B80" s="47">
        <v>3</v>
      </c>
      <c r="C80" s="47">
        <v>13</v>
      </c>
      <c r="D80" s="25" t="s">
        <v>105</v>
      </c>
      <c r="E80" s="25" t="s">
        <v>106</v>
      </c>
      <c r="F80" s="25" t="s">
        <v>25</v>
      </c>
      <c r="G80" s="49">
        <v>50756</v>
      </c>
      <c r="H80" s="51">
        <v>37</v>
      </c>
      <c r="I80" s="33">
        <v>1.1479999999999999</v>
      </c>
      <c r="J80" s="36"/>
      <c r="K80" s="36"/>
      <c r="L80" s="36"/>
      <c r="M80" s="36"/>
      <c r="N80" s="36"/>
      <c r="O80" s="36"/>
      <c r="P80" s="36"/>
      <c r="Q80" s="36"/>
      <c r="R80" s="36"/>
      <c r="S80" s="62">
        <f t="shared" si="0"/>
        <v>1.1479999999999999</v>
      </c>
      <c r="T80" s="60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</row>
    <row r="81" spans="1:30" ht="15.75" customHeight="1">
      <c r="A81" s="47">
        <v>2</v>
      </c>
      <c r="B81" s="47">
        <v>3</v>
      </c>
      <c r="C81" s="47">
        <v>13</v>
      </c>
      <c r="D81" s="25" t="s">
        <v>105</v>
      </c>
      <c r="E81" s="25" t="s">
        <v>106</v>
      </c>
      <c r="F81" s="25" t="s">
        <v>68</v>
      </c>
      <c r="G81" s="49">
        <v>50836</v>
      </c>
      <c r="H81" s="51">
        <v>172</v>
      </c>
      <c r="I81" s="33">
        <v>0.95799999999999996</v>
      </c>
      <c r="J81" s="33">
        <v>1.3420000000000001</v>
      </c>
      <c r="K81" s="33">
        <v>0.875</v>
      </c>
      <c r="L81" s="33">
        <v>0.93100000000000005</v>
      </c>
      <c r="M81" s="33">
        <v>1.0940000000000001</v>
      </c>
      <c r="N81" s="33">
        <v>0.86</v>
      </c>
      <c r="O81" s="33">
        <v>0.66700000000000004</v>
      </c>
      <c r="P81" s="33">
        <v>0.83699999999999997</v>
      </c>
      <c r="Q81" s="36"/>
      <c r="R81" s="36"/>
      <c r="S81" s="62">
        <f t="shared" si="0"/>
        <v>0.94550000000000001</v>
      </c>
      <c r="T81" s="60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</row>
    <row r="82" spans="1:30" ht="15.75" customHeight="1">
      <c r="A82" s="47">
        <v>2</v>
      </c>
      <c r="B82" s="47">
        <v>3</v>
      </c>
      <c r="C82" s="47">
        <v>14</v>
      </c>
      <c r="D82" s="25" t="s">
        <v>107</v>
      </c>
      <c r="E82" s="25" t="s">
        <v>108</v>
      </c>
      <c r="F82" s="25" t="s">
        <v>25</v>
      </c>
      <c r="G82" s="49">
        <v>50847</v>
      </c>
      <c r="H82" s="51">
        <v>371</v>
      </c>
      <c r="I82" s="33">
        <v>0.60699999999999998</v>
      </c>
      <c r="J82" s="33">
        <v>0.45500000000000002</v>
      </c>
      <c r="K82" s="33">
        <v>0.56999999999999995</v>
      </c>
      <c r="L82" s="33">
        <v>0.311</v>
      </c>
      <c r="M82" s="33">
        <v>0.55600000000000005</v>
      </c>
      <c r="N82" s="33">
        <v>0.251</v>
      </c>
      <c r="O82" s="33">
        <v>0.45</v>
      </c>
      <c r="P82" s="33">
        <v>0.53700000000000003</v>
      </c>
      <c r="Q82" s="33">
        <v>0.54200000000000004</v>
      </c>
      <c r="R82" s="33">
        <v>0.68899999999999995</v>
      </c>
      <c r="S82" s="62">
        <f t="shared" si="0"/>
        <v>0.49680000000000002</v>
      </c>
      <c r="T82" s="60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</row>
    <row r="83" spans="1:30" ht="15.75" customHeight="1">
      <c r="A83" s="47">
        <v>2</v>
      </c>
      <c r="B83" s="47">
        <v>3</v>
      </c>
      <c r="C83" s="47">
        <v>14</v>
      </c>
      <c r="D83" s="25" t="s">
        <v>107</v>
      </c>
      <c r="E83" s="25" t="s">
        <v>108</v>
      </c>
      <c r="F83" s="25" t="s">
        <v>109</v>
      </c>
      <c r="G83" s="49">
        <v>50743</v>
      </c>
      <c r="H83" s="51">
        <v>88</v>
      </c>
      <c r="I83" s="33">
        <v>0.53900000000000003</v>
      </c>
      <c r="J83" s="36"/>
      <c r="K83" s="36"/>
      <c r="L83" s="36"/>
      <c r="M83" s="36"/>
      <c r="N83" s="36"/>
      <c r="O83" s="36"/>
      <c r="P83" s="36"/>
      <c r="Q83" s="36"/>
      <c r="R83" s="36"/>
      <c r="S83" s="62">
        <f t="shared" si="0"/>
        <v>0.53900000000000003</v>
      </c>
      <c r="T83" s="60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</row>
    <row r="84" spans="1:30" ht="15.75" customHeight="1">
      <c r="A84" s="47">
        <v>2</v>
      </c>
      <c r="B84" s="47">
        <v>3</v>
      </c>
      <c r="C84" s="47">
        <v>17</v>
      </c>
      <c r="D84" s="25" t="s">
        <v>60</v>
      </c>
      <c r="E84" s="25" t="s">
        <v>71</v>
      </c>
      <c r="F84" s="25" t="s">
        <v>25</v>
      </c>
      <c r="G84" s="49">
        <v>50747</v>
      </c>
      <c r="H84" s="51">
        <v>1</v>
      </c>
      <c r="I84" s="33">
        <v>1.5920000000000001</v>
      </c>
      <c r="J84" s="36"/>
      <c r="K84" s="36"/>
      <c r="L84" s="36"/>
      <c r="M84" s="36"/>
      <c r="N84" s="36"/>
      <c r="O84" s="36"/>
      <c r="P84" s="36"/>
      <c r="Q84" s="36"/>
      <c r="R84" s="36"/>
      <c r="S84" s="62">
        <f t="shared" si="0"/>
        <v>1.5920000000000001</v>
      </c>
      <c r="T84" s="60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</row>
    <row r="85" spans="1:30" ht="15.75" customHeight="1">
      <c r="A85" s="111">
        <v>2</v>
      </c>
      <c r="B85" s="111">
        <v>3</v>
      </c>
      <c r="C85" s="111">
        <v>17</v>
      </c>
      <c r="D85" s="101" t="s">
        <v>60</v>
      </c>
      <c r="E85" s="101" t="s">
        <v>61</v>
      </c>
      <c r="F85" s="101" t="s">
        <v>25</v>
      </c>
      <c r="G85" s="121">
        <v>50733</v>
      </c>
      <c r="H85" s="122">
        <v>114</v>
      </c>
      <c r="I85" s="101">
        <v>1.1060000000000001</v>
      </c>
      <c r="J85" s="112"/>
      <c r="K85" s="112"/>
      <c r="L85" s="112"/>
      <c r="M85" s="112"/>
      <c r="N85" s="112"/>
      <c r="O85" s="112"/>
      <c r="P85" s="112"/>
      <c r="Q85" s="112"/>
      <c r="R85" s="112"/>
      <c r="S85" s="62">
        <f t="shared" si="0"/>
        <v>1.1060000000000001</v>
      </c>
      <c r="T85" s="126" t="s">
        <v>111</v>
      </c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</row>
    <row r="86" spans="1:30" ht="15.75" customHeight="1">
      <c r="A86" s="47">
        <v>2</v>
      </c>
      <c r="B86" s="47">
        <v>3</v>
      </c>
      <c r="C86" s="47">
        <v>17</v>
      </c>
      <c r="D86" s="25" t="s">
        <v>60</v>
      </c>
      <c r="E86" s="25" t="s">
        <v>61</v>
      </c>
      <c r="F86" s="25" t="s">
        <v>68</v>
      </c>
      <c r="G86" s="49">
        <v>50636</v>
      </c>
      <c r="H86" s="51">
        <v>36</v>
      </c>
      <c r="I86" s="33">
        <v>1.1459999999999999</v>
      </c>
      <c r="J86" s="33">
        <v>1.5920000000000001</v>
      </c>
      <c r="K86" s="36"/>
      <c r="L86" s="36"/>
      <c r="M86" s="36"/>
      <c r="N86" s="36"/>
      <c r="O86" s="36"/>
      <c r="P86" s="36"/>
      <c r="Q86" s="36"/>
      <c r="R86" s="36"/>
      <c r="S86" s="62">
        <f t="shared" si="0"/>
        <v>1.369</v>
      </c>
      <c r="T86" s="60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</row>
    <row r="87" spans="1:30" ht="15.75" customHeight="1">
      <c r="A87" s="63">
        <v>2</v>
      </c>
      <c r="B87" s="63">
        <v>3</v>
      </c>
      <c r="C87" s="63">
        <v>17</v>
      </c>
      <c r="D87" s="38" t="s">
        <v>60</v>
      </c>
      <c r="E87" s="38" t="s">
        <v>61</v>
      </c>
      <c r="F87" s="38" t="s">
        <v>68</v>
      </c>
      <c r="G87" s="64">
        <v>50668</v>
      </c>
      <c r="H87" s="65">
        <v>34</v>
      </c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62" t="e">
        <f t="shared" si="0"/>
        <v>#DIV/0!</v>
      </c>
      <c r="T87" s="67" t="s">
        <v>43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</row>
    <row r="88" spans="1:30" ht="15.75" customHeight="1">
      <c r="A88" s="47">
        <v>2</v>
      </c>
      <c r="B88" s="47">
        <v>3</v>
      </c>
      <c r="C88" s="47">
        <v>17</v>
      </c>
      <c r="D88" s="25" t="s">
        <v>60</v>
      </c>
      <c r="E88" s="25" t="s">
        <v>61</v>
      </c>
      <c r="F88" s="25" t="s">
        <v>68</v>
      </c>
      <c r="G88" s="49">
        <v>50626</v>
      </c>
      <c r="H88" s="51">
        <v>8</v>
      </c>
      <c r="I88" s="33">
        <v>1.34</v>
      </c>
      <c r="J88" s="36"/>
      <c r="K88" s="36"/>
      <c r="L88" s="36"/>
      <c r="M88" s="36"/>
      <c r="N88" s="36"/>
      <c r="O88" s="36"/>
      <c r="P88" s="36"/>
      <c r="Q88" s="36"/>
      <c r="R88" s="36"/>
      <c r="S88" s="62">
        <f t="shared" si="0"/>
        <v>1.34</v>
      </c>
      <c r="T88" s="60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</row>
    <row r="89" spans="1:30" ht="15.75" customHeight="1">
      <c r="A89" s="47">
        <v>2</v>
      </c>
      <c r="B89" s="47">
        <v>3</v>
      </c>
      <c r="C89" s="47">
        <v>17</v>
      </c>
      <c r="D89" s="25" t="s">
        <v>60</v>
      </c>
      <c r="E89" s="25" t="s">
        <v>61</v>
      </c>
      <c r="F89" s="25" t="s">
        <v>34</v>
      </c>
      <c r="G89" s="49">
        <v>50595</v>
      </c>
      <c r="H89" s="51">
        <v>45</v>
      </c>
      <c r="I89" s="33">
        <v>1.302</v>
      </c>
      <c r="J89" s="33">
        <v>2.0049999999999999</v>
      </c>
      <c r="K89" s="33">
        <v>2.0019999999999998</v>
      </c>
      <c r="L89" s="36"/>
      <c r="M89" s="36"/>
      <c r="N89" s="36"/>
      <c r="O89" s="36"/>
      <c r="P89" s="36"/>
      <c r="Q89" s="36"/>
      <c r="R89" s="36"/>
      <c r="S89" s="62">
        <f t="shared" si="0"/>
        <v>1.7696666666666665</v>
      </c>
      <c r="T89" s="60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</row>
    <row r="90" spans="1:30" ht="15.75" customHeight="1">
      <c r="A90" s="47">
        <v>2</v>
      </c>
      <c r="B90" s="47">
        <v>3</v>
      </c>
      <c r="C90" s="47">
        <v>17</v>
      </c>
      <c r="D90" s="25" t="s">
        <v>60</v>
      </c>
      <c r="E90" s="25" t="s">
        <v>61</v>
      </c>
      <c r="F90" s="25" t="s">
        <v>68</v>
      </c>
      <c r="G90" s="49">
        <v>50818</v>
      </c>
      <c r="H90" s="51">
        <v>67</v>
      </c>
      <c r="I90" s="33">
        <v>1.1140000000000001</v>
      </c>
      <c r="J90" s="33">
        <v>1.21</v>
      </c>
      <c r="K90" s="33">
        <v>1.1140000000000001</v>
      </c>
      <c r="L90" s="36"/>
      <c r="M90" s="36"/>
      <c r="N90" s="36"/>
      <c r="O90" s="36"/>
      <c r="P90" s="36"/>
      <c r="Q90" s="36"/>
      <c r="R90" s="36"/>
      <c r="S90" s="62">
        <f t="shared" si="0"/>
        <v>1.1459999999999999</v>
      </c>
      <c r="T90" s="60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</row>
    <row r="91" spans="1:30" ht="15.75" customHeight="1">
      <c r="A91" s="47">
        <v>2</v>
      </c>
      <c r="B91" s="47">
        <v>3</v>
      </c>
      <c r="C91" s="47">
        <v>17</v>
      </c>
      <c r="D91" s="25" t="s">
        <v>60</v>
      </c>
      <c r="E91" s="25" t="s">
        <v>61</v>
      </c>
      <c r="F91" s="25" t="s">
        <v>31</v>
      </c>
      <c r="G91" s="49">
        <v>50810</v>
      </c>
      <c r="H91" s="51">
        <v>127</v>
      </c>
      <c r="I91" s="33">
        <v>1.91</v>
      </c>
      <c r="J91" s="33">
        <v>1.974</v>
      </c>
      <c r="K91" s="33">
        <v>1.5920000000000001</v>
      </c>
      <c r="L91" s="33">
        <v>1.7190000000000001</v>
      </c>
      <c r="M91" s="33">
        <v>1.994</v>
      </c>
      <c r="N91" s="33">
        <v>2.4830000000000001</v>
      </c>
      <c r="O91" s="33">
        <v>1.8460000000000001</v>
      </c>
      <c r="P91" s="33">
        <v>2.165</v>
      </c>
      <c r="Q91" s="36"/>
      <c r="R91" s="36"/>
      <c r="S91" s="62">
        <f t="shared" si="0"/>
        <v>1.960375</v>
      </c>
      <c r="T91" s="60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</row>
    <row r="92" spans="1:30" ht="15.75" customHeight="1">
      <c r="A92" s="47">
        <v>2</v>
      </c>
      <c r="B92" s="47">
        <v>3</v>
      </c>
      <c r="C92" s="47">
        <v>17</v>
      </c>
      <c r="D92" s="25" t="s">
        <v>60</v>
      </c>
      <c r="E92" s="25" t="s">
        <v>61</v>
      </c>
      <c r="F92" s="25" t="s">
        <v>25</v>
      </c>
      <c r="G92" s="49">
        <v>50749</v>
      </c>
      <c r="H92" s="51">
        <v>29</v>
      </c>
      <c r="I92" s="33">
        <v>1.47</v>
      </c>
      <c r="J92" s="36"/>
      <c r="K92" s="36"/>
      <c r="L92" s="36"/>
      <c r="M92" s="36"/>
      <c r="N92" s="36"/>
      <c r="O92" s="36"/>
      <c r="P92" s="36"/>
      <c r="Q92" s="36"/>
      <c r="R92" s="36"/>
      <c r="S92" s="62">
        <f t="shared" si="0"/>
        <v>1.47</v>
      </c>
      <c r="T92" s="60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</row>
    <row r="93" spans="1:30" ht="15.75" customHeight="1">
      <c r="A93" s="47">
        <v>2</v>
      </c>
      <c r="B93" s="47">
        <v>3</v>
      </c>
      <c r="C93" s="47">
        <v>18</v>
      </c>
      <c r="D93" s="25" t="s">
        <v>112</v>
      </c>
      <c r="E93" s="25" t="s">
        <v>113</v>
      </c>
      <c r="F93" s="25" t="s">
        <v>25</v>
      </c>
      <c r="G93" s="49">
        <v>50758</v>
      </c>
      <c r="H93" s="51">
        <v>246</v>
      </c>
      <c r="I93" s="33">
        <v>1.1659999999999999</v>
      </c>
      <c r="J93" s="33">
        <v>0.96499999999999997</v>
      </c>
      <c r="K93" s="33">
        <v>1.524</v>
      </c>
      <c r="L93" s="33">
        <v>1.03</v>
      </c>
      <c r="M93" s="33">
        <v>1.2490000000000001</v>
      </c>
      <c r="N93" s="33">
        <v>1.218</v>
      </c>
      <c r="O93" s="33">
        <v>1.026</v>
      </c>
      <c r="P93" s="33">
        <v>1.18</v>
      </c>
      <c r="Q93" s="33">
        <v>1.399</v>
      </c>
      <c r="R93" s="33">
        <v>1.2210000000000001</v>
      </c>
      <c r="S93" s="62">
        <f t="shared" si="0"/>
        <v>1.1977999999999998</v>
      </c>
      <c r="T93" s="60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</row>
    <row r="94" spans="1:30" ht="15.75" customHeight="1">
      <c r="A94" s="47">
        <v>2</v>
      </c>
      <c r="B94" s="47">
        <v>3</v>
      </c>
      <c r="C94" s="47">
        <v>18</v>
      </c>
      <c r="D94" s="25" t="s">
        <v>114</v>
      </c>
      <c r="E94" s="25" t="s">
        <v>115</v>
      </c>
      <c r="F94" s="25" t="s">
        <v>25</v>
      </c>
      <c r="G94" s="49">
        <v>50858</v>
      </c>
      <c r="H94" s="51">
        <v>98</v>
      </c>
      <c r="I94" s="33">
        <v>0.186</v>
      </c>
      <c r="J94" s="33">
        <v>0.20599999999999999</v>
      </c>
      <c r="K94" s="33">
        <v>0.183</v>
      </c>
      <c r="L94" s="36"/>
      <c r="M94" s="36"/>
      <c r="N94" s="36"/>
      <c r="O94" s="36"/>
      <c r="P94" s="36"/>
      <c r="Q94" s="36"/>
      <c r="R94" s="36"/>
      <c r="S94" s="62">
        <f t="shared" si="0"/>
        <v>0.19166666666666665</v>
      </c>
      <c r="T94" s="60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</row>
    <row r="95" spans="1:30" ht="15.75" customHeight="1">
      <c r="A95" s="47">
        <v>2</v>
      </c>
      <c r="B95" s="47">
        <v>3</v>
      </c>
      <c r="C95" s="47">
        <v>18</v>
      </c>
      <c r="D95" s="25" t="s">
        <v>112</v>
      </c>
      <c r="E95" s="25" t="s">
        <v>113</v>
      </c>
      <c r="F95" s="25" t="s">
        <v>25</v>
      </c>
      <c r="G95" s="49">
        <v>50812</v>
      </c>
      <c r="H95" s="51">
        <v>29</v>
      </c>
      <c r="I95" s="33">
        <v>0.68700000000000006</v>
      </c>
      <c r="J95" s="36"/>
      <c r="K95" s="36"/>
      <c r="L95" s="36"/>
      <c r="M95" s="36"/>
      <c r="N95" s="36"/>
      <c r="O95" s="36"/>
      <c r="P95" s="36"/>
      <c r="Q95" s="36"/>
      <c r="R95" s="36"/>
      <c r="S95" s="62">
        <f t="shared" si="0"/>
        <v>0.68700000000000006</v>
      </c>
      <c r="T95" s="60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</row>
    <row r="96" spans="1:30" ht="15.75" customHeight="1">
      <c r="A96" s="63">
        <v>2</v>
      </c>
      <c r="B96" s="63">
        <v>3</v>
      </c>
      <c r="C96" s="63">
        <v>18</v>
      </c>
      <c r="D96" s="38" t="s">
        <v>112</v>
      </c>
      <c r="E96" s="38" t="s">
        <v>113</v>
      </c>
      <c r="F96" s="38" t="s">
        <v>116</v>
      </c>
      <c r="G96" s="64">
        <v>50065</v>
      </c>
      <c r="H96" s="65">
        <v>10</v>
      </c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62" t="e">
        <f t="shared" si="0"/>
        <v>#DIV/0!</v>
      </c>
      <c r="T96" s="67" t="s">
        <v>43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</row>
    <row r="97" spans="1:30" ht="15.75" customHeight="1">
      <c r="A97" s="47">
        <v>2</v>
      </c>
      <c r="B97" s="47">
        <v>3</v>
      </c>
      <c r="C97" s="47">
        <v>18</v>
      </c>
      <c r="D97" s="25" t="s">
        <v>114</v>
      </c>
      <c r="E97" s="25" t="s">
        <v>115</v>
      </c>
      <c r="F97" s="25" t="s">
        <v>117</v>
      </c>
      <c r="G97" s="49">
        <v>50535</v>
      </c>
      <c r="H97" s="51">
        <v>24</v>
      </c>
      <c r="I97" s="33">
        <v>0.22</v>
      </c>
      <c r="J97" s="36"/>
      <c r="K97" s="36"/>
      <c r="L97" s="36"/>
      <c r="M97" s="36"/>
      <c r="N97" s="36"/>
      <c r="O97" s="36"/>
      <c r="P97" s="36"/>
      <c r="Q97" s="36"/>
      <c r="R97" s="36"/>
      <c r="S97" s="62">
        <f t="shared" si="0"/>
        <v>0.22</v>
      </c>
      <c r="T97" s="60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</row>
    <row r="98" spans="1:30" ht="15.75" customHeight="1">
      <c r="A98" s="47">
        <v>2</v>
      </c>
      <c r="B98" s="47">
        <v>3</v>
      </c>
      <c r="C98" s="47">
        <v>19</v>
      </c>
      <c r="D98" s="25" t="s">
        <v>32</v>
      </c>
      <c r="E98" s="25" t="s">
        <v>33</v>
      </c>
      <c r="F98" s="25" t="s">
        <v>34</v>
      </c>
      <c r="G98" s="49">
        <v>50563</v>
      </c>
      <c r="H98" s="51">
        <v>338</v>
      </c>
      <c r="I98" s="33">
        <v>1.657</v>
      </c>
      <c r="J98" s="33">
        <v>0.94599999999999995</v>
      </c>
      <c r="K98" s="33">
        <v>1.163</v>
      </c>
      <c r="L98" s="33">
        <v>0.187</v>
      </c>
      <c r="M98" s="33">
        <v>1.0029999999999999</v>
      </c>
      <c r="N98" s="33">
        <v>1.214</v>
      </c>
      <c r="O98" s="33">
        <v>1.143</v>
      </c>
      <c r="P98" s="33">
        <v>0.746</v>
      </c>
      <c r="Q98" s="33">
        <v>0.61699999999999999</v>
      </c>
      <c r="R98" s="33">
        <v>0.83499999999999996</v>
      </c>
      <c r="S98" s="62">
        <f t="shared" si="0"/>
        <v>0.95109999999999995</v>
      </c>
      <c r="T98" s="60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</row>
    <row r="99" spans="1:30" ht="15.75" customHeight="1">
      <c r="A99" s="143">
        <v>2</v>
      </c>
      <c r="B99" s="143">
        <v>3</v>
      </c>
      <c r="C99" s="143">
        <v>19</v>
      </c>
      <c r="D99" s="144" t="s">
        <v>112</v>
      </c>
      <c r="E99" s="144" t="s">
        <v>113</v>
      </c>
      <c r="F99" s="144" t="s">
        <v>34</v>
      </c>
      <c r="G99" s="146">
        <v>50688</v>
      </c>
      <c r="H99" s="147">
        <v>113</v>
      </c>
      <c r="I99" s="144">
        <v>1.151</v>
      </c>
      <c r="J99" s="144">
        <v>1.343</v>
      </c>
      <c r="K99" s="144">
        <v>1.5409999999999999</v>
      </c>
      <c r="L99" s="144">
        <v>1.2330000000000001</v>
      </c>
      <c r="M99" s="144">
        <v>1.1579999999999999</v>
      </c>
      <c r="N99" s="144">
        <v>1.2170000000000001</v>
      </c>
      <c r="O99" s="144">
        <v>1.024</v>
      </c>
      <c r="P99" s="144">
        <v>1.2689999999999999</v>
      </c>
      <c r="Q99" s="148"/>
      <c r="R99" s="148"/>
      <c r="S99" s="62">
        <f t="shared" si="0"/>
        <v>1.2420000000000002</v>
      </c>
      <c r="T99" s="154" t="s">
        <v>118</v>
      </c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</row>
    <row r="100" spans="1:30" ht="15.75" customHeight="1">
      <c r="A100" s="33">
        <v>2</v>
      </c>
      <c r="B100" s="47">
        <v>3</v>
      </c>
      <c r="C100" s="47">
        <v>19</v>
      </c>
      <c r="D100" s="25" t="s">
        <v>112</v>
      </c>
      <c r="E100" s="25" t="s">
        <v>113</v>
      </c>
      <c r="F100" s="25" t="s">
        <v>68</v>
      </c>
      <c r="G100" s="49">
        <v>50146</v>
      </c>
      <c r="H100" s="51">
        <v>9</v>
      </c>
      <c r="I100" s="33">
        <v>1.325</v>
      </c>
      <c r="J100" s="36"/>
      <c r="K100" s="36"/>
      <c r="L100" s="36"/>
      <c r="M100" s="36"/>
      <c r="N100" s="36"/>
      <c r="O100" s="36"/>
      <c r="P100" s="36"/>
      <c r="Q100" s="36"/>
      <c r="R100" s="36"/>
      <c r="S100" s="62">
        <f t="shared" si="0"/>
        <v>1.325</v>
      </c>
      <c r="T100" s="60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</row>
    <row r="101" spans="1:30" ht="15.75" customHeight="1">
      <c r="A101" s="143">
        <v>2</v>
      </c>
      <c r="B101" s="143">
        <v>3</v>
      </c>
      <c r="C101" s="143">
        <v>19</v>
      </c>
      <c r="D101" s="144" t="s">
        <v>112</v>
      </c>
      <c r="E101" s="144" t="s">
        <v>113</v>
      </c>
      <c r="F101" s="144" t="s">
        <v>25</v>
      </c>
      <c r="G101" s="146">
        <v>50758</v>
      </c>
      <c r="H101" s="147">
        <v>133</v>
      </c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62" t="e">
        <f t="shared" si="0"/>
        <v>#DIV/0!</v>
      </c>
      <c r="T101" s="154" t="s">
        <v>119</v>
      </c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</row>
    <row r="102" spans="1:30" ht="15.75" customHeight="1">
      <c r="A102" s="47">
        <v>2</v>
      </c>
      <c r="B102" s="47">
        <v>3</v>
      </c>
      <c r="C102" s="47">
        <v>21</v>
      </c>
      <c r="D102" s="25" t="s">
        <v>120</v>
      </c>
      <c r="E102" s="25" t="s">
        <v>121</v>
      </c>
      <c r="F102" s="25" t="s">
        <v>25</v>
      </c>
      <c r="G102" s="49">
        <v>50745</v>
      </c>
      <c r="H102" s="51">
        <v>131</v>
      </c>
      <c r="I102" s="33">
        <v>1.655</v>
      </c>
      <c r="J102" s="33">
        <v>1.5920000000000001</v>
      </c>
      <c r="K102" s="33">
        <v>1.7190000000000001</v>
      </c>
      <c r="L102" s="33">
        <v>1.7509999999999999</v>
      </c>
      <c r="M102" s="33">
        <v>1.91</v>
      </c>
      <c r="N102" s="33">
        <v>1.8779999999999999</v>
      </c>
      <c r="O102" s="36"/>
      <c r="P102" s="36"/>
      <c r="Q102" s="36"/>
      <c r="R102" s="36"/>
      <c r="S102" s="62">
        <f t="shared" si="0"/>
        <v>1.7508333333333335</v>
      </c>
      <c r="T102" s="60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</row>
    <row r="103" spans="1:30" ht="15.75" customHeight="1">
      <c r="A103" s="47">
        <v>2</v>
      </c>
      <c r="B103" s="47">
        <v>3</v>
      </c>
      <c r="C103" s="47">
        <v>21</v>
      </c>
      <c r="D103" s="25" t="s">
        <v>120</v>
      </c>
      <c r="E103" s="25" t="s">
        <v>121</v>
      </c>
      <c r="F103" s="25" t="s">
        <v>31</v>
      </c>
      <c r="G103" s="49">
        <v>50718</v>
      </c>
      <c r="H103" s="51">
        <v>168</v>
      </c>
      <c r="I103" s="33">
        <v>0.35299999999999998</v>
      </c>
      <c r="J103" s="33">
        <v>1.2410000000000001</v>
      </c>
      <c r="K103" s="33">
        <v>1.8779999999999999</v>
      </c>
      <c r="L103" s="33">
        <v>1.6870000000000001</v>
      </c>
      <c r="M103" s="33">
        <v>1.464</v>
      </c>
      <c r="N103" s="33">
        <v>1.7509999999999999</v>
      </c>
      <c r="O103" s="33">
        <v>1.6870000000000001</v>
      </c>
      <c r="P103" s="33">
        <v>1.5920000000000001</v>
      </c>
      <c r="Q103" s="36"/>
      <c r="R103" s="36"/>
      <c r="S103" s="62">
        <f t="shared" si="0"/>
        <v>1.4566249999999998</v>
      </c>
      <c r="T103" s="60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</row>
    <row r="104" spans="1:30" ht="15.75" customHeight="1">
      <c r="A104" s="47">
        <v>2</v>
      </c>
      <c r="B104" s="47">
        <v>3</v>
      </c>
      <c r="C104" s="47">
        <v>21</v>
      </c>
      <c r="D104" s="25" t="s">
        <v>120</v>
      </c>
      <c r="E104" s="25" t="s">
        <v>121</v>
      </c>
      <c r="F104" s="25" t="s">
        <v>25</v>
      </c>
      <c r="G104" s="49">
        <v>50681</v>
      </c>
      <c r="H104" s="51">
        <v>9</v>
      </c>
      <c r="I104" s="33">
        <v>1.2729999999999999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62">
        <f t="shared" si="0"/>
        <v>1.2729999999999999</v>
      </c>
      <c r="T104" s="60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</row>
    <row r="105" spans="1:30" ht="15.75" customHeight="1">
      <c r="A105" s="47">
        <v>2</v>
      </c>
      <c r="B105" s="47">
        <v>3</v>
      </c>
      <c r="C105" s="47">
        <v>22</v>
      </c>
      <c r="D105" s="25" t="s">
        <v>122</v>
      </c>
      <c r="E105" s="25" t="s">
        <v>123</v>
      </c>
      <c r="F105" s="25" t="s">
        <v>34</v>
      </c>
      <c r="G105" s="49">
        <v>50732</v>
      </c>
      <c r="H105" s="51">
        <v>274</v>
      </c>
      <c r="I105" s="33">
        <v>1.48</v>
      </c>
      <c r="J105" s="33">
        <v>1.1359999999999999</v>
      </c>
      <c r="K105" s="33">
        <v>1.327</v>
      </c>
      <c r="L105" s="33">
        <v>1.218</v>
      </c>
      <c r="M105" s="33">
        <v>1.31</v>
      </c>
      <c r="N105" s="33">
        <v>1.5269999999999999</v>
      </c>
      <c r="O105" s="33">
        <v>1.623</v>
      </c>
      <c r="P105" s="33">
        <v>1.4570000000000001</v>
      </c>
      <c r="Q105" s="33">
        <v>1.32</v>
      </c>
      <c r="R105" s="33">
        <v>1.5329999999999999</v>
      </c>
      <c r="S105" s="62">
        <f t="shared" si="0"/>
        <v>1.3931</v>
      </c>
      <c r="T105" s="60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</row>
    <row r="106" spans="1:30" ht="15.75" customHeight="1">
      <c r="A106" s="47">
        <v>2</v>
      </c>
      <c r="B106" s="47">
        <v>3</v>
      </c>
      <c r="C106" s="47">
        <v>22</v>
      </c>
      <c r="D106" s="25" t="s">
        <v>122</v>
      </c>
      <c r="E106" s="25" t="s">
        <v>123</v>
      </c>
      <c r="F106" s="25" t="s">
        <v>34</v>
      </c>
      <c r="G106" s="49">
        <v>50545</v>
      </c>
      <c r="H106" s="51">
        <v>13</v>
      </c>
      <c r="I106" s="33">
        <v>1.3660000000000001</v>
      </c>
      <c r="J106" s="33">
        <v>0.90700000000000003</v>
      </c>
      <c r="K106" s="33">
        <v>0.93400000000000005</v>
      </c>
      <c r="L106" s="33">
        <v>0.89</v>
      </c>
      <c r="M106" s="33">
        <v>1.272</v>
      </c>
      <c r="N106" s="36"/>
      <c r="O106" s="36"/>
      <c r="P106" s="36"/>
      <c r="Q106" s="36"/>
      <c r="R106" s="36"/>
      <c r="S106" s="62">
        <f t="shared" si="0"/>
        <v>1.0738000000000001</v>
      </c>
      <c r="T106" s="60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</row>
    <row r="107" spans="1:30" ht="15.75" customHeight="1">
      <c r="A107" s="47">
        <v>2</v>
      </c>
      <c r="B107" s="47">
        <v>3</v>
      </c>
      <c r="C107" s="47">
        <v>22</v>
      </c>
      <c r="D107" s="25" t="s">
        <v>122</v>
      </c>
      <c r="E107" s="25" t="s">
        <v>123</v>
      </c>
      <c r="F107" s="25" t="s">
        <v>25</v>
      </c>
      <c r="G107" s="49">
        <v>50833</v>
      </c>
      <c r="H107" s="51">
        <v>204</v>
      </c>
      <c r="I107" s="33">
        <v>0.61899999999999999</v>
      </c>
      <c r="J107" s="33">
        <v>0.72199999999999998</v>
      </c>
      <c r="K107" s="33">
        <v>0.71599999999999997</v>
      </c>
      <c r="L107" s="33">
        <v>0.79500000000000004</v>
      </c>
      <c r="M107" s="33">
        <v>1.02</v>
      </c>
      <c r="N107" s="33">
        <v>1.044</v>
      </c>
      <c r="O107" s="33">
        <v>1.006</v>
      </c>
      <c r="P107" s="33">
        <v>1.196</v>
      </c>
      <c r="Q107" s="36"/>
      <c r="R107" s="36"/>
      <c r="S107" s="62">
        <f t="shared" si="0"/>
        <v>0.88975000000000004</v>
      </c>
      <c r="T107" s="60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</row>
    <row r="108" spans="1:30" ht="15.75" customHeight="1">
      <c r="A108" s="47">
        <v>2</v>
      </c>
      <c r="B108" s="47">
        <v>3</v>
      </c>
      <c r="C108" s="47">
        <v>22</v>
      </c>
      <c r="D108" s="25" t="s">
        <v>122</v>
      </c>
      <c r="E108" s="25" t="s">
        <v>123</v>
      </c>
      <c r="F108" s="25" t="s">
        <v>25</v>
      </c>
      <c r="G108" s="49">
        <v>50725</v>
      </c>
      <c r="H108" s="51">
        <v>62</v>
      </c>
      <c r="I108" s="33">
        <v>0.98199999999999998</v>
      </c>
      <c r="J108" s="33">
        <v>1.2629999999999999</v>
      </c>
      <c r="K108" s="33">
        <v>1.18</v>
      </c>
      <c r="L108" s="36"/>
      <c r="M108" s="36"/>
      <c r="N108" s="36"/>
      <c r="O108" s="36"/>
      <c r="P108" s="36"/>
      <c r="Q108" s="36"/>
      <c r="R108" s="36"/>
      <c r="S108" s="62">
        <f t="shared" si="0"/>
        <v>1.1416666666666666</v>
      </c>
      <c r="T108" s="60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</row>
    <row r="109" spans="1:30" ht="15.75" customHeight="1">
      <c r="A109" s="47">
        <v>2</v>
      </c>
      <c r="B109" s="47">
        <v>4</v>
      </c>
      <c r="C109" s="47">
        <v>2</v>
      </c>
      <c r="D109" s="25" t="s">
        <v>124</v>
      </c>
      <c r="E109" s="25" t="s">
        <v>125</v>
      </c>
      <c r="F109" s="25" t="s">
        <v>31</v>
      </c>
      <c r="G109" s="49">
        <v>50761</v>
      </c>
      <c r="H109" s="51">
        <v>250</v>
      </c>
      <c r="I109" s="33">
        <v>1.151</v>
      </c>
      <c r="J109" s="33">
        <v>0.99199999999999999</v>
      </c>
      <c r="K109" s="33">
        <v>1.2549999999999999</v>
      </c>
      <c r="L109" s="33">
        <v>1.147</v>
      </c>
      <c r="M109" s="33">
        <v>1.1259999999999999</v>
      </c>
      <c r="N109" s="33">
        <v>1.2230000000000001</v>
      </c>
      <c r="O109" s="33">
        <v>0.86099999999999999</v>
      </c>
      <c r="P109" s="33">
        <v>0.86199999999999999</v>
      </c>
      <c r="Q109" s="33">
        <v>0.81100000000000005</v>
      </c>
      <c r="R109" s="33">
        <v>0.61299999999999999</v>
      </c>
      <c r="S109" s="62">
        <f t="shared" si="0"/>
        <v>1.0040999999999998</v>
      </c>
      <c r="T109" s="60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</row>
    <row r="110" spans="1:30" ht="15.75" customHeight="1">
      <c r="A110" s="47">
        <v>2</v>
      </c>
      <c r="B110" s="47">
        <v>4</v>
      </c>
      <c r="C110" s="47">
        <v>2</v>
      </c>
      <c r="D110" s="25" t="s">
        <v>124</v>
      </c>
      <c r="E110" s="25" t="s">
        <v>125</v>
      </c>
      <c r="F110" s="25" t="s">
        <v>25</v>
      </c>
      <c r="G110" s="49">
        <v>50113</v>
      </c>
      <c r="H110" s="51">
        <v>172</v>
      </c>
      <c r="I110" s="33">
        <v>1.6080000000000001</v>
      </c>
      <c r="J110" s="33">
        <v>1.5069999999999999</v>
      </c>
      <c r="K110" s="33">
        <v>1.173</v>
      </c>
      <c r="L110" s="33">
        <v>1.4350000000000001</v>
      </c>
      <c r="M110" s="33">
        <v>1.0289999999999999</v>
      </c>
      <c r="N110" s="33">
        <v>1.1990000000000001</v>
      </c>
      <c r="O110" s="33">
        <v>1.0409999999999999</v>
      </c>
      <c r="P110" s="33">
        <v>1.0229999999999999</v>
      </c>
      <c r="Q110" s="36"/>
      <c r="R110" s="36"/>
      <c r="S110" s="62">
        <f t="shared" si="0"/>
        <v>1.2518750000000001</v>
      </c>
      <c r="T110" s="60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</row>
    <row r="111" spans="1:30" ht="15.75" customHeight="1">
      <c r="A111" s="63">
        <v>2</v>
      </c>
      <c r="B111" s="63">
        <v>4</v>
      </c>
      <c r="C111" s="63">
        <v>2</v>
      </c>
      <c r="D111" s="38" t="s">
        <v>124</v>
      </c>
      <c r="E111" s="38" t="s">
        <v>125</v>
      </c>
      <c r="F111" s="38" t="s">
        <v>25</v>
      </c>
      <c r="G111" s="64">
        <v>50659</v>
      </c>
      <c r="H111" s="65">
        <v>63</v>
      </c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62" t="e">
        <f t="shared" si="0"/>
        <v>#DIV/0!</v>
      </c>
      <c r="T111" s="67" t="s">
        <v>43</v>
      </c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</row>
    <row r="112" spans="1:30" ht="15.75" customHeight="1">
      <c r="A112" s="159">
        <v>2</v>
      </c>
      <c r="B112" s="159">
        <v>4</v>
      </c>
      <c r="C112" s="159">
        <v>2</v>
      </c>
      <c r="D112" s="153" t="s">
        <v>126</v>
      </c>
      <c r="E112" s="153" t="s">
        <v>127</v>
      </c>
      <c r="F112" s="153" t="s">
        <v>25</v>
      </c>
      <c r="G112" s="161">
        <v>50767</v>
      </c>
      <c r="H112" s="162">
        <v>145</v>
      </c>
      <c r="I112" s="153">
        <v>1.5029999999999999</v>
      </c>
      <c r="J112" s="160"/>
      <c r="K112" s="160"/>
      <c r="L112" s="160"/>
      <c r="M112" s="160"/>
      <c r="N112" s="160"/>
      <c r="O112" s="160"/>
      <c r="P112" s="160"/>
      <c r="Q112" s="160"/>
      <c r="R112" s="160"/>
      <c r="S112" s="62">
        <f t="shared" si="0"/>
        <v>1.5029999999999999</v>
      </c>
      <c r="T112" s="163" t="s">
        <v>128</v>
      </c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</row>
    <row r="113" spans="1:30" ht="15.75" customHeight="1">
      <c r="A113" s="47">
        <v>2</v>
      </c>
      <c r="B113" s="47">
        <v>4</v>
      </c>
      <c r="C113" s="47">
        <v>3</v>
      </c>
      <c r="D113" s="25" t="s">
        <v>60</v>
      </c>
      <c r="E113" s="25" t="s">
        <v>61</v>
      </c>
      <c r="F113" s="25" t="s">
        <v>31</v>
      </c>
      <c r="G113" s="49">
        <v>50810</v>
      </c>
      <c r="H113" s="51">
        <v>482</v>
      </c>
      <c r="I113" s="33">
        <v>1.4319999999999999</v>
      </c>
      <c r="J113" s="33">
        <v>1.486</v>
      </c>
      <c r="K113" s="33">
        <v>1.4470000000000001</v>
      </c>
      <c r="L113" s="33">
        <v>1.804</v>
      </c>
      <c r="M113" s="33">
        <v>2.19</v>
      </c>
      <c r="N113" s="33">
        <v>1.609</v>
      </c>
      <c r="O113" s="33">
        <v>1.5920000000000001</v>
      </c>
      <c r="P113" s="33">
        <v>1.9419999999999999</v>
      </c>
      <c r="Q113" s="33">
        <v>1.669</v>
      </c>
      <c r="R113" s="33">
        <v>1.464</v>
      </c>
      <c r="S113" s="62">
        <f t="shared" si="0"/>
        <v>1.6635000000000002</v>
      </c>
      <c r="T113" s="60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</row>
    <row r="114" spans="1:30" ht="15.75" customHeight="1">
      <c r="A114" s="47">
        <v>2</v>
      </c>
      <c r="B114" s="47">
        <v>4</v>
      </c>
      <c r="C114" s="47">
        <v>4</v>
      </c>
      <c r="D114" s="25" t="s">
        <v>129</v>
      </c>
      <c r="E114" s="25" t="s">
        <v>130</v>
      </c>
      <c r="F114" s="25" t="s">
        <v>31</v>
      </c>
      <c r="G114" s="49">
        <v>50827</v>
      </c>
      <c r="H114" s="51">
        <v>654</v>
      </c>
      <c r="I114" s="33">
        <v>0.79400000000000004</v>
      </c>
      <c r="J114" s="33">
        <v>0.754</v>
      </c>
      <c r="K114" s="33">
        <v>0.35499999999999998</v>
      </c>
      <c r="L114" s="33">
        <v>0.47699999999999998</v>
      </c>
      <c r="M114" s="33">
        <v>0.64300000000000002</v>
      </c>
      <c r="N114" s="33">
        <v>0.84</v>
      </c>
      <c r="O114" s="33">
        <v>0.57199999999999995</v>
      </c>
      <c r="P114" s="33">
        <v>0.71199999999999997</v>
      </c>
      <c r="Q114" s="33">
        <v>0.61199999999999999</v>
      </c>
      <c r="R114" s="33">
        <v>0.63</v>
      </c>
      <c r="S114" s="62">
        <f t="shared" si="0"/>
        <v>0.63889999999999991</v>
      </c>
      <c r="T114" s="60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</row>
    <row r="115" spans="1:30" ht="15.75" customHeight="1">
      <c r="A115" s="159">
        <v>2</v>
      </c>
      <c r="B115" s="159">
        <v>4</v>
      </c>
      <c r="C115" s="159">
        <v>4</v>
      </c>
      <c r="D115" s="153" t="s">
        <v>60</v>
      </c>
      <c r="E115" s="153" t="s">
        <v>61</v>
      </c>
      <c r="F115" s="153" t="s">
        <v>31</v>
      </c>
      <c r="G115" s="161">
        <v>50860</v>
      </c>
      <c r="H115" s="162">
        <v>214</v>
      </c>
      <c r="I115" s="153">
        <v>0.57099999999999995</v>
      </c>
      <c r="J115" s="153">
        <v>1.22</v>
      </c>
      <c r="K115" s="153">
        <v>0.55900000000000005</v>
      </c>
      <c r="L115" s="153">
        <v>0.73499999999999999</v>
      </c>
      <c r="M115" s="153">
        <v>0.86199999999999999</v>
      </c>
      <c r="N115" s="153">
        <v>0.72099999999999997</v>
      </c>
      <c r="O115" s="153">
        <v>0.41299999999999998</v>
      </c>
      <c r="P115" s="153">
        <v>0.73599999999999999</v>
      </c>
      <c r="Q115" s="153">
        <v>0.71</v>
      </c>
      <c r="R115" s="160"/>
      <c r="S115" s="62">
        <f t="shared" si="0"/>
        <v>0.72522222222222221</v>
      </c>
      <c r="T115" s="163" t="s">
        <v>131</v>
      </c>
      <c r="U115" s="271"/>
      <c r="V115" s="271"/>
      <c r="W115" s="271"/>
      <c r="X115" s="271"/>
      <c r="Y115" s="271"/>
      <c r="Z115" s="271"/>
      <c r="AA115" s="271"/>
      <c r="AB115" s="271"/>
      <c r="AC115" s="271"/>
      <c r="AD115" s="271"/>
    </row>
    <row r="116" spans="1:30" ht="15.75" customHeight="1">
      <c r="A116" s="47">
        <v>2</v>
      </c>
      <c r="B116" s="47">
        <v>4</v>
      </c>
      <c r="C116" s="47">
        <v>5</v>
      </c>
      <c r="D116" s="25" t="s">
        <v>56</v>
      </c>
      <c r="E116" s="25" t="s">
        <v>57</v>
      </c>
      <c r="F116" s="25" t="s">
        <v>31</v>
      </c>
      <c r="G116" s="49">
        <v>50712</v>
      </c>
      <c r="H116" s="51">
        <v>621</v>
      </c>
      <c r="I116" s="33">
        <v>0.66900000000000004</v>
      </c>
      <c r="J116" s="33">
        <v>2.8010000000000002</v>
      </c>
      <c r="K116" s="33">
        <v>0.53200000000000003</v>
      </c>
      <c r="L116" s="33">
        <v>0.65300000000000002</v>
      </c>
      <c r="M116" s="33">
        <v>0.6</v>
      </c>
      <c r="N116" s="33">
        <v>0.85699999999999998</v>
      </c>
      <c r="O116" s="33">
        <v>0.89</v>
      </c>
      <c r="P116" s="33">
        <v>0.7</v>
      </c>
      <c r="Q116" s="33">
        <v>1.6240000000000001</v>
      </c>
      <c r="R116" s="33">
        <v>1.07</v>
      </c>
      <c r="S116" s="62">
        <f t="shared" si="0"/>
        <v>1.0396000000000001</v>
      </c>
      <c r="T116" s="60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</row>
    <row r="117" spans="1:30" ht="15.75" customHeight="1">
      <c r="A117" s="47">
        <v>2</v>
      </c>
      <c r="B117" s="47">
        <v>4</v>
      </c>
      <c r="C117" s="47">
        <v>6</v>
      </c>
      <c r="D117" s="25" t="s">
        <v>132</v>
      </c>
      <c r="E117" s="25" t="s">
        <v>133</v>
      </c>
      <c r="F117" s="25" t="s">
        <v>109</v>
      </c>
      <c r="G117" s="49">
        <v>50716</v>
      </c>
      <c r="H117" s="51">
        <v>82</v>
      </c>
      <c r="I117" s="33">
        <v>0.27</v>
      </c>
      <c r="J117" s="33">
        <v>0.27</v>
      </c>
      <c r="K117" s="33">
        <v>0.3</v>
      </c>
      <c r="L117" s="33" t="s">
        <v>207</v>
      </c>
      <c r="M117" s="36"/>
      <c r="N117" s="36"/>
      <c r="O117" s="36"/>
      <c r="P117" s="36"/>
      <c r="Q117" s="36"/>
      <c r="R117" s="36"/>
      <c r="S117" s="62">
        <f t="shared" si="0"/>
        <v>0.28000000000000003</v>
      </c>
      <c r="T117" s="60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</row>
    <row r="118" spans="1:30" ht="15.75" customHeight="1">
      <c r="A118" s="47">
        <v>2</v>
      </c>
      <c r="B118" s="47">
        <v>4</v>
      </c>
      <c r="C118" s="47">
        <v>6</v>
      </c>
      <c r="D118" s="25" t="s">
        <v>132</v>
      </c>
      <c r="E118" s="25" t="s">
        <v>133</v>
      </c>
      <c r="F118" s="25" t="s">
        <v>109</v>
      </c>
      <c r="G118" s="49">
        <v>50789</v>
      </c>
      <c r="H118" s="51">
        <v>327</v>
      </c>
      <c r="I118" s="32">
        <v>1.9039999999999999</v>
      </c>
      <c r="J118" s="32">
        <v>1.5</v>
      </c>
      <c r="K118" s="32">
        <v>1.98</v>
      </c>
      <c r="L118" s="32">
        <v>1.2</v>
      </c>
      <c r="M118" s="32">
        <v>1.478</v>
      </c>
      <c r="N118" s="32">
        <v>1.0569999999999999</v>
      </c>
      <c r="O118" s="32">
        <v>1.083</v>
      </c>
      <c r="P118" s="32">
        <v>1.4</v>
      </c>
      <c r="Q118" s="32">
        <v>0.95</v>
      </c>
      <c r="R118" s="32">
        <v>0.28000000000000003</v>
      </c>
      <c r="S118" s="62">
        <f t="shared" si="0"/>
        <v>1.2832000000000001</v>
      </c>
      <c r="T118" s="27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</row>
    <row r="119" spans="1:30" ht="15.75" customHeight="1">
      <c r="A119" s="47">
        <v>2</v>
      </c>
      <c r="B119" s="47">
        <v>4</v>
      </c>
      <c r="C119" s="47">
        <v>6</v>
      </c>
      <c r="D119" s="25" t="s">
        <v>132</v>
      </c>
      <c r="E119" s="25" t="s">
        <v>133</v>
      </c>
      <c r="F119" s="25" t="s">
        <v>34</v>
      </c>
      <c r="G119" s="49">
        <v>50710</v>
      </c>
      <c r="H119" s="51">
        <v>15</v>
      </c>
      <c r="I119" s="32">
        <v>1.45</v>
      </c>
      <c r="J119" s="32">
        <v>1.31</v>
      </c>
      <c r="K119" s="32">
        <v>1.52</v>
      </c>
      <c r="L119" s="36"/>
      <c r="M119" s="36"/>
      <c r="N119" s="36"/>
      <c r="O119" s="36"/>
      <c r="P119" s="36"/>
      <c r="Q119" s="36"/>
      <c r="R119" s="36"/>
      <c r="S119" s="62">
        <f t="shared" si="0"/>
        <v>1.4266666666666665</v>
      </c>
      <c r="T119" s="27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</row>
    <row r="120" spans="1:30" ht="15.75" customHeight="1">
      <c r="A120" s="47">
        <v>2</v>
      </c>
      <c r="B120" s="47">
        <v>4</v>
      </c>
      <c r="C120" s="47">
        <v>7</v>
      </c>
      <c r="D120" s="25" t="s">
        <v>134</v>
      </c>
      <c r="E120" s="25" t="s">
        <v>135</v>
      </c>
      <c r="F120" s="25" t="s">
        <v>25</v>
      </c>
      <c r="G120" s="49">
        <v>50268</v>
      </c>
      <c r="H120" s="51">
        <v>411</v>
      </c>
      <c r="I120" s="32">
        <v>0.42899999999999999</v>
      </c>
      <c r="J120" s="32">
        <v>0.43</v>
      </c>
      <c r="K120" s="32">
        <v>1.59</v>
      </c>
      <c r="L120" s="32">
        <v>1.2</v>
      </c>
      <c r="M120" s="32">
        <v>0.84</v>
      </c>
      <c r="N120" s="32">
        <v>0.72</v>
      </c>
      <c r="O120" s="32">
        <v>1.3</v>
      </c>
      <c r="P120" s="32">
        <v>1.44</v>
      </c>
      <c r="Q120" s="32">
        <v>1.319</v>
      </c>
      <c r="R120" s="32">
        <v>0.67</v>
      </c>
      <c r="S120" s="62">
        <f t="shared" si="0"/>
        <v>0.99380000000000002</v>
      </c>
      <c r="T120" s="27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</row>
    <row r="121" spans="1:30" ht="15.75" customHeight="1">
      <c r="A121" s="71">
        <v>2</v>
      </c>
      <c r="B121" s="71">
        <v>4</v>
      </c>
      <c r="C121" s="71">
        <v>7</v>
      </c>
      <c r="D121" s="53" t="s">
        <v>134</v>
      </c>
      <c r="E121" s="53" t="s">
        <v>135</v>
      </c>
      <c r="F121" s="53" t="s">
        <v>68</v>
      </c>
      <c r="G121" s="73">
        <v>50169</v>
      </c>
      <c r="H121" s="74">
        <v>10</v>
      </c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62" t="e">
        <f t="shared" si="0"/>
        <v>#DIV/0!</v>
      </c>
      <c r="T121" s="79" t="s">
        <v>55</v>
      </c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</row>
    <row r="122" spans="1:30" ht="15.75" customHeight="1">
      <c r="A122" s="47">
        <v>2</v>
      </c>
      <c r="B122" s="47">
        <v>4</v>
      </c>
      <c r="C122" s="47">
        <v>9</v>
      </c>
      <c r="D122" s="25" t="s">
        <v>136</v>
      </c>
      <c r="E122" s="25" t="s">
        <v>137</v>
      </c>
      <c r="F122" s="25" t="s">
        <v>68</v>
      </c>
      <c r="G122" s="49">
        <v>50830</v>
      </c>
      <c r="H122" s="51">
        <v>329</v>
      </c>
      <c r="I122" s="32">
        <v>0.78</v>
      </c>
      <c r="J122" s="32">
        <v>1</v>
      </c>
      <c r="K122" s="32">
        <v>1.1000000000000001</v>
      </c>
      <c r="L122" s="32">
        <v>1</v>
      </c>
      <c r="M122" s="32">
        <v>0.85</v>
      </c>
      <c r="N122" s="32">
        <v>0.7</v>
      </c>
      <c r="O122" s="32">
        <v>0.9</v>
      </c>
      <c r="P122" s="32">
        <v>1.7</v>
      </c>
      <c r="Q122" s="32">
        <v>0.8</v>
      </c>
      <c r="R122" s="32">
        <v>0.83</v>
      </c>
      <c r="S122" s="62">
        <f t="shared" si="0"/>
        <v>0.96599999999999997</v>
      </c>
      <c r="T122" s="27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</row>
    <row r="123" spans="1:30" ht="15.75" customHeight="1">
      <c r="A123" s="47">
        <v>2</v>
      </c>
      <c r="B123" s="47">
        <v>4</v>
      </c>
      <c r="C123" s="47">
        <v>9</v>
      </c>
      <c r="D123" s="25" t="s">
        <v>136</v>
      </c>
      <c r="E123" s="25" t="s">
        <v>137</v>
      </c>
      <c r="F123" s="25" t="s">
        <v>25</v>
      </c>
      <c r="G123" s="49">
        <v>50757</v>
      </c>
      <c r="H123" s="51">
        <v>10</v>
      </c>
      <c r="I123" s="32">
        <v>0.66</v>
      </c>
      <c r="J123" s="36"/>
      <c r="K123" s="36"/>
      <c r="L123" s="36"/>
      <c r="M123" s="36"/>
      <c r="N123" s="36"/>
      <c r="O123" s="36"/>
      <c r="P123" s="36"/>
      <c r="Q123" s="36"/>
      <c r="R123" s="36"/>
      <c r="S123" s="62">
        <f t="shared" si="0"/>
        <v>0.66</v>
      </c>
      <c r="T123" s="27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</row>
    <row r="124" spans="1:30" ht="15.75" customHeight="1">
      <c r="A124" s="47">
        <v>2</v>
      </c>
      <c r="B124" s="47">
        <v>4</v>
      </c>
      <c r="C124" s="47">
        <v>10</v>
      </c>
      <c r="D124" s="25" t="s">
        <v>138</v>
      </c>
      <c r="E124" s="25" t="s">
        <v>139</v>
      </c>
      <c r="F124" s="25" t="s">
        <v>68</v>
      </c>
      <c r="G124" s="49">
        <v>50828</v>
      </c>
      <c r="H124" s="51">
        <v>954</v>
      </c>
      <c r="I124" s="32">
        <v>0.97</v>
      </c>
      <c r="J124" s="32">
        <v>0.78300000000000003</v>
      </c>
      <c r="K124" s="32">
        <v>0.66</v>
      </c>
      <c r="L124" s="32">
        <v>0.78300000000000003</v>
      </c>
      <c r="M124" s="32">
        <v>0.72</v>
      </c>
      <c r="N124" s="32">
        <v>0.7</v>
      </c>
      <c r="O124" s="32">
        <v>0.8</v>
      </c>
      <c r="P124" s="32">
        <v>0.6</v>
      </c>
      <c r="Q124" s="32">
        <v>0.57999999999999996</v>
      </c>
      <c r="R124" s="32">
        <v>0.46</v>
      </c>
      <c r="S124" s="62">
        <f t="shared" si="0"/>
        <v>0.7056</v>
      </c>
      <c r="T124" s="27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</row>
    <row r="125" spans="1:30" ht="15.75" customHeight="1">
      <c r="A125" s="47">
        <v>2</v>
      </c>
      <c r="B125" s="47">
        <v>4</v>
      </c>
      <c r="C125" s="47">
        <v>10</v>
      </c>
      <c r="D125" s="25" t="s">
        <v>140</v>
      </c>
      <c r="E125" s="25" t="s">
        <v>141</v>
      </c>
      <c r="F125" s="25" t="s">
        <v>25</v>
      </c>
      <c r="G125" s="49">
        <v>50763</v>
      </c>
      <c r="H125" s="51">
        <v>19</v>
      </c>
      <c r="I125" s="32">
        <v>1.7</v>
      </c>
      <c r="J125" s="36"/>
      <c r="K125" s="36"/>
      <c r="L125" s="36"/>
      <c r="M125" s="36"/>
      <c r="N125" s="36"/>
      <c r="O125" s="36"/>
      <c r="P125" s="36"/>
      <c r="Q125" s="36"/>
      <c r="R125" s="36"/>
      <c r="S125" s="62">
        <f t="shared" si="0"/>
        <v>1.7</v>
      </c>
      <c r="T125" s="27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</row>
    <row r="126" spans="1:30" ht="15.75" customHeight="1">
      <c r="A126" s="47">
        <v>2</v>
      </c>
      <c r="B126" s="47">
        <v>4</v>
      </c>
      <c r="C126" s="47">
        <v>10</v>
      </c>
      <c r="D126" s="25" t="s">
        <v>138</v>
      </c>
      <c r="E126" s="25" t="s">
        <v>139</v>
      </c>
      <c r="F126" s="25" t="s">
        <v>68</v>
      </c>
      <c r="G126" s="49">
        <v>50295</v>
      </c>
      <c r="H126" s="51">
        <v>11</v>
      </c>
      <c r="I126" s="32">
        <v>1.01</v>
      </c>
      <c r="J126" s="32">
        <v>0.76</v>
      </c>
      <c r="K126" s="36"/>
      <c r="L126" s="36"/>
      <c r="M126" s="36"/>
      <c r="N126" s="36"/>
      <c r="O126" s="36"/>
      <c r="P126" s="36"/>
      <c r="Q126" s="36"/>
      <c r="R126" s="36"/>
      <c r="S126" s="62">
        <f t="shared" si="0"/>
        <v>0.88500000000000001</v>
      </c>
      <c r="T126" s="27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</row>
    <row r="127" spans="1:30" ht="15.75" customHeight="1">
      <c r="A127" s="47">
        <v>2</v>
      </c>
      <c r="B127" s="47">
        <v>4</v>
      </c>
      <c r="C127" s="47">
        <v>10</v>
      </c>
      <c r="D127" s="25" t="s">
        <v>140</v>
      </c>
      <c r="E127" s="25" t="s">
        <v>141</v>
      </c>
      <c r="F127" s="25" t="s">
        <v>68</v>
      </c>
      <c r="G127" s="49">
        <v>50638</v>
      </c>
      <c r="H127" s="51">
        <v>52</v>
      </c>
      <c r="I127" s="32">
        <v>0.56000000000000005</v>
      </c>
      <c r="J127" s="32">
        <v>1.4</v>
      </c>
      <c r="K127" s="32">
        <v>0.55000000000000004</v>
      </c>
      <c r="L127" s="36"/>
      <c r="M127" s="36"/>
      <c r="N127" s="36"/>
      <c r="O127" s="36"/>
      <c r="P127" s="36"/>
      <c r="Q127" s="36"/>
      <c r="R127" s="36"/>
      <c r="S127" s="62">
        <f t="shared" si="0"/>
        <v>0.83666666666666656</v>
      </c>
      <c r="T127" s="27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</row>
    <row r="128" spans="1:30" ht="15.75" customHeight="1">
      <c r="A128" s="47">
        <v>2</v>
      </c>
      <c r="B128" s="47">
        <v>4</v>
      </c>
      <c r="C128" s="47">
        <v>10</v>
      </c>
      <c r="D128" s="25" t="s">
        <v>138</v>
      </c>
      <c r="E128" s="25" t="s">
        <v>139</v>
      </c>
      <c r="F128" s="25" t="s">
        <v>25</v>
      </c>
      <c r="G128" s="49">
        <v>50750</v>
      </c>
      <c r="H128" s="51">
        <v>82</v>
      </c>
      <c r="I128" s="32">
        <v>1.2490000000000001</v>
      </c>
      <c r="J128" s="36"/>
      <c r="K128" s="36"/>
      <c r="L128" s="36"/>
      <c r="M128" s="36"/>
      <c r="N128" s="36"/>
      <c r="O128" s="36"/>
      <c r="P128" s="36"/>
      <c r="Q128" s="36"/>
      <c r="R128" s="36"/>
      <c r="S128" s="62">
        <f t="shared" si="0"/>
        <v>1.2490000000000001</v>
      </c>
      <c r="T128" s="27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</row>
    <row r="129" spans="1:30" ht="15.75" customHeight="1">
      <c r="A129" s="63">
        <v>2</v>
      </c>
      <c r="B129" s="63">
        <v>4</v>
      </c>
      <c r="C129" s="63">
        <v>11</v>
      </c>
      <c r="D129" s="38" t="s">
        <v>142</v>
      </c>
      <c r="E129" s="38" t="s">
        <v>143</v>
      </c>
      <c r="F129" s="38" t="s">
        <v>144</v>
      </c>
      <c r="G129" s="64">
        <v>50769</v>
      </c>
      <c r="H129" s="65">
        <v>2</v>
      </c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62" t="e">
        <f t="shared" si="0"/>
        <v>#DIV/0!</v>
      </c>
      <c r="T129" s="67" t="s">
        <v>43</v>
      </c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</row>
    <row r="130" spans="1:30" ht="15.75" customHeight="1">
      <c r="A130" s="47">
        <v>2</v>
      </c>
      <c r="B130" s="47">
        <v>4</v>
      </c>
      <c r="C130" s="47">
        <v>13</v>
      </c>
      <c r="D130" s="25" t="s">
        <v>32</v>
      </c>
      <c r="E130" s="25" t="s">
        <v>33</v>
      </c>
      <c r="F130" s="25" t="s">
        <v>68</v>
      </c>
      <c r="G130" s="49">
        <v>50819</v>
      </c>
      <c r="H130" s="51">
        <v>1285</v>
      </c>
      <c r="I130" s="32">
        <v>1.54</v>
      </c>
      <c r="J130" s="32">
        <v>1.1000000000000001</v>
      </c>
      <c r="K130" s="32">
        <v>1.54</v>
      </c>
      <c r="L130" s="32">
        <v>0.84</v>
      </c>
      <c r="M130" s="32">
        <v>1.17</v>
      </c>
      <c r="N130" s="32">
        <v>1.47</v>
      </c>
      <c r="O130" s="32">
        <v>1.5</v>
      </c>
      <c r="P130" s="32">
        <v>1</v>
      </c>
      <c r="Q130" s="32">
        <v>1.55</v>
      </c>
      <c r="R130" s="32">
        <v>0.97</v>
      </c>
      <c r="S130" s="62">
        <f t="shared" si="0"/>
        <v>1.2680000000000002</v>
      </c>
      <c r="T130" s="27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</row>
    <row r="131" spans="1:30" ht="15.75" customHeight="1">
      <c r="A131" s="47">
        <v>2</v>
      </c>
      <c r="B131" s="47">
        <v>4</v>
      </c>
      <c r="C131" s="47">
        <v>14</v>
      </c>
      <c r="D131" s="25" t="s">
        <v>145</v>
      </c>
      <c r="E131" s="25" t="s">
        <v>146</v>
      </c>
      <c r="F131" s="25" t="s">
        <v>31</v>
      </c>
      <c r="G131" s="49">
        <v>50809</v>
      </c>
      <c r="H131" s="51">
        <v>664</v>
      </c>
      <c r="I131" s="32">
        <v>1.64</v>
      </c>
      <c r="J131" s="32">
        <v>1.43</v>
      </c>
      <c r="K131" s="32">
        <v>1.66</v>
      </c>
      <c r="L131" s="32">
        <v>2.1</v>
      </c>
      <c r="M131" s="32">
        <v>1.36</v>
      </c>
      <c r="N131" s="32">
        <v>1.93</v>
      </c>
      <c r="O131" s="32">
        <v>1.37</v>
      </c>
      <c r="P131" s="32">
        <v>1.37</v>
      </c>
      <c r="Q131" s="32">
        <v>1.34</v>
      </c>
      <c r="R131" s="32">
        <v>0.88</v>
      </c>
      <c r="S131" s="62">
        <f t="shared" si="0"/>
        <v>1.508</v>
      </c>
      <c r="T131" s="27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</row>
    <row r="132" spans="1:30" ht="15.75" customHeight="1">
      <c r="A132" s="63">
        <v>2</v>
      </c>
      <c r="B132" s="63">
        <v>4</v>
      </c>
      <c r="C132" s="63">
        <v>15</v>
      </c>
      <c r="D132" s="38" t="s">
        <v>147</v>
      </c>
      <c r="E132" s="38" t="s">
        <v>148</v>
      </c>
      <c r="F132" s="38" t="s">
        <v>25</v>
      </c>
      <c r="G132" s="64">
        <v>50376</v>
      </c>
      <c r="H132" s="65">
        <v>6</v>
      </c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62" t="e">
        <f t="shared" si="0"/>
        <v>#DIV/0!</v>
      </c>
      <c r="T132" s="67" t="s">
        <v>43</v>
      </c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</row>
    <row r="133" spans="1:30" ht="15.75" customHeight="1">
      <c r="A133" s="47">
        <v>2</v>
      </c>
      <c r="B133" s="47">
        <v>4</v>
      </c>
      <c r="C133" s="47">
        <v>15</v>
      </c>
      <c r="D133" s="25" t="s">
        <v>149</v>
      </c>
      <c r="E133" s="25" t="s">
        <v>150</v>
      </c>
      <c r="F133" s="25" t="s">
        <v>31</v>
      </c>
      <c r="G133" s="49">
        <v>50815</v>
      </c>
      <c r="H133" s="51">
        <v>81</v>
      </c>
      <c r="I133" s="32">
        <v>1.52</v>
      </c>
      <c r="J133" s="32">
        <v>2.13</v>
      </c>
      <c r="K133" s="32">
        <v>1.4</v>
      </c>
      <c r="L133" s="36"/>
      <c r="M133" s="36"/>
      <c r="N133" s="36"/>
      <c r="O133" s="36"/>
      <c r="P133" s="36"/>
      <c r="Q133" s="36"/>
      <c r="R133" s="36"/>
      <c r="S133" s="62">
        <f t="shared" si="0"/>
        <v>1.6833333333333333</v>
      </c>
      <c r="T133" s="27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</row>
    <row r="134" spans="1:30" ht="15.75" customHeight="1">
      <c r="A134" s="47">
        <v>2</v>
      </c>
      <c r="B134" s="47">
        <v>4</v>
      </c>
      <c r="C134" s="47">
        <v>15</v>
      </c>
      <c r="D134" s="25" t="s">
        <v>145</v>
      </c>
      <c r="E134" s="25" t="s">
        <v>146</v>
      </c>
      <c r="F134" s="25" t="s">
        <v>31</v>
      </c>
      <c r="G134" s="49">
        <v>50711</v>
      </c>
      <c r="H134" s="51">
        <v>100</v>
      </c>
      <c r="I134" s="32">
        <v>1.51</v>
      </c>
      <c r="J134" s="32">
        <v>1.25</v>
      </c>
      <c r="K134" s="32">
        <v>1.44</v>
      </c>
      <c r="L134" s="36"/>
      <c r="M134" s="36"/>
      <c r="N134" s="36"/>
      <c r="O134" s="36"/>
      <c r="P134" s="36"/>
      <c r="Q134" s="36"/>
      <c r="R134" s="36"/>
      <c r="S134" s="62">
        <f t="shared" si="0"/>
        <v>1.3999999999999997</v>
      </c>
      <c r="T134" s="27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</row>
    <row r="135" spans="1:30" ht="15.75" customHeight="1">
      <c r="A135" s="47">
        <v>2</v>
      </c>
      <c r="B135" s="47">
        <v>4</v>
      </c>
      <c r="C135" s="47">
        <v>15</v>
      </c>
      <c r="D135" s="25" t="s">
        <v>145</v>
      </c>
      <c r="E135" s="25" t="s">
        <v>146</v>
      </c>
      <c r="F135" s="25" t="s">
        <v>68</v>
      </c>
      <c r="G135" s="49">
        <v>50701</v>
      </c>
      <c r="H135" s="51">
        <v>70</v>
      </c>
      <c r="I135" s="32">
        <v>0.43</v>
      </c>
      <c r="J135" s="32">
        <v>0.36699999999999999</v>
      </c>
      <c r="K135" s="32">
        <v>0.41</v>
      </c>
      <c r="L135" s="36"/>
      <c r="M135" s="36"/>
      <c r="N135" s="36"/>
      <c r="O135" s="36"/>
      <c r="P135" s="36"/>
      <c r="Q135" s="36"/>
      <c r="R135" s="36"/>
      <c r="S135" s="62">
        <f t="shared" si="0"/>
        <v>0.40233333333333327</v>
      </c>
      <c r="T135" s="27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</row>
    <row r="136" spans="1:30" ht="15.75" customHeight="1">
      <c r="A136" s="47">
        <v>2</v>
      </c>
      <c r="B136" s="47">
        <v>4</v>
      </c>
      <c r="C136" s="47">
        <v>15</v>
      </c>
      <c r="D136" s="25" t="s">
        <v>151</v>
      </c>
      <c r="E136" s="25" t="s">
        <v>152</v>
      </c>
      <c r="F136" s="25" t="s">
        <v>144</v>
      </c>
      <c r="G136" s="49">
        <v>50776</v>
      </c>
      <c r="H136" s="51">
        <v>28</v>
      </c>
      <c r="I136" s="32">
        <v>0.83</v>
      </c>
      <c r="J136" s="36"/>
      <c r="K136" s="36"/>
      <c r="L136" s="36"/>
      <c r="M136" s="36"/>
      <c r="N136" s="36"/>
      <c r="O136" s="36"/>
      <c r="P136" s="36"/>
      <c r="Q136" s="36"/>
      <c r="R136" s="36"/>
      <c r="S136" s="62">
        <f t="shared" si="0"/>
        <v>0.83</v>
      </c>
      <c r="T136" s="27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</row>
    <row r="137" spans="1:30" ht="15.75" customHeight="1">
      <c r="A137" s="63">
        <v>2</v>
      </c>
      <c r="B137" s="63">
        <v>4</v>
      </c>
      <c r="C137" s="63">
        <v>15</v>
      </c>
      <c r="D137" s="38" t="s">
        <v>151</v>
      </c>
      <c r="E137" s="38" t="s">
        <v>152</v>
      </c>
      <c r="F137" s="38" t="s">
        <v>31</v>
      </c>
      <c r="G137" s="64">
        <v>50811</v>
      </c>
      <c r="H137" s="65">
        <v>4</v>
      </c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62" t="e">
        <f t="shared" si="0"/>
        <v>#DIV/0!</v>
      </c>
      <c r="T137" s="67" t="s">
        <v>43</v>
      </c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</row>
    <row r="138" spans="1:30" ht="15.75" customHeight="1">
      <c r="A138" s="47">
        <v>2</v>
      </c>
      <c r="B138" s="47">
        <v>4</v>
      </c>
      <c r="C138" s="47">
        <v>15</v>
      </c>
      <c r="D138" s="25" t="s">
        <v>153</v>
      </c>
      <c r="E138" s="25" t="s">
        <v>154</v>
      </c>
      <c r="F138" s="25" t="s">
        <v>155</v>
      </c>
      <c r="G138" s="49">
        <v>50851</v>
      </c>
      <c r="H138" s="51">
        <v>15</v>
      </c>
      <c r="I138" s="32">
        <v>0.68</v>
      </c>
      <c r="J138" s="36"/>
      <c r="K138" s="36"/>
      <c r="L138" s="36"/>
      <c r="M138" s="36"/>
      <c r="N138" s="36"/>
      <c r="O138" s="36"/>
      <c r="P138" s="36"/>
      <c r="Q138" s="36"/>
      <c r="R138" s="36"/>
      <c r="S138" s="62">
        <f t="shared" si="0"/>
        <v>0.68</v>
      </c>
      <c r="T138" s="27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</row>
    <row r="139" spans="1:30" ht="15.75" customHeight="1">
      <c r="A139" s="47">
        <v>2</v>
      </c>
      <c r="B139" s="47">
        <v>4</v>
      </c>
      <c r="C139" s="47">
        <v>15</v>
      </c>
      <c r="D139" s="25" t="s">
        <v>156</v>
      </c>
      <c r="E139" s="25" t="s">
        <v>157</v>
      </c>
      <c r="F139" s="25" t="s">
        <v>31</v>
      </c>
      <c r="G139" s="49">
        <v>50805</v>
      </c>
      <c r="H139" s="51">
        <v>15</v>
      </c>
      <c r="I139" s="32">
        <v>0.44</v>
      </c>
      <c r="J139" s="36"/>
      <c r="K139" s="36"/>
      <c r="L139" s="36"/>
      <c r="M139" s="36"/>
      <c r="N139" s="36"/>
      <c r="O139" s="36"/>
      <c r="P139" s="36"/>
      <c r="Q139" s="36"/>
      <c r="R139" s="36"/>
      <c r="S139" s="62">
        <f t="shared" si="0"/>
        <v>0.44</v>
      </c>
      <c r="T139" s="27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</row>
    <row r="140" spans="1:30" ht="15.75" customHeight="1">
      <c r="A140" s="47">
        <v>2</v>
      </c>
      <c r="B140" s="47">
        <v>4</v>
      </c>
      <c r="C140" s="47">
        <v>15</v>
      </c>
      <c r="D140" s="25" t="s">
        <v>158</v>
      </c>
      <c r="E140" s="25" t="s">
        <v>159</v>
      </c>
      <c r="F140" s="25" t="s">
        <v>31</v>
      </c>
      <c r="G140" s="49">
        <v>50849</v>
      </c>
      <c r="H140" s="51">
        <v>27</v>
      </c>
      <c r="I140" s="32">
        <v>0.67</v>
      </c>
      <c r="J140" s="36"/>
      <c r="K140" s="36"/>
      <c r="L140" s="36"/>
      <c r="M140" s="36"/>
      <c r="N140" s="36"/>
      <c r="O140" s="36"/>
      <c r="P140" s="36"/>
      <c r="Q140" s="36"/>
      <c r="R140" s="36"/>
      <c r="S140" s="62">
        <f t="shared" si="0"/>
        <v>0.67</v>
      </c>
      <c r="T140" s="27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</row>
    <row r="141" spans="1:30" ht="15.75" customHeight="1">
      <c r="A141" s="47">
        <v>2</v>
      </c>
      <c r="B141" s="47">
        <v>4</v>
      </c>
      <c r="C141" s="47">
        <v>15</v>
      </c>
      <c r="D141" s="25" t="s">
        <v>160</v>
      </c>
      <c r="E141" s="25" t="s">
        <v>161</v>
      </c>
      <c r="F141" s="25" t="s">
        <v>34</v>
      </c>
      <c r="G141" s="49">
        <v>50707</v>
      </c>
      <c r="H141" s="51">
        <v>30</v>
      </c>
      <c r="I141" s="32">
        <v>0.85</v>
      </c>
      <c r="J141" s="36"/>
      <c r="K141" s="36"/>
      <c r="L141" s="36"/>
      <c r="M141" s="36"/>
      <c r="N141" s="36"/>
      <c r="O141" s="36"/>
      <c r="P141" s="36"/>
      <c r="Q141" s="36"/>
      <c r="R141" s="36"/>
      <c r="S141" s="62">
        <f t="shared" si="0"/>
        <v>0.85</v>
      </c>
      <c r="T141" s="27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</row>
    <row r="142" spans="1:30" ht="15.75" customHeight="1">
      <c r="A142" s="47">
        <v>2</v>
      </c>
      <c r="B142" s="47">
        <v>4</v>
      </c>
      <c r="C142" s="47">
        <v>15</v>
      </c>
      <c r="D142" s="25" t="s">
        <v>162</v>
      </c>
      <c r="E142" s="25" t="s">
        <v>163</v>
      </c>
      <c r="F142" s="25" t="s">
        <v>34</v>
      </c>
      <c r="G142" s="49">
        <v>50840</v>
      </c>
      <c r="H142" s="51">
        <v>1</v>
      </c>
      <c r="I142" s="32">
        <v>0.44</v>
      </c>
      <c r="J142" s="36"/>
      <c r="K142" s="36"/>
      <c r="L142" s="36"/>
      <c r="M142" s="36"/>
      <c r="N142" s="36"/>
      <c r="O142" s="36"/>
      <c r="P142" s="36"/>
      <c r="Q142" s="36"/>
      <c r="R142" s="36"/>
      <c r="S142" s="62">
        <f t="shared" si="0"/>
        <v>0.44</v>
      </c>
      <c r="T142" s="27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</row>
    <row r="143" spans="1:30" ht="15.75" customHeight="1">
      <c r="A143" s="71">
        <v>2</v>
      </c>
      <c r="B143" s="71">
        <v>4</v>
      </c>
      <c r="C143" s="71">
        <v>15</v>
      </c>
      <c r="D143" s="53" t="s">
        <v>164</v>
      </c>
      <c r="E143" s="53" t="s">
        <v>165</v>
      </c>
      <c r="F143" s="53" t="s">
        <v>166</v>
      </c>
      <c r="G143" s="73">
        <v>50775</v>
      </c>
      <c r="H143" s="74">
        <v>1</v>
      </c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62" t="e">
        <f t="shared" si="0"/>
        <v>#DIV/0!</v>
      </c>
      <c r="T143" s="79" t="s">
        <v>55</v>
      </c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</row>
    <row r="144" spans="1:30" ht="15.75" customHeight="1">
      <c r="A144" s="63">
        <v>2</v>
      </c>
      <c r="B144" s="63">
        <v>4</v>
      </c>
      <c r="C144" s="63">
        <v>15</v>
      </c>
      <c r="D144" s="38" t="s">
        <v>149</v>
      </c>
      <c r="E144" s="38" t="s">
        <v>150</v>
      </c>
      <c r="F144" s="38" t="s">
        <v>68</v>
      </c>
      <c r="G144" s="64">
        <v>50669</v>
      </c>
      <c r="H144" s="65">
        <v>4</v>
      </c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62" t="e">
        <f t="shared" si="0"/>
        <v>#DIV/0!</v>
      </c>
      <c r="T144" s="67" t="s">
        <v>43</v>
      </c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</row>
    <row r="145" spans="1:30" ht="15.75" customHeight="1">
      <c r="A145" s="63">
        <v>2</v>
      </c>
      <c r="B145" s="63">
        <v>4</v>
      </c>
      <c r="C145" s="63">
        <v>15</v>
      </c>
      <c r="D145" s="38" t="s">
        <v>149</v>
      </c>
      <c r="E145" s="38" t="s">
        <v>150</v>
      </c>
      <c r="F145" s="38" t="s">
        <v>34</v>
      </c>
      <c r="G145" s="64">
        <v>50433</v>
      </c>
      <c r="H145" s="65">
        <v>3</v>
      </c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62" t="e">
        <f t="shared" si="0"/>
        <v>#DIV/0!</v>
      </c>
      <c r="T145" s="67" t="s">
        <v>43</v>
      </c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</row>
    <row r="146" spans="1:30" ht="15.75" customHeight="1">
      <c r="A146" s="47">
        <v>2</v>
      </c>
      <c r="B146" s="47">
        <v>4</v>
      </c>
      <c r="C146" s="47">
        <v>16</v>
      </c>
      <c r="D146" s="25" t="s">
        <v>167</v>
      </c>
      <c r="E146" s="25" t="s">
        <v>168</v>
      </c>
      <c r="F146" s="25" t="s">
        <v>31</v>
      </c>
      <c r="G146" s="49">
        <v>50865</v>
      </c>
      <c r="H146" s="51">
        <v>628</v>
      </c>
      <c r="I146" s="32">
        <v>0.9</v>
      </c>
      <c r="J146" s="32">
        <v>1.2</v>
      </c>
      <c r="K146" s="32">
        <v>0.93</v>
      </c>
      <c r="L146" s="32">
        <v>0.76</v>
      </c>
      <c r="M146" s="32">
        <v>1</v>
      </c>
      <c r="N146" s="32">
        <v>0.97</v>
      </c>
      <c r="O146" s="32">
        <v>0.48</v>
      </c>
      <c r="P146" s="32">
        <v>0.95</v>
      </c>
      <c r="Q146" s="32">
        <v>1.4</v>
      </c>
      <c r="R146" s="32">
        <v>0.61</v>
      </c>
      <c r="S146" s="62">
        <f t="shared" si="0"/>
        <v>0.91999999999999993</v>
      </c>
      <c r="T146" s="27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</row>
    <row r="147" spans="1:30" ht="15.75" customHeight="1">
      <c r="A147" s="47">
        <v>2</v>
      </c>
      <c r="B147" s="47">
        <v>4</v>
      </c>
      <c r="C147" s="47">
        <v>16</v>
      </c>
      <c r="D147" s="25" t="s">
        <v>145</v>
      </c>
      <c r="E147" s="25" t="s">
        <v>146</v>
      </c>
      <c r="F147" s="25" t="s">
        <v>31</v>
      </c>
      <c r="G147" s="49">
        <v>50866</v>
      </c>
      <c r="H147" s="51">
        <v>86</v>
      </c>
      <c r="I147" s="32">
        <v>1.6</v>
      </c>
      <c r="J147" s="32">
        <v>0.96</v>
      </c>
      <c r="K147" s="32">
        <v>0.65600000000000003</v>
      </c>
      <c r="L147" s="32">
        <v>0.77</v>
      </c>
      <c r="M147" s="36"/>
      <c r="N147" s="36"/>
      <c r="O147" s="36"/>
      <c r="P147" s="36"/>
      <c r="Q147" s="36"/>
      <c r="R147" s="36"/>
      <c r="S147" s="62">
        <f t="shared" si="0"/>
        <v>0.99650000000000005</v>
      </c>
      <c r="T147" s="27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</row>
    <row r="148" spans="1:30" ht="15.75" customHeight="1">
      <c r="A148" s="33">
        <v>2</v>
      </c>
      <c r="B148" s="47">
        <v>4</v>
      </c>
      <c r="C148" s="47">
        <v>17</v>
      </c>
      <c r="D148" s="25" t="s">
        <v>169</v>
      </c>
      <c r="E148" s="25" t="s">
        <v>170</v>
      </c>
      <c r="F148" s="25" t="s">
        <v>34</v>
      </c>
      <c r="G148" s="49">
        <v>50596</v>
      </c>
      <c r="H148" s="51">
        <v>110</v>
      </c>
      <c r="I148" s="32">
        <v>1.3160000000000001</v>
      </c>
      <c r="J148" s="32">
        <v>1.3</v>
      </c>
      <c r="K148" s="32">
        <v>1.56</v>
      </c>
      <c r="L148" s="32">
        <v>0.94</v>
      </c>
      <c r="M148" s="32">
        <v>1.43</v>
      </c>
      <c r="N148" s="32">
        <v>1.91</v>
      </c>
      <c r="O148" s="36"/>
      <c r="P148" s="36"/>
      <c r="Q148" s="36"/>
      <c r="R148" s="36"/>
      <c r="S148" s="62">
        <f t="shared" si="0"/>
        <v>1.4093333333333333</v>
      </c>
      <c r="T148" s="27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</row>
    <row r="149" spans="1:30" ht="15.75" customHeight="1">
      <c r="A149" s="47">
        <v>2</v>
      </c>
      <c r="B149" s="47">
        <v>4</v>
      </c>
      <c r="C149" s="47">
        <v>17</v>
      </c>
      <c r="D149" s="25" t="s">
        <v>169</v>
      </c>
      <c r="E149" s="25" t="s">
        <v>170</v>
      </c>
      <c r="F149" s="25" t="s">
        <v>34</v>
      </c>
      <c r="G149" s="49">
        <v>50571</v>
      </c>
      <c r="H149" s="51">
        <v>223</v>
      </c>
      <c r="I149" s="32">
        <v>0.82</v>
      </c>
      <c r="J149" s="32">
        <v>0.81</v>
      </c>
      <c r="K149" s="32">
        <v>1.1000000000000001</v>
      </c>
      <c r="L149" s="32">
        <v>1.24</v>
      </c>
      <c r="M149" s="32">
        <v>0.9</v>
      </c>
      <c r="N149" s="32">
        <v>1.1599999999999999</v>
      </c>
      <c r="O149" s="32">
        <v>0.75800000000000001</v>
      </c>
      <c r="P149" s="32">
        <v>1.5</v>
      </c>
      <c r="Q149" s="36"/>
      <c r="R149" s="36"/>
      <c r="S149" s="62">
        <f t="shared" si="0"/>
        <v>1.036</v>
      </c>
      <c r="T149" s="27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</row>
    <row r="150" spans="1:30" ht="15.75" customHeight="1">
      <c r="A150" s="47">
        <v>2</v>
      </c>
      <c r="B150" s="47">
        <v>4</v>
      </c>
      <c r="C150" s="47">
        <v>18</v>
      </c>
      <c r="D150" s="25" t="s">
        <v>171</v>
      </c>
      <c r="E150" s="25" t="s">
        <v>172</v>
      </c>
      <c r="F150" s="25" t="s">
        <v>25</v>
      </c>
      <c r="G150" s="49">
        <v>50831</v>
      </c>
      <c r="H150" s="51">
        <v>249</v>
      </c>
      <c r="I150" s="32">
        <v>1.2</v>
      </c>
      <c r="J150" s="32">
        <v>1.4</v>
      </c>
      <c r="K150" s="32">
        <v>1.246</v>
      </c>
      <c r="L150" s="32">
        <v>1.8</v>
      </c>
      <c r="M150" s="32">
        <v>1.4</v>
      </c>
      <c r="N150" s="32">
        <v>1.33</v>
      </c>
      <c r="O150" s="32">
        <v>1.64</v>
      </c>
      <c r="P150" s="32">
        <v>1.8</v>
      </c>
      <c r="Q150" s="32">
        <v>1.4710000000000001</v>
      </c>
      <c r="R150" s="32">
        <v>1.8</v>
      </c>
      <c r="S150" s="62">
        <f t="shared" si="0"/>
        <v>1.5087000000000002</v>
      </c>
      <c r="T150" s="27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</row>
    <row r="151" spans="1:30" ht="15.75" customHeight="1">
      <c r="A151" s="47">
        <v>2</v>
      </c>
      <c r="B151" s="47">
        <v>4</v>
      </c>
      <c r="C151" s="47">
        <v>19</v>
      </c>
      <c r="D151" s="25" t="s">
        <v>107</v>
      </c>
      <c r="E151" s="25" t="s">
        <v>108</v>
      </c>
      <c r="F151" s="25" t="s">
        <v>31</v>
      </c>
      <c r="G151" s="49">
        <v>50862</v>
      </c>
      <c r="H151" s="51">
        <v>714</v>
      </c>
      <c r="I151" s="32">
        <v>0.75800000000000001</v>
      </c>
      <c r="J151" s="32">
        <v>0.8</v>
      </c>
      <c r="K151" s="32">
        <v>0.96</v>
      </c>
      <c r="L151" s="32">
        <v>0.84</v>
      </c>
      <c r="M151" s="32">
        <v>0.90700000000000003</v>
      </c>
      <c r="N151" s="32">
        <v>0.86</v>
      </c>
      <c r="O151" s="32">
        <v>0.68899999999999995</v>
      </c>
      <c r="P151" s="32">
        <v>0.63</v>
      </c>
      <c r="Q151" s="32">
        <v>0.17299999999999999</v>
      </c>
      <c r="R151" s="32">
        <v>0.64</v>
      </c>
      <c r="S151" s="62">
        <f t="shared" si="0"/>
        <v>0.72570000000000001</v>
      </c>
      <c r="T151" s="27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</row>
    <row r="152" spans="1:30" ht="15.75" customHeight="1">
      <c r="A152" s="47">
        <v>2</v>
      </c>
      <c r="B152" s="47">
        <v>4</v>
      </c>
      <c r="C152" s="47">
        <v>20</v>
      </c>
      <c r="D152" s="25" t="s">
        <v>173</v>
      </c>
      <c r="E152" s="25" t="s">
        <v>174</v>
      </c>
      <c r="F152" s="25" t="s">
        <v>25</v>
      </c>
      <c r="G152" s="49">
        <v>50678</v>
      </c>
      <c r="H152" s="51">
        <v>4</v>
      </c>
      <c r="I152" s="32">
        <v>1.4</v>
      </c>
      <c r="J152" s="36"/>
      <c r="K152" s="36"/>
      <c r="L152" s="36"/>
      <c r="M152" s="36"/>
      <c r="N152" s="36"/>
      <c r="O152" s="36"/>
      <c r="P152" s="36"/>
      <c r="Q152" s="36"/>
      <c r="R152" s="36"/>
      <c r="S152" s="62">
        <f t="shared" si="0"/>
        <v>1.4</v>
      </c>
      <c r="T152" s="27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</row>
    <row r="153" spans="1:30" ht="15.75" customHeight="1">
      <c r="A153" s="47">
        <v>2</v>
      </c>
      <c r="B153" s="47">
        <v>4</v>
      </c>
      <c r="C153" s="47">
        <v>20</v>
      </c>
      <c r="D153" s="25" t="s">
        <v>175</v>
      </c>
      <c r="E153" s="25" t="s">
        <v>176</v>
      </c>
      <c r="F153" s="25" t="s">
        <v>31</v>
      </c>
      <c r="G153" s="49">
        <v>50867</v>
      </c>
      <c r="H153" s="51">
        <v>303</v>
      </c>
      <c r="I153" s="32">
        <v>0.54100000000000004</v>
      </c>
      <c r="J153" s="32">
        <v>0.9</v>
      </c>
      <c r="K153" s="32">
        <v>0.7</v>
      </c>
      <c r="L153" s="32">
        <v>0.7</v>
      </c>
      <c r="M153" s="32">
        <v>0.6</v>
      </c>
      <c r="N153" s="32">
        <v>0.95</v>
      </c>
      <c r="O153" s="32">
        <v>0.7</v>
      </c>
      <c r="P153" s="32">
        <v>0.75</v>
      </c>
      <c r="Q153" s="36"/>
      <c r="R153" s="36"/>
      <c r="S153" s="62">
        <f t="shared" si="0"/>
        <v>0.73012500000000002</v>
      </c>
      <c r="T153" s="27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</row>
    <row r="154" spans="1:30" ht="15.75" customHeight="1">
      <c r="A154" s="47">
        <v>2</v>
      </c>
      <c r="B154" s="47">
        <v>4</v>
      </c>
      <c r="C154" s="47">
        <v>21</v>
      </c>
      <c r="D154" s="25" t="s">
        <v>177</v>
      </c>
      <c r="E154" s="25" t="s">
        <v>178</v>
      </c>
      <c r="F154" s="25" t="s">
        <v>31</v>
      </c>
      <c r="G154" s="49">
        <v>50861</v>
      </c>
      <c r="H154" s="51">
        <v>714</v>
      </c>
      <c r="I154" s="32">
        <v>0.54</v>
      </c>
      <c r="J154" s="32">
        <v>0.61499999999999999</v>
      </c>
      <c r="K154" s="32">
        <v>0.53</v>
      </c>
      <c r="L154" s="32">
        <v>0.53</v>
      </c>
      <c r="M154" s="32">
        <v>0.6</v>
      </c>
      <c r="N154" s="32">
        <v>0.69</v>
      </c>
      <c r="O154" s="32">
        <v>0.37</v>
      </c>
      <c r="P154" s="32">
        <v>0.65</v>
      </c>
      <c r="Q154" s="32">
        <v>0.64</v>
      </c>
      <c r="R154" s="32">
        <v>0.43</v>
      </c>
      <c r="S154" s="62">
        <f t="shared" si="0"/>
        <v>0.5595</v>
      </c>
      <c r="T154" s="27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</row>
    <row r="155" spans="1:30" ht="15.75" customHeight="1">
      <c r="A155" s="47">
        <v>2</v>
      </c>
      <c r="B155" s="47">
        <v>4</v>
      </c>
      <c r="C155" s="47">
        <v>22</v>
      </c>
      <c r="D155" s="25" t="s">
        <v>179</v>
      </c>
      <c r="E155" s="25" t="s">
        <v>180</v>
      </c>
      <c r="F155" s="25" t="s">
        <v>31</v>
      </c>
      <c r="G155" s="49">
        <v>50843</v>
      </c>
      <c r="H155" s="51">
        <v>330</v>
      </c>
      <c r="I155" s="32">
        <v>0.64</v>
      </c>
      <c r="J155" s="32">
        <v>0.80800000000000005</v>
      </c>
      <c r="K155" s="32">
        <v>0.8</v>
      </c>
      <c r="L155" s="32">
        <v>0.77</v>
      </c>
      <c r="M155" s="32">
        <v>0.72</v>
      </c>
      <c r="N155" s="32">
        <v>0.64900000000000002</v>
      </c>
      <c r="O155" s="32">
        <v>0.56999999999999995</v>
      </c>
      <c r="P155" s="32">
        <v>1.4</v>
      </c>
      <c r="Q155" s="32">
        <v>0.82</v>
      </c>
      <c r="R155" s="32">
        <v>0.85</v>
      </c>
      <c r="S155" s="62">
        <f t="shared" si="0"/>
        <v>0.80270000000000008</v>
      </c>
      <c r="T155" s="27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</row>
    <row r="156" spans="1:30" ht="15.75" customHeight="1">
      <c r="A156" s="47">
        <v>2</v>
      </c>
      <c r="B156" s="47">
        <v>5</v>
      </c>
      <c r="C156" s="47">
        <v>1</v>
      </c>
      <c r="D156" s="25" t="s">
        <v>95</v>
      </c>
      <c r="E156" s="25" t="s">
        <v>96</v>
      </c>
      <c r="F156" s="25" t="s">
        <v>68</v>
      </c>
      <c r="G156" s="49">
        <v>50620</v>
      </c>
      <c r="H156" s="51">
        <v>260</v>
      </c>
      <c r="I156" s="33">
        <v>1.6</v>
      </c>
      <c r="J156" s="33">
        <v>1.63</v>
      </c>
      <c r="K156" s="33">
        <v>1.43</v>
      </c>
      <c r="L156" s="33">
        <v>1.72</v>
      </c>
      <c r="M156" s="33">
        <v>1.96</v>
      </c>
      <c r="N156" s="33">
        <v>1.68</v>
      </c>
      <c r="O156" s="36"/>
      <c r="P156" s="36"/>
      <c r="Q156" s="36"/>
      <c r="R156" s="36"/>
      <c r="S156" s="62">
        <f t="shared" si="0"/>
        <v>1.67</v>
      </c>
      <c r="T156" s="60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</row>
    <row r="157" spans="1:30" ht="15.75" customHeight="1">
      <c r="A157" s="47">
        <v>2</v>
      </c>
      <c r="B157" s="47">
        <v>5</v>
      </c>
      <c r="C157" s="47">
        <v>1</v>
      </c>
      <c r="D157" s="25" t="s">
        <v>181</v>
      </c>
      <c r="E157" s="25" t="s">
        <v>182</v>
      </c>
      <c r="F157" s="25" t="s">
        <v>31</v>
      </c>
      <c r="G157" s="49">
        <v>50782</v>
      </c>
      <c r="H157" s="51">
        <v>162</v>
      </c>
      <c r="I157" s="33">
        <v>0.81499999999999995</v>
      </c>
      <c r="J157" s="33">
        <v>1.42</v>
      </c>
      <c r="K157" s="33">
        <v>1.69</v>
      </c>
      <c r="L157" s="33">
        <v>1.26</v>
      </c>
      <c r="M157" s="36"/>
      <c r="N157" s="36"/>
      <c r="O157" s="36"/>
      <c r="P157" s="36"/>
      <c r="Q157" s="36"/>
      <c r="R157" s="36"/>
      <c r="S157" s="62">
        <f t="shared" si="0"/>
        <v>1.2962499999999999</v>
      </c>
      <c r="T157" s="60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</row>
    <row r="158" spans="1:30" ht="15.75" customHeight="1">
      <c r="A158" s="47">
        <v>2</v>
      </c>
      <c r="B158" s="47">
        <v>5</v>
      </c>
      <c r="C158" s="47">
        <v>2</v>
      </c>
      <c r="D158" s="25" t="s">
        <v>56</v>
      </c>
      <c r="E158" s="25" t="s">
        <v>57</v>
      </c>
      <c r="F158" s="25" t="s">
        <v>68</v>
      </c>
      <c r="G158" s="49">
        <v>50664</v>
      </c>
      <c r="H158" s="51">
        <v>125</v>
      </c>
      <c r="I158" s="33">
        <v>0.88</v>
      </c>
      <c r="J158" s="33">
        <v>0.33</v>
      </c>
      <c r="K158" s="33">
        <v>0.90700000000000003</v>
      </c>
      <c r="L158" s="33">
        <v>0.59299999999999997</v>
      </c>
      <c r="M158" s="33">
        <v>0.94299999999999995</v>
      </c>
      <c r="N158" s="33">
        <v>0.873</v>
      </c>
      <c r="O158" s="36"/>
      <c r="P158" s="36"/>
      <c r="Q158" s="36"/>
      <c r="R158" s="36"/>
      <c r="S158" s="62">
        <f t="shared" si="0"/>
        <v>0.7543333333333333</v>
      </c>
      <c r="T158" s="60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</row>
    <row r="159" spans="1:30" ht="15.75" customHeight="1">
      <c r="A159" s="47">
        <v>2</v>
      </c>
      <c r="B159" s="47">
        <v>5</v>
      </c>
      <c r="C159" s="47">
        <v>3</v>
      </c>
      <c r="D159" s="25" t="s">
        <v>37</v>
      </c>
      <c r="E159" s="25" t="s">
        <v>38</v>
      </c>
      <c r="F159" s="25" t="s">
        <v>31</v>
      </c>
      <c r="G159" s="49">
        <v>50785</v>
      </c>
      <c r="H159" s="51">
        <v>128</v>
      </c>
      <c r="I159" s="33">
        <v>0.96</v>
      </c>
      <c r="J159" s="33">
        <v>1.105</v>
      </c>
      <c r="K159" s="33">
        <v>1.51</v>
      </c>
      <c r="L159" s="33">
        <v>1.129</v>
      </c>
      <c r="M159" s="33">
        <v>0.87</v>
      </c>
      <c r="N159" s="33">
        <v>1.21</v>
      </c>
      <c r="O159" s="33">
        <v>0.99</v>
      </c>
      <c r="P159" s="33">
        <v>0.96</v>
      </c>
      <c r="Q159" s="36"/>
      <c r="R159" s="36"/>
      <c r="S159" s="62">
        <f t="shared" si="0"/>
        <v>1.0917500000000002</v>
      </c>
      <c r="T159" s="60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</row>
    <row r="160" spans="1:30" ht="15.75" customHeight="1">
      <c r="A160" s="47">
        <v>2</v>
      </c>
      <c r="B160" s="47">
        <v>5</v>
      </c>
      <c r="C160" s="47">
        <v>4</v>
      </c>
      <c r="D160" s="25" t="s">
        <v>35</v>
      </c>
      <c r="E160" s="25" t="s">
        <v>36</v>
      </c>
      <c r="F160" s="25" t="s">
        <v>31</v>
      </c>
      <c r="G160" s="49">
        <v>50806</v>
      </c>
      <c r="H160" s="51">
        <v>284</v>
      </c>
      <c r="I160" s="33">
        <v>0.92</v>
      </c>
      <c r="J160" s="33">
        <v>0.96</v>
      </c>
      <c r="K160" s="33">
        <v>1.5669999999999999</v>
      </c>
      <c r="L160" s="33">
        <v>1.4</v>
      </c>
      <c r="M160" s="33">
        <v>1.4530000000000001</v>
      </c>
      <c r="N160" s="33">
        <v>1.37</v>
      </c>
      <c r="O160" s="33">
        <v>1.34</v>
      </c>
      <c r="P160" s="33">
        <v>1.33</v>
      </c>
      <c r="Q160" s="33">
        <v>1.41</v>
      </c>
      <c r="R160" s="33">
        <v>1.86</v>
      </c>
      <c r="S160" s="62">
        <f t="shared" si="0"/>
        <v>1.361</v>
      </c>
      <c r="T160" s="60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</row>
    <row r="161" spans="1:30" ht="15.75" customHeight="1">
      <c r="A161" s="47">
        <v>2</v>
      </c>
      <c r="B161" s="47">
        <v>5</v>
      </c>
      <c r="C161" s="47">
        <v>4</v>
      </c>
      <c r="D161" s="25" t="s">
        <v>35</v>
      </c>
      <c r="E161" s="25" t="s">
        <v>36</v>
      </c>
      <c r="F161" s="25" t="s">
        <v>68</v>
      </c>
      <c r="G161" s="49">
        <v>50829</v>
      </c>
      <c r="H161" s="51">
        <v>418</v>
      </c>
      <c r="I161" s="33">
        <v>1.41</v>
      </c>
      <c r="J161" s="33">
        <v>1.01</v>
      </c>
      <c r="K161" s="33">
        <v>1.95</v>
      </c>
      <c r="L161" s="33">
        <v>1.4</v>
      </c>
      <c r="M161" s="33">
        <v>0.75</v>
      </c>
      <c r="N161" s="33">
        <v>1.27</v>
      </c>
      <c r="O161" s="33">
        <v>1.119</v>
      </c>
      <c r="P161" s="33">
        <v>0.66900000000000004</v>
      </c>
      <c r="Q161" s="33">
        <v>0.90400000000000003</v>
      </c>
      <c r="R161" s="33">
        <v>1.091</v>
      </c>
      <c r="S161" s="62">
        <f t="shared" si="0"/>
        <v>1.1572999999999998</v>
      </c>
      <c r="T161" s="60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</row>
    <row r="162" spans="1:30" ht="15.75" customHeight="1">
      <c r="A162" s="47">
        <v>2</v>
      </c>
      <c r="B162" s="47">
        <v>5</v>
      </c>
      <c r="C162" s="47">
        <v>5</v>
      </c>
      <c r="D162" s="25" t="s">
        <v>183</v>
      </c>
      <c r="E162" s="25" t="s">
        <v>184</v>
      </c>
      <c r="F162" s="25" t="s">
        <v>31</v>
      </c>
      <c r="G162" s="49">
        <v>50808</v>
      </c>
      <c r="H162" s="51">
        <v>363</v>
      </c>
      <c r="I162" s="33">
        <v>1.1719999999999999</v>
      </c>
      <c r="J162" s="33">
        <v>0.98599999999999999</v>
      </c>
      <c r="K162" s="33">
        <v>1.0629999999999999</v>
      </c>
      <c r="L162" s="33">
        <v>1.018</v>
      </c>
      <c r="M162" s="33">
        <v>1.0589999999999999</v>
      </c>
      <c r="N162" s="33">
        <v>1.1100000000000001</v>
      </c>
      <c r="O162" s="33">
        <v>1.45</v>
      </c>
      <c r="P162" s="33">
        <v>1.1950000000000001</v>
      </c>
      <c r="Q162" s="33">
        <v>1.0509999999999999</v>
      </c>
      <c r="R162" s="33">
        <v>1.0449999999999999</v>
      </c>
      <c r="S162" s="62">
        <f t="shared" si="0"/>
        <v>1.1149</v>
      </c>
      <c r="T162" s="60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</row>
    <row r="163" spans="1:30" ht="15.75" customHeight="1">
      <c r="A163" s="47">
        <v>2</v>
      </c>
      <c r="B163" s="47">
        <v>5</v>
      </c>
      <c r="C163" s="47">
        <v>5</v>
      </c>
      <c r="D163" s="25" t="s">
        <v>183</v>
      </c>
      <c r="E163" s="25" t="s">
        <v>184</v>
      </c>
      <c r="F163" s="25" t="s">
        <v>25</v>
      </c>
      <c r="G163" s="49">
        <v>50774</v>
      </c>
      <c r="H163" s="51">
        <v>2</v>
      </c>
      <c r="I163" s="33">
        <v>1.48</v>
      </c>
      <c r="J163" s="33">
        <v>1.1399999999999999</v>
      </c>
      <c r="K163" s="36"/>
      <c r="L163" s="36"/>
      <c r="M163" s="36"/>
      <c r="N163" s="36"/>
      <c r="O163" s="36"/>
      <c r="P163" s="36"/>
      <c r="Q163" s="36"/>
      <c r="R163" s="36"/>
      <c r="S163" s="62">
        <f t="shared" si="0"/>
        <v>1.31</v>
      </c>
      <c r="T163" s="60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</row>
    <row r="164" spans="1:30" ht="15.75" customHeight="1">
      <c r="A164" s="47">
        <v>2</v>
      </c>
      <c r="B164" s="47">
        <v>5</v>
      </c>
      <c r="C164" s="47">
        <v>6</v>
      </c>
      <c r="D164" s="25" t="s">
        <v>49</v>
      </c>
      <c r="E164" s="25" t="s">
        <v>50</v>
      </c>
      <c r="F164" s="25" t="s">
        <v>68</v>
      </c>
      <c r="G164" s="49">
        <v>50838</v>
      </c>
      <c r="H164" s="51">
        <v>1374</v>
      </c>
      <c r="I164" s="33">
        <v>0.52100000000000002</v>
      </c>
      <c r="J164" s="33">
        <v>0.53</v>
      </c>
      <c r="K164" s="33">
        <v>0.71</v>
      </c>
      <c r="L164" s="33">
        <v>0.74299999999999999</v>
      </c>
      <c r="M164" s="33">
        <v>0.57999999999999996</v>
      </c>
      <c r="N164" s="33">
        <v>0.83799999999999997</v>
      </c>
      <c r="O164" s="33">
        <v>0.61</v>
      </c>
      <c r="P164" s="33">
        <v>0.749</v>
      </c>
      <c r="Q164" s="33">
        <v>0.4</v>
      </c>
      <c r="R164" s="33">
        <v>0.92400000000000004</v>
      </c>
      <c r="S164" s="62">
        <f t="shared" si="0"/>
        <v>0.66050000000000009</v>
      </c>
      <c r="T164" s="60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</row>
    <row r="165" spans="1:30" ht="15.75" customHeight="1">
      <c r="A165" s="47">
        <v>2</v>
      </c>
      <c r="B165" s="47">
        <v>5</v>
      </c>
      <c r="C165" s="47">
        <v>7</v>
      </c>
      <c r="D165" s="25" t="s">
        <v>185</v>
      </c>
      <c r="E165" s="25" t="s">
        <v>186</v>
      </c>
      <c r="F165" s="25" t="s">
        <v>31</v>
      </c>
      <c r="G165" s="49">
        <v>50844</v>
      </c>
      <c r="H165" s="51">
        <v>515</v>
      </c>
      <c r="I165" s="33">
        <v>0.48</v>
      </c>
      <c r="J165" s="33">
        <v>0.86</v>
      </c>
      <c r="K165" s="33">
        <v>0.86</v>
      </c>
      <c r="L165" s="33">
        <v>0.48</v>
      </c>
      <c r="M165" s="33">
        <v>0.94</v>
      </c>
      <c r="N165" s="33">
        <v>0.87</v>
      </c>
      <c r="O165" s="33">
        <v>0.44</v>
      </c>
      <c r="P165" s="33">
        <v>0.54200000000000004</v>
      </c>
      <c r="Q165" s="33">
        <v>0.41</v>
      </c>
      <c r="R165" s="33">
        <v>0.43</v>
      </c>
      <c r="S165" s="62">
        <f t="shared" si="0"/>
        <v>0.63119999999999998</v>
      </c>
      <c r="T165" s="60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</row>
    <row r="166" spans="1:30" ht="15.75" customHeight="1">
      <c r="A166" s="47">
        <v>2</v>
      </c>
      <c r="B166" s="47">
        <v>5</v>
      </c>
      <c r="C166" s="47">
        <v>8</v>
      </c>
      <c r="D166" s="25" t="s">
        <v>187</v>
      </c>
      <c r="E166" s="25" t="s">
        <v>188</v>
      </c>
      <c r="F166" s="25" t="s">
        <v>68</v>
      </c>
      <c r="G166" s="49">
        <v>50881</v>
      </c>
      <c r="H166" s="51">
        <v>738</v>
      </c>
      <c r="I166" s="33">
        <v>0.46</v>
      </c>
      <c r="J166" s="33">
        <v>0.34</v>
      </c>
      <c r="K166" s="33">
        <v>0.46</v>
      </c>
      <c r="L166" s="33">
        <v>0.21</v>
      </c>
      <c r="M166" s="33">
        <v>0.36</v>
      </c>
      <c r="N166" s="33">
        <v>0.39</v>
      </c>
      <c r="O166" s="33">
        <v>0.28000000000000003</v>
      </c>
      <c r="P166" s="33">
        <v>0.37</v>
      </c>
      <c r="Q166" s="33">
        <v>0.18</v>
      </c>
      <c r="R166" s="33">
        <v>0.15</v>
      </c>
      <c r="S166" s="62">
        <f t="shared" si="0"/>
        <v>0.32</v>
      </c>
      <c r="T166" s="60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</row>
    <row r="167" spans="1:30" ht="15.75" customHeight="1">
      <c r="A167" s="47">
        <v>2</v>
      </c>
      <c r="B167" s="47">
        <v>5</v>
      </c>
      <c r="C167" s="47">
        <v>8</v>
      </c>
      <c r="D167" s="25" t="s">
        <v>102</v>
      </c>
      <c r="E167" s="25" t="s">
        <v>103</v>
      </c>
      <c r="F167" s="25" t="s">
        <v>68</v>
      </c>
      <c r="G167" s="49">
        <v>50882</v>
      </c>
      <c r="H167" s="51">
        <v>549</v>
      </c>
      <c r="I167" s="33">
        <v>0.37</v>
      </c>
      <c r="J167" s="33">
        <v>0.2</v>
      </c>
      <c r="K167" s="33">
        <v>0.18</v>
      </c>
      <c r="L167" s="33">
        <v>0.21</v>
      </c>
      <c r="M167" s="33">
        <v>0.41</v>
      </c>
      <c r="N167" s="33">
        <v>0.26</v>
      </c>
      <c r="O167" s="33">
        <v>0.24</v>
      </c>
      <c r="P167" s="33">
        <v>0.31</v>
      </c>
      <c r="Q167" s="33">
        <v>0.26</v>
      </c>
      <c r="R167" s="36"/>
      <c r="S167" s="62">
        <f t="shared" si="0"/>
        <v>0.27111111111111108</v>
      </c>
      <c r="T167" s="60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</row>
    <row r="168" spans="1:30" ht="15.75" customHeight="1">
      <c r="A168" s="47">
        <v>2</v>
      </c>
      <c r="B168" s="47">
        <v>5</v>
      </c>
      <c r="C168" s="47">
        <v>9</v>
      </c>
      <c r="D168" s="25" t="s">
        <v>189</v>
      </c>
      <c r="E168" s="25" t="s">
        <v>190</v>
      </c>
      <c r="F168" s="25" t="s">
        <v>31</v>
      </c>
      <c r="G168" s="49">
        <v>50798</v>
      </c>
      <c r="H168" s="51">
        <v>182</v>
      </c>
      <c r="I168" s="33">
        <v>0.78</v>
      </c>
      <c r="J168" s="33">
        <v>0.9</v>
      </c>
      <c r="K168" s="33">
        <v>0.75</v>
      </c>
      <c r="L168" s="33">
        <v>0.88</v>
      </c>
      <c r="M168" s="33">
        <v>0.89</v>
      </c>
      <c r="N168" s="33">
        <v>0.61</v>
      </c>
      <c r="O168" s="36"/>
      <c r="P168" s="36"/>
      <c r="Q168" s="36"/>
      <c r="R168" s="36"/>
      <c r="S168" s="62">
        <f t="shared" si="0"/>
        <v>0.80166666666666675</v>
      </c>
      <c r="T168" s="60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</row>
    <row r="169" spans="1:30" ht="15.75" customHeight="1">
      <c r="A169" s="47">
        <v>2</v>
      </c>
      <c r="B169" s="47">
        <v>5</v>
      </c>
      <c r="C169" s="47">
        <v>9</v>
      </c>
      <c r="D169" s="25" t="s">
        <v>189</v>
      </c>
      <c r="E169" s="25" t="s">
        <v>190</v>
      </c>
      <c r="F169" s="25" t="s">
        <v>31</v>
      </c>
      <c r="G169" s="49">
        <v>50856</v>
      </c>
      <c r="H169" s="51">
        <v>162</v>
      </c>
      <c r="I169" s="33">
        <v>0.76</v>
      </c>
      <c r="J169" s="33">
        <v>0.84</v>
      </c>
      <c r="K169" s="33">
        <v>0.76</v>
      </c>
      <c r="L169" s="33">
        <v>0.7</v>
      </c>
      <c r="M169" s="33">
        <v>0.65</v>
      </c>
      <c r="N169" s="33">
        <v>0.65</v>
      </c>
      <c r="O169" s="36"/>
      <c r="P169" s="36"/>
      <c r="Q169" s="36"/>
      <c r="R169" s="36"/>
      <c r="S169" s="62">
        <f t="shared" si="0"/>
        <v>0.72666666666666668</v>
      </c>
      <c r="T169" s="60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</row>
    <row r="170" spans="1:30" ht="15.75" customHeight="1">
      <c r="A170" s="47">
        <v>2</v>
      </c>
      <c r="B170" s="47">
        <v>5</v>
      </c>
      <c r="C170" s="47">
        <v>9</v>
      </c>
      <c r="D170" s="25" t="s">
        <v>189</v>
      </c>
      <c r="E170" s="25" t="s">
        <v>190</v>
      </c>
      <c r="F170" s="25" t="s">
        <v>68</v>
      </c>
      <c r="G170" s="49">
        <v>50698</v>
      </c>
      <c r="H170" s="51">
        <v>87</v>
      </c>
      <c r="I170" s="33">
        <v>0.77</v>
      </c>
      <c r="J170" s="33">
        <v>0.59</v>
      </c>
      <c r="K170" s="33">
        <v>1.05</v>
      </c>
      <c r="L170" s="33">
        <v>0.64</v>
      </c>
      <c r="M170" s="33">
        <v>0.67</v>
      </c>
      <c r="N170" s="36"/>
      <c r="O170" s="36"/>
      <c r="P170" s="36"/>
      <c r="Q170" s="36"/>
      <c r="R170" s="36"/>
      <c r="S170" s="62">
        <f t="shared" si="0"/>
        <v>0.74399999999999999</v>
      </c>
      <c r="T170" s="60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</row>
    <row r="171" spans="1:30" ht="15.75" customHeight="1">
      <c r="A171" s="63">
        <v>2</v>
      </c>
      <c r="B171" s="63">
        <v>5</v>
      </c>
      <c r="C171" s="63">
        <v>10</v>
      </c>
      <c r="D171" s="38" t="s">
        <v>112</v>
      </c>
      <c r="E171" s="38" t="s">
        <v>113</v>
      </c>
      <c r="F171" s="38" t="s">
        <v>31</v>
      </c>
      <c r="G171" s="64">
        <v>50538</v>
      </c>
      <c r="H171" s="173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62" t="e">
        <f t="shared" si="0"/>
        <v>#DIV/0!</v>
      </c>
      <c r="T171" s="67" t="s">
        <v>43</v>
      </c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</row>
    <row r="172" spans="1:30" ht="15.75" customHeight="1">
      <c r="A172" s="47">
        <v>2</v>
      </c>
      <c r="B172" s="47">
        <v>5</v>
      </c>
      <c r="C172" s="47">
        <v>10</v>
      </c>
      <c r="D172" s="25" t="s">
        <v>191</v>
      </c>
      <c r="E172" s="25" t="s">
        <v>192</v>
      </c>
      <c r="F172" s="25" t="s">
        <v>68</v>
      </c>
      <c r="G172" s="49">
        <v>50837</v>
      </c>
      <c r="H172" s="51">
        <v>330</v>
      </c>
      <c r="I172" s="33">
        <v>0.57999999999999996</v>
      </c>
      <c r="J172" s="33">
        <v>0.59</v>
      </c>
      <c r="K172" s="33">
        <v>0.44</v>
      </c>
      <c r="L172" s="33">
        <v>0.62</v>
      </c>
      <c r="M172" s="33">
        <v>0.55000000000000004</v>
      </c>
      <c r="N172" s="33">
        <v>0.55000000000000004</v>
      </c>
      <c r="O172" s="33">
        <v>0.55000000000000004</v>
      </c>
      <c r="P172" s="33">
        <v>0.71</v>
      </c>
      <c r="Q172" s="33">
        <v>0.53</v>
      </c>
      <c r="R172" s="33">
        <v>0.38</v>
      </c>
      <c r="S172" s="62">
        <f t="shared" si="0"/>
        <v>0.55000000000000004</v>
      </c>
      <c r="T172" s="60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</row>
    <row r="173" spans="1:30" ht="15.75" customHeight="1">
      <c r="A173" s="159">
        <v>2</v>
      </c>
      <c r="B173" s="159">
        <v>5</v>
      </c>
      <c r="C173" s="159">
        <v>12</v>
      </c>
      <c r="D173" s="153" t="s">
        <v>49</v>
      </c>
      <c r="E173" s="153" t="s">
        <v>50</v>
      </c>
      <c r="F173" s="153" t="s">
        <v>31</v>
      </c>
      <c r="G173" s="161">
        <v>50566</v>
      </c>
      <c r="H173" s="162">
        <v>90</v>
      </c>
      <c r="I173" s="153">
        <v>1.1599999999999999</v>
      </c>
      <c r="J173" s="160"/>
      <c r="K173" s="160"/>
      <c r="L173" s="160"/>
      <c r="M173" s="160"/>
      <c r="N173" s="160"/>
      <c r="O173" s="160"/>
      <c r="P173" s="160"/>
      <c r="Q173" s="160"/>
      <c r="R173" s="160"/>
      <c r="S173" s="62">
        <f t="shared" si="0"/>
        <v>1.1599999999999999</v>
      </c>
      <c r="T173" s="163" t="s">
        <v>193</v>
      </c>
      <c r="U173" s="271"/>
      <c r="V173" s="271"/>
      <c r="W173" s="271"/>
      <c r="X173" s="271"/>
      <c r="Y173" s="271"/>
      <c r="Z173" s="271"/>
      <c r="AA173" s="271"/>
      <c r="AB173" s="271"/>
      <c r="AC173" s="271"/>
      <c r="AD173" s="271"/>
    </row>
    <row r="174" spans="1:30" ht="15.75" customHeight="1">
      <c r="A174" s="47">
        <v>2</v>
      </c>
      <c r="B174" s="47">
        <v>5</v>
      </c>
      <c r="C174" s="47">
        <v>12</v>
      </c>
      <c r="D174" s="25" t="s">
        <v>49</v>
      </c>
      <c r="E174" s="25" t="s">
        <v>50</v>
      </c>
      <c r="F174" s="25" t="s">
        <v>34</v>
      </c>
      <c r="G174" s="49">
        <v>50476</v>
      </c>
      <c r="H174" s="51">
        <v>192</v>
      </c>
      <c r="I174" s="33">
        <v>1.81</v>
      </c>
      <c r="J174" s="33">
        <v>0.46</v>
      </c>
      <c r="K174" s="33">
        <v>0.85</v>
      </c>
      <c r="L174" s="33">
        <v>1.1160000000000001</v>
      </c>
      <c r="M174" s="33">
        <v>1.198</v>
      </c>
      <c r="N174" s="33">
        <v>1.274</v>
      </c>
      <c r="O174" s="33">
        <v>0.64600000000000002</v>
      </c>
      <c r="P174" s="33">
        <v>0.46</v>
      </c>
      <c r="Q174" s="36"/>
      <c r="R174" s="36"/>
      <c r="S174" s="62">
        <f t="shared" si="0"/>
        <v>0.97675000000000012</v>
      </c>
      <c r="T174" s="60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</row>
    <row r="175" spans="1:30" ht="15.75" customHeight="1">
      <c r="A175" s="47">
        <v>2</v>
      </c>
      <c r="B175" s="47">
        <v>5</v>
      </c>
      <c r="C175" s="47">
        <v>12</v>
      </c>
      <c r="D175" s="25" t="s">
        <v>49</v>
      </c>
      <c r="E175" s="25" t="s">
        <v>194</v>
      </c>
      <c r="F175" s="25" t="s">
        <v>34</v>
      </c>
      <c r="G175" s="49">
        <v>50634</v>
      </c>
      <c r="H175" s="51">
        <v>74</v>
      </c>
      <c r="I175" s="33" t="s">
        <v>55</v>
      </c>
      <c r="J175" s="33">
        <v>0.6</v>
      </c>
      <c r="K175" s="36"/>
      <c r="L175" s="36"/>
      <c r="M175" s="36"/>
      <c r="N175" s="36"/>
      <c r="O175" s="36"/>
      <c r="P175" s="36"/>
      <c r="Q175" s="36"/>
      <c r="R175" s="36"/>
      <c r="S175" s="62">
        <f t="shared" si="0"/>
        <v>0.6</v>
      </c>
      <c r="T175" s="60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</row>
    <row r="176" spans="1:30" ht="15.75" customHeight="1">
      <c r="A176" s="47">
        <v>2</v>
      </c>
      <c r="B176" s="47">
        <v>5</v>
      </c>
      <c r="C176" s="47">
        <v>12</v>
      </c>
      <c r="D176" s="25" t="s">
        <v>49</v>
      </c>
      <c r="E176" s="25" t="s">
        <v>50</v>
      </c>
      <c r="F176" s="25" t="s">
        <v>68</v>
      </c>
      <c r="G176" s="49">
        <v>50633</v>
      </c>
      <c r="H176" s="51">
        <v>158</v>
      </c>
      <c r="I176" s="33">
        <v>0.45</v>
      </c>
      <c r="J176" s="33">
        <v>0.56000000000000005</v>
      </c>
      <c r="K176" s="33">
        <v>0.43</v>
      </c>
      <c r="L176" s="33">
        <v>0.57999999999999996</v>
      </c>
      <c r="M176" s="33">
        <v>0.56000000000000005</v>
      </c>
      <c r="N176" s="33">
        <v>0.82</v>
      </c>
      <c r="O176" s="36"/>
      <c r="P176" s="36"/>
      <c r="Q176" s="36"/>
      <c r="R176" s="36"/>
      <c r="S176" s="62">
        <f t="shared" si="0"/>
        <v>0.56666666666666665</v>
      </c>
      <c r="T176" s="60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</row>
    <row r="177" spans="1:30" ht="15.75" customHeight="1">
      <c r="A177" s="47">
        <v>2</v>
      </c>
      <c r="B177" s="47">
        <v>5</v>
      </c>
      <c r="C177" s="47">
        <v>13</v>
      </c>
      <c r="D177" s="25" t="s">
        <v>37</v>
      </c>
      <c r="E177" s="25" t="s">
        <v>38</v>
      </c>
      <c r="F177" s="25" t="s">
        <v>25</v>
      </c>
      <c r="G177" s="49">
        <v>50342</v>
      </c>
      <c r="H177" s="51">
        <v>3</v>
      </c>
      <c r="I177" s="33">
        <v>1.34</v>
      </c>
      <c r="J177" s="36"/>
      <c r="K177" s="36"/>
      <c r="L177" s="36"/>
      <c r="M177" s="36"/>
      <c r="N177" s="36"/>
      <c r="O177" s="36"/>
      <c r="P177" s="36"/>
      <c r="Q177" s="36"/>
      <c r="R177" s="36"/>
      <c r="S177" s="62">
        <f t="shared" si="0"/>
        <v>1.34</v>
      </c>
      <c r="T177" s="60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</row>
    <row r="178" spans="1:30" ht="15.75" customHeight="1">
      <c r="A178" s="47">
        <v>2</v>
      </c>
      <c r="B178" s="47">
        <v>5</v>
      </c>
      <c r="C178" s="47">
        <v>13</v>
      </c>
      <c r="D178" s="25" t="s">
        <v>37</v>
      </c>
      <c r="E178" s="25" t="s">
        <v>38</v>
      </c>
      <c r="F178" s="25" t="s">
        <v>31</v>
      </c>
      <c r="G178" s="49">
        <v>50785</v>
      </c>
      <c r="H178" s="51">
        <v>131</v>
      </c>
      <c r="I178" s="33">
        <v>0.77</v>
      </c>
      <c r="J178" s="33">
        <v>0.95</v>
      </c>
      <c r="K178" s="33">
        <v>0.93</v>
      </c>
      <c r="L178" s="33">
        <v>1.08</v>
      </c>
      <c r="M178" s="33">
        <v>0.92</v>
      </c>
      <c r="N178" s="36"/>
      <c r="O178" s="36"/>
      <c r="P178" s="36"/>
      <c r="Q178" s="36"/>
      <c r="R178" s="36"/>
      <c r="S178" s="62">
        <f t="shared" si="0"/>
        <v>0.93</v>
      </c>
      <c r="T178" s="60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</row>
    <row r="179" spans="1:30" ht="15.75" customHeight="1">
      <c r="A179" s="47">
        <v>2</v>
      </c>
      <c r="B179" s="47">
        <v>5</v>
      </c>
      <c r="C179" s="47">
        <v>13</v>
      </c>
      <c r="D179" s="25" t="s">
        <v>37</v>
      </c>
      <c r="E179" s="25" t="s">
        <v>38</v>
      </c>
      <c r="F179" s="25" t="s">
        <v>25</v>
      </c>
      <c r="G179" s="49">
        <v>50694</v>
      </c>
      <c r="H179" s="51">
        <v>161</v>
      </c>
      <c r="I179" s="33">
        <v>1.34</v>
      </c>
      <c r="J179" s="33">
        <v>0.78</v>
      </c>
      <c r="K179" s="33">
        <v>1.39</v>
      </c>
      <c r="L179" s="36"/>
      <c r="M179" s="36"/>
      <c r="N179" s="36"/>
      <c r="O179" s="36"/>
      <c r="P179" s="36"/>
      <c r="Q179" s="36"/>
      <c r="R179" s="36"/>
      <c r="S179" s="62">
        <f t="shared" si="0"/>
        <v>1.17</v>
      </c>
      <c r="T179" s="60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</row>
    <row r="180" spans="1:30" ht="15.75" customHeight="1">
      <c r="A180" s="47">
        <v>2</v>
      </c>
      <c r="B180" s="47">
        <v>5</v>
      </c>
      <c r="C180" s="47">
        <v>13</v>
      </c>
      <c r="D180" s="25" t="s">
        <v>37</v>
      </c>
      <c r="E180" s="25" t="s">
        <v>38</v>
      </c>
      <c r="F180" s="25" t="s">
        <v>68</v>
      </c>
      <c r="G180" s="49">
        <v>50600</v>
      </c>
      <c r="H180" s="51">
        <v>36</v>
      </c>
      <c r="I180" s="33">
        <v>0.94</v>
      </c>
      <c r="J180" s="36"/>
      <c r="K180" s="36"/>
      <c r="L180" s="36"/>
      <c r="M180" s="36"/>
      <c r="N180" s="36"/>
      <c r="O180" s="36"/>
      <c r="P180" s="36"/>
      <c r="Q180" s="36"/>
      <c r="R180" s="36"/>
      <c r="S180" s="62">
        <f t="shared" si="0"/>
        <v>0.94</v>
      </c>
      <c r="T180" s="60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</row>
    <row r="181" spans="1:30" ht="15.75" customHeight="1">
      <c r="A181" s="47">
        <v>2</v>
      </c>
      <c r="B181" s="47">
        <v>5</v>
      </c>
      <c r="C181" s="47">
        <v>13</v>
      </c>
      <c r="D181" s="25" t="s">
        <v>37</v>
      </c>
      <c r="E181" s="25" t="s">
        <v>38</v>
      </c>
      <c r="F181" s="25" t="s">
        <v>34</v>
      </c>
      <c r="G181" s="49">
        <v>50663</v>
      </c>
      <c r="H181" s="51">
        <v>14</v>
      </c>
      <c r="I181" s="33">
        <v>0.63</v>
      </c>
      <c r="J181" s="36"/>
      <c r="K181" s="36"/>
      <c r="L181" s="36"/>
      <c r="M181" s="36"/>
      <c r="N181" s="36"/>
      <c r="O181" s="36"/>
      <c r="P181" s="36"/>
      <c r="Q181" s="36"/>
      <c r="R181" s="36"/>
      <c r="S181" s="62">
        <f t="shared" si="0"/>
        <v>0.63</v>
      </c>
      <c r="T181" s="60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</row>
    <row r="182" spans="1:30" ht="15.75" customHeight="1">
      <c r="A182" s="47">
        <v>2</v>
      </c>
      <c r="B182" s="47">
        <v>5</v>
      </c>
      <c r="C182" s="47">
        <v>13</v>
      </c>
      <c r="D182" s="25" t="s">
        <v>37</v>
      </c>
      <c r="E182" s="25" t="s">
        <v>38</v>
      </c>
      <c r="F182" s="25" t="s">
        <v>68</v>
      </c>
      <c r="G182" s="49">
        <v>50696</v>
      </c>
      <c r="H182" s="51">
        <v>45</v>
      </c>
      <c r="I182" s="33">
        <v>0.97</v>
      </c>
      <c r="J182" s="36"/>
      <c r="K182" s="36"/>
      <c r="L182" s="36"/>
      <c r="M182" s="36"/>
      <c r="N182" s="36"/>
      <c r="O182" s="36"/>
      <c r="P182" s="36"/>
      <c r="Q182" s="36"/>
      <c r="R182" s="36"/>
      <c r="S182" s="62">
        <f t="shared" si="0"/>
        <v>0.97</v>
      </c>
      <c r="T182" s="60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</row>
    <row r="183" spans="1:30" ht="15.75" customHeight="1">
      <c r="A183" s="47">
        <v>2</v>
      </c>
      <c r="B183" s="47">
        <v>6</v>
      </c>
      <c r="C183" s="47">
        <v>1</v>
      </c>
      <c r="D183" s="25" t="s">
        <v>195</v>
      </c>
      <c r="E183" s="25" t="s">
        <v>196</v>
      </c>
      <c r="F183" s="25" t="s">
        <v>34</v>
      </c>
      <c r="G183" s="49">
        <v>50703</v>
      </c>
      <c r="H183" s="51">
        <v>190</v>
      </c>
      <c r="I183" s="33">
        <v>1.2330000000000001</v>
      </c>
      <c r="J183" s="33">
        <v>0.98899999999999999</v>
      </c>
      <c r="K183" s="33">
        <v>1.54</v>
      </c>
      <c r="L183" s="33">
        <v>1.5329999999999999</v>
      </c>
      <c r="M183" s="33">
        <v>1.55</v>
      </c>
      <c r="N183" s="33">
        <v>1.458</v>
      </c>
      <c r="O183" s="33">
        <v>1.048</v>
      </c>
      <c r="P183" s="36"/>
      <c r="Q183" s="36"/>
      <c r="R183" s="36"/>
      <c r="S183" s="62">
        <f t="shared" si="0"/>
        <v>1.3358571428571426</v>
      </c>
      <c r="T183" s="60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</row>
    <row r="184" spans="1:30" ht="15.75" customHeight="1">
      <c r="A184" s="47">
        <v>2</v>
      </c>
      <c r="B184" s="47">
        <v>6</v>
      </c>
      <c r="C184" s="47">
        <v>2</v>
      </c>
      <c r="D184" s="25" t="s">
        <v>197</v>
      </c>
      <c r="E184" s="25" t="s">
        <v>198</v>
      </c>
      <c r="F184" s="25" t="s">
        <v>25</v>
      </c>
      <c r="G184" s="49">
        <v>50771</v>
      </c>
      <c r="H184" s="51">
        <v>9</v>
      </c>
      <c r="I184" s="33">
        <v>1.17</v>
      </c>
      <c r="J184" s="36"/>
      <c r="K184" s="36"/>
      <c r="L184" s="36"/>
      <c r="M184" s="36"/>
      <c r="N184" s="36"/>
      <c r="O184" s="36"/>
      <c r="P184" s="36"/>
      <c r="Q184" s="36"/>
      <c r="R184" s="36"/>
      <c r="S184" s="62">
        <f t="shared" si="0"/>
        <v>1.17</v>
      </c>
      <c r="T184" s="60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</row>
    <row r="185" spans="1:30" ht="15.75" customHeight="1">
      <c r="A185" s="47">
        <v>2</v>
      </c>
      <c r="B185" s="47">
        <v>6</v>
      </c>
      <c r="C185" s="47">
        <v>2</v>
      </c>
      <c r="D185" s="25" t="s">
        <v>37</v>
      </c>
      <c r="E185" s="25" t="s">
        <v>38</v>
      </c>
      <c r="F185" s="25" t="s">
        <v>34</v>
      </c>
      <c r="G185" s="49">
        <v>50622</v>
      </c>
      <c r="H185" s="51">
        <v>47</v>
      </c>
      <c r="I185" s="33">
        <v>0.66</v>
      </c>
      <c r="J185" s="36"/>
      <c r="K185" s="36"/>
      <c r="L185" s="36"/>
      <c r="M185" s="36"/>
      <c r="N185" s="36"/>
      <c r="O185" s="36"/>
      <c r="P185" s="36"/>
      <c r="Q185" s="36"/>
      <c r="R185" s="36"/>
      <c r="S185" s="62">
        <f t="shared" si="0"/>
        <v>0.66</v>
      </c>
      <c r="T185" s="60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</row>
    <row r="186" spans="1:30" ht="15.75" customHeight="1">
      <c r="A186" s="71">
        <v>2</v>
      </c>
      <c r="B186" s="71">
        <v>6</v>
      </c>
      <c r="C186" s="71">
        <v>2</v>
      </c>
      <c r="D186" s="53" t="s">
        <v>37</v>
      </c>
      <c r="E186" s="53" t="s">
        <v>38</v>
      </c>
      <c r="F186" s="53" t="s">
        <v>25</v>
      </c>
      <c r="G186" s="73">
        <v>50694</v>
      </c>
      <c r="H186" s="74">
        <v>81</v>
      </c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62" t="e">
        <f t="shared" si="0"/>
        <v>#DIV/0!</v>
      </c>
      <c r="T186" s="79" t="s">
        <v>55</v>
      </c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</row>
    <row r="187" spans="1:30" ht="15.75" customHeight="1">
      <c r="A187" s="71">
        <v>2</v>
      </c>
      <c r="B187" s="71">
        <v>6</v>
      </c>
      <c r="C187" s="71">
        <v>2</v>
      </c>
      <c r="D187" s="53" t="s">
        <v>199</v>
      </c>
      <c r="E187" s="53" t="s">
        <v>200</v>
      </c>
      <c r="F187" s="53" t="s">
        <v>34</v>
      </c>
      <c r="G187" s="73">
        <v>50603</v>
      </c>
      <c r="H187" s="74">
        <v>65</v>
      </c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62" t="e">
        <f t="shared" si="0"/>
        <v>#DIV/0!</v>
      </c>
      <c r="T187" s="79" t="s">
        <v>55</v>
      </c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</row>
    <row r="188" spans="1:30" ht="15.75" customHeight="1">
      <c r="A188" s="71">
        <v>2</v>
      </c>
      <c r="B188" s="71">
        <v>6</v>
      </c>
      <c r="C188" s="71">
        <v>2</v>
      </c>
      <c r="D188" s="53" t="s">
        <v>199</v>
      </c>
      <c r="E188" s="53" t="s">
        <v>200</v>
      </c>
      <c r="F188" s="53" t="s">
        <v>34</v>
      </c>
      <c r="G188" s="73">
        <v>50656</v>
      </c>
      <c r="H188" s="74">
        <v>23</v>
      </c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62" t="e">
        <f t="shared" si="0"/>
        <v>#DIV/0!</v>
      </c>
      <c r="T188" s="79" t="s">
        <v>55</v>
      </c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</row>
    <row r="189" spans="1:30" ht="15.75" customHeight="1">
      <c r="A189" s="47">
        <v>2</v>
      </c>
      <c r="B189" s="47">
        <v>6</v>
      </c>
      <c r="C189" s="47">
        <v>3</v>
      </c>
      <c r="D189" s="25" t="s">
        <v>201</v>
      </c>
      <c r="E189" s="25" t="s">
        <v>202</v>
      </c>
      <c r="F189" s="25" t="s">
        <v>34</v>
      </c>
      <c r="G189" s="49">
        <v>50601</v>
      </c>
      <c r="H189" s="51">
        <v>146</v>
      </c>
      <c r="I189" s="33">
        <v>0.96399999999999997</v>
      </c>
      <c r="J189" s="33">
        <v>1.06</v>
      </c>
      <c r="K189" s="33">
        <v>1.37</v>
      </c>
      <c r="L189" s="33">
        <v>1.26</v>
      </c>
      <c r="M189" s="33">
        <v>1.34</v>
      </c>
      <c r="N189" s="33">
        <v>0.76300000000000001</v>
      </c>
      <c r="O189" s="36"/>
      <c r="P189" s="36"/>
      <c r="Q189" s="36"/>
      <c r="R189" s="36"/>
      <c r="S189" s="62">
        <f t="shared" si="0"/>
        <v>1.1261666666666665</v>
      </c>
      <c r="T189" s="60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</row>
    <row r="190" spans="1:30" ht="15.75" customHeight="1">
      <c r="A190" s="47">
        <v>2</v>
      </c>
      <c r="B190" s="47">
        <v>6</v>
      </c>
      <c r="C190" s="47">
        <v>3</v>
      </c>
      <c r="D190" s="25" t="s">
        <v>201</v>
      </c>
      <c r="E190" s="25" t="s">
        <v>202</v>
      </c>
      <c r="F190" s="25" t="s">
        <v>25</v>
      </c>
      <c r="G190" s="49">
        <v>50525</v>
      </c>
      <c r="H190" s="51">
        <v>42</v>
      </c>
      <c r="I190" s="33">
        <v>1.081</v>
      </c>
      <c r="J190" s="33">
        <v>0.94</v>
      </c>
      <c r="K190" s="36"/>
      <c r="L190" s="36"/>
      <c r="M190" s="36"/>
      <c r="N190" s="36"/>
      <c r="O190" s="36"/>
      <c r="P190" s="36"/>
      <c r="Q190" s="36"/>
      <c r="R190" s="36"/>
      <c r="S190" s="62">
        <f t="shared" si="0"/>
        <v>1.0105</v>
      </c>
      <c r="T190" s="60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</row>
    <row r="191" spans="1:30" ht="15.75" customHeight="1">
      <c r="A191" s="47">
        <v>2</v>
      </c>
      <c r="B191" s="47">
        <v>6</v>
      </c>
      <c r="C191" s="47">
        <v>3</v>
      </c>
      <c r="D191" s="25" t="s">
        <v>199</v>
      </c>
      <c r="E191" s="25" t="s">
        <v>200</v>
      </c>
      <c r="F191" s="25" t="s">
        <v>34</v>
      </c>
      <c r="G191" s="49">
        <v>50603</v>
      </c>
      <c r="H191" s="51">
        <v>32</v>
      </c>
      <c r="I191" s="33">
        <v>1.83</v>
      </c>
      <c r="J191" s="33">
        <v>1.85</v>
      </c>
      <c r="K191" s="36"/>
      <c r="L191" s="36"/>
      <c r="M191" s="36"/>
      <c r="N191" s="36"/>
      <c r="O191" s="36"/>
      <c r="P191" s="36"/>
      <c r="Q191" s="36"/>
      <c r="R191" s="36"/>
      <c r="S191" s="62">
        <f t="shared" si="0"/>
        <v>1.84</v>
      </c>
      <c r="T191" s="60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</row>
    <row r="192" spans="1:30" ht="15.75" customHeight="1">
      <c r="A192" s="47">
        <v>2</v>
      </c>
      <c r="B192" s="47">
        <v>6</v>
      </c>
      <c r="C192" s="47">
        <v>4</v>
      </c>
      <c r="D192" s="25" t="s">
        <v>203</v>
      </c>
      <c r="E192" s="25" t="s">
        <v>204</v>
      </c>
      <c r="F192" s="25" t="s">
        <v>68</v>
      </c>
      <c r="G192" s="49">
        <v>50835</v>
      </c>
      <c r="H192" s="51">
        <v>580</v>
      </c>
      <c r="I192" s="33">
        <v>1.206</v>
      </c>
      <c r="J192" s="33">
        <v>0.96</v>
      </c>
      <c r="K192" s="33">
        <v>0.75800000000000001</v>
      </c>
      <c r="L192" s="33">
        <v>0.94</v>
      </c>
      <c r="M192" s="33">
        <v>0.78</v>
      </c>
      <c r="N192" s="33">
        <v>0.94</v>
      </c>
      <c r="O192" s="33">
        <v>0.91500000000000004</v>
      </c>
      <c r="P192" s="33">
        <v>0.63</v>
      </c>
      <c r="Q192" s="33">
        <v>0.82599999999999996</v>
      </c>
      <c r="R192" s="33">
        <v>0.85799999999999998</v>
      </c>
      <c r="S192" s="62">
        <f t="shared" si="0"/>
        <v>0.88129999999999986</v>
      </c>
      <c r="T192" s="60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</row>
    <row r="193" spans="1:30" ht="15.75" customHeight="1">
      <c r="A193" s="47">
        <v>2</v>
      </c>
      <c r="B193" s="47">
        <v>6</v>
      </c>
      <c r="C193" s="47">
        <v>5</v>
      </c>
      <c r="D193" s="25" t="s">
        <v>203</v>
      </c>
      <c r="E193" s="25" t="s">
        <v>204</v>
      </c>
      <c r="F193" s="25" t="s">
        <v>68</v>
      </c>
      <c r="G193" s="49">
        <v>50835</v>
      </c>
      <c r="H193" s="51">
        <v>308</v>
      </c>
      <c r="I193" s="33">
        <v>0.82</v>
      </c>
      <c r="J193" s="33">
        <v>0.96</v>
      </c>
      <c r="K193" s="33">
        <v>0.92</v>
      </c>
      <c r="L193" s="33">
        <v>0.8</v>
      </c>
      <c r="M193" s="33">
        <v>0.50600000000000001</v>
      </c>
      <c r="N193" s="33">
        <v>0.66</v>
      </c>
      <c r="O193" s="33">
        <v>0.66100000000000003</v>
      </c>
      <c r="P193" s="33">
        <v>0.81</v>
      </c>
      <c r="Q193" s="36"/>
      <c r="R193" s="36"/>
      <c r="S193" s="62">
        <f t="shared" si="0"/>
        <v>0.76712500000000006</v>
      </c>
      <c r="T193" s="60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</row>
    <row r="194" spans="1:30" ht="15.75" customHeight="1">
      <c r="A194" s="47">
        <v>2</v>
      </c>
      <c r="B194" s="47">
        <v>6</v>
      </c>
      <c r="C194" s="47">
        <v>5</v>
      </c>
      <c r="D194" s="25" t="s">
        <v>167</v>
      </c>
      <c r="E194" s="25" t="s">
        <v>168</v>
      </c>
      <c r="F194" s="25" t="s">
        <v>25</v>
      </c>
      <c r="G194" s="49">
        <v>50744</v>
      </c>
      <c r="H194" s="51">
        <v>1</v>
      </c>
      <c r="I194" s="277">
        <v>1.52</v>
      </c>
      <c r="J194" s="36"/>
      <c r="K194" s="36"/>
      <c r="L194" s="36"/>
      <c r="M194" s="36"/>
      <c r="N194" s="36"/>
      <c r="O194" s="36"/>
      <c r="P194" s="36"/>
      <c r="Q194" s="36"/>
      <c r="R194" s="36"/>
      <c r="S194" s="62">
        <f t="shared" si="0"/>
        <v>1.52</v>
      </c>
      <c r="T194" s="27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</row>
    <row r="195" spans="1:30" ht="15.75" customHeight="1">
      <c r="A195" s="47">
        <v>2</v>
      </c>
      <c r="B195" s="47">
        <v>7</v>
      </c>
      <c r="C195" s="47">
        <v>1</v>
      </c>
      <c r="D195" s="25" t="s">
        <v>177</v>
      </c>
      <c r="E195" s="25" t="s">
        <v>178</v>
      </c>
      <c r="F195" s="25" t="s">
        <v>68</v>
      </c>
      <c r="G195" s="49">
        <v>50852</v>
      </c>
      <c r="H195" s="51">
        <v>256</v>
      </c>
      <c r="I195" s="32">
        <v>0.81</v>
      </c>
      <c r="J195" s="32">
        <v>0.7</v>
      </c>
      <c r="K195" s="32">
        <v>0.73899999999999999</v>
      </c>
      <c r="L195" s="32">
        <v>0.79</v>
      </c>
      <c r="M195" s="32">
        <v>0.7</v>
      </c>
      <c r="N195" s="32">
        <v>0.73</v>
      </c>
      <c r="O195" s="32">
        <v>0.43</v>
      </c>
      <c r="P195" s="32">
        <v>0.35</v>
      </c>
      <c r="Q195" s="36"/>
      <c r="R195" s="36"/>
      <c r="S195" s="62">
        <f t="shared" si="0"/>
        <v>0.65612499999999985</v>
      </c>
      <c r="T195" s="27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</row>
    <row r="196" spans="1:30" ht="15.75" customHeight="1">
      <c r="A196" s="33">
        <v>2</v>
      </c>
      <c r="B196" s="47">
        <v>7</v>
      </c>
      <c r="C196" s="47">
        <v>2</v>
      </c>
      <c r="D196" s="25" t="s">
        <v>205</v>
      </c>
      <c r="E196" s="25" t="s">
        <v>206</v>
      </c>
      <c r="F196" s="25" t="s">
        <v>34</v>
      </c>
      <c r="G196" s="49">
        <v>50853</v>
      </c>
      <c r="H196" s="51">
        <v>642</v>
      </c>
      <c r="I196" s="32">
        <v>0.95</v>
      </c>
      <c r="J196" s="32">
        <v>1.01</v>
      </c>
      <c r="K196" s="32">
        <v>0.91</v>
      </c>
      <c r="L196" s="32">
        <v>0.75</v>
      </c>
      <c r="M196" s="32">
        <v>0.69</v>
      </c>
      <c r="N196" s="32">
        <v>1.01</v>
      </c>
      <c r="O196" s="32">
        <v>0.76</v>
      </c>
      <c r="P196" s="32">
        <v>0.68</v>
      </c>
      <c r="Q196" s="32">
        <v>0.61</v>
      </c>
      <c r="R196" s="32">
        <v>0.32800000000000001</v>
      </c>
      <c r="S196" s="62">
        <f t="shared" si="0"/>
        <v>0.76980000000000004</v>
      </c>
      <c r="T196" s="27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</row>
    <row r="197" spans="1:30" ht="15.75" customHeight="1">
      <c r="A197" s="47">
        <v>2</v>
      </c>
      <c r="B197" s="47">
        <v>7</v>
      </c>
      <c r="C197" s="47">
        <v>3</v>
      </c>
      <c r="D197" s="25" t="s">
        <v>208</v>
      </c>
      <c r="E197" s="25" t="s">
        <v>209</v>
      </c>
      <c r="F197" s="25" t="s">
        <v>68</v>
      </c>
      <c r="G197" s="49">
        <v>50635</v>
      </c>
      <c r="H197" s="51">
        <v>311</v>
      </c>
      <c r="I197" s="32">
        <v>1.51</v>
      </c>
      <c r="J197" s="32">
        <v>0.85</v>
      </c>
      <c r="K197" s="32">
        <v>1.07</v>
      </c>
      <c r="L197" s="32">
        <v>0.92</v>
      </c>
      <c r="M197" s="32">
        <v>0.56399999999999995</v>
      </c>
      <c r="N197" s="32">
        <v>1.97</v>
      </c>
      <c r="O197" s="32">
        <v>1.64</v>
      </c>
      <c r="P197" s="32">
        <v>1.46</v>
      </c>
      <c r="Q197" s="32">
        <v>1.04</v>
      </c>
      <c r="R197" s="32">
        <v>1.3</v>
      </c>
      <c r="S197" s="62">
        <f t="shared" si="0"/>
        <v>1.2323999999999997</v>
      </c>
      <c r="T197" s="27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</row>
    <row r="198" spans="1:30" ht="15.75" customHeight="1">
      <c r="A198" s="47">
        <v>2</v>
      </c>
      <c r="B198" s="47">
        <v>7</v>
      </c>
      <c r="C198" s="47">
        <v>3</v>
      </c>
      <c r="D198" s="25" t="s">
        <v>81</v>
      </c>
      <c r="E198" s="25" t="s">
        <v>82</v>
      </c>
      <c r="F198" s="25" t="s">
        <v>34</v>
      </c>
      <c r="G198" s="49">
        <v>50555</v>
      </c>
      <c r="H198" s="51">
        <v>5</v>
      </c>
      <c r="I198" s="32">
        <v>1.1599999999999999</v>
      </c>
      <c r="J198" s="36"/>
      <c r="K198" s="36"/>
      <c r="L198" s="36"/>
      <c r="M198" s="36"/>
      <c r="N198" s="36"/>
      <c r="O198" s="36"/>
      <c r="P198" s="36"/>
      <c r="Q198" s="36"/>
      <c r="R198" s="36"/>
      <c r="S198" s="62">
        <f t="shared" si="0"/>
        <v>1.1599999999999999</v>
      </c>
      <c r="T198" s="27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</row>
    <row r="199" spans="1:30" ht="15.75" customHeight="1">
      <c r="A199" s="47">
        <v>2</v>
      </c>
      <c r="B199" s="47">
        <v>7</v>
      </c>
      <c r="C199" s="47">
        <v>3</v>
      </c>
      <c r="D199" s="25" t="s">
        <v>208</v>
      </c>
      <c r="E199" s="25" t="s">
        <v>209</v>
      </c>
      <c r="F199" s="25" t="s">
        <v>34</v>
      </c>
      <c r="G199" s="49">
        <v>50617</v>
      </c>
      <c r="H199" s="51">
        <v>75</v>
      </c>
      <c r="I199" s="277">
        <v>2.3199999999999998</v>
      </c>
      <c r="J199" s="36"/>
      <c r="K199" s="36"/>
      <c r="L199" s="36"/>
      <c r="M199" s="36"/>
      <c r="N199" s="36"/>
      <c r="O199" s="36"/>
      <c r="P199" s="36"/>
      <c r="Q199" s="36"/>
      <c r="R199" s="36"/>
      <c r="S199" s="62">
        <f t="shared" si="0"/>
        <v>2.3199999999999998</v>
      </c>
      <c r="T199" s="27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</row>
    <row r="200" spans="1:30" ht="15.75" customHeight="1">
      <c r="A200" s="71">
        <v>2</v>
      </c>
      <c r="B200" s="71">
        <v>7</v>
      </c>
      <c r="C200" s="71">
        <v>4</v>
      </c>
      <c r="D200" s="53" t="s">
        <v>210</v>
      </c>
      <c r="E200" s="53" t="s">
        <v>211</v>
      </c>
      <c r="F200" s="53" t="s">
        <v>34</v>
      </c>
      <c r="G200" s="73">
        <v>50578</v>
      </c>
      <c r="H200" s="74">
        <v>4</v>
      </c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62" t="e">
        <f t="shared" si="0"/>
        <v>#DIV/0!</v>
      </c>
      <c r="T200" s="79" t="s">
        <v>55</v>
      </c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</row>
    <row r="201" spans="1:30" ht="15.75" customHeight="1">
      <c r="A201" s="71">
        <v>2</v>
      </c>
      <c r="B201" s="71">
        <v>7</v>
      </c>
      <c r="C201" s="71">
        <v>4</v>
      </c>
      <c r="D201" s="53" t="s">
        <v>212</v>
      </c>
      <c r="E201" s="53" t="s">
        <v>213</v>
      </c>
      <c r="F201" s="53" t="s">
        <v>34</v>
      </c>
      <c r="G201" s="73">
        <v>50579</v>
      </c>
      <c r="H201" s="74">
        <v>1</v>
      </c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62" t="e">
        <f t="shared" si="0"/>
        <v>#DIV/0!</v>
      </c>
      <c r="T201" s="79" t="s">
        <v>55</v>
      </c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</row>
    <row r="202" spans="1:30" ht="15.75" customHeight="1">
      <c r="A202" s="47">
        <v>2</v>
      </c>
      <c r="B202" s="47">
        <v>7</v>
      </c>
      <c r="C202" s="47">
        <v>4</v>
      </c>
      <c r="D202" s="25" t="s">
        <v>214</v>
      </c>
      <c r="E202" s="25" t="s">
        <v>215</v>
      </c>
      <c r="F202" s="25" t="s">
        <v>34</v>
      </c>
      <c r="G202" s="49">
        <v>50580</v>
      </c>
      <c r="H202" s="51">
        <v>25</v>
      </c>
      <c r="I202" s="32">
        <v>1.85</v>
      </c>
      <c r="J202" s="36"/>
      <c r="K202" s="36"/>
      <c r="L202" s="36"/>
      <c r="M202" s="36"/>
      <c r="N202" s="36"/>
      <c r="O202" s="36"/>
      <c r="P202" s="36"/>
      <c r="Q202" s="36"/>
      <c r="R202" s="36"/>
      <c r="S202" s="62">
        <f t="shared" si="0"/>
        <v>1.85</v>
      </c>
      <c r="T202" s="27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</row>
    <row r="203" spans="1:30" ht="15.75" customHeight="1">
      <c r="A203" s="47">
        <v>2</v>
      </c>
      <c r="B203" s="47">
        <v>7</v>
      </c>
      <c r="C203" s="47">
        <v>4</v>
      </c>
      <c r="D203" s="25" t="s">
        <v>216</v>
      </c>
      <c r="E203" s="25" t="s">
        <v>217</v>
      </c>
      <c r="F203" s="25" t="s">
        <v>34</v>
      </c>
      <c r="G203" s="49">
        <v>50584</v>
      </c>
      <c r="H203" s="51">
        <v>92</v>
      </c>
      <c r="I203" s="277">
        <v>1.337</v>
      </c>
      <c r="J203" s="277">
        <v>1.2729999999999999</v>
      </c>
      <c r="K203" s="277">
        <v>0.95499999999999996</v>
      </c>
      <c r="L203" s="277">
        <v>1.05</v>
      </c>
      <c r="M203" s="36"/>
      <c r="N203" s="36"/>
      <c r="O203" s="36"/>
      <c r="P203" s="36"/>
      <c r="Q203" s="36"/>
      <c r="R203" s="36"/>
      <c r="S203" s="62">
        <f t="shared" si="0"/>
        <v>1.1537500000000001</v>
      </c>
      <c r="T203" s="27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</row>
    <row r="204" spans="1:30" ht="15.75" customHeight="1">
      <c r="A204" s="47">
        <v>2</v>
      </c>
      <c r="B204" s="47">
        <v>7</v>
      </c>
      <c r="C204" s="47">
        <v>4</v>
      </c>
      <c r="D204" s="25" t="s">
        <v>218</v>
      </c>
      <c r="E204" s="25" t="s">
        <v>219</v>
      </c>
      <c r="F204" s="25" t="s">
        <v>34</v>
      </c>
      <c r="G204" s="49">
        <v>50547</v>
      </c>
      <c r="H204" s="51">
        <v>73</v>
      </c>
      <c r="I204" s="277">
        <v>1.95</v>
      </c>
      <c r="J204" s="277">
        <v>0.85899999999999999</v>
      </c>
      <c r="K204" s="277">
        <v>1.05</v>
      </c>
      <c r="L204" s="36"/>
      <c r="M204" s="36"/>
      <c r="N204" s="36"/>
      <c r="O204" s="36"/>
      <c r="P204" s="36"/>
      <c r="Q204" s="36"/>
      <c r="R204" s="36"/>
      <c r="S204" s="62">
        <f t="shared" si="0"/>
        <v>1.2863333333333333</v>
      </c>
      <c r="T204" s="27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</row>
    <row r="205" spans="1:30" ht="15.75" customHeight="1">
      <c r="A205" s="47">
        <v>2</v>
      </c>
      <c r="B205" s="47">
        <v>7</v>
      </c>
      <c r="C205" s="47">
        <v>4</v>
      </c>
      <c r="D205" s="25" t="s">
        <v>218</v>
      </c>
      <c r="E205" s="25" t="s">
        <v>219</v>
      </c>
      <c r="F205" s="25" t="s">
        <v>25</v>
      </c>
      <c r="G205" s="49">
        <v>50389</v>
      </c>
      <c r="H205" s="51">
        <v>14</v>
      </c>
      <c r="I205" s="277">
        <v>1.655</v>
      </c>
      <c r="J205" s="36"/>
      <c r="K205" s="36"/>
      <c r="L205" s="36"/>
      <c r="M205" s="36"/>
      <c r="N205" s="36"/>
      <c r="O205" s="36"/>
      <c r="P205" s="36"/>
      <c r="Q205" s="36"/>
      <c r="R205" s="36"/>
      <c r="S205" s="62">
        <f t="shared" si="0"/>
        <v>1.655</v>
      </c>
      <c r="T205" s="27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</row>
    <row r="206" spans="1:30" ht="15.75" customHeight="1">
      <c r="A206" s="47">
        <v>2</v>
      </c>
      <c r="B206" s="47">
        <v>7</v>
      </c>
      <c r="C206" s="47">
        <v>4</v>
      </c>
      <c r="D206" s="25" t="s">
        <v>218</v>
      </c>
      <c r="E206" s="25" t="s">
        <v>219</v>
      </c>
      <c r="F206" s="25" t="s">
        <v>25</v>
      </c>
      <c r="G206" s="49">
        <v>50676</v>
      </c>
      <c r="H206" s="51">
        <v>3</v>
      </c>
      <c r="I206" s="277">
        <v>2.89</v>
      </c>
      <c r="J206" s="36"/>
      <c r="K206" s="36"/>
      <c r="L206" s="36"/>
      <c r="M206" s="36"/>
      <c r="N206" s="36"/>
      <c r="O206" s="36"/>
      <c r="P206" s="36"/>
      <c r="Q206" s="36"/>
      <c r="R206" s="36"/>
      <c r="S206" s="62">
        <f t="shared" si="0"/>
        <v>2.89</v>
      </c>
      <c r="T206" s="27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</row>
    <row r="207" spans="1:30" ht="15.75" customHeight="1">
      <c r="A207" s="47">
        <v>2</v>
      </c>
      <c r="B207" s="47">
        <v>7</v>
      </c>
      <c r="C207" s="47">
        <v>5</v>
      </c>
      <c r="D207" s="25" t="s">
        <v>160</v>
      </c>
      <c r="E207" s="25" t="s">
        <v>161</v>
      </c>
      <c r="F207" s="25" t="s">
        <v>25</v>
      </c>
      <c r="G207" s="49">
        <v>50863</v>
      </c>
      <c r="H207" s="51">
        <v>168</v>
      </c>
      <c r="I207" s="32">
        <v>0.63</v>
      </c>
      <c r="J207" s="32">
        <v>0.56999999999999995</v>
      </c>
      <c r="K207" s="32">
        <v>1.88</v>
      </c>
      <c r="L207" s="32">
        <v>1.05</v>
      </c>
      <c r="M207" s="32">
        <v>0.62</v>
      </c>
      <c r="N207" s="36"/>
      <c r="O207" s="36"/>
      <c r="P207" s="36"/>
      <c r="Q207" s="36"/>
      <c r="R207" s="36"/>
      <c r="S207" s="62">
        <f t="shared" si="0"/>
        <v>0.95</v>
      </c>
      <c r="T207" s="27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</row>
    <row r="208" spans="1:30" ht="15.75" customHeight="1">
      <c r="A208" s="47">
        <v>2</v>
      </c>
      <c r="B208" s="47">
        <v>7</v>
      </c>
      <c r="C208" s="47">
        <v>5</v>
      </c>
      <c r="D208" s="25" t="s">
        <v>189</v>
      </c>
      <c r="E208" s="25" t="s">
        <v>190</v>
      </c>
      <c r="F208" s="25" t="s">
        <v>25</v>
      </c>
      <c r="G208" s="49">
        <v>50864</v>
      </c>
      <c r="H208" s="51">
        <v>279</v>
      </c>
      <c r="I208" s="32">
        <v>0.76</v>
      </c>
      <c r="J208" s="32">
        <v>1.1599999999999999</v>
      </c>
      <c r="K208" s="32">
        <v>1.05</v>
      </c>
      <c r="L208" s="32">
        <v>1.07</v>
      </c>
      <c r="M208" s="32">
        <v>0.85</v>
      </c>
      <c r="N208" s="32">
        <v>1.2</v>
      </c>
      <c r="O208" s="32">
        <v>1.17</v>
      </c>
      <c r="P208" s="32">
        <v>1.53</v>
      </c>
      <c r="Q208" s="36"/>
      <c r="R208" s="36"/>
      <c r="S208" s="62">
        <f t="shared" si="0"/>
        <v>1.0987499999999999</v>
      </c>
      <c r="T208" s="27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</row>
    <row r="209" spans="1:30" ht="15.75" customHeight="1">
      <c r="A209" s="47">
        <v>2</v>
      </c>
      <c r="B209" s="47">
        <v>7</v>
      </c>
      <c r="C209" s="47">
        <v>6</v>
      </c>
      <c r="D209" s="25" t="s">
        <v>100</v>
      </c>
      <c r="E209" s="25" t="s">
        <v>101</v>
      </c>
      <c r="F209" s="25" t="s">
        <v>31</v>
      </c>
      <c r="G209" s="49">
        <v>50692</v>
      </c>
      <c r="H209" s="51">
        <v>462</v>
      </c>
      <c r="I209" s="32">
        <v>0.45</v>
      </c>
      <c r="J209" s="32">
        <v>0.35</v>
      </c>
      <c r="K209" s="32">
        <v>0.251</v>
      </c>
      <c r="L209" s="32">
        <v>0.3</v>
      </c>
      <c r="M209" s="32">
        <v>0.3</v>
      </c>
      <c r="N209" s="32">
        <v>0.19</v>
      </c>
      <c r="O209" s="32">
        <v>0.28999999999999998</v>
      </c>
      <c r="P209" s="32">
        <v>0.28100000000000003</v>
      </c>
      <c r="Q209" s="32">
        <v>0.15</v>
      </c>
      <c r="R209" s="32">
        <v>0.25</v>
      </c>
      <c r="S209" s="62">
        <f t="shared" si="0"/>
        <v>0.28120000000000001</v>
      </c>
      <c r="T209" s="27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</row>
    <row r="210" spans="1:30" ht="15.75" customHeight="1">
      <c r="A210" s="47">
        <v>2</v>
      </c>
      <c r="B210" s="47">
        <v>7</v>
      </c>
      <c r="C210" s="47">
        <v>7</v>
      </c>
      <c r="D210" s="25" t="s">
        <v>58</v>
      </c>
      <c r="E210" s="25" t="s">
        <v>59</v>
      </c>
      <c r="F210" s="25" t="s">
        <v>25</v>
      </c>
      <c r="G210" s="49">
        <v>50868</v>
      </c>
      <c r="H210" s="51">
        <v>416</v>
      </c>
      <c r="I210" s="32">
        <v>1.27</v>
      </c>
      <c r="J210" s="32">
        <v>1.62</v>
      </c>
      <c r="K210" s="32">
        <v>1.68</v>
      </c>
      <c r="L210" s="32">
        <v>1.1599999999999999</v>
      </c>
      <c r="M210" s="32">
        <v>1.87</v>
      </c>
      <c r="N210" s="32">
        <v>1.1000000000000001</v>
      </c>
      <c r="O210" s="32">
        <v>1.02</v>
      </c>
      <c r="P210" s="32">
        <v>1.4</v>
      </c>
      <c r="Q210" s="32">
        <v>1.82</v>
      </c>
      <c r="R210" s="32">
        <v>0.88</v>
      </c>
      <c r="S210" s="62">
        <f t="shared" si="0"/>
        <v>1.3820000000000001</v>
      </c>
      <c r="T210" s="27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</row>
    <row r="211" spans="1:30" ht="15.75" customHeight="1">
      <c r="A211" s="159">
        <v>2</v>
      </c>
      <c r="B211" s="159">
        <v>7</v>
      </c>
      <c r="C211" s="159">
        <v>7</v>
      </c>
      <c r="D211" s="153" t="s">
        <v>97</v>
      </c>
      <c r="E211" s="153" t="s">
        <v>220</v>
      </c>
      <c r="F211" s="153" t="s">
        <v>25</v>
      </c>
      <c r="G211" s="161">
        <v>50869</v>
      </c>
      <c r="H211" s="162">
        <v>214</v>
      </c>
      <c r="I211" s="159">
        <v>0.97399999999999998</v>
      </c>
      <c r="J211" s="159">
        <v>0.22</v>
      </c>
      <c r="K211" s="159">
        <v>0.21</v>
      </c>
      <c r="L211" s="159">
        <v>0.17</v>
      </c>
      <c r="M211" s="160"/>
      <c r="N211" s="160"/>
      <c r="O211" s="160"/>
      <c r="P211" s="160"/>
      <c r="Q211" s="160"/>
      <c r="R211" s="160"/>
      <c r="S211" s="62">
        <f t="shared" si="0"/>
        <v>0.39349999999999996</v>
      </c>
      <c r="T211" s="163" t="s">
        <v>221</v>
      </c>
      <c r="U211" s="271"/>
      <c r="V211" s="271"/>
      <c r="W211" s="271"/>
      <c r="X211" s="271"/>
      <c r="Y211" s="271"/>
      <c r="Z211" s="271"/>
      <c r="AA211" s="271"/>
      <c r="AB211" s="271"/>
      <c r="AC211" s="271"/>
      <c r="AD211" s="271"/>
    </row>
    <row r="212" spans="1:30" ht="15.75" customHeight="1">
      <c r="A212" s="47">
        <v>2</v>
      </c>
      <c r="B212" s="47">
        <v>7</v>
      </c>
      <c r="C212" s="47">
        <v>9</v>
      </c>
      <c r="D212" s="25" t="s">
        <v>222</v>
      </c>
      <c r="E212" s="25" t="s">
        <v>223</v>
      </c>
      <c r="F212" s="25" t="s">
        <v>25</v>
      </c>
      <c r="G212" s="49">
        <v>50870</v>
      </c>
      <c r="H212" s="51">
        <v>93</v>
      </c>
      <c r="I212" s="32">
        <v>0.84799999999999998</v>
      </c>
      <c r="J212" s="32">
        <v>0.62</v>
      </c>
      <c r="K212" s="32">
        <v>0.32200000000000001</v>
      </c>
      <c r="L212" s="32">
        <v>0.48499999999999999</v>
      </c>
      <c r="M212" s="36"/>
      <c r="N212" s="36"/>
      <c r="O212" s="36"/>
      <c r="P212" s="36"/>
      <c r="Q212" s="36"/>
      <c r="R212" s="36"/>
      <c r="S212" s="62">
        <f t="shared" si="0"/>
        <v>0.56874999999999998</v>
      </c>
      <c r="T212" s="27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</row>
    <row r="213" spans="1:30" ht="15.75" customHeight="1">
      <c r="A213" s="47">
        <v>2</v>
      </c>
      <c r="B213" s="47">
        <v>7</v>
      </c>
      <c r="C213" s="47">
        <v>9</v>
      </c>
      <c r="D213" s="25" t="s">
        <v>138</v>
      </c>
      <c r="E213" s="25" t="s">
        <v>139</v>
      </c>
      <c r="F213" s="25" t="s">
        <v>25</v>
      </c>
      <c r="G213" s="49">
        <v>50871</v>
      </c>
      <c r="H213" s="51">
        <v>433</v>
      </c>
      <c r="I213" s="32">
        <v>0.55000000000000004</v>
      </c>
      <c r="J213" s="32">
        <v>0.45800000000000002</v>
      </c>
      <c r="K213" s="32">
        <v>0.34699999999999998</v>
      </c>
      <c r="L213" s="32">
        <v>0.42</v>
      </c>
      <c r="M213" s="32">
        <v>0.65</v>
      </c>
      <c r="N213" s="32">
        <v>0.38100000000000001</v>
      </c>
      <c r="O213" s="32">
        <v>0.41499999999999998</v>
      </c>
      <c r="P213" s="32">
        <v>0.221</v>
      </c>
      <c r="Q213" s="32">
        <v>0.27</v>
      </c>
      <c r="R213" s="32">
        <v>0.27800000000000002</v>
      </c>
      <c r="S213" s="62">
        <f t="shared" si="0"/>
        <v>0.39900000000000002</v>
      </c>
      <c r="T213" s="27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</row>
    <row r="214" spans="1:30" ht="15.75" customHeight="1">
      <c r="A214" s="159">
        <v>2</v>
      </c>
      <c r="B214" s="159">
        <v>7</v>
      </c>
      <c r="C214" s="159">
        <v>11</v>
      </c>
      <c r="D214" s="153" t="s">
        <v>224</v>
      </c>
      <c r="E214" s="153" t="s">
        <v>225</v>
      </c>
      <c r="F214" s="153" t="s">
        <v>25</v>
      </c>
      <c r="G214" s="161">
        <v>50872</v>
      </c>
      <c r="H214" s="162">
        <v>200</v>
      </c>
      <c r="I214" s="159">
        <v>0.68</v>
      </c>
      <c r="J214" s="160"/>
      <c r="K214" s="160"/>
      <c r="L214" s="160"/>
      <c r="M214" s="160"/>
      <c r="N214" s="160"/>
      <c r="O214" s="160"/>
      <c r="P214" s="160"/>
      <c r="Q214" s="160"/>
      <c r="R214" s="160"/>
      <c r="S214" s="62">
        <f t="shared" si="0"/>
        <v>0.68</v>
      </c>
      <c r="T214" s="163" t="s">
        <v>221</v>
      </c>
      <c r="U214" s="271"/>
      <c r="V214" s="271"/>
      <c r="W214" s="271"/>
      <c r="X214" s="271"/>
      <c r="Y214" s="271"/>
      <c r="Z214" s="271"/>
      <c r="AA214" s="271"/>
      <c r="AB214" s="271"/>
      <c r="AC214" s="271"/>
      <c r="AD214" s="271"/>
    </row>
    <row r="215" spans="1:30" ht="15.75" customHeight="1">
      <c r="A215" s="71">
        <v>2</v>
      </c>
      <c r="B215" s="71">
        <v>7</v>
      </c>
      <c r="C215" s="71">
        <v>11</v>
      </c>
      <c r="D215" s="53" t="s">
        <v>212</v>
      </c>
      <c r="E215" s="53" t="s">
        <v>213</v>
      </c>
      <c r="F215" s="53" t="s">
        <v>25</v>
      </c>
      <c r="G215" s="73">
        <v>50873</v>
      </c>
      <c r="H215" s="74">
        <v>186</v>
      </c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62" t="e">
        <f t="shared" si="0"/>
        <v>#DIV/0!</v>
      </c>
      <c r="T215" s="79" t="s">
        <v>55</v>
      </c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</row>
    <row r="216" spans="1:30" ht="15.75" customHeight="1">
      <c r="A216" s="47">
        <v>2</v>
      </c>
      <c r="B216" s="47">
        <v>7</v>
      </c>
      <c r="C216" s="47">
        <v>11</v>
      </c>
      <c r="D216" s="25" t="s">
        <v>74</v>
      </c>
      <c r="E216" s="25" t="s">
        <v>75</v>
      </c>
      <c r="F216" s="25" t="s">
        <v>25</v>
      </c>
      <c r="G216" s="49">
        <v>50885</v>
      </c>
      <c r="H216" s="51">
        <v>222</v>
      </c>
      <c r="I216" s="32">
        <v>0.27500000000000002</v>
      </c>
      <c r="J216" s="32">
        <v>0.17399999999999999</v>
      </c>
      <c r="K216" s="32">
        <v>0.27</v>
      </c>
      <c r="L216" s="32">
        <v>0.183</v>
      </c>
      <c r="M216" s="32">
        <v>0.39</v>
      </c>
      <c r="N216" s="32">
        <v>0.22</v>
      </c>
      <c r="O216" s="32">
        <v>0.19</v>
      </c>
      <c r="P216" s="32">
        <v>0.16900000000000001</v>
      </c>
      <c r="Q216" s="32">
        <v>0.187</v>
      </c>
      <c r="R216" s="32">
        <v>0.113</v>
      </c>
      <c r="S216" s="62">
        <f t="shared" si="0"/>
        <v>0.21710000000000002</v>
      </c>
      <c r="T216" s="27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</row>
    <row r="217" spans="1:30" ht="15.75" customHeight="1">
      <c r="A217" s="47">
        <v>2</v>
      </c>
      <c r="B217" s="47">
        <v>7</v>
      </c>
      <c r="C217" s="47">
        <v>12</v>
      </c>
      <c r="D217" s="25" t="s">
        <v>226</v>
      </c>
      <c r="E217" s="25" t="s">
        <v>227</v>
      </c>
      <c r="F217" s="25" t="s">
        <v>34</v>
      </c>
      <c r="G217" s="49">
        <v>50662</v>
      </c>
      <c r="H217" s="51">
        <v>31</v>
      </c>
      <c r="I217" s="32">
        <v>0.57999999999999996</v>
      </c>
      <c r="J217" s="36"/>
      <c r="K217" s="36"/>
      <c r="L217" s="36"/>
      <c r="M217" s="36"/>
      <c r="N217" s="36"/>
      <c r="O217" s="36"/>
      <c r="P217" s="36"/>
      <c r="Q217" s="36"/>
      <c r="R217" s="36"/>
      <c r="S217" s="62">
        <f t="shared" si="0"/>
        <v>0.57999999999999996</v>
      </c>
      <c r="T217" s="27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</row>
    <row r="218" spans="1:30" ht="15.75" customHeight="1">
      <c r="A218" s="47">
        <v>2</v>
      </c>
      <c r="B218" s="47">
        <v>7</v>
      </c>
      <c r="C218" s="47">
        <v>12</v>
      </c>
      <c r="D218" s="25" t="s">
        <v>212</v>
      </c>
      <c r="E218" s="25" t="s">
        <v>213</v>
      </c>
      <c r="F218" s="25" t="s">
        <v>48</v>
      </c>
      <c r="G218" s="49">
        <v>10995</v>
      </c>
      <c r="H218" s="51">
        <v>170</v>
      </c>
      <c r="I218" s="32">
        <v>0.85</v>
      </c>
      <c r="J218" s="32">
        <v>1.23</v>
      </c>
      <c r="K218" s="32">
        <v>0.61</v>
      </c>
      <c r="L218" s="32">
        <v>0.57999999999999996</v>
      </c>
      <c r="M218" s="32">
        <v>0.81</v>
      </c>
      <c r="N218" s="32">
        <v>1.07</v>
      </c>
      <c r="O218" s="36"/>
      <c r="P218" s="36"/>
      <c r="Q218" s="36"/>
      <c r="R218" s="36"/>
      <c r="S218" s="62">
        <f t="shared" si="0"/>
        <v>0.85833333333333339</v>
      </c>
      <c r="T218" s="27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</row>
    <row r="219" spans="1:30" ht="15.75" customHeight="1">
      <c r="A219" s="47">
        <v>2</v>
      </c>
      <c r="B219" s="47">
        <v>7</v>
      </c>
      <c r="C219" s="47">
        <v>13</v>
      </c>
      <c r="D219" s="25" t="s">
        <v>66</v>
      </c>
      <c r="E219" s="25" t="s">
        <v>67</v>
      </c>
      <c r="F219" s="25" t="s">
        <v>31</v>
      </c>
      <c r="G219" s="49">
        <v>50323</v>
      </c>
      <c r="H219" s="51">
        <v>143</v>
      </c>
      <c r="I219" s="32">
        <v>1.78</v>
      </c>
      <c r="J219" s="32">
        <v>0.74</v>
      </c>
      <c r="K219" s="32">
        <v>1.45</v>
      </c>
      <c r="L219" s="32">
        <v>2.0099999999999998</v>
      </c>
      <c r="M219" s="32">
        <v>2</v>
      </c>
      <c r="N219" s="32">
        <v>1.5329999999999999</v>
      </c>
      <c r="O219" s="36"/>
      <c r="P219" s="36"/>
      <c r="Q219" s="36"/>
      <c r="R219" s="36"/>
      <c r="S219" s="62">
        <f t="shared" si="0"/>
        <v>1.5854999999999999</v>
      </c>
      <c r="T219" s="27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</row>
    <row r="220" spans="1:30" ht="15.75" customHeight="1">
      <c r="A220" s="47">
        <v>2</v>
      </c>
      <c r="B220" s="47">
        <v>7</v>
      </c>
      <c r="C220" s="47">
        <v>13</v>
      </c>
      <c r="D220" s="25" t="s">
        <v>66</v>
      </c>
      <c r="E220" s="25" t="s">
        <v>67</v>
      </c>
      <c r="F220" s="25" t="s">
        <v>31</v>
      </c>
      <c r="G220" s="49">
        <v>50726</v>
      </c>
      <c r="H220" s="51">
        <v>166</v>
      </c>
      <c r="I220" s="32">
        <v>1.83</v>
      </c>
      <c r="J220" s="32">
        <v>1.84</v>
      </c>
      <c r="K220" s="32">
        <v>2.0099999999999998</v>
      </c>
      <c r="L220" s="32">
        <v>1.0549999999999999</v>
      </c>
      <c r="M220" s="32">
        <v>1.23</v>
      </c>
      <c r="N220" s="32">
        <v>0.52200000000000002</v>
      </c>
      <c r="O220" s="32">
        <v>0.75800000000000001</v>
      </c>
      <c r="P220" s="32">
        <v>2.34</v>
      </c>
      <c r="Q220" s="36"/>
      <c r="R220" s="36"/>
      <c r="S220" s="62">
        <f t="shared" si="0"/>
        <v>1.4481250000000001</v>
      </c>
      <c r="T220" s="27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</row>
    <row r="221" spans="1:30" ht="15.75" customHeight="1">
      <c r="A221" s="47">
        <v>2</v>
      </c>
      <c r="B221" s="47">
        <v>7</v>
      </c>
      <c r="C221" s="47">
        <v>13</v>
      </c>
      <c r="D221" s="25" t="s">
        <v>66</v>
      </c>
      <c r="E221" s="25" t="s">
        <v>67</v>
      </c>
      <c r="F221" s="25" t="s">
        <v>34</v>
      </c>
      <c r="G221" s="49">
        <v>50087</v>
      </c>
      <c r="H221" s="51">
        <v>132</v>
      </c>
      <c r="I221" s="32">
        <v>1.65</v>
      </c>
      <c r="J221" s="32">
        <v>2.0099999999999998</v>
      </c>
      <c r="K221" s="32">
        <v>0.69</v>
      </c>
      <c r="L221" s="32">
        <v>1.51</v>
      </c>
      <c r="M221" s="32">
        <v>1.54</v>
      </c>
      <c r="N221" s="32">
        <v>2.0299999999999998</v>
      </c>
      <c r="O221" s="32">
        <v>1.85</v>
      </c>
      <c r="P221" s="32">
        <v>1.92</v>
      </c>
      <c r="Q221" s="36"/>
      <c r="R221" s="36"/>
      <c r="S221" s="62">
        <f t="shared" si="0"/>
        <v>1.65</v>
      </c>
      <c r="T221" s="27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</row>
    <row r="222" spans="1:30" ht="15.75" customHeight="1">
      <c r="A222" s="47">
        <v>2</v>
      </c>
      <c r="B222" s="47">
        <v>7</v>
      </c>
      <c r="C222" s="47">
        <v>13</v>
      </c>
      <c r="D222" s="25" t="s">
        <v>66</v>
      </c>
      <c r="E222" s="25" t="s">
        <v>67</v>
      </c>
      <c r="F222" s="25" t="s">
        <v>31</v>
      </c>
      <c r="G222" s="49">
        <v>50724</v>
      </c>
      <c r="H222" s="51">
        <v>224</v>
      </c>
      <c r="I222" s="32">
        <v>1.4279999999999999</v>
      </c>
      <c r="J222" s="32">
        <v>0.71199999999999997</v>
      </c>
      <c r="K222" s="32">
        <v>1.556</v>
      </c>
      <c r="L222" s="32">
        <v>1.74</v>
      </c>
      <c r="M222" s="32">
        <v>1.6539999999999999</v>
      </c>
      <c r="N222" s="32">
        <v>1.46</v>
      </c>
      <c r="O222" s="32">
        <v>1.81</v>
      </c>
      <c r="P222" s="32">
        <v>1.589</v>
      </c>
      <c r="Q222" s="32">
        <v>1.0289999999999999</v>
      </c>
      <c r="R222" s="32">
        <v>0.94</v>
      </c>
      <c r="S222" s="62">
        <f t="shared" si="0"/>
        <v>1.3918000000000001</v>
      </c>
      <c r="T222" s="27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</row>
    <row r="223" spans="1:30" ht="15.75" customHeight="1">
      <c r="A223" s="71">
        <v>2</v>
      </c>
      <c r="B223" s="71">
        <v>7</v>
      </c>
      <c r="C223" s="71">
        <v>14</v>
      </c>
      <c r="D223" s="53" t="s">
        <v>228</v>
      </c>
      <c r="E223" s="53" t="s">
        <v>229</v>
      </c>
      <c r="F223" s="53" t="s">
        <v>25</v>
      </c>
      <c r="G223" s="73">
        <v>50855</v>
      </c>
      <c r="H223" s="74">
        <v>26</v>
      </c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62" t="e">
        <f t="shared" si="0"/>
        <v>#DIV/0!</v>
      </c>
      <c r="T223" s="79" t="s">
        <v>55</v>
      </c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</row>
    <row r="224" spans="1:30" ht="15.75" customHeight="1">
      <c r="A224" s="47">
        <v>2</v>
      </c>
      <c r="B224" s="47">
        <v>7</v>
      </c>
      <c r="C224" s="47">
        <v>16</v>
      </c>
      <c r="D224" s="25" t="s">
        <v>138</v>
      </c>
      <c r="E224" s="25" t="s">
        <v>139</v>
      </c>
      <c r="F224" s="25" t="s">
        <v>25</v>
      </c>
      <c r="G224" s="49">
        <v>50879</v>
      </c>
      <c r="H224" s="51">
        <v>477</v>
      </c>
      <c r="I224" s="32">
        <v>0.113</v>
      </c>
      <c r="J224" s="32">
        <v>0.221</v>
      </c>
      <c r="K224" s="32">
        <v>0.14000000000000001</v>
      </c>
      <c r="L224" s="32">
        <v>0.21</v>
      </c>
      <c r="M224" s="32">
        <v>0.33</v>
      </c>
      <c r="N224" s="32">
        <v>0.28999999999999998</v>
      </c>
      <c r="O224" s="32">
        <v>0.26</v>
      </c>
      <c r="P224" s="32">
        <v>0.49</v>
      </c>
      <c r="Q224" s="32">
        <v>0.65800000000000003</v>
      </c>
      <c r="R224" s="32">
        <v>0.25</v>
      </c>
      <c r="S224" s="62">
        <f t="shared" si="0"/>
        <v>0.29620000000000002</v>
      </c>
      <c r="T224" s="27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</row>
    <row r="225" spans="1:30" ht="15.75" customHeight="1">
      <c r="A225" s="47">
        <v>2</v>
      </c>
      <c r="B225" s="47">
        <v>7</v>
      </c>
      <c r="C225" s="47">
        <v>16</v>
      </c>
      <c r="D225" s="25" t="s">
        <v>122</v>
      </c>
      <c r="E225" s="25" t="s">
        <v>123</v>
      </c>
      <c r="F225" s="25" t="s">
        <v>25</v>
      </c>
      <c r="G225" s="49">
        <v>50888</v>
      </c>
      <c r="H225" s="51">
        <v>135</v>
      </c>
      <c r="I225" s="32">
        <v>0.38</v>
      </c>
      <c r="J225" s="32">
        <v>0.31900000000000001</v>
      </c>
      <c r="K225" s="32">
        <v>0.29899999999999999</v>
      </c>
      <c r="L225" s="32">
        <v>0.33100000000000002</v>
      </c>
      <c r="M225" s="32">
        <v>0.39200000000000002</v>
      </c>
      <c r="N225" s="32">
        <v>0.33</v>
      </c>
      <c r="O225" s="36"/>
      <c r="P225" s="36"/>
      <c r="Q225" s="36"/>
      <c r="R225" s="36"/>
      <c r="S225" s="62">
        <f t="shared" si="0"/>
        <v>0.34183333333333338</v>
      </c>
      <c r="T225" s="27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</row>
    <row r="226" spans="1:30" ht="15.75" customHeight="1">
      <c r="A226" s="47">
        <v>2</v>
      </c>
      <c r="B226" s="47">
        <v>7</v>
      </c>
      <c r="C226" s="47">
        <v>17</v>
      </c>
      <c r="D226" s="25" t="s">
        <v>66</v>
      </c>
      <c r="E226" s="25" t="s">
        <v>67</v>
      </c>
      <c r="F226" s="25" t="s">
        <v>34</v>
      </c>
      <c r="G226" s="49">
        <v>50459</v>
      </c>
      <c r="H226" s="51">
        <v>126</v>
      </c>
      <c r="I226" s="32">
        <v>2.06</v>
      </c>
      <c r="J226" s="32">
        <v>1.63</v>
      </c>
      <c r="K226" s="32">
        <v>1.95</v>
      </c>
      <c r="L226" s="32">
        <v>1.87</v>
      </c>
      <c r="M226" s="32">
        <v>2.31</v>
      </c>
      <c r="N226" s="32">
        <v>2.1800000000000002</v>
      </c>
      <c r="O226" s="36"/>
      <c r="P226" s="36"/>
      <c r="Q226" s="36"/>
      <c r="R226" s="36"/>
      <c r="S226" s="62">
        <f t="shared" si="0"/>
        <v>2</v>
      </c>
      <c r="T226" s="27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</row>
    <row r="227" spans="1:30" ht="15.75" customHeight="1">
      <c r="A227" s="47">
        <v>2</v>
      </c>
      <c r="B227" s="47">
        <v>7</v>
      </c>
      <c r="C227" s="47">
        <v>17</v>
      </c>
      <c r="D227" s="25" t="s">
        <v>66</v>
      </c>
      <c r="E227" s="25" t="s">
        <v>67</v>
      </c>
      <c r="F227" s="25" t="s">
        <v>34</v>
      </c>
      <c r="G227" s="49">
        <v>50602</v>
      </c>
      <c r="H227" s="51">
        <v>42</v>
      </c>
      <c r="I227" s="32">
        <v>2.0499999999999998</v>
      </c>
      <c r="J227" s="32">
        <v>0.68799999999999994</v>
      </c>
      <c r="K227" s="36"/>
      <c r="L227" s="36"/>
      <c r="M227" s="36"/>
      <c r="N227" s="36"/>
      <c r="O227" s="36"/>
      <c r="P227" s="36"/>
      <c r="Q227" s="36"/>
      <c r="R227" s="36"/>
      <c r="S227" s="62">
        <f t="shared" si="0"/>
        <v>1.3689999999999998</v>
      </c>
      <c r="T227" s="27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</row>
    <row r="228" spans="1:30" ht="15.75" customHeight="1">
      <c r="A228" s="47">
        <v>2</v>
      </c>
      <c r="B228" s="47">
        <v>7</v>
      </c>
      <c r="C228" s="47">
        <v>18</v>
      </c>
      <c r="D228" s="25" t="s">
        <v>230</v>
      </c>
      <c r="E228" s="25" t="s">
        <v>231</v>
      </c>
      <c r="F228" s="25" t="s">
        <v>48</v>
      </c>
      <c r="G228" s="49">
        <v>50206</v>
      </c>
      <c r="H228" s="51">
        <v>73</v>
      </c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62" t="e">
        <f t="shared" si="0"/>
        <v>#DIV/0!</v>
      </c>
      <c r="T228" s="58" t="s">
        <v>255</v>
      </c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</row>
    <row r="229" spans="1:30" ht="15.75" customHeight="1">
      <c r="A229" s="47">
        <v>2</v>
      </c>
      <c r="B229" s="47">
        <v>7</v>
      </c>
      <c r="C229" s="47">
        <v>18</v>
      </c>
      <c r="D229" s="25" t="s">
        <v>232</v>
      </c>
      <c r="E229" s="114"/>
      <c r="F229" s="25" t="s">
        <v>68</v>
      </c>
      <c r="G229" s="49">
        <v>50779</v>
      </c>
      <c r="H229" s="51">
        <v>91</v>
      </c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62" t="e">
        <f t="shared" si="0"/>
        <v>#DIV/0!</v>
      </c>
      <c r="T229" s="58" t="s">
        <v>255</v>
      </c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</row>
    <row r="230" spans="1:30" ht="15.75" customHeight="1">
      <c r="A230" s="47">
        <v>2</v>
      </c>
      <c r="B230" s="47">
        <v>8</v>
      </c>
      <c r="C230" s="47">
        <v>2</v>
      </c>
      <c r="D230" s="25" t="s">
        <v>233</v>
      </c>
      <c r="E230" s="25" t="s">
        <v>234</v>
      </c>
      <c r="F230" s="25" t="s">
        <v>48</v>
      </c>
      <c r="G230" s="49">
        <v>50778</v>
      </c>
      <c r="H230" s="51">
        <v>118</v>
      </c>
      <c r="I230" s="32">
        <v>0.94</v>
      </c>
      <c r="J230" s="32">
        <v>1.157</v>
      </c>
      <c r="K230" s="36"/>
      <c r="L230" s="36"/>
      <c r="M230" s="36"/>
      <c r="N230" s="36"/>
      <c r="O230" s="36"/>
      <c r="P230" s="36"/>
      <c r="Q230" s="36"/>
      <c r="R230" s="36"/>
      <c r="S230" s="62">
        <f t="shared" si="0"/>
        <v>1.0485</v>
      </c>
      <c r="T230" s="27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</row>
    <row r="231" spans="1:30" ht="15.75" customHeight="1">
      <c r="A231" s="47">
        <v>2</v>
      </c>
      <c r="B231" s="47">
        <v>8</v>
      </c>
      <c r="C231" s="47">
        <v>2</v>
      </c>
      <c r="D231" s="25" t="s">
        <v>233</v>
      </c>
      <c r="E231" s="25" t="s">
        <v>234</v>
      </c>
      <c r="F231" s="25" t="s">
        <v>34</v>
      </c>
      <c r="G231" s="49">
        <v>50587</v>
      </c>
      <c r="H231" s="51">
        <v>47</v>
      </c>
      <c r="I231" s="32">
        <v>1.64</v>
      </c>
      <c r="J231" s="32">
        <v>0.59299999999999997</v>
      </c>
      <c r="K231" s="36"/>
      <c r="L231" s="36"/>
      <c r="M231" s="36"/>
      <c r="N231" s="36"/>
      <c r="O231" s="36"/>
      <c r="P231" s="36"/>
      <c r="Q231" s="36"/>
      <c r="R231" s="36"/>
      <c r="S231" s="62">
        <f t="shared" si="0"/>
        <v>1.1164999999999998</v>
      </c>
      <c r="T231" s="27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</row>
    <row r="232" spans="1:30" ht="15.75" customHeight="1">
      <c r="A232" s="47">
        <v>2</v>
      </c>
      <c r="B232" s="47">
        <v>8</v>
      </c>
      <c r="C232" s="47">
        <v>3</v>
      </c>
      <c r="D232" s="25" t="s">
        <v>134</v>
      </c>
      <c r="E232" s="25" t="s">
        <v>135</v>
      </c>
      <c r="F232" s="25" t="s">
        <v>25</v>
      </c>
      <c r="G232" s="49">
        <v>50268</v>
      </c>
      <c r="H232" s="51">
        <v>210</v>
      </c>
      <c r="I232" s="33">
        <v>0.44</v>
      </c>
      <c r="J232" s="33">
        <v>0.55600000000000005</v>
      </c>
      <c r="K232" s="33">
        <v>1.1299999999999999</v>
      </c>
      <c r="L232" s="33">
        <v>0.54</v>
      </c>
      <c r="M232" s="33">
        <v>1.51</v>
      </c>
      <c r="N232" s="33">
        <v>1.024</v>
      </c>
      <c r="O232" s="33">
        <v>1.65</v>
      </c>
      <c r="P232" s="33">
        <v>0.64</v>
      </c>
      <c r="Q232" s="36"/>
      <c r="R232" s="36"/>
      <c r="S232" s="62">
        <f t="shared" si="0"/>
        <v>0.93624999999999992</v>
      </c>
      <c r="T232" s="60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</row>
    <row r="233" spans="1:30" ht="15.75" customHeight="1">
      <c r="A233" s="47">
        <v>2</v>
      </c>
      <c r="B233" s="47">
        <v>8</v>
      </c>
      <c r="C233" s="47">
        <v>4</v>
      </c>
      <c r="D233" s="25" t="s">
        <v>132</v>
      </c>
      <c r="E233" s="25" t="s">
        <v>133</v>
      </c>
      <c r="F233" s="25" t="s">
        <v>68</v>
      </c>
      <c r="G233" s="49">
        <v>50454</v>
      </c>
      <c r="H233" s="51">
        <v>273</v>
      </c>
      <c r="I233" s="33">
        <v>0.42</v>
      </c>
      <c r="J233" s="33">
        <v>0.56000000000000005</v>
      </c>
      <c r="K233" s="33">
        <v>0.44</v>
      </c>
      <c r="L233" s="33">
        <v>0.55100000000000005</v>
      </c>
      <c r="M233" s="33">
        <v>0.42499999999999999</v>
      </c>
      <c r="N233" s="33">
        <v>0.56000000000000005</v>
      </c>
      <c r="O233" s="36"/>
      <c r="P233" s="36"/>
      <c r="Q233" s="36"/>
      <c r="R233" s="36"/>
      <c r="S233" s="62">
        <f t="shared" si="0"/>
        <v>0.49266666666666664</v>
      </c>
      <c r="T233" s="60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</row>
    <row r="234" spans="1:30" ht="15.75" customHeight="1">
      <c r="A234" s="47">
        <v>2</v>
      </c>
      <c r="B234" s="47">
        <v>8</v>
      </c>
      <c r="C234" s="47">
        <v>4</v>
      </c>
      <c r="D234" s="25" t="s">
        <v>132</v>
      </c>
      <c r="E234" s="25" t="s">
        <v>133</v>
      </c>
      <c r="F234" s="25" t="s">
        <v>34</v>
      </c>
      <c r="G234" s="49">
        <v>50570</v>
      </c>
      <c r="H234" s="51">
        <v>226</v>
      </c>
      <c r="I234" s="33">
        <v>0.38500000000000001</v>
      </c>
      <c r="J234" s="33">
        <v>0.41</v>
      </c>
      <c r="K234" s="33">
        <v>0.39300000000000002</v>
      </c>
      <c r="L234" s="33">
        <v>0.34200000000000003</v>
      </c>
      <c r="M234" s="33">
        <v>0.375</v>
      </c>
      <c r="N234" s="33">
        <v>0.46</v>
      </c>
      <c r="O234" s="33">
        <v>0.35899999999999999</v>
      </c>
      <c r="P234" s="33">
        <v>0.44</v>
      </c>
      <c r="Q234" s="36"/>
      <c r="R234" s="36"/>
      <c r="S234" s="62">
        <f t="shared" si="0"/>
        <v>0.39550000000000002</v>
      </c>
      <c r="T234" s="60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</row>
    <row r="235" spans="1:30" ht="15.75" customHeight="1">
      <c r="A235" s="47">
        <v>2</v>
      </c>
      <c r="B235" s="47">
        <v>8</v>
      </c>
      <c r="C235" s="47">
        <v>5</v>
      </c>
      <c r="D235" s="25" t="s">
        <v>142</v>
      </c>
      <c r="E235" s="25" t="s">
        <v>143</v>
      </c>
      <c r="F235" s="25" t="s">
        <v>31</v>
      </c>
      <c r="G235" s="49">
        <v>50824</v>
      </c>
      <c r="H235" s="51">
        <v>67</v>
      </c>
      <c r="I235" s="33">
        <v>0.85</v>
      </c>
      <c r="J235" s="36"/>
      <c r="K235" s="36"/>
      <c r="L235" s="36"/>
      <c r="M235" s="36"/>
      <c r="N235" s="36"/>
      <c r="O235" s="36"/>
      <c r="P235" s="36"/>
      <c r="Q235" s="36"/>
      <c r="R235" s="36"/>
      <c r="S235" s="62">
        <f t="shared" si="0"/>
        <v>0.85</v>
      </c>
      <c r="T235" s="60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</row>
    <row r="236" spans="1:30" ht="15.75" customHeight="1">
      <c r="A236" s="47">
        <v>2</v>
      </c>
      <c r="B236" s="47">
        <v>8</v>
      </c>
      <c r="C236" s="47">
        <v>5</v>
      </c>
      <c r="D236" s="25" t="s">
        <v>142</v>
      </c>
      <c r="E236" s="25" t="s">
        <v>143</v>
      </c>
      <c r="F236" s="25" t="s">
        <v>25</v>
      </c>
      <c r="G236" s="49">
        <v>50766</v>
      </c>
      <c r="H236" s="51">
        <v>26</v>
      </c>
      <c r="I236" s="33">
        <v>1.77</v>
      </c>
      <c r="J236" s="36"/>
      <c r="K236" s="36"/>
      <c r="L236" s="36"/>
      <c r="M236" s="36"/>
      <c r="N236" s="36"/>
      <c r="O236" s="36"/>
      <c r="P236" s="36"/>
      <c r="Q236" s="36"/>
      <c r="R236" s="36"/>
      <c r="S236" s="62">
        <f t="shared" si="0"/>
        <v>1.77</v>
      </c>
      <c r="T236" s="60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</row>
    <row r="237" spans="1:30" ht="15.75" customHeight="1">
      <c r="A237" s="47">
        <v>2</v>
      </c>
      <c r="B237" s="47">
        <v>8</v>
      </c>
      <c r="C237" s="47">
        <v>6</v>
      </c>
      <c r="D237" s="25" t="s">
        <v>37</v>
      </c>
      <c r="E237" s="25" t="s">
        <v>38</v>
      </c>
      <c r="F237" s="25" t="s">
        <v>31</v>
      </c>
      <c r="G237" s="49">
        <v>50826</v>
      </c>
      <c r="H237" s="51">
        <v>185</v>
      </c>
      <c r="I237" s="33">
        <v>0.66200000000000003</v>
      </c>
      <c r="J237" s="33">
        <v>0.61</v>
      </c>
      <c r="K237" s="33">
        <v>0.54</v>
      </c>
      <c r="L237" s="33">
        <v>0.80400000000000005</v>
      </c>
      <c r="M237" s="33">
        <v>0.79300000000000004</v>
      </c>
      <c r="N237" s="33">
        <v>0.6</v>
      </c>
      <c r="O237" s="36"/>
      <c r="P237" s="36"/>
      <c r="Q237" s="36"/>
      <c r="R237" s="36"/>
      <c r="S237" s="62">
        <f t="shared" si="0"/>
        <v>0.66816666666666669</v>
      </c>
      <c r="T237" s="60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</row>
    <row r="238" spans="1:30" ht="15.75" customHeight="1">
      <c r="A238" s="47">
        <v>2</v>
      </c>
      <c r="B238" s="47">
        <v>8</v>
      </c>
      <c r="C238" s="47">
        <v>6</v>
      </c>
      <c r="D238" s="25" t="s">
        <v>58</v>
      </c>
      <c r="E238" s="25" t="s">
        <v>59</v>
      </c>
      <c r="F238" s="25" t="s">
        <v>31</v>
      </c>
      <c r="G238" s="49">
        <v>50839</v>
      </c>
      <c r="H238" s="51">
        <v>215</v>
      </c>
      <c r="I238" s="33">
        <v>1.75</v>
      </c>
      <c r="J238" s="33">
        <v>1.1919999999999999</v>
      </c>
      <c r="K238" s="33">
        <v>1.2</v>
      </c>
      <c r="L238" s="33">
        <v>1.5</v>
      </c>
      <c r="M238" s="33">
        <v>0.90200000000000002</v>
      </c>
      <c r="N238" s="33">
        <v>0.8</v>
      </c>
      <c r="O238" s="36"/>
      <c r="P238" s="36"/>
      <c r="Q238" s="36"/>
      <c r="R238" s="36"/>
      <c r="S238" s="62">
        <f t="shared" si="0"/>
        <v>1.224</v>
      </c>
      <c r="T238" s="60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</row>
    <row r="239" spans="1:30" ht="15.75" customHeight="1">
      <c r="A239" s="47">
        <v>2</v>
      </c>
      <c r="B239" s="47">
        <v>8</v>
      </c>
      <c r="C239" s="47">
        <v>6</v>
      </c>
      <c r="D239" s="25" t="s">
        <v>173</v>
      </c>
      <c r="E239" s="25" t="s">
        <v>174</v>
      </c>
      <c r="F239" s="25" t="s">
        <v>31</v>
      </c>
      <c r="G239" s="49">
        <v>50825</v>
      </c>
      <c r="H239" s="51">
        <v>132</v>
      </c>
      <c r="I239" s="33">
        <v>2.5499999999999998</v>
      </c>
      <c r="J239" s="33">
        <v>2.52</v>
      </c>
      <c r="K239" s="33">
        <v>2.14</v>
      </c>
      <c r="L239" s="33">
        <v>1.7509999999999999</v>
      </c>
      <c r="M239" s="33">
        <v>1.65</v>
      </c>
      <c r="N239" s="33">
        <v>1.7509999999999999</v>
      </c>
      <c r="O239" s="36"/>
      <c r="P239" s="36"/>
      <c r="Q239" s="36"/>
      <c r="R239" s="36"/>
      <c r="S239" s="62">
        <f t="shared" si="0"/>
        <v>2.0603333333333333</v>
      </c>
      <c r="T239" s="60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</row>
    <row r="240" spans="1:30" ht="15.75" customHeight="1">
      <c r="A240" s="47">
        <v>2</v>
      </c>
      <c r="B240" s="47">
        <v>8</v>
      </c>
      <c r="C240" s="47">
        <v>7</v>
      </c>
      <c r="D240" s="25" t="s">
        <v>171</v>
      </c>
      <c r="E240" s="25" t="s">
        <v>172</v>
      </c>
      <c r="F240" s="25" t="s">
        <v>25</v>
      </c>
      <c r="G240" s="49">
        <v>50878</v>
      </c>
      <c r="H240" s="51">
        <v>396</v>
      </c>
      <c r="I240" s="33">
        <v>0.51</v>
      </c>
      <c r="J240" s="33">
        <v>0.55000000000000004</v>
      </c>
      <c r="K240" s="33">
        <v>0.78400000000000003</v>
      </c>
      <c r="L240" s="33">
        <v>0.9</v>
      </c>
      <c r="M240" s="33">
        <v>0.64</v>
      </c>
      <c r="N240" s="33">
        <v>0.85</v>
      </c>
      <c r="O240" s="36"/>
      <c r="P240" s="36"/>
      <c r="Q240" s="36"/>
      <c r="R240" s="36"/>
      <c r="S240" s="62">
        <f t="shared" si="0"/>
        <v>0.70566666666666666</v>
      </c>
      <c r="T240" s="60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</row>
    <row r="241" spans="1:30" ht="15.75" customHeight="1">
      <c r="A241" s="63">
        <v>2</v>
      </c>
      <c r="B241" s="63">
        <v>8</v>
      </c>
      <c r="C241" s="63">
        <v>8</v>
      </c>
      <c r="D241" s="38" t="s">
        <v>235</v>
      </c>
      <c r="E241" s="38" t="s">
        <v>236</v>
      </c>
      <c r="F241" s="38" t="s">
        <v>34</v>
      </c>
      <c r="G241" s="64">
        <v>50569</v>
      </c>
      <c r="H241" s="65">
        <v>7</v>
      </c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62" t="e">
        <f t="shared" si="0"/>
        <v>#DIV/0!</v>
      </c>
      <c r="T241" s="67" t="s">
        <v>43</v>
      </c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</row>
    <row r="242" spans="1:30" ht="15.75" customHeight="1">
      <c r="A242" s="47">
        <v>2</v>
      </c>
      <c r="B242" s="47">
        <v>8</v>
      </c>
      <c r="C242" s="47">
        <v>8</v>
      </c>
      <c r="D242" s="25" t="s">
        <v>85</v>
      </c>
      <c r="E242" s="25" t="s">
        <v>86</v>
      </c>
      <c r="F242" s="25" t="s">
        <v>31</v>
      </c>
      <c r="G242" s="49">
        <v>50796</v>
      </c>
      <c r="H242" s="51">
        <v>256</v>
      </c>
      <c r="I242" s="33">
        <v>0.54700000000000004</v>
      </c>
      <c r="J242" s="33">
        <v>0.77</v>
      </c>
      <c r="K242" s="36"/>
      <c r="L242" s="36"/>
      <c r="M242" s="36"/>
      <c r="N242" s="36"/>
      <c r="O242" s="36"/>
      <c r="P242" s="36"/>
      <c r="Q242" s="36"/>
      <c r="R242" s="36"/>
      <c r="S242" s="62">
        <f t="shared" si="0"/>
        <v>0.65850000000000009</v>
      </c>
      <c r="T242" s="60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</row>
    <row r="243" spans="1:30" ht="15.75" customHeight="1">
      <c r="A243" s="47">
        <v>2</v>
      </c>
      <c r="B243" s="47">
        <v>8</v>
      </c>
      <c r="C243" s="47">
        <v>10</v>
      </c>
      <c r="D243" s="25" t="s">
        <v>169</v>
      </c>
      <c r="E243" s="25" t="s">
        <v>170</v>
      </c>
      <c r="F243" s="25" t="s">
        <v>25</v>
      </c>
      <c r="G243" s="49">
        <v>50883</v>
      </c>
      <c r="H243" s="51">
        <v>158</v>
      </c>
      <c r="I243" s="33">
        <v>0.23</v>
      </c>
      <c r="J243" s="33">
        <v>0.24</v>
      </c>
      <c r="K243" s="33">
        <v>0.36</v>
      </c>
      <c r="L243" s="33">
        <v>0.21</v>
      </c>
      <c r="M243" s="33">
        <v>0.29799999999999999</v>
      </c>
      <c r="N243" s="33">
        <v>0.25</v>
      </c>
      <c r="O243" s="33">
        <v>0.37</v>
      </c>
      <c r="P243" s="33">
        <v>0.31</v>
      </c>
      <c r="Q243" s="36"/>
      <c r="R243" s="36"/>
      <c r="S243" s="62">
        <f t="shared" si="0"/>
        <v>0.28350000000000003</v>
      </c>
      <c r="T243" s="60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</row>
    <row r="244" spans="1:30" ht="15.75" customHeight="1">
      <c r="A244" s="33">
        <v>2</v>
      </c>
      <c r="B244" s="47">
        <v>8</v>
      </c>
      <c r="C244" s="47">
        <v>10</v>
      </c>
      <c r="D244" s="25" t="s">
        <v>218</v>
      </c>
      <c r="E244" s="25" t="s">
        <v>219</v>
      </c>
      <c r="F244" s="25" t="s">
        <v>25</v>
      </c>
      <c r="G244" s="49">
        <v>50884</v>
      </c>
      <c r="H244" s="51">
        <v>262</v>
      </c>
      <c r="I244" s="33">
        <v>0.34</v>
      </c>
      <c r="J244" s="33">
        <v>0.31</v>
      </c>
      <c r="K244" s="33">
        <v>0.41</v>
      </c>
      <c r="L244" s="33">
        <v>0.23</v>
      </c>
      <c r="M244" s="33">
        <v>0.34</v>
      </c>
      <c r="N244" s="33">
        <v>0.36</v>
      </c>
      <c r="O244" s="33">
        <v>0.36</v>
      </c>
      <c r="P244" s="33">
        <v>0.37</v>
      </c>
      <c r="Q244" s="36"/>
      <c r="R244" s="36"/>
      <c r="S244" s="62">
        <f t="shared" si="0"/>
        <v>0.34</v>
      </c>
      <c r="T244" s="60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</row>
    <row r="245" spans="1:30" ht="15.75" customHeight="1">
      <c r="A245" s="47">
        <v>2</v>
      </c>
      <c r="B245" s="47">
        <v>8</v>
      </c>
      <c r="C245" s="47">
        <v>11</v>
      </c>
      <c r="D245" s="25" t="s">
        <v>237</v>
      </c>
      <c r="E245" s="25" t="s">
        <v>238</v>
      </c>
      <c r="F245" s="25" t="s">
        <v>25</v>
      </c>
      <c r="G245" s="49">
        <v>50751</v>
      </c>
      <c r="H245" s="51">
        <v>239</v>
      </c>
      <c r="I245" s="33">
        <v>1.42</v>
      </c>
      <c r="J245" s="33">
        <v>1.1200000000000001</v>
      </c>
      <c r="K245" s="33">
        <v>1.1579999999999999</v>
      </c>
      <c r="L245" s="158"/>
      <c r="M245" s="33">
        <v>1.51</v>
      </c>
      <c r="N245" s="33">
        <v>0.71</v>
      </c>
      <c r="O245" s="33">
        <v>0.55000000000000004</v>
      </c>
      <c r="P245" s="33">
        <v>1.1200000000000001</v>
      </c>
      <c r="Q245" s="36"/>
      <c r="R245" s="36"/>
      <c r="S245" s="62">
        <f t="shared" si="0"/>
        <v>1.0840000000000001</v>
      </c>
      <c r="T245" s="60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</row>
    <row r="246" spans="1:30" ht="15.75" customHeight="1">
      <c r="A246" s="47">
        <v>2</v>
      </c>
      <c r="B246" s="47">
        <v>8</v>
      </c>
      <c r="C246" s="47">
        <v>11</v>
      </c>
      <c r="D246" s="25" t="s">
        <v>237</v>
      </c>
      <c r="E246" s="25" t="s">
        <v>238</v>
      </c>
      <c r="F246" s="25" t="s">
        <v>68</v>
      </c>
      <c r="G246" s="49">
        <v>50737</v>
      </c>
      <c r="H246" s="51">
        <v>31</v>
      </c>
      <c r="I246" s="33">
        <v>1.71</v>
      </c>
      <c r="J246" s="36"/>
      <c r="K246" s="36"/>
      <c r="L246" s="36"/>
      <c r="M246" s="36"/>
      <c r="N246" s="36"/>
      <c r="O246" s="36"/>
      <c r="P246" s="36"/>
      <c r="Q246" s="36"/>
      <c r="R246" s="36"/>
      <c r="S246" s="62">
        <f t="shared" si="0"/>
        <v>1.71</v>
      </c>
      <c r="T246" s="60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</row>
    <row r="247" spans="1:30" ht="15.75" customHeight="1">
      <c r="A247" s="71">
        <v>2</v>
      </c>
      <c r="B247" s="71">
        <v>8</v>
      </c>
      <c r="C247" s="71">
        <v>11</v>
      </c>
      <c r="D247" s="53" t="s">
        <v>237</v>
      </c>
      <c r="E247" s="53" t="s">
        <v>238</v>
      </c>
      <c r="F247" s="53" t="s">
        <v>34</v>
      </c>
      <c r="G247" s="73">
        <v>50543</v>
      </c>
      <c r="H247" s="74">
        <v>38</v>
      </c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62" t="e">
        <f t="shared" si="0"/>
        <v>#DIV/0!</v>
      </c>
      <c r="T247" s="79" t="s">
        <v>55</v>
      </c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</row>
    <row r="248" spans="1:30" ht="15.75" customHeight="1">
      <c r="A248" s="47">
        <v>2</v>
      </c>
      <c r="B248" s="47">
        <v>8</v>
      </c>
      <c r="C248" s="47">
        <v>11</v>
      </c>
      <c r="D248" s="25" t="s">
        <v>237</v>
      </c>
      <c r="E248" s="25" t="s">
        <v>238</v>
      </c>
      <c r="F248" s="25" t="s">
        <v>34</v>
      </c>
      <c r="G248" s="49">
        <v>50738</v>
      </c>
      <c r="H248" s="51">
        <v>54</v>
      </c>
      <c r="I248" s="33">
        <v>0.52</v>
      </c>
      <c r="J248" s="33">
        <v>0.77</v>
      </c>
      <c r="K248" s="36"/>
      <c r="L248" s="36"/>
      <c r="M248" s="36"/>
      <c r="N248" s="36"/>
      <c r="O248" s="36"/>
      <c r="P248" s="36"/>
      <c r="Q248" s="36"/>
      <c r="R248" s="36"/>
      <c r="S248" s="62">
        <f t="shared" si="0"/>
        <v>0.64500000000000002</v>
      </c>
      <c r="T248" s="60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</row>
    <row r="249" spans="1:30" ht="15.75" customHeight="1">
      <c r="A249" s="47">
        <v>2</v>
      </c>
      <c r="B249" s="47">
        <v>8</v>
      </c>
      <c r="C249" s="47">
        <v>11</v>
      </c>
      <c r="D249" s="25" t="s">
        <v>237</v>
      </c>
      <c r="E249" s="25" t="s">
        <v>238</v>
      </c>
      <c r="F249" s="25" t="s">
        <v>68</v>
      </c>
      <c r="G249" s="49">
        <v>50644</v>
      </c>
      <c r="H249" s="51">
        <v>14</v>
      </c>
      <c r="I249" s="33">
        <v>1.538</v>
      </c>
      <c r="J249" s="36"/>
      <c r="K249" s="36"/>
      <c r="L249" s="36"/>
      <c r="M249" s="36"/>
      <c r="N249" s="36"/>
      <c r="O249" s="36"/>
      <c r="P249" s="36"/>
      <c r="Q249" s="36"/>
      <c r="R249" s="36"/>
      <c r="S249" s="62">
        <f t="shared" si="0"/>
        <v>1.538</v>
      </c>
      <c r="T249" s="60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</row>
    <row r="250" spans="1:30" ht="15.75" customHeight="1">
      <c r="A250" s="63">
        <v>2</v>
      </c>
      <c r="B250" s="63">
        <v>8</v>
      </c>
      <c r="C250" s="63">
        <v>11</v>
      </c>
      <c r="D250" s="38" t="s">
        <v>237</v>
      </c>
      <c r="E250" s="38" t="s">
        <v>238</v>
      </c>
      <c r="F250" s="38" t="s">
        <v>25</v>
      </c>
      <c r="G250" s="64">
        <v>50275</v>
      </c>
      <c r="H250" s="65">
        <v>24</v>
      </c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62" t="e">
        <f t="shared" si="0"/>
        <v>#DIV/0!</v>
      </c>
      <c r="T250" s="67" t="s">
        <v>43</v>
      </c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</row>
    <row r="251" spans="1:30" ht="15.75" customHeight="1">
      <c r="A251" s="63">
        <v>2</v>
      </c>
      <c r="B251" s="63">
        <v>8</v>
      </c>
      <c r="C251" s="63">
        <v>11</v>
      </c>
      <c r="D251" s="38" t="s">
        <v>237</v>
      </c>
      <c r="E251" s="38" t="s">
        <v>238</v>
      </c>
      <c r="F251" s="38" t="s">
        <v>34</v>
      </c>
      <c r="G251" s="64">
        <v>50709</v>
      </c>
      <c r="H251" s="65">
        <v>31</v>
      </c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62" t="e">
        <f t="shared" si="0"/>
        <v>#DIV/0!</v>
      </c>
      <c r="T251" s="67" t="s">
        <v>43</v>
      </c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</row>
    <row r="252" spans="1:30" ht="15.75" customHeight="1">
      <c r="A252" s="35">
        <v>2</v>
      </c>
      <c r="B252" s="35">
        <v>8</v>
      </c>
      <c r="C252" s="35">
        <v>12</v>
      </c>
      <c r="D252" s="16" t="s">
        <v>239</v>
      </c>
      <c r="E252" s="16" t="s">
        <v>240</v>
      </c>
      <c r="F252" s="16" t="s">
        <v>25</v>
      </c>
      <c r="G252" s="37">
        <v>30885</v>
      </c>
      <c r="H252" s="39">
        <v>408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62" t="e">
        <f t="shared" si="0"/>
        <v>#DIV/0!</v>
      </c>
      <c r="T252" s="45" t="s">
        <v>26</v>
      </c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</row>
    <row r="253" spans="1:30" ht="15.75" customHeight="1">
      <c r="A253" s="47">
        <v>2</v>
      </c>
      <c r="B253" s="47">
        <v>8</v>
      </c>
      <c r="C253" s="47">
        <v>13</v>
      </c>
      <c r="D253" s="25" t="s">
        <v>134</v>
      </c>
      <c r="E253" s="25" t="s">
        <v>135</v>
      </c>
      <c r="F253" s="25" t="s">
        <v>25</v>
      </c>
      <c r="G253" s="49">
        <v>50142</v>
      </c>
      <c r="H253" s="51">
        <v>224</v>
      </c>
      <c r="I253" s="33">
        <v>0.85</v>
      </c>
      <c r="J253" s="33">
        <v>1.2</v>
      </c>
      <c r="K253" s="33">
        <v>1.5</v>
      </c>
      <c r="L253" s="33">
        <v>1.5</v>
      </c>
      <c r="M253" s="33">
        <v>0.76</v>
      </c>
      <c r="N253" s="33">
        <v>1.76</v>
      </c>
      <c r="O253" s="33">
        <v>1.17</v>
      </c>
      <c r="P253" s="33">
        <v>0.89</v>
      </c>
      <c r="Q253" s="36"/>
      <c r="R253" s="36"/>
      <c r="S253" s="62">
        <f t="shared" si="0"/>
        <v>1.2037499999999999</v>
      </c>
      <c r="T253" s="60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</row>
    <row r="254" spans="1:30" ht="15.75" customHeight="1">
      <c r="A254" s="47">
        <v>2</v>
      </c>
      <c r="B254" s="47">
        <v>8</v>
      </c>
      <c r="C254" s="47">
        <v>13</v>
      </c>
      <c r="D254" s="25" t="s">
        <v>136</v>
      </c>
      <c r="E254" s="25" t="s">
        <v>137</v>
      </c>
      <c r="F254" s="25" t="s">
        <v>25</v>
      </c>
      <c r="G254" s="49">
        <v>50857</v>
      </c>
      <c r="H254" s="51">
        <v>106</v>
      </c>
      <c r="I254" s="33">
        <v>1.45</v>
      </c>
      <c r="J254" s="33">
        <v>1.46</v>
      </c>
      <c r="K254" s="33">
        <v>1.24</v>
      </c>
      <c r="L254" s="33">
        <v>1.3</v>
      </c>
      <c r="M254" s="36"/>
      <c r="N254" s="36"/>
      <c r="O254" s="36"/>
      <c r="P254" s="36"/>
      <c r="Q254" s="36"/>
      <c r="R254" s="36"/>
      <c r="S254" s="62">
        <f t="shared" si="0"/>
        <v>1.3625</v>
      </c>
      <c r="T254" s="60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</row>
    <row r="255" spans="1:30" ht="15.75" customHeight="1">
      <c r="A255" s="47">
        <v>2</v>
      </c>
      <c r="B255" s="47">
        <v>8</v>
      </c>
      <c r="C255" s="47">
        <v>14</v>
      </c>
      <c r="D255" s="25" t="s">
        <v>241</v>
      </c>
      <c r="E255" s="25" t="s">
        <v>242</v>
      </c>
      <c r="F255" s="25" t="s">
        <v>25</v>
      </c>
      <c r="G255" s="49">
        <v>50876</v>
      </c>
      <c r="H255" s="51">
        <v>420</v>
      </c>
      <c r="I255" s="33">
        <v>0.33300000000000002</v>
      </c>
      <c r="J255" s="33">
        <v>0.42</v>
      </c>
      <c r="K255" s="33">
        <v>0.61</v>
      </c>
      <c r="L255" s="33">
        <v>0.51</v>
      </c>
      <c r="M255" s="33">
        <v>0.48</v>
      </c>
      <c r="N255" s="33">
        <v>0.61</v>
      </c>
      <c r="O255" s="33">
        <v>0.56999999999999995</v>
      </c>
      <c r="P255" s="33">
        <v>0.66</v>
      </c>
      <c r="Q255" s="33">
        <v>0.61</v>
      </c>
      <c r="R255" s="33">
        <v>0.63</v>
      </c>
      <c r="S255" s="62">
        <f t="shared" si="0"/>
        <v>0.54330000000000001</v>
      </c>
      <c r="T255" s="60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</row>
    <row r="256" spans="1:30" ht="15.75" customHeight="1">
      <c r="A256" s="47">
        <v>2</v>
      </c>
      <c r="B256" s="47">
        <v>8</v>
      </c>
      <c r="C256" s="47">
        <v>15</v>
      </c>
      <c r="D256" s="25" t="s">
        <v>203</v>
      </c>
      <c r="E256" s="25" t="s">
        <v>204</v>
      </c>
      <c r="F256" s="25" t="s">
        <v>31</v>
      </c>
      <c r="G256" s="49">
        <v>50841</v>
      </c>
      <c r="H256" s="51">
        <v>390</v>
      </c>
      <c r="I256" s="33">
        <v>0.67</v>
      </c>
      <c r="J256" s="33">
        <v>0.59099999999999997</v>
      </c>
      <c r="K256" s="33">
        <v>1.37</v>
      </c>
      <c r="L256" s="33">
        <v>1.05</v>
      </c>
      <c r="M256" s="33">
        <v>0.91</v>
      </c>
      <c r="N256" s="33">
        <v>0.96</v>
      </c>
      <c r="O256" s="33">
        <v>0.76500000000000001</v>
      </c>
      <c r="P256" s="33">
        <v>0.66</v>
      </c>
      <c r="Q256" s="33">
        <v>0.85</v>
      </c>
      <c r="R256" s="33">
        <v>0.63200000000000001</v>
      </c>
      <c r="S256" s="62">
        <f t="shared" si="0"/>
        <v>0.8458</v>
      </c>
      <c r="T256" s="60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</row>
    <row r="257" spans="1:30" ht="15.75" customHeight="1">
      <c r="A257" s="47">
        <v>2</v>
      </c>
      <c r="B257" s="47">
        <v>8</v>
      </c>
      <c r="C257" s="47">
        <v>15</v>
      </c>
      <c r="D257" s="25" t="s">
        <v>203</v>
      </c>
      <c r="E257" s="25" t="s">
        <v>204</v>
      </c>
      <c r="F257" s="25" t="s">
        <v>25</v>
      </c>
      <c r="G257" s="49">
        <v>50657</v>
      </c>
      <c r="H257" s="51">
        <v>8</v>
      </c>
      <c r="I257" s="33">
        <v>1.2</v>
      </c>
      <c r="J257" s="36"/>
      <c r="K257" s="36"/>
      <c r="L257" s="36"/>
      <c r="M257" s="36"/>
      <c r="N257" s="36"/>
      <c r="O257" s="36"/>
      <c r="P257" s="36"/>
      <c r="Q257" s="36"/>
      <c r="R257" s="36"/>
      <c r="S257" s="62">
        <f t="shared" si="0"/>
        <v>1.2</v>
      </c>
      <c r="T257" s="60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</row>
    <row r="258" spans="1:30" ht="15.75" customHeight="1">
      <c r="A258" s="47">
        <v>2</v>
      </c>
      <c r="B258" s="47">
        <v>8</v>
      </c>
      <c r="C258" s="47">
        <v>15</v>
      </c>
      <c r="D258" s="25" t="s">
        <v>203</v>
      </c>
      <c r="E258" s="25" t="s">
        <v>204</v>
      </c>
      <c r="F258" s="25" t="s">
        <v>31</v>
      </c>
      <c r="G258" s="49">
        <v>50777</v>
      </c>
      <c r="H258" s="51">
        <v>9</v>
      </c>
      <c r="I258" s="33">
        <v>0.61</v>
      </c>
      <c r="J258" s="36"/>
      <c r="K258" s="36"/>
      <c r="L258" s="36"/>
      <c r="M258" s="36"/>
      <c r="N258" s="36"/>
      <c r="O258" s="36"/>
      <c r="P258" s="36"/>
      <c r="Q258" s="36"/>
      <c r="R258" s="36"/>
      <c r="S258" s="62">
        <f t="shared" si="0"/>
        <v>0.61</v>
      </c>
      <c r="T258" s="60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</row>
    <row r="259" spans="1:30" ht="15.75" customHeight="1">
      <c r="A259" s="47">
        <v>2</v>
      </c>
      <c r="B259" s="47">
        <v>8</v>
      </c>
      <c r="C259" s="47">
        <v>15</v>
      </c>
      <c r="D259" s="25" t="s">
        <v>203</v>
      </c>
      <c r="E259" s="25" t="s">
        <v>204</v>
      </c>
      <c r="F259" s="25" t="s">
        <v>31</v>
      </c>
      <c r="G259" s="49">
        <v>50799</v>
      </c>
      <c r="H259" s="51">
        <v>7</v>
      </c>
      <c r="I259" s="33">
        <v>0.67</v>
      </c>
      <c r="J259" s="36"/>
      <c r="K259" s="36"/>
      <c r="L259" s="36"/>
      <c r="M259" s="36"/>
      <c r="N259" s="36"/>
      <c r="O259" s="36"/>
      <c r="P259" s="36"/>
      <c r="Q259" s="36"/>
      <c r="R259" s="36"/>
      <c r="S259" s="62">
        <f t="shared" si="0"/>
        <v>0.67</v>
      </c>
      <c r="T259" s="60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</row>
    <row r="260" spans="1:30" ht="15.75" customHeight="1">
      <c r="A260" s="63">
        <v>2</v>
      </c>
      <c r="B260" s="63">
        <v>12</v>
      </c>
      <c r="C260" s="63">
        <v>22</v>
      </c>
      <c r="D260" s="38" t="s">
        <v>243</v>
      </c>
      <c r="E260" s="38" t="s">
        <v>244</v>
      </c>
      <c r="F260" s="38" t="s">
        <v>109</v>
      </c>
      <c r="G260" s="64">
        <v>30655</v>
      </c>
      <c r="H260" s="65">
        <v>6</v>
      </c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67" t="s">
        <v>43</v>
      </c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</row>
    <row r="261" spans="1:30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60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</row>
    <row r="262" spans="1:30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60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</row>
    <row r="263" spans="1:30" ht="15.75" customHeight="1">
      <c r="A263" s="672" t="s">
        <v>245</v>
      </c>
      <c r="B263" s="672"/>
      <c r="C263" s="672"/>
      <c r="D263" s="672"/>
      <c r="E263" s="672"/>
      <c r="F263" s="672"/>
      <c r="G263" s="672"/>
      <c r="H263" s="672"/>
      <c r="I263" s="672"/>
      <c r="J263" s="672"/>
      <c r="K263" s="672"/>
      <c r="L263" s="672"/>
      <c r="M263" s="245"/>
      <c r="N263" s="245"/>
      <c r="O263" s="245"/>
      <c r="P263" s="245"/>
      <c r="Q263" s="245"/>
      <c r="R263" s="245"/>
      <c r="S263" s="245"/>
      <c r="T263" s="293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</row>
    <row r="264" spans="1:30" ht="15.75" customHeight="1">
      <c r="A264" s="189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245"/>
      <c r="N264" s="245"/>
      <c r="O264" s="245"/>
      <c r="P264" s="245"/>
      <c r="Q264" s="245"/>
      <c r="R264" s="245"/>
      <c r="S264" s="245"/>
      <c r="T264" s="293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</row>
    <row r="265" spans="1:30">
      <c r="A265" s="189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245"/>
      <c r="N265" s="245"/>
      <c r="O265" s="245"/>
      <c r="P265" s="245"/>
      <c r="Q265" s="245"/>
      <c r="R265" s="245"/>
      <c r="S265" s="245"/>
      <c r="T265" s="293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</row>
    <row r="266" spans="1:30">
      <c r="A266" s="189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230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</row>
    <row r="267" spans="1:30">
      <c r="A267" s="189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230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</row>
    <row r="268" spans="1:30">
      <c r="A268" s="189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230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</row>
    <row r="269" spans="1:30">
      <c r="A269" s="189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230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</row>
    <row r="270" spans="1:30">
      <c r="A270" s="189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230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</row>
    <row r="271" spans="1:30">
      <c r="A271" s="189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230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</row>
    <row r="272" spans="1:30">
      <c r="A272" s="189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230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</row>
    <row r="273" spans="1:30">
      <c r="A273" s="189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230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</row>
    <row r="274" spans="1:30">
      <c r="A274" s="189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230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</row>
    <row r="275" spans="1:30">
      <c r="A275" s="189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230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</row>
    <row r="276" spans="1:30">
      <c r="A276" s="189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230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</row>
    <row r="277" spans="1:30">
      <c r="A277" s="189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230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</row>
    <row r="278" spans="1:30">
      <c r="A278" s="189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230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</row>
    <row r="279" spans="1:30">
      <c r="A279" s="189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230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</row>
    <row r="280" spans="1:30">
      <c r="A280" s="189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230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</row>
    <row r="281" spans="1:30">
      <c r="A281" s="189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230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</row>
    <row r="282" spans="1:30">
      <c r="A282" s="189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230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</row>
    <row r="283" spans="1:30">
      <c r="A283" s="189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230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</row>
    <row r="284" spans="1:30">
      <c r="A284" s="189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230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</row>
    <row r="285" spans="1:30">
      <c r="A285" s="189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230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</row>
    <row r="286" spans="1:30">
      <c r="A286" s="189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230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</row>
    <row r="287" spans="1:30">
      <c r="A287" s="189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230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</row>
    <row r="288" spans="1:30">
      <c r="A288" s="189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230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</row>
    <row r="289" spans="1:30">
      <c r="A289" s="189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230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</row>
    <row r="290" spans="1:30">
      <c r="A290" s="189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230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</row>
    <row r="291" spans="1:30">
      <c r="A291" s="189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230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</row>
    <row r="292" spans="1:30">
      <c r="A292" s="189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230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</row>
    <row r="293" spans="1:30">
      <c r="A293" s="189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230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</row>
    <row r="294" spans="1:30">
      <c r="A294" s="189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230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</row>
    <row r="295" spans="1:30">
      <c r="A295" s="189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230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</row>
    <row r="296" spans="1:30">
      <c r="A296" s="189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230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</row>
    <row r="297" spans="1:30">
      <c r="A297" s="189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230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</row>
    <row r="298" spans="1:30">
      <c r="A298" s="189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230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</row>
    <row r="299" spans="1:30">
      <c r="A299" s="189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230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</row>
    <row r="300" spans="1:30">
      <c r="A300" s="189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230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</row>
    <row r="301" spans="1:30">
      <c r="A301" s="189"/>
      <c r="B301" s="189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230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</row>
    <row r="302" spans="1:30">
      <c r="A302" s="189"/>
      <c r="B302" s="189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230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</row>
    <row r="303" spans="1:30">
      <c r="A303" s="189"/>
      <c r="B303" s="189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230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</row>
    <row r="304" spans="1:30">
      <c r="A304" s="189"/>
      <c r="B304" s="189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230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</row>
    <row r="305" spans="1:30">
      <c r="A305" s="189"/>
      <c r="B305" s="189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230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</row>
    <row r="306" spans="1:30">
      <c r="A306" s="189"/>
      <c r="B306" s="189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230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</row>
    <row r="307" spans="1:30">
      <c r="A307" s="189"/>
      <c r="B307" s="189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230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</row>
    <row r="308" spans="1:30">
      <c r="A308" s="189"/>
      <c r="B308" s="189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230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</row>
    <row r="309" spans="1:30">
      <c r="A309" s="189"/>
      <c r="B309" s="189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230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</row>
    <row r="310" spans="1:30">
      <c r="A310" s="189"/>
      <c r="B310" s="189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230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</row>
    <row r="311" spans="1:30">
      <c r="A311" s="189"/>
      <c r="B311" s="189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230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</row>
    <row r="312" spans="1:30">
      <c r="A312" s="189"/>
      <c r="B312" s="189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230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</row>
    <row r="313" spans="1:30">
      <c r="A313" s="189"/>
      <c r="B313" s="189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230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</row>
    <row r="314" spans="1:30">
      <c r="A314" s="189"/>
      <c r="B314" s="189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230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</row>
    <row r="315" spans="1:30">
      <c r="A315" s="189"/>
      <c r="B315" s="189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230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</row>
    <row r="316" spans="1:30">
      <c r="A316" s="189"/>
      <c r="B316" s="189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230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</row>
    <row r="317" spans="1:30">
      <c r="A317" s="189"/>
      <c r="B317" s="189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230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</row>
    <row r="318" spans="1:30">
      <c r="A318" s="189"/>
      <c r="B318" s="189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230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</row>
    <row r="319" spans="1:30">
      <c r="A319" s="189"/>
      <c r="B319" s="189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230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</row>
    <row r="320" spans="1:30">
      <c r="A320" s="189"/>
      <c r="B320" s="189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230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</row>
    <row r="321" spans="1:30">
      <c r="A321" s="189"/>
      <c r="B321" s="189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230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</row>
    <row r="322" spans="1:30">
      <c r="A322" s="189"/>
      <c r="B322" s="189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230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</row>
    <row r="323" spans="1:30">
      <c r="A323" s="189"/>
      <c r="B323" s="189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230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</row>
    <row r="324" spans="1:30">
      <c r="A324" s="189"/>
      <c r="B324" s="189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230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</row>
    <row r="325" spans="1:30">
      <c r="A325" s="189"/>
      <c r="B325" s="189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230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</row>
    <row r="326" spans="1:30">
      <c r="A326" s="189"/>
      <c r="B326" s="189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230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</row>
    <row r="327" spans="1:30">
      <c r="A327" s="189"/>
      <c r="B327" s="189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230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</row>
    <row r="328" spans="1:30">
      <c r="A328" s="189"/>
      <c r="B328" s="189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230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</row>
    <row r="329" spans="1:30">
      <c r="A329" s="189"/>
      <c r="B329" s="189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230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</row>
    <row r="330" spans="1:30">
      <c r="A330" s="189"/>
      <c r="B330" s="189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230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</row>
    <row r="331" spans="1:30">
      <c r="A331" s="189"/>
      <c r="B331" s="189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230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</row>
    <row r="332" spans="1:30">
      <c r="A332" s="189"/>
      <c r="B332" s="189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230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</row>
    <row r="333" spans="1:30">
      <c r="A333" s="189"/>
      <c r="B333" s="189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230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</row>
    <row r="334" spans="1:30">
      <c r="A334" s="189"/>
      <c r="B334" s="189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230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</row>
    <row r="335" spans="1:30">
      <c r="A335" s="189"/>
      <c r="B335" s="189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230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</row>
    <row r="336" spans="1:30">
      <c r="A336" s="189"/>
      <c r="B336" s="189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230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</row>
    <row r="337" spans="1:30">
      <c r="A337" s="189"/>
      <c r="B337" s="189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230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</row>
    <row r="338" spans="1:30">
      <c r="A338" s="189"/>
      <c r="B338" s="189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230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</row>
    <row r="339" spans="1:30">
      <c r="A339" s="189"/>
      <c r="B339" s="189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230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</row>
    <row r="340" spans="1:30">
      <c r="A340" s="189"/>
      <c r="B340" s="189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230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</row>
    <row r="341" spans="1:30">
      <c r="A341" s="189"/>
      <c r="B341" s="189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230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</row>
    <row r="342" spans="1:30">
      <c r="A342" s="189"/>
      <c r="B342" s="189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230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</row>
    <row r="343" spans="1:30">
      <c r="A343" s="189"/>
      <c r="B343" s="189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230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</row>
    <row r="344" spans="1:30">
      <c r="A344" s="189"/>
      <c r="B344" s="189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230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</row>
    <row r="345" spans="1:30">
      <c r="A345" s="189"/>
      <c r="B345" s="189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230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</row>
    <row r="346" spans="1:30">
      <c r="A346" s="189"/>
      <c r="B346" s="189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230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</row>
    <row r="347" spans="1:30">
      <c r="A347" s="189"/>
      <c r="B347" s="189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230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</row>
    <row r="348" spans="1:30">
      <c r="A348" s="189"/>
      <c r="B348" s="189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230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</row>
    <row r="349" spans="1:30">
      <c r="A349" s="189"/>
      <c r="B349" s="189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230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</row>
    <row r="350" spans="1:30">
      <c r="A350" s="189"/>
      <c r="B350" s="189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230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</row>
    <row r="351" spans="1:30">
      <c r="A351" s="189"/>
      <c r="B351" s="189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230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</row>
    <row r="352" spans="1:30">
      <c r="A352" s="189"/>
      <c r="B352" s="189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230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</row>
    <row r="353" spans="1:30">
      <c r="A353" s="189"/>
      <c r="B353" s="189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230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</row>
    <row r="354" spans="1:30">
      <c r="A354" s="189"/>
      <c r="B354" s="189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230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</row>
    <row r="355" spans="1:30">
      <c r="A355" s="189"/>
      <c r="B355" s="189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230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</row>
    <row r="356" spans="1:30">
      <c r="A356" s="189"/>
      <c r="B356" s="189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230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</row>
    <row r="357" spans="1:30">
      <c r="A357" s="189"/>
      <c r="B357" s="189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230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</row>
    <row r="358" spans="1:30">
      <c r="A358" s="189"/>
      <c r="B358" s="189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230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</row>
    <row r="359" spans="1:30">
      <c r="A359" s="189"/>
      <c r="B359" s="189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230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</row>
    <row r="360" spans="1:30">
      <c r="A360" s="189"/>
      <c r="B360" s="189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230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</row>
    <row r="361" spans="1:30">
      <c r="A361" s="189"/>
      <c r="B361" s="189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230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</row>
    <row r="362" spans="1:30">
      <c r="A362" s="189"/>
      <c r="B362" s="189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230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</row>
    <row r="363" spans="1:30">
      <c r="A363" s="189"/>
      <c r="B363" s="189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230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</row>
    <row r="364" spans="1:30">
      <c r="A364" s="189"/>
      <c r="B364" s="189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230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</row>
    <row r="365" spans="1:30">
      <c r="A365" s="189"/>
      <c r="B365" s="189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230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</row>
    <row r="366" spans="1:30">
      <c r="A366" s="189"/>
      <c r="B366" s="189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230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</row>
    <row r="367" spans="1:30">
      <c r="A367" s="189"/>
      <c r="B367" s="189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230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</row>
    <row r="368" spans="1:30">
      <c r="A368" s="189"/>
      <c r="B368" s="189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230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</row>
    <row r="369" spans="1:30">
      <c r="A369" s="189"/>
      <c r="B369" s="189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230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</row>
    <row r="370" spans="1:30">
      <c r="A370" s="189"/>
      <c r="B370" s="189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230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</row>
    <row r="371" spans="1:30">
      <c r="A371" s="189"/>
      <c r="B371" s="189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230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</row>
    <row r="372" spans="1:30">
      <c r="A372" s="189"/>
      <c r="B372" s="189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230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</row>
    <row r="373" spans="1:30">
      <c r="A373" s="189"/>
      <c r="B373" s="189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230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</row>
    <row r="374" spans="1:30">
      <c r="A374" s="189"/>
      <c r="B374" s="189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230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</row>
    <row r="375" spans="1:30">
      <c r="A375" s="189"/>
      <c r="B375" s="189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230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</row>
    <row r="376" spans="1:30">
      <c r="A376" s="189"/>
      <c r="B376" s="189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230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</row>
    <row r="377" spans="1:30">
      <c r="A377" s="189"/>
      <c r="B377" s="189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230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</row>
    <row r="378" spans="1:30">
      <c r="A378" s="189"/>
      <c r="B378" s="189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230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</row>
    <row r="379" spans="1:30">
      <c r="A379" s="189"/>
      <c r="B379" s="189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230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</row>
    <row r="380" spans="1:30">
      <c r="A380" s="189"/>
      <c r="B380" s="189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230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</row>
    <row r="381" spans="1:30">
      <c r="A381" s="189"/>
      <c r="B381" s="189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230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</row>
    <row r="382" spans="1:30">
      <c r="A382" s="189"/>
      <c r="B382" s="189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230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</row>
    <row r="383" spans="1:30">
      <c r="A383" s="189"/>
      <c r="B383" s="189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230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</row>
    <row r="384" spans="1:30">
      <c r="A384" s="189"/>
      <c r="B384" s="189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230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</row>
    <row r="385" spans="1:30">
      <c r="A385" s="189"/>
      <c r="B385" s="189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230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</row>
    <row r="386" spans="1:30">
      <c r="A386" s="189"/>
      <c r="B386" s="189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230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</row>
    <row r="387" spans="1:30">
      <c r="A387" s="189"/>
      <c r="B387" s="189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230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</row>
    <row r="388" spans="1:30">
      <c r="A388" s="189"/>
      <c r="B388" s="189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230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</row>
    <row r="389" spans="1:30">
      <c r="A389" s="189"/>
      <c r="B389" s="189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230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</row>
    <row r="390" spans="1:30">
      <c r="A390" s="189"/>
      <c r="B390" s="189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230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</row>
    <row r="391" spans="1:30">
      <c r="A391" s="189"/>
      <c r="B391" s="189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230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</row>
    <row r="392" spans="1:30">
      <c r="A392" s="189"/>
      <c r="B392" s="189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230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</row>
    <row r="393" spans="1:30">
      <c r="A393" s="189"/>
      <c r="B393" s="189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230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</row>
    <row r="394" spans="1:30">
      <c r="A394" s="189"/>
      <c r="B394" s="189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230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</row>
    <row r="395" spans="1:30">
      <c r="A395" s="189"/>
      <c r="B395" s="189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230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</row>
    <row r="396" spans="1:30">
      <c r="A396" s="189"/>
      <c r="B396" s="189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230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</row>
    <row r="397" spans="1:30">
      <c r="A397" s="189"/>
      <c r="B397" s="189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230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</row>
    <row r="398" spans="1:30">
      <c r="A398" s="189"/>
      <c r="B398" s="189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230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</row>
    <row r="399" spans="1:30">
      <c r="A399" s="189"/>
      <c r="B399" s="189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230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</row>
    <row r="400" spans="1:30">
      <c r="A400" s="189"/>
      <c r="B400" s="189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230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</row>
    <row r="401" spans="1:30">
      <c r="A401" s="189"/>
      <c r="B401" s="189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230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</row>
    <row r="402" spans="1:30">
      <c r="A402" s="189"/>
      <c r="B402" s="189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230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</row>
    <row r="403" spans="1:30">
      <c r="A403" s="189"/>
      <c r="B403" s="189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230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</row>
    <row r="404" spans="1:30">
      <c r="A404" s="189"/>
      <c r="B404" s="189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230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</row>
    <row r="405" spans="1:30">
      <c r="A405" s="189"/>
      <c r="B405" s="189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230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</row>
    <row r="406" spans="1:30">
      <c r="A406" s="189"/>
      <c r="B406" s="189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230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</row>
    <row r="407" spans="1:30">
      <c r="A407" s="189"/>
      <c r="B407" s="189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230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</row>
    <row r="408" spans="1:30">
      <c r="A408" s="189"/>
      <c r="B408" s="189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230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</row>
    <row r="409" spans="1:30">
      <c r="A409" s="189"/>
      <c r="B409" s="189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230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</row>
    <row r="410" spans="1:30">
      <c r="A410" s="189"/>
      <c r="B410" s="189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230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</row>
    <row r="411" spans="1:30">
      <c r="A411" s="189"/>
      <c r="B411" s="189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230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</row>
    <row r="412" spans="1:30">
      <c r="A412" s="189"/>
      <c r="B412" s="189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230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</row>
    <row r="413" spans="1:30">
      <c r="A413" s="189"/>
      <c r="B413" s="189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230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</row>
    <row r="414" spans="1:30">
      <c r="A414" s="189"/>
      <c r="B414" s="189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230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</row>
    <row r="415" spans="1:30">
      <c r="A415" s="189"/>
      <c r="B415" s="189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230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</row>
    <row r="416" spans="1:30">
      <c r="A416" s="189"/>
      <c r="B416" s="189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230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</row>
    <row r="417" spans="1:30">
      <c r="A417" s="189"/>
      <c r="B417" s="189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230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</row>
    <row r="418" spans="1:30">
      <c r="A418" s="189"/>
      <c r="B418" s="189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230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</row>
    <row r="419" spans="1:30">
      <c r="A419" s="189"/>
      <c r="B419" s="189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230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</row>
    <row r="420" spans="1:30">
      <c r="A420" s="189"/>
      <c r="B420" s="189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230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</row>
    <row r="421" spans="1:30">
      <c r="A421" s="189"/>
      <c r="B421" s="189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230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</row>
    <row r="422" spans="1:30">
      <c r="A422" s="189"/>
      <c r="B422" s="189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230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</row>
    <row r="423" spans="1:30">
      <c r="A423" s="189"/>
      <c r="B423" s="189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230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</row>
    <row r="424" spans="1:30">
      <c r="A424" s="189"/>
      <c r="B424" s="189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230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</row>
    <row r="425" spans="1:30">
      <c r="A425" s="189"/>
      <c r="B425" s="189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230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</row>
    <row r="426" spans="1:30">
      <c r="A426" s="189"/>
      <c r="B426" s="189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230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</row>
    <row r="427" spans="1:30">
      <c r="A427" s="189"/>
      <c r="B427" s="189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230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</row>
    <row r="428" spans="1:30">
      <c r="A428" s="189"/>
      <c r="B428" s="189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230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</row>
    <row r="429" spans="1:30">
      <c r="A429" s="189"/>
      <c r="B429" s="189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230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</row>
    <row r="430" spans="1:30">
      <c r="A430" s="189"/>
      <c r="B430" s="189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230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</row>
    <row r="431" spans="1:30">
      <c r="A431" s="189"/>
      <c r="B431" s="189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230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</row>
    <row r="432" spans="1:30">
      <c r="A432" s="189"/>
      <c r="B432" s="189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230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</row>
    <row r="433" spans="1:30">
      <c r="A433" s="189"/>
      <c r="B433" s="189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230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</row>
    <row r="434" spans="1:30">
      <c r="A434" s="189"/>
      <c r="B434" s="189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230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</row>
    <row r="435" spans="1:30">
      <c r="A435" s="189"/>
      <c r="B435" s="189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89"/>
      <c r="T435" s="230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</row>
    <row r="436" spans="1:30">
      <c r="A436" s="189"/>
      <c r="B436" s="189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230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</row>
    <row r="437" spans="1:30">
      <c r="A437" s="189"/>
      <c r="B437" s="189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230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</row>
    <row r="438" spans="1:30">
      <c r="A438" s="189"/>
      <c r="B438" s="189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230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</row>
    <row r="439" spans="1:30">
      <c r="A439" s="189"/>
      <c r="B439" s="189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230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</row>
    <row r="440" spans="1:30">
      <c r="A440" s="189"/>
      <c r="B440" s="189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230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</row>
    <row r="441" spans="1:30">
      <c r="A441" s="189"/>
      <c r="B441" s="189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230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</row>
    <row r="442" spans="1:30">
      <c r="A442" s="189"/>
      <c r="B442" s="189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230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</row>
    <row r="443" spans="1:30">
      <c r="A443" s="189"/>
      <c r="B443" s="189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230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</row>
    <row r="444" spans="1:30">
      <c r="A444" s="189"/>
      <c r="B444" s="189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230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</row>
    <row r="445" spans="1:30">
      <c r="A445" s="189"/>
      <c r="B445" s="189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230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</row>
    <row r="446" spans="1:30">
      <c r="A446" s="189"/>
      <c r="B446" s="189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230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</row>
    <row r="447" spans="1:30">
      <c r="A447" s="189"/>
      <c r="B447" s="189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230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</row>
    <row r="448" spans="1:30">
      <c r="A448" s="189"/>
      <c r="B448" s="189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230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</row>
    <row r="449" spans="1:30">
      <c r="A449" s="189"/>
      <c r="B449" s="189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230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</row>
    <row r="450" spans="1:30">
      <c r="A450" s="189"/>
      <c r="B450" s="189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230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</row>
    <row r="451" spans="1:30">
      <c r="A451" s="189"/>
      <c r="B451" s="189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230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</row>
    <row r="452" spans="1:30">
      <c r="A452" s="189"/>
      <c r="B452" s="189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230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</row>
    <row r="453" spans="1:30">
      <c r="A453" s="189"/>
      <c r="B453" s="189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230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</row>
    <row r="454" spans="1:30">
      <c r="A454" s="189"/>
      <c r="B454" s="189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230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</row>
    <row r="455" spans="1:30">
      <c r="A455" s="189"/>
      <c r="B455" s="189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230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</row>
    <row r="456" spans="1:30">
      <c r="A456" s="189"/>
      <c r="B456" s="189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230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</row>
    <row r="457" spans="1:30">
      <c r="A457" s="189"/>
      <c r="B457" s="189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230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</row>
    <row r="458" spans="1:30">
      <c r="A458" s="189"/>
      <c r="B458" s="189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230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</row>
    <row r="459" spans="1:30">
      <c r="A459" s="189"/>
      <c r="B459" s="189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230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</row>
    <row r="460" spans="1:30">
      <c r="A460" s="189"/>
      <c r="B460" s="189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230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</row>
    <row r="461" spans="1:30">
      <c r="A461" s="189"/>
      <c r="B461" s="189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230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</row>
    <row r="462" spans="1:30">
      <c r="A462" s="189"/>
      <c r="B462" s="189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230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</row>
    <row r="463" spans="1:30">
      <c r="A463" s="189"/>
      <c r="B463" s="189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230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</row>
    <row r="464" spans="1:30">
      <c r="A464" s="189"/>
      <c r="B464" s="189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230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</row>
    <row r="465" spans="1:30">
      <c r="A465" s="189"/>
      <c r="B465" s="189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230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</row>
    <row r="466" spans="1:30">
      <c r="A466" s="189"/>
      <c r="B466" s="189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230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</row>
    <row r="467" spans="1:30">
      <c r="A467" s="189"/>
      <c r="B467" s="189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230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</row>
    <row r="468" spans="1:30">
      <c r="A468" s="189"/>
      <c r="B468" s="189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230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</row>
    <row r="469" spans="1:30">
      <c r="A469" s="189"/>
      <c r="B469" s="189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230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</row>
    <row r="470" spans="1:30">
      <c r="A470" s="189"/>
      <c r="B470" s="189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230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</row>
    <row r="471" spans="1:30">
      <c r="A471" s="189"/>
      <c r="B471" s="189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230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</row>
    <row r="472" spans="1:30">
      <c r="A472" s="189"/>
      <c r="B472" s="189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230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</row>
    <row r="473" spans="1:30">
      <c r="A473" s="189"/>
      <c r="B473" s="189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230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</row>
    <row r="474" spans="1:30">
      <c r="A474" s="189"/>
      <c r="B474" s="189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230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</row>
    <row r="475" spans="1:30">
      <c r="A475" s="189"/>
      <c r="B475" s="189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230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</row>
    <row r="476" spans="1:30">
      <c r="A476" s="189"/>
      <c r="B476" s="189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230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</row>
    <row r="477" spans="1:30">
      <c r="A477" s="189"/>
      <c r="B477" s="189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230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</row>
    <row r="478" spans="1:30">
      <c r="A478" s="189"/>
      <c r="B478" s="189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230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</row>
    <row r="479" spans="1:30">
      <c r="A479" s="189"/>
      <c r="B479" s="189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230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</row>
    <row r="480" spans="1:30">
      <c r="A480" s="189"/>
      <c r="B480" s="189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230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</row>
    <row r="481" spans="1:30">
      <c r="A481" s="189"/>
      <c r="B481" s="189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230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</row>
    <row r="482" spans="1:30">
      <c r="A482" s="189"/>
      <c r="B482" s="189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230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</row>
    <row r="483" spans="1:30">
      <c r="A483" s="189"/>
      <c r="B483" s="189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230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</row>
    <row r="484" spans="1:30">
      <c r="A484" s="189"/>
      <c r="B484" s="189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230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</row>
    <row r="485" spans="1:30">
      <c r="A485" s="189"/>
      <c r="B485" s="189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230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</row>
    <row r="486" spans="1:30">
      <c r="A486" s="189"/>
      <c r="B486" s="189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230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</row>
    <row r="487" spans="1:30">
      <c r="A487" s="189"/>
      <c r="B487" s="189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230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</row>
    <row r="488" spans="1:30">
      <c r="A488" s="189"/>
      <c r="B488" s="189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230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</row>
    <row r="489" spans="1:30">
      <c r="A489" s="189"/>
      <c r="B489" s="189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  <c r="N489" s="189"/>
      <c r="O489" s="189"/>
      <c r="P489" s="189"/>
      <c r="Q489" s="189"/>
      <c r="R489" s="189"/>
      <c r="S489" s="189"/>
      <c r="T489" s="230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</row>
    <row r="490" spans="1:30">
      <c r="A490" s="189"/>
      <c r="B490" s="189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230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</row>
    <row r="491" spans="1:30">
      <c r="A491" s="189"/>
      <c r="B491" s="189"/>
      <c r="C491" s="189"/>
      <c r="D491" s="189"/>
      <c r="E491" s="189"/>
      <c r="F491" s="189"/>
      <c r="G491" s="189"/>
      <c r="H491" s="189"/>
      <c r="I491" s="189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230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</row>
    <row r="492" spans="1:30">
      <c r="A492" s="189"/>
      <c r="B492" s="189"/>
      <c r="C492" s="189"/>
      <c r="D492" s="189"/>
      <c r="E492" s="189"/>
      <c r="F492" s="189"/>
      <c r="G492" s="189"/>
      <c r="H492" s="189"/>
      <c r="I492" s="189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230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</row>
    <row r="493" spans="1:30">
      <c r="A493" s="189"/>
      <c r="B493" s="189"/>
      <c r="C493" s="189"/>
      <c r="D493" s="189"/>
      <c r="E493" s="189"/>
      <c r="F493" s="189"/>
      <c r="G493" s="189"/>
      <c r="H493" s="189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230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</row>
    <row r="494" spans="1:30">
      <c r="A494" s="189"/>
      <c r="B494" s="189"/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230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</row>
    <row r="495" spans="1:30">
      <c r="A495" s="189"/>
      <c r="B495" s="189"/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230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</row>
    <row r="496" spans="1:30">
      <c r="A496" s="189"/>
      <c r="B496" s="189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230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</row>
    <row r="497" spans="1:30">
      <c r="A497" s="189"/>
      <c r="B497" s="189"/>
      <c r="C497" s="189"/>
      <c r="D497" s="189"/>
      <c r="E497" s="189"/>
      <c r="F497" s="189"/>
      <c r="G497" s="189"/>
      <c r="H497" s="189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230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</row>
    <row r="498" spans="1:30">
      <c r="A498" s="189"/>
      <c r="B498" s="189"/>
      <c r="C498" s="189"/>
      <c r="D498" s="189"/>
      <c r="E498" s="189"/>
      <c r="F498" s="189"/>
      <c r="G498" s="189"/>
      <c r="H498" s="189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230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</row>
    <row r="499" spans="1:30">
      <c r="A499" s="189"/>
      <c r="B499" s="189"/>
      <c r="C499" s="189"/>
      <c r="D499" s="189"/>
      <c r="E499" s="189"/>
      <c r="F499" s="189"/>
      <c r="G499" s="189"/>
      <c r="H499" s="189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230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</row>
    <row r="500" spans="1:30">
      <c r="A500" s="189"/>
      <c r="B500" s="189"/>
      <c r="C500" s="189"/>
      <c r="D500" s="189"/>
      <c r="E500" s="189"/>
      <c r="F500" s="189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230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</row>
    <row r="501" spans="1:30">
      <c r="A501" s="189"/>
      <c r="B501" s="189"/>
      <c r="C501" s="189"/>
      <c r="D501" s="189"/>
      <c r="E501" s="189"/>
      <c r="F501" s="189"/>
      <c r="G501" s="189"/>
      <c r="H501" s="189"/>
      <c r="I501" s="189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230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</row>
    <row r="502" spans="1:30">
      <c r="A502" s="189"/>
      <c r="B502" s="189"/>
      <c r="C502" s="189"/>
      <c r="D502" s="189"/>
      <c r="E502" s="189"/>
      <c r="F502" s="189"/>
      <c r="G502" s="189"/>
      <c r="H502" s="189"/>
      <c r="I502" s="189"/>
      <c r="J502" s="189"/>
      <c r="K502" s="189"/>
      <c r="L502" s="189"/>
      <c r="M502" s="189"/>
      <c r="N502" s="189"/>
      <c r="O502" s="189"/>
      <c r="P502" s="189"/>
      <c r="Q502" s="189"/>
      <c r="R502" s="189"/>
      <c r="S502" s="189"/>
      <c r="T502" s="230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</row>
    <row r="503" spans="1:30">
      <c r="A503" s="189"/>
      <c r="B503" s="189"/>
      <c r="C503" s="189"/>
      <c r="D503" s="189"/>
      <c r="E503" s="189"/>
      <c r="F503" s="189"/>
      <c r="G503" s="189"/>
      <c r="H503" s="189"/>
      <c r="I503" s="189"/>
      <c r="J503" s="189"/>
      <c r="K503" s="189"/>
      <c r="L503" s="189"/>
      <c r="M503" s="189"/>
      <c r="N503" s="189"/>
      <c r="O503" s="189"/>
      <c r="P503" s="189"/>
      <c r="Q503" s="189"/>
      <c r="R503" s="189"/>
      <c r="S503" s="189"/>
      <c r="T503" s="230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</row>
    <row r="504" spans="1:30">
      <c r="A504" s="189"/>
      <c r="B504" s="189"/>
      <c r="C504" s="189"/>
      <c r="D504" s="189"/>
      <c r="E504" s="189"/>
      <c r="F504" s="189"/>
      <c r="G504" s="189"/>
      <c r="H504" s="189"/>
      <c r="I504" s="189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230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</row>
    <row r="505" spans="1:30">
      <c r="A505" s="189"/>
      <c r="B505" s="189"/>
      <c r="C505" s="189"/>
      <c r="D505" s="189"/>
      <c r="E505" s="189"/>
      <c r="F505" s="189"/>
      <c r="G505" s="189"/>
      <c r="H505" s="189"/>
      <c r="I505" s="189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230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</row>
    <row r="506" spans="1:30">
      <c r="A506" s="189"/>
      <c r="B506" s="189"/>
      <c r="C506" s="189"/>
      <c r="D506" s="189"/>
      <c r="E506" s="189"/>
      <c r="F506" s="189"/>
      <c r="G506" s="189"/>
      <c r="H506" s="189"/>
      <c r="I506" s="189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230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</row>
    <row r="507" spans="1:30">
      <c r="A507" s="189"/>
      <c r="B507" s="189"/>
      <c r="C507" s="189"/>
      <c r="D507" s="189"/>
      <c r="E507" s="189"/>
      <c r="F507" s="189"/>
      <c r="G507" s="189"/>
      <c r="H507" s="189"/>
      <c r="I507" s="189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230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</row>
    <row r="508" spans="1:30">
      <c r="A508" s="189"/>
      <c r="B508" s="189"/>
      <c r="C508" s="189"/>
      <c r="D508" s="189"/>
      <c r="E508" s="189"/>
      <c r="F508" s="189"/>
      <c r="G508" s="189"/>
      <c r="H508" s="189"/>
      <c r="I508" s="189"/>
      <c r="J508" s="189"/>
      <c r="K508" s="189"/>
      <c r="L508" s="189"/>
      <c r="M508" s="189"/>
      <c r="N508" s="189"/>
      <c r="O508" s="189"/>
      <c r="P508" s="189"/>
      <c r="Q508" s="189"/>
      <c r="R508" s="189"/>
      <c r="S508" s="189"/>
      <c r="T508" s="230"/>
      <c r="U508" s="189"/>
      <c r="V508" s="189"/>
      <c r="W508" s="189"/>
      <c r="X508" s="189"/>
      <c r="Y508" s="189"/>
      <c r="Z508" s="189"/>
      <c r="AA508" s="189"/>
      <c r="AB508" s="189"/>
      <c r="AC508" s="189"/>
      <c r="AD508" s="189"/>
    </row>
    <row r="509" spans="1:30">
      <c r="A509" s="189"/>
      <c r="B509" s="189"/>
      <c r="C509" s="189"/>
      <c r="D509" s="189"/>
      <c r="E509" s="189"/>
      <c r="F509" s="189"/>
      <c r="G509" s="189"/>
      <c r="H509" s="189"/>
      <c r="I509" s="189"/>
      <c r="J509" s="189"/>
      <c r="K509" s="189"/>
      <c r="L509" s="189"/>
      <c r="M509" s="189"/>
      <c r="N509" s="189"/>
      <c r="O509" s="189"/>
      <c r="P509" s="189"/>
      <c r="Q509" s="189"/>
      <c r="R509" s="189"/>
      <c r="S509" s="189"/>
      <c r="T509" s="230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</row>
    <row r="510" spans="1:30">
      <c r="A510" s="189"/>
      <c r="B510" s="189"/>
      <c r="C510" s="189"/>
      <c r="D510" s="189"/>
      <c r="E510" s="189"/>
      <c r="F510" s="189"/>
      <c r="G510" s="189"/>
      <c r="H510" s="189"/>
      <c r="I510" s="189"/>
      <c r="J510" s="189"/>
      <c r="K510" s="189"/>
      <c r="L510" s="189"/>
      <c r="M510" s="189"/>
      <c r="N510" s="189"/>
      <c r="O510" s="189"/>
      <c r="P510" s="189"/>
      <c r="Q510" s="189"/>
      <c r="R510" s="189"/>
      <c r="S510" s="189"/>
      <c r="T510" s="230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</row>
    <row r="511" spans="1:30">
      <c r="A511" s="189"/>
      <c r="B511" s="189"/>
      <c r="C511" s="189"/>
      <c r="D511" s="189"/>
      <c r="E511" s="189"/>
      <c r="F511" s="189"/>
      <c r="G511" s="189"/>
      <c r="H511" s="189"/>
      <c r="I511" s="189"/>
      <c r="J511" s="189"/>
      <c r="K511" s="189"/>
      <c r="L511" s="189"/>
      <c r="M511" s="189"/>
      <c r="N511" s="189"/>
      <c r="O511" s="189"/>
      <c r="P511" s="189"/>
      <c r="Q511" s="189"/>
      <c r="R511" s="189"/>
      <c r="S511" s="189"/>
      <c r="T511" s="230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</row>
    <row r="512" spans="1:30">
      <c r="A512" s="189"/>
      <c r="B512" s="189"/>
      <c r="C512" s="189"/>
      <c r="D512" s="189"/>
      <c r="E512" s="189"/>
      <c r="F512" s="189"/>
      <c r="G512" s="189"/>
      <c r="H512" s="189"/>
      <c r="I512" s="189"/>
      <c r="J512" s="189"/>
      <c r="K512" s="189"/>
      <c r="L512" s="189"/>
      <c r="M512" s="189"/>
      <c r="N512" s="189"/>
      <c r="O512" s="189"/>
      <c r="P512" s="189"/>
      <c r="Q512" s="189"/>
      <c r="R512" s="189"/>
      <c r="S512" s="189"/>
      <c r="T512" s="230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</row>
    <row r="513" spans="1:30">
      <c r="A513" s="189"/>
      <c r="B513" s="189"/>
      <c r="C513" s="189"/>
      <c r="D513" s="189"/>
      <c r="E513" s="189"/>
      <c r="F513" s="189"/>
      <c r="G513" s="189"/>
      <c r="H513" s="189"/>
      <c r="I513" s="189"/>
      <c r="J513" s="189"/>
      <c r="K513" s="189"/>
      <c r="L513" s="189"/>
      <c r="M513" s="189"/>
      <c r="N513" s="189"/>
      <c r="O513" s="189"/>
      <c r="P513" s="189"/>
      <c r="Q513" s="189"/>
      <c r="R513" s="189"/>
      <c r="S513" s="189"/>
      <c r="T513" s="230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</row>
    <row r="514" spans="1:30">
      <c r="A514" s="189"/>
      <c r="B514" s="189"/>
      <c r="C514" s="189"/>
      <c r="D514" s="189"/>
      <c r="E514" s="189"/>
      <c r="F514" s="189"/>
      <c r="G514" s="189"/>
      <c r="H514" s="189"/>
      <c r="I514" s="189"/>
      <c r="J514" s="189"/>
      <c r="K514" s="189"/>
      <c r="L514" s="189"/>
      <c r="M514" s="189"/>
      <c r="N514" s="189"/>
      <c r="O514" s="189"/>
      <c r="P514" s="189"/>
      <c r="Q514" s="189"/>
      <c r="R514" s="189"/>
      <c r="S514" s="189"/>
      <c r="T514" s="230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</row>
    <row r="515" spans="1:30">
      <c r="A515" s="189"/>
      <c r="B515" s="189"/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230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</row>
    <row r="516" spans="1:30">
      <c r="A516" s="189"/>
      <c r="B516" s="189"/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230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</row>
    <row r="517" spans="1:30">
      <c r="A517" s="189"/>
      <c r="B517" s="189"/>
      <c r="C517" s="189"/>
      <c r="D517" s="189"/>
      <c r="E517" s="189"/>
      <c r="F517" s="189"/>
      <c r="G517" s="189"/>
      <c r="H517" s="189"/>
      <c r="I517" s="189"/>
      <c r="J517" s="189"/>
      <c r="K517" s="189"/>
      <c r="L517" s="189"/>
      <c r="M517" s="189"/>
      <c r="N517" s="189"/>
      <c r="O517" s="189"/>
      <c r="P517" s="189"/>
      <c r="Q517" s="189"/>
      <c r="R517" s="189"/>
      <c r="S517" s="189"/>
      <c r="T517" s="230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</row>
    <row r="518" spans="1:30">
      <c r="A518" s="189"/>
      <c r="B518" s="189"/>
      <c r="C518" s="189"/>
      <c r="D518" s="189"/>
      <c r="E518" s="189"/>
      <c r="F518" s="189"/>
      <c r="G518" s="189"/>
      <c r="H518" s="189"/>
      <c r="I518" s="189"/>
      <c r="J518" s="189"/>
      <c r="K518" s="189"/>
      <c r="L518" s="189"/>
      <c r="M518" s="189"/>
      <c r="N518" s="189"/>
      <c r="O518" s="189"/>
      <c r="P518" s="189"/>
      <c r="Q518" s="189"/>
      <c r="R518" s="189"/>
      <c r="S518" s="189"/>
      <c r="T518" s="230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</row>
    <row r="519" spans="1:30">
      <c r="A519" s="189"/>
      <c r="B519" s="189"/>
      <c r="C519" s="189"/>
      <c r="D519" s="189"/>
      <c r="E519" s="189"/>
      <c r="F519" s="189"/>
      <c r="G519" s="189"/>
      <c r="H519" s="189"/>
      <c r="I519" s="189"/>
      <c r="J519" s="189"/>
      <c r="K519" s="189"/>
      <c r="L519" s="189"/>
      <c r="M519" s="189"/>
      <c r="N519" s="189"/>
      <c r="O519" s="189"/>
      <c r="P519" s="189"/>
      <c r="Q519" s="189"/>
      <c r="R519" s="189"/>
      <c r="S519" s="189"/>
      <c r="T519" s="230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</row>
    <row r="520" spans="1:30">
      <c r="A520" s="189"/>
      <c r="B520" s="189"/>
      <c r="C520" s="189"/>
      <c r="D520" s="189"/>
      <c r="E520" s="189"/>
      <c r="F520" s="189"/>
      <c r="G520" s="189"/>
      <c r="H520" s="189"/>
      <c r="I520" s="189"/>
      <c r="J520" s="189"/>
      <c r="K520" s="189"/>
      <c r="L520" s="189"/>
      <c r="M520" s="189"/>
      <c r="N520" s="189"/>
      <c r="O520" s="189"/>
      <c r="P520" s="189"/>
      <c r="Q520" s="189"/>
      <c r="R520" s="189"/>
      <c r="S520" s="189"/>
      <c r="T520" s="230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</row>
    <row r="521" spans="1:30">
      <c r="A521" s="189"/>
      <c r="B521" s="189"/>
      <c r="C521" s="189"/>
      <c r="D521" s="189"/>
      <c r="E521" s="189"/>
      <c r="F521" s="189"/>
      <c r="G521" s="189"/>
      <c r="H521" s="189"/>
      <c r="I521" s="189"/>
      <c r="J521" s="189"/>
      <c r="K521" s="189"/>
      <c r="L521" s="189"/>
      <c r="M521" s="189"/>
      <c r="N521" s="189"/>
      <c r="O521" s="189"/>
      <c r="P521" s="189"/>
      <c r="Q521" s="189"/>
      <c r="R521" s="189"/>
      <c r="S521" s="189"/>
      <c r="T521" s="230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</row>
    <row r="522" spans="1:30">
      <c r="A522" s="189"/>
      <c r="B522" s="189"/>
      <c r="C522" s="189"/>
      <c r="D522" s="189"/>
      <c r="E522" s="189"/>
      <c r="F522" s="189"/>
      <c r="G522" s="189"/>
      <c r="H522" s="189"/>
      <c r="I522" s="189"/>
      <c r="J522" s="189"/>
      <c r="K522" s="189"/>
      <c r="L522" s="189"/>
      <c r="M522" s="189"/>
      <c r="N522" s="189"/>
      <c r="O522" s="189"/>
      <c r="P522" s="189"/>
      <c r="Q522" s="189"/>
      <c r="R522" s="189"/>
      <c r="S522" s="189"/>
      <c r="T522" s="230"/>
      <c r="U522" s="189"/>
      <c r="V522" s="189"/>
      <c r="W522" s="189"/>
      <c r="X522" s="189"/>
      <c r="Y522" s="189"/>
      <c r="Z522" s="189"/>
      <c r="AA522" s="189"/>
      <c r="AB522" s="189"/>
      <c r="AC522" s="189"/>
      <c r="AD522" s="189"/>
    </row>
    <row r="523" spans="1:30">
      <c r="A523" s="189"/>
      <c r="B523" s="189"/>
      <c r="C523" s="189"/>
      <c r="D523" s="189"/>
      <c r="E523" s="189"/>
      <c r="F523" s="189"/>
      <c r="G523" s="189"/>
      <c r="H523" s="189"/>
      <c r="I523" s="189"/>
      <c r="J523" s="189"/>
      <c r="K523" s="189"/>
      <c r="L523" s="189"/>
      <c r="M523" s="189"/>
      <c r="N523" s="189"/>
      <c r="O523" s="189"/>
      <c r="P523" s="189"/>
      <c r="Q523" s="189"/>
      <c r="R523" s="189"/>
      <c r="S523" s="189"/>
      <c r="T523" s="230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</row>
    <row r="524" spans="1:30">
      <c r="A524" s="189"/>
      <c r="B524" s="189"/>
      <c r="C524" s="189"/>
      <c r="D524" s="189"/>
      <c r="E524" s="189"/>
      <c r="F524" s="189"/>
      <c r="G524" s="189"/>
      <c r="H524" s="189"/>
      <c r="I524" s="189"/>
      <c r="J524" s="189"/>
      <c r="K524" s="189"/>
      <c r="L524" s="189"/>
      <c r="M524" s="189"/>
      <c r="N524" s="189"/>
      <c r="O524" s="189"/>
      <c r="P524" s="189"/>
      <c r="Q524" s="189"/>
      <c r="R524" s="189"/>
      <c r="S524" s="189"/>
      <c r="T524" s="230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</row>
    <row r="525" spans="1:30">
      <c r="A525" s="189"/>
      <c r="B525" s="189"/>
      <c r="C525" s="189"/>
      <c r="D525" s="189"/>
      <c r="E525" s="189"/>
      <c r="F525" s="189"/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230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</row>
    <row r="526" spans="1:30">
      <c r="A526" s="189"/>
      <c r="B526" s="189"/>
      <c r="C526" s="189"/>
      <c r="D526" s="189"/>
      <c r="E526" s="189"/>
      <c r="F526" s="189"/>
      <c r="G526" s="189"/>
      <c r="H526" s="189"/>
      <c r="I526" s="189"/>
      <c r="J526" s="189"/>
      <c r="K526" s="189"/>
      <c r="L526" s="189"/>
      <c r="M526" s="189"/>
      <c r="N526" s="189"/>
      <c r="O526" s="189"/>
      <c r="P526" s="189"/>
      <c r="Q526" s="189"/>
      <c r="R526" s="189"/>
      <c r="S526" s="189"/>
      <c r="T526" s="230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</row>
    <row r="527" spans="1:30">
      <c r="A527" s="189"/>
      <c r="B527" s="189"/>
      <c r="C527" s="189"/>
      <c r="D527" s="189"/>
      <c r="E527" s="189"/>
      <c r="F527" s="189"/>
      <c r="G527" s="189"/>
      <c r="H527" s="189"/>
      <c r="I527" s="189"/>
      <c r="J527" s="189"/>
      <c r="K527" s="189"/>
      <c r="L527" s="189"/>
      <c r="M527" s="189"/>
      <c r="N527" s="189"/>
      <c r="O527" s="189"/>
      <c r="P527" s="189"/>
      <c r="Q527" s="189"/>
      <c r="R527" s="189"/>
      <c r="S527" s="189"/>
      <c r="T527" s="230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</row>
    <row r="528" spans="1:30">
      <c r="A528" s="189"/>
      <c r="B528" s="189"/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230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</row>
    <row r="529" spans="1:30">
      <c r="A529" s="189"/>
      <c r="B529" s="189"/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230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</row>
    <row r="530" spans="1:30">
      <c r="A530" s="189"/>
      <c r="B530" s="189"/>
      <c r="C530" s="189"/>
      <c r="D530" s="189"/>
      <c r="E530" s="189"/>
      <c r="F530" s="189"/>
      <c r="G530" s="189"/>
      <c r="H530" s="189"/>
      <c r="I530" s="189"/>
      <c r="J530" s="189"/>
      <c r="K530" s="189"/>
      <c r="L530" s="189"/>
      <c r="M530" s="189"/>
      <c r="N530" s="189"/>
      <c r="O530" s="189"/>
      <c r="P530" s="189"/>
      <c r="Q530" s="189"/>
      <c r="R530" s="189"/>
      <c r="S530" s="189"/>
      <c r="T530" s="230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</row>
    <row r="531" spans="1:30">
      <c r="A531" s="189"/>
      <c r="B531" s="189"/>
      <c r="C531" s="189"/>
      <c r="D531" s="189"/>
      <c r="E531" s="189"/>
      <c r="F531" s="189"/>
      <c r="G531" s="189"/>
      <c r="H531" s="189"/>
      <c r="I531" s="189"/>
      <c r="J531" s="189"/>
      <c r="K531" s="189"/>
      <c r="L531" s="189"/>
      <c r="M531" s="189"/>
      <c r="N531" s="189"/>
      <c r="O531" s="189"/>
      <c r="P531" s="189"/>
      <c r="Q531" s="189"/>
      <c r="R531" s="189"/>
      <c r="S531" s="189"/>
      <c r="T531" s="230"/>
      <c r="U531" s="189"/>
      <c r="V531" s="189"/>
      <c r="W531" s="189"/>
      <c r="X531" s="189"/>
      <c r="Y531" s="189"/>
      <c r="Z531" s="189"/>
      <c r="AA531" s="189"/>
      <c r="AB531" s="189"/>
      <c r="AC531" s="189"/>
      <c r="AD531" s="189"/>
    </row>
    <row r="532" spans="1:30">
      <c r="A532" s="189"/>
      <c r="B532" s="189"/>
      <c r="C532" s="189"/>
      <c r="D532" s="189"/>
      <c r="E532" s="189"/>
      <c r="F532" s="189"/>
      <c r="G532" s="189"/>
      <c r="H532" s="189"/>
      <c r="I532" s="189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230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</row>
    <row r="533" spans="1:30">
      <c r="A533" s="189"/>
      <c r="B533" s="189"/>
      <c r="C533" s="189"/>
      <c r="D533" s="189"/>
      <c r="E533" s="189"/>
      <c r="F533" s="189"/>
      <c r="G533" s="189"/>
      <c r="H533" s="189"/>
      <c r="I533" s="189"/>
      <c r="J533" s="189"/>
      <c r="K533" s="189"/>
      <c r="L533" s="189"/>
      <c r="M533" s="189"/>
      <c r="N533" s="189"/>
      <c r="O533" s="189"/>
      <c r="P533" s="189"/>
      <c r="Q533" s="189"/>
      <c r="R533" s="189"/>
      <c r="S533" s="189"/>
      <c r="T533" s="230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</row>
    <row r="534" spans="1:30">
      <c r="A534" s="189"/>
      <c r="B534" s="189"/>
      <c r="C534" s="189"/>
      <c r="D534" s="189"/>
      <c r="E534" s="189"/>
      <c r="F534" s="189"/>
      <c r="G534" s="189"/>
      <c r="H534" s="189"/>
      <c r="I534" s="189"/>
      <c r="J534" s="189"/>
      <c r="K534" s="189"/>
      <c r="L534" s="189"/>
      <c r="M534" s="189"/>
      <c r="N534" s="189"/>
      <c r="O534" s="189"/>
      <c r="P534" s="189"/>
      <c r="Q534" s="189"/>
      <c r="R534" s="189"/>
      <c r="S534" s="189"/>
      <c r="T534" s="230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</row>
    <row r="535" spans="1:30">
      <c r="A535" s="189"/>
      <c r="B535" s="189"/>
      <c r="C535" s="189"/>
      <c r="D535" s="189"/>
      <c r="E535" s="189"/>
      <c r="F535" s="189"/>
      <c r="G535" s="189"/>
      <c r="H535" s="189"/>
      <c r="I535" s="189"/>
      <c r="J535" s="189"/>
      <c r="K535" s="189"/>
      <c r="L535" s="189"/>
      <c r="M535" s="189"/>
      <c r="N535" s="189"/>
      <c r="O535" s="189"/>
      <c r="P535" s="189"/>
      <c r="Q535" s="189"/>
      <c r="R535" s="189"/>
      <c r="S535" s="189"/>
      <c r="T535" s="230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</row>
    <row r="536" spans="1:30">
      <c r="A536" s="189"/>
      <c r="B536" s="189"/>
      <c r="C536" s="189"/>
      <c r="D536" s="189"/>
      <c r="E536" s="189"/>
      <c r="F536" s="189"/>
      <c r="G536" s="189"/>
      <c r="H536" s="189"/>
      <c r="I536" s="189"/>
      <c r="J536" s="189"/>
      <c r="K536" s="189"/>
      <c r="L536" s="189"/>
      <c r="M536" s="189"/>
      <c r="N536" s="189"/>
      <c r="O536" s="189"/>
      <c r="P536" s="189"/>
      <c r="Q536" s="189"/>
      <c r="R536" s="189"/>
      <c r="S536" s="189"/>
      <c r="T536" s="230"/>
      <c r="U536" s="189"/>
      <c r="V536" s="189"/>
      <c r="W536" s="189"/>
      <c r="X536" s="189"/>
      <c r="Y536" s="189"/>
      <c r="Z536" s="189"/>
      <c r="AA536" s="189"/>
      <c r="AB536" s="189"/>
      <c r="AC536" s="189"/>
      <c r="AD536" s="189"/>
    </row>
    <row r="537" spans="1:30">
      <c r="A537" s="189"/>
      <c r="B537" s="189"/>
      <c r="C537" s="189"/>
      <c r="D537" s="189"/>
      <c r="E537" s="189"/>
      <c r="F537" s="189"/>
      <c r="G537" s="189"/>
      <c r="H537" s="189"/>
      <c r="I537" s="189"/>
      <c r="J537" s="189"/>
      <c r="K537" s="189"/>
      <c r="L537" s="189"/>
      <c r="M537" s="189"/>
      <c r="N537" s="189"/>
      <c r="O537" s="189"/>
      <c r="P537" s="189"/>
      <c r="Q537" s="189"/>
      <c r="R537" s="189"/>
      <c r="S537" s="189"/>
      <c r="T537" s="230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</row>
    <row r="538" spans="1:30">
      <c r="A538" s="189"/>
      <c r="B538" s="189"/>
      <c r="C538" s="189"/>
      <c r="D538" s="189"/>
      <c r="E538" s="189"/>
      <c r="F538" s="189"/>
      <c r="G538" s="189"/>
      <c r="H538" s="189"/>
      <c r="I538" s="189"/>
      <c r="J538" s="189"/>
      <c r="K538" s="189"/>
      <c r="L538" s="189"/>
      <c r="M538" s="189"/>
      <c r="N538" s="189"/>
      <c r="O538" s="189"/>
      <c r="P538" s="189"/>
      <c r="Q538" s="189"/>
      <c r="R538" s="189"/>
      <c r="S538" s="189"/>
      <c r="T538" s="230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</row>
    <row r="539" spans="1:30">
      <c r="A539" s="189"/>
      <c r="B539" s="189"/>
      <c r="C539" s="189"/>
      <c r="D539" s="189"/>
      <c r="E539" s="189"/>
      <c r="F539" s="189"/>
      <c r="G539" s="189"/>
      <c r="H539" s="189"/>
      <c r="I539" s="189"/>
      <c r="J539" s="189"/>
      <c r="K539" s="189"/>
      <c r="L539" s="189"/>
      <c r="M539" s="189"/>
      <c r="N539" s="189"/>
      <c r="O539" s="189"/>
      <c r="P539" s="189"/>
      <c r="Q539" s="189"/>
      <c r="R539" s="189"/>
      <c r="S539" s="189"/>
      <c r="T539" s="230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</row>
    <row r="540" spans="1:30">
      <c r="A540" s="189"/>
      <c r="B540" s="189"/>
      <c r="C540" s="189"/>
      <c r="D540" s="189"/>
      <c r="E540" s="189"/>
      <c r="F540" s="189"/>
      <c r="G540" s="189"/>
      <c r="H540" s="189"/>
      <c r="I540" s="189"/>
      <c r="J540" s="189"/>
      <c r="K540" s="189"/>
      <c r="L540" s="189"/>
      <c r="M540" s="189"/>
      <c r="N540" s="189"/>
      <c r="O540" s="189"/>
      <c r="P540" s="189"/>
      <c r="Q540" s="189"/>
      <c r="R540" s="189"/>
      <c r="S540" s="189"/>
      <c r="T540" s="230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</row>
    <row r="541" spans="1:30">
      <c r="A541" s="189"/>
      <c r="B541" s="189"/>
      <c r="C541" s="189"/>
      <c r="D541" s="189"/>
      <c r="E541" s="189"/>
      <c r="F541" s="189"/>
      <c r="G541" s="189"/>
      <c r="H541" s="189"/>
      <c r="I541" s="189"/>
      <c r="J541" s="189"/>
      <c r="K541" s="189"/>
      <c r="L541" s="189"/>
      <c r="M541" s="189"/>
      <c r="N541" s="189"/>
      <c r="O541" s="189"/>
      <c r="P541" s="189"/>
      <c r="Q541" s="189"/>
      <c r="R541" s="189"/>
      <c r="S541" s="189"/>
      <c r="T541" s="230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</row>
    <row r="542" spans="1:30">
      <c r="A542" s="189"/>
      <c r="B542" s="189"/>
      <c r="C542" s="189"/>
      <c r="D542" s="189"/>
      <c r="E542" s="189"/>
      <c r="F542" s="189"/>
      <c r="G542" s="189"/>
      <c r="H542" s="189"/>
      <c r="I542" s="189"/>
      <c r="J542" s="189"/>
      <c r="K542" s="189"/>
      <c r="L542" s="189"/>
      <c r="M542" s="189"/>
      <c r="N542" s="189"/>
      <c r="O542" s="189"/>
      <c r="P542" s="189"/>
      <c r="Q542" s="189"/>
      <c r="R542" s="189"/>
      <c r="S542" s="189"/>
      <c r="T542" s="230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</row>
    <row r="543" spans="1:30">
      <c r="A543" s="189"/>
      <c r="B543" s="189"/>
      <c r="C543" s="189"/>
      <c r="D543" s="189"/>
      <c r="E543" s="189"/>
      <c r="F543" s="189"/>
      <c r="G543" s="189"/>
      <c r="H543" s="189"/>
      <c r="I543" s="189"/>
      <c r="J543" s="189"/>
      <c r="K543" s="189"/>
      <c r="L543" s="189"/>
      <c r="M543" s="189"/>
      <c r="N543" s="189"/>
      <c r="O543" s="189"/>
      <c r="P543" s="189"/>
      <c r="Q543" s="189"/>
      <c r="R543" s="189"/>
      <c r="S543" s="189"/>
      <c r="T543" s="230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</row>
    <row r="544" spans="1:30">
      <c r="A544" s="189"/>
      <c r="B544" s="189"/>
      <c r="C544" s="189"/>
      <c r="D544" s="189"/>
      <c r="E544" s="189"/>
      <c r="F544" s="189"/>
      <c r="G544" s="189"/>
      <c r="H544" s="189"/>
      <c r="I544" s="189"/>
      <c r="J544" s="189"/>
      <c r="K544" s="189"/>
      <c r="L544" s="189"/>
      <c r="M544" s="189"/>
      <c r="N544" s="189"/>
      <c r="O544" s="189"/>
      <c r="P544" s="189"/>
      <c r="Q544" s="189"/>
      <c r="R544" s="189"/>
      <c r="S544" s="189"/>
      <c r="T544" s="230"/>
      <c r="U544" s="189"/>
      <c r="V544" s="189"/>
      <c r="W544" s="189"/>
      <c r="X544" s="189"/>
      <c r="Y544" s="189"/>
      <c r="Z544" s="189"/>
      <c r="AA544" s="189"/>
      <c r="AB544" s="189"/>
      <c r="AC544" s="189"/>
      <c r="AD544" s="189"/>
    </row>
    <row r="545" spans="1:30">
      <c r="A545" s="189"/>
      <c r="B545" s="189"/>
      <c r="C545" s="189"/>
      <c r="D545" s="189"/>
      <c r="E545" s="189"/>
      <c r="F545" s="189"/>
      <c r="G545" s="189"/>
      <c r="H545" s="189"/>
      <c r="I545" s="189"/>
      <c r="J545" s="189"/>
      <c r="K545" s="189"/>
      <c r="L545" s="189"/>
      <c r="M545" s="189"/>
      <c r="N545" s="189"/>
      <c r="O545" s="189"/>
      <c r="P545" s="189"/>
      <c r="Q545" s="189"/>
      <c r="R545" s="189"/>
      <c r="S545" s="189"/>
      <c r="T545" s="230"/>
      <c r="U545" s="189"/>
      <c r="V545" s="189"/>
      <c r="W545" s="189"/>
      <c r="X545" s="189"/>
      <c r="Y545" s="189"/>
      <c r="Z545" s="189"/>
      <c r="AA545" s="189"/>
      <c r="AB545" s="189"/>
      <c r="AC545" s="189"/>
      <c r="AD545" s="189"/>
    </row>
    <row r="546" spans="1:30">
      <c r="A546" s="189"/>
      <c r="B546" s="189"/>
      <c r="C546" s="189"/>
      <c r="D546" s="189"/>
      <c r="E546" s="189"/>
      <c r="F546" s="189"/>
      <c r="G546" s="189"/>
      <c r="H546" s="189"/>
      <c r="I546" s="189"/>
      <c r="J546" s="189"/>
      <c r="K546" s="189"/>
      <c r="L546" s="189"/>
      <c r="M546" s="189"/>
      <c r="N546" s="189"/>
      <c r="O546" s="189"/>
      <c r="P546" s="189"/>
      <c r="Q546" s="189"/>
      <c r="R546" s="189"/>
      <c r="S546" s="189"/>
      <c r="T546" s="230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</row>
    <row r="547" spans="1:30">
      <c r="A547" s="189"/>
      <c r="B547" s="189"/>
      <c r="C547" s="189"/>
      <c r="D547" s="189"/>
      <c r="E547" s="189"/>
      <c r="F547" s="189"/>
      <c r="G547" s="189"/>
      <c r="H547" s="189"/>
      <c r="I547" s="189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230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</row>
    <row r="548" spans="1:30">
      <c r="A548" s="189"/>
      <c r="B548" s="189"/>
      <c r="C548" s="189"/>
      <c r="D548" s="189"/>
      <c r="E548" s="189"/>
      <c r="F548" s="189"/>
      <c r="G548" s="189"/>
      <c r="H548" s="189"/>
      <c r="I548" s="189"/>
      <c r="J548" s="189"/>
      <c r="K548" s="189"/>
      <c r="L548" s="189"/>
      <c r="M548" s="189"/>
      <c r="N548" s="189"/>
      <c r="O548" s="189"/>
      <c r="P548" s="189"/>
      <c r="Q548" s="189"/>
      <c r="R548" s="189"/>
      <c r="S548" s="189"/>
      <c r="T548" s="230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</row>
    <row r="549" spans="1:30">
      <c r="A549" s="189"/>
      <c r="B549" s="189"/>
      <c r="C549" s="189"/>
      <c r="D549" s="189"/>
      <c r="E549" s="189"/>
      <c r="F549" s="189"/>
      <c r="G549" s="189"/>
      <c r="H549" s="189"/>
      <c r="I549" s="189"/>
      <c r="J549" s="189"/>
      <c r="K549" s="189"/>
      <c r="L549" s="189"/>
      <c r="M549" s="189"/>
      <c r="N549" s="189"/>
      <c r="O549" s="189"/>
      <c r="P549" s="189"/>
      <c r="Q549" s="189"/>
      <c r="R549" s="189"/>
      <c r="S549" s="189"/>
      <c r="T549" s="230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</row>
    <row r="550" spans="1:30">
      <c r="A550" s="189"/>
      <c r="B550" s="189"/>
      <c r="C550" s="189"/>
      <c r="D550" s="189"/>
      <c r="E550" s="189"/>
      <c r="F550" s="189"/>
      <c r="G550" s="189"/>
      <c r="H550" s="189"/>
      <c r="I550" s="189"/>
      <c r="J550" s="189"/>
      <c r="K550" s="189"/>
      <c r="L550" s="189"/>
      <c r="M550" s="189"/>
      <c r="N550" s="189"/>
      <c r="O550" s="189"/>
      <c r="P550" s="189"/>
      <c r="Q550" s="189"/>
      <c r="R550" s="189"/>
      <c r="S550" s="189"/>
      <c r="T550" s="230"/>
      <c r="U550" s="189"/>
      <c r="V550" s="189"/>
      <c r="W550" s="189"/>
      <c r="X550" s="189"/>
      <c r="Y550" s="189"/>
      <c r="Z550" s="189"/>
      <c r="AA550" s="189"/>
      <c r="AB550" s="189"/>
      <c r="AC550" s="189"/>
      <c r="AD550" s="189"/>
    </row>
    <row r="551" spans="1:30">
      <c r="A551" s="189"/>
      <c r="B551" s="189"/>
      <c r="C551" s="189"/>
      <c r="D551" s="189"/>
      <c r="E551" s="189"/>
      <c r="F551" s="189"/>
      <c r="G551" s="189"/>
      <c r="H551" s="189"/>
      <c r="I551" s="189"/>
      <c r="J551" s="189"/>
      <c r="K551" s="189"/>
      <c r="L551" s="189"/>
      <c r="M551" s="189"/>
      <c r="N551" s="189"/>
      <c r="O551" s="189"/>
      <c r="P551" s="189"/>
      <c r="Q551" s="189"/>
      <c r="R551" s="189"/>
      <c r="S551" s="189"/>
      <c r="T551" s="230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</row>
    <row r="552" spans="1:30">
      <c r="A552" s="189"/>
      <c r="B552" s="189"/>
      <c r="C552" s="189"/>
      <c r="D552" s="189"/>
      <c r="E552" s="189"/>
      <c r="F552" s="189"/>
      <c r="G552" s="189"/>
      <c r="H552" s="189"/>
      <c r="I552" s="189"/>
      <c r="J552" s="189"/>
      <c r="K552" s="189"/>
      <c r="L552" s="189"/>
      <c r="M552" s="189"/>
      <c r="N552" s="189"/>
      <c r="O552" s="189"/>
      <c r="P552" s="189"/>
      <c r="Q552" s="189"/>
      <c r="R552" s="189"/>
      <c r="S552" s="189"/>
      <c r="T552" s="230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</row>
    <row r="553" spans="1:30">
      <c r="A553" s="189"/>
      <c r="B553" s="189"/>
      <c r="C553" s="189"/>
      <c r="D553" s="189"/>
      <c r="E553" s="189"/>
      <c r="F553" s="189"/>
      <c r="G553" s="189"/>
      <c r="H553" s="189"/>
      <c r="I553" s="189"/>
      <c r="J553" s="189"/>
      <c r="K553" s="189"/>
      <c r="L553" s="189"/>
      <c r="M553" s="189"/>
      <c r="N553" s="189"/>
      <c r="O553" s="189"/>
      <c r="P553" s="189"/>
      <c r="Q553" s="189"/>
      <c r="R553" s="189"/>
      <c r="S553" s="189"/>
      <c r="T553" s="230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</row>
    <row r="554" spans="1:30">
      <c r="A554" s="189"/>
      <c r="B554" s="189"/>
      <c r="C554" s="189"/>
      <c r="D554" s="189"/>
      <c r="E554" s="189"/>
      <c r="F554" s="189"/>
      <c r="G554" s="189"/>
      <c r="H554" s="189"/>
      <c r="I554" s="189"/>
      <c r="J554" s="189"/>
      <c r="K554" s="189"/>
      <c r="L554" s="189"/>
      <c r="M554" s="189"/>
      <c r="N554" s="189"/>
      <c r="O554" s="189"/>
      <c r="P554" s="189"/>
      <c r="Q554" s="189"/>
      <c r="R554" s="189"/>
      <c r="S554" s="189"/>
      <c r="T554" s="230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</row>
    <row r="555" spans="1:30">
      <c r="A555" s="189"/>
      <c r="B555" s="189"/>
      <c r="C555" s="189"/>
      <c r="D555" s="189"/>
      <c r="E555" s="189"/>
      <c r="F555" s="189"/>
      <c r="G555" s="189"/>
      <c r="H555" s="189"/>
      <c r="I555" s="189"/>
      <c r="J555" s="189"/>
      <c r="K555" s="189"/>
      <c r="L555" s="189"/>
      <c r="M555" s="189"/>
      <c r="N555" s="189"/>
      <c r="O555" s="189"/>
      <c r="P555" s="189"/>
      <c r="Q555" s="189"/>
      <c r="R555" s="189"/>
      <c r="S555" s="189"/>
      <c r="T555" s="230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</row>
    <row r="556" spans="1:30">
      <c r="A556" s="189"/>
      <c r="B556" s="189"/>
      <c r="C556" s="189"/>
      <c r="D556" s="189"/>
      <c r="E556" s="189"/>
      <c r="F556" s="189"/>
      <c r="G556" s="189"/>
      <c r="H556" s="189"/>
      <c r="I556" s="189"/>
      <c r="J556" s="189"/>
      <c r="K556" s="189"/>
      <c r="L556" s="189"/>
      <c r="M556" s="189"/>
      <c r="N556" s="189"/>
      <c r="O556" s="189"/>
      <c r="P556" s="189"/>
      <c r="Q556" s="189"/>
      <c r="R556" s="189"/>
      <c r="S556" s="189"/>
      <c r="T556" s="230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</row>
    <row r="557" spans="1:30">
      <c r="A557" s="189"/>
      <c r="B557" s="189"/>
      <c r="C557" s="189"/>
      <c r="D557" s="189"/>
      <c r="E557" s="189"/>
      <c r="F557" s="189"/>
      <c r="G557" s="189"/>
      <c r="H557" s="189"/>
      <c r="I557" s="189"/>
      <c r="J557" s="189"/>
      <c r="K557" s="189"/>
      <c r="L557" s="189"/>
      <c r="M557" s="189"/>
      <c r="N557" s="189"/>
      <c r="O557" s="189"/>
      <c r="P557" s="189"/>
      <c r="Q557" s="189"/>
      <c r="R557" s="189"/>
      <c r="S557" s="189"/>
      <c r="T557" s="230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</row>
    <row r="558" spans="1:30">
      <c r="A558" s="189"/>
      <c r="B558" s="189"/>
      <c r="C558" s="189"/>
      <c r="D558" s="189"/>
      <c r="E558" s="189"/>
      <c r="F558" s="189"/>
      <c r="G558" s="189"/>
      <c r="H558" s="189"/>
      <c r="I558" s="189"/>
      <c r="J558" s="189"/>
      <c r="K558" s="189"/>
      <c r="L558" s="189"/>
      <c r="M558" s="189"/>
      <c r="N558" s="189"/>
      <c r="O558" s="189"/>
      <c r="P558" s="189"/>
      <c r="Q558" s="189"/>
      <c r="R558" s="189"/>
      <c r="S558" s="189"/>
      <c r="T558" s="230"/>
      <c r="U558" s="189"/>
      <c r="V558" s="189"/>
      <c r="W558" s="189"/>
      <c r="X558" s="189"/>
      <c r="Y558" s="189"/>
      <c r="Z558" s="189"/>
      <c r="AA558" s="189"/>
      <c r="AB558" s="189"/>
      <c r="AC558" s="189"/>
      <c r="AD558" s="189"/>
    </row>
    <row r="559" spans="1:30">
      <c r="A559" s="189"/>
      <c r="B559" s="189"/>
      <c r="C559" s="189"/>
      <c r="D559" s="189"/>
      <c r="E559" s="189"/>
      <c r="F559" s="189"/>
      <c r="G559" s="189"/>
      <c r="H559" s="189"/>
      <c r="I559" s="189"/>
      <c r="J559" s="189"/>
      <c r="K559" s="189"/>
      <c r="L559" s="189"/>
      <c r="M559" s="189"/>
      <c r="N559" s="189"/>
      <c r="O559" s="189"/>
      <c r="P559" s="189"/>
      <c r="Q559" s="189"/>
      <c r="R559" s="189"/>
      <c r="S559" s="189"/>
      <c r="T559" s="230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</row>
    <row r="560" spans="1:30">
      <c r="A560" s="189"/>
      <c r="B560" s="189"/>
      <c r="C560" s="189"/>
      <c r="D560" s="189"/>
      <c r="E560" s="189"/>
      <c r="F560" s="189"/>
      <c r="G560" s="189"/>
      <c r="H560" s="189"/>
      <c r="I560" s="189"/>
      <c r="J560" s="189"/>
      <c r="K560" s="189"/>
      <c r="L560" s="189"/>
      <c r="M560" s="189"/>
      <c r="N560" s="189"/>
      <c r="O560" s="189"/>
      <c r="P560" s="189"/>
      <c r="Q560" s="189"/>
      <c r="R560" s="189"/>
      <c r="S560" s="189"/>
      <c r="T560" s="230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</row>
    <row r="561" spans="1:30">
      <c r="A561" s="189"/>
      <c r="B561" s="189"/>
      <c r="C561" s="189"/>
      <c r="D561" s="189"/>
      <c r="E561" s="189"/>
      <c r="F561" s="189"/>
      <c r="G561" s="189"/>
      <c r="H561" s="189"/>
      <c r="I561" s="189"/>
      <c r="J561" s="189"/>
      <c r="K561" s="189"/>
      <c r="L561" s="189"/>
      <c r="M561" s="189"/>
      <c r="N561" s="189"/>
      <c r="O561" s="189"/>
      <c r="P561" s="189"/>
      <c r="Q561" s="189"/>
      <c r="R561" s="189"/>
      <c r="S561" s="189"/>
      <c r="T561" s="230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</row>
    <row r="562" spans="1:30">
      <c r="A562" s="189"/>
      <c r="B562" s="189"/>
      <c r="C562" s="189"/>
      <c r="D562" s="189"/>
      <c r="E562" s="189"/>
      <c r="F562" s="189"/>
      <c r="G562" s="189"/>
      <c r="H562" s="189"/>
      <c r="I562" s="189"/>
      <c r="J562" s="189"/>
      <c r="K562" s="189"/>
      <c r="L562" s="189"/>
      <c r="M562" s="189"/>
      <c r="N562" s="189"/>
      <c r="O562" s="189"/>
      <c r="P562" s="189"/>
      <c r="Q562" s="189"/>
      <c r="R562" s="189"/>
      <c r="S562" s="189"/>
      <c r="T562" s="230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</row>
    <row r="563" spans="1:30">
      <c r="A563" s="189"/>
      <c r="B563" s="189"/>
      <c r="C563" s="189"/>
      <c r="D563" s="189"/>
      <c r="E563" s="189"/>
      <c r="F563" s="189"/>
      <c r="G563" s="189"/>
      <c r="H563" s="189"/>
      <c r="I563" s="189"/>
      <c r="J563" s="189"/>
      <c r="K563" s="189"/>
      <c r="L563" s="189"/>
      <c r="M563" s="189"/>
      <c r="N563" s="189"/>
      <c r="O563" s="189"/>
      <c r="P563" s="189"/>
      <c r="Q563" s="189"/>
      <c r="R563" s="189"/>
      <c r="S563" s="189"/>
      <c r="T563" s="230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</row>
    <row r="564" spans="1:30">
      <c r="A564" s="189"/>
      <c r="B564" s="189"/>
      <c r="C564" s="189"/>
      <c r="D564" s="189"/>
      <c r="E564" s="189"/>
      <c r="F564" s="189"/>
      <c r="G564" s="189"/>
      <c r="H564" s="189"/>
      <c r="I564" s="189"/>
      <c r="J564" s="189"/>
      <c r="K564" s="189"/>
      <c r="L564" s="189"/>
      <c r="M564" s="189"/>
      <c r="N564" s="189"/>
      <c r="O564" s="189"/>
      <c r="P564" s="189"/>
      <c r="Q564" s="189"/>
      <c r="R564" s="189"/>
      <c r="S564" s="189"/>
      <c r="T564" s="230"/>
      <c r="U564" s="189"/>
      <c r="V564" s="189"/>
      <c r="W564" s="189"/>
      <c r="X564" s="189"/>
      <c r="Y564" s="189"/>
      <c r="Z564" s="189"/>
      <c r="AA564" s="189"/>
      <c r="AB564" s="189"/>
      <c r="AC564" s="189"/>
      <c r="AD564" s="189"/>
    </row>
    <row r="565" spans="1:30">
      <c r="A565" s="189"/>
      <c r="B565" s="189"/>
      <c r="C565" s="189"/>
      <c r="D565" s="189"/>
      <c r="E565" s="189"/>
      <c r="F565" s="189"/>
      <c r="G565" s="189"/>
      <c r="H565" s="189"/>
      <c r="I565" s="189"/>
      <c r="J565" s="189"/>
      <c r="K565" s="189"/>
      <c r="L565" s="189"/>
      <c r="M565" s="189"/>
      <c r="N565" s="189"/>
      <c r="O565" s="189"/>
      <c r="P565" s="189"/>
      <c r="Q565" s="189"/>
      <c r="R565" s="189"/>
      <c r="S565" s="189"/>
      <c r="T565" s="230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</row>
    <row r="566" spans="1:30">
      <c r="A566" s="189"/>
      <c r="B566" s="189"/>
      <c r="C566" s="189"/>
      <c r="D566" s="189"/>
      <c r="E566" s="189"/>
      <c r="F566" s="189"/>
      <c r="G566" s="189"/>
      <c r="H566" s="189"/>
      <c r="I566" s="189"/>
      <c r="J566" s="189"/>
      <c r="K566" s="189"/>
      <c r="L566" s="189"/>
      <c r="M566" s="189"/>
      <c r="N566" s="189"/>
      <c r="O566" s="189"/>
      <c r="P566" s="189"/>
      <c r="Q566" s="189"/>
      <c r="R566" s="189"/>
      <c r="S566" s="189"/>
      <c r="T566" s="230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</row>
    <row r="567" spans="1:30">
      <c r="A567" s="189"/>
      <c r="B567" s="189"/>
      <c r="C567" s="189"/>
      <c r="D567" s="189"/>
      <c r="E567" s="189"/>
      <c r="F567" s="189"/>
      <c r="G567" s="189"/>
      <c r="H567" s="189"/>
      <c r="I567" s="189"/>
      <c r="J567" s="189"/>
      <c r="K567" s="189"/>
      <c r="L567" s="189"/>
      <c r="M567" s="189"/>
      <c r="N567" s="189"/>
      <c r="O567" s="189"/>
      <c r="P567" s="189"/>
      <c r="Q567" s="189"/>
      <c r="R567" s="189"/>
      <c r="S567" s="189"/>
      <c r="T567" s="230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</row>
    <row r="568" spans="1:30">
      <c r="A568" s="189"/>
      <c r="B568" s="189"/>
      <c r="C568" s="189"/>
      <c r="D568" s="189"/>
      <c r="E568" s="189"/>
      <c r="F568" s="189"/>
      <c r="G568" s="189"/>
      <c r="H568" s="189"/>
      <c r="I568" s="189"/>
      <c r="J568" s="189"/>
      <c r="K568" s="189"/>
      <c r="L568" s="189"/>
      <c r="M568" s="189"/>
      <c r="N568" s="189"/>
      <c r="O568" s="189"/>
      <c r="P568" s="189"/>
      <c r="Q568" s="189"/>
      <c r="R568" s="189"/>
      <c r="S568" s="189"/>
      <c r="T568" s="230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</row>
    <row r="569" spans="1:30">
      <c r="A569" s="189"/>
      <c r="B569" s="189"/>
      <c r="C569" s="189"/>
      <c r="D569" s="189"/>
      <c r="E569" s="189"/>
      <c r="F569" s="189"/>
      <c r="G569" s="189"/>
      <c r="H569" s="189"/>
      <c r="I569" s="189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230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</row>
    <row r="570" spans="1:30">
      <c r="A570" s="189"/>
      <c r="B570" s="189"/>
      <c r="C570" s="189"/>
      <c r="D570" s="189"/>
      <c r="E570" s="189"/>
      <c r="F570" s="189"/>
      <c r="G570" s="189"/>
      <c r="H570" s="189"/>
      <c r="I570" s="189"/>
      <c r="J570" s="189"/>
      <c r="K570" s="189"/>
      <c r="L570" s="189"/>
      <c r="M570" s="189"/>
      <c r="N570" s="189"/>
      <c r="O570" s="189"/>
      <c r="P570" s="189"/>
      <c r="Q570" s="189"/>
      <c r="R570" s="189"/>
      <c r="S570" s="189"/>
      <c r="T570" s="230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</row>
    <row r="571" spans="1:30">
      <c r="A571" s="189"/>
      <c r="B571" s="189"/>
      <c r="C571" s="189"/>
      <c r="D571" s="189"/>
      <c r="E571" s="189"/>
      <c r="F571" s="189"/>
      <c r="G571" s="189"/>
      <c r="H571" s="189"/>
      <c r="I571" s="189"/>
      <c r="J571" s="189"/>
      <c r="K571" s="189"/>
      <c r="L571" s="189"/>
      <c r="M571" s="189"/>
      <c r="N571" s="189"/>
      <c r="O571" s="189"/>
      <c r="P571" s="189"/>
      <c r="Q571" s="189"/>
      <c r="R571" s="189"/>
      <c r="S571" s="189"/>
      <c r="T571" s="230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</row>
    <row r="572" spans="1:30">
      <c r="A572" s="189"/>
      <c r="B572" s="189"/>
      <c r="C572" s="189"/>
      <c r="D572" s="189"/>
      <c r="E572" s="189"/>
      <c r="F572" s="189"/>
      <c r="G572" s="189"/>
      <c r="H572" s="189"/>
      <c r="I572" s="189"/>
      <c r="J572" s="189"/>
      <c r="K572" s="189"/>
      <c r="L572" s="189"/>
      <c r="M572" s="189"/>
      <c r="N572" s="189"/>
      <c r="O572" s="189"/>
      <c r="P572" s="189"/>
      <c r="Q572" s="189"/>
      <c r="R572" s="189"/>
      <c r="S572" s="189"/>
      <c r="T572" s="230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</row>
    <row r="573" spans="1:30">
      <c r="A573" s="189"/>
      <c r="B573" s="189"/>
      <c r="C573" s="189"/>
      <c r="D573" s="189"/>
      <c r="E573" s="189"/>
      <c r="F573" s="189"/>
      <c r="G573" s="189"/>
      <c r="H573" s="189"/>
      <c r="I573" s="189"/>
      <c r="J573" s="189"/>
      <c r="K573" s="189"/>
      <c r="L573" s="189"/>
      <c r="M573" s="189"/>
      <c r="N573" s="189"/>
      <c r="O573" s="189"/>
      <c r="P573" s="189"/>
      <c r="Q573" s="189"/>
      <c r="R573" s="189"/>
      <c r="S573" s="189"/>
      <c r="T573" s="230"/>
      <c r="U573" s="189"/>
      <c r="V573" s="189"/>
      <c r="W573" s="189"/>
      <c r="X573" s="189"/>
      <c r="Y573" s="189"/>
      <c r="Z573" s="189"/>
      <c r="AA573" s="189"/>
      <c r="AB573" s="189"/>
      <c r="AC573" s="189"/>
      <c r="AD573" s="189"/>
    </row>
    <row r="574" spans="1:30">
      <c r="A574" s="189"/>
      <c r="B574" s="189"/>
      <c r="C574" s="189"/>
      <c r="D574" s="189"/>
      <c r="E574" s="189"/>
      <c r="F574" s="189"/>
      <c r="G574" s="189"/>
      <c r="H574" s="189"/>
      <c r="I574" s="189"/>
      <c r="J574" s="189"/>
      <c r="K574" s="189"/>
      <c r="L574" s="189"/>
      <c r="M574" s="189"/>
      <c r="N574" s="189"/>
      <c r="O574" s="189"/>
      <c r="P574" s="189"/>
      <c r="Q574" s="189"/>
      <c r="R574" s="189"/>
      <c r="S574" s="189"/>
      <c r="T574" s="230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</row>
    <row r="575" spans="1:30">
      <c r="A575" s="189"/>
      <c r="B575" s="189"/>
      <c r="C575" s="189"/>
      <c r="D575" s="189"/>
      <c r="E575" s="189"/>
      <c r="F575" s="189"/>
      <c r="G575" s="189"/>
      <c r="H575" s="189"/>
      <c r="I575" s="189"/>
      <c r="J575" s="189"/>
      <c r="K575" s="189"/>
      <c r="L575" s="189"/>
      <c r="M575" s="189"/>
      <c r="N575" s="189"/>
      <c r="O575" s="189"/>
      <c r="P575" s="189"/>
      <c r="Q575" s="189"/>
      <c r="R575" s="189"/>
      <c r="S575" s="189"/>
      <c r="T575" s="230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</row>
    <row r="576" spans="1:30">
      <c r="A576" s="189"/>
      <c r="B576" s="189"/>
      <c r="C576" s="189"/>
      <c r="D576" s="189"/>
      <c r="E576" s="189"/>
      <c r="F576" s="189"/>
      <c r="G576" s="189"/>
      <c r="H576" s="189"/>
      <c r="I576" s="189"/>
      <c r="J576" s="189"/>
      <c r="K576" s="189"/>
      <c r="L576" s="189"/>
      <c r="M576" s="189"/>
      <c r="N576" s="189"/>
      <c r="O576" s="189"/>
      <c r="P576" s="189"/>
      <c r="Q576" s="189"/>
      <c r="R576" s="189"/>
      <c r="S576" s="189"/>
      <c r="T576" s="230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</row>
    <row r="577" spans="1:30">
      <c r="A577" s="189"/>
      <c r="B577" s="189"/>
      <c r="C577" s="189"/>
      <c r="D577" s="189"/>
      <c r="E577" s="189"/>
      <c r="F577" s="189"/>
      <c r="G577" s="189"/>
      <c r="H577" s="189"/>
      <c r="I577" s="189"/>
      <c r="J577" s="189"/>
      <c r="K577" s="189"/>
      <c r="L577" s="189"/>
      <c r="M577" s="189"/>
      <c r="N577" s="189"/>
      <c r="O577" s="189"/>
      <c r="P577" s="189"/>
      <c r="Q577" s="189"/>
      <c r="R577" s="189"/>
      <c r="S577" s="189"/>
      <c r="T577" s="230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</row>
    <row r="578" spans="1:30">
      <c r="A578" s="189"/>
      <c r="B578" s="189"/>
      <c r="C578" s="189"/>
      <c r="D578" s="189"/>
      <c r="E578" s="189"/>
      <c r="F578" s="189"/>
      <c r="G578" s="189"/>
      <c r="H578" s="189"/>
      <c r="I578" s="189"/>
      <c r="J578" s="189"/>
      <c r="K578" s="189"/>
      <c r="L578" s="189"/>
      <c r="M578" s="189"/>
      <c r="N578" s="189"/>
      <c r="O578" s="189"/>
      <c r="P578" s="189"/>
      <c r="Q578" s="189"/>
      <c r="R578" s="189"/>
      <c r="S578" s="189"/>
      <c r="T578" s="230"/>
      <c r="U578" s="189"/>
      <c r="V578" s="189"/>
      <c r="W578" s="189"/>
      <c r="X578" s="189"/>
      <c r="Y578" s="189"/>
      <c r="Z578" s="189"/>
      <c r="AA578" s="189"/>
      <c r="AB578" s="189"/>
      <c r="AC578" s="189"/>
      <c r="AD578" s="189"/>
    </row>
    <row r="579" spans="1:30">
      <c r="A579" s="189"/>
      <c r="B579" s="189"/>
      <c r="C579" s="189"/>
      <c r="D579" s="189"/>
      <c r="E579" s="189"/>
      <c r="F579" s="189"/>
      <c r="G579" s="189"/>
      <c r="H579" s="189"/>
      <c r="I579" s="189"/>
      <c r="J579" s="189"/>
      <c r="K579" s="189"/>
      <c r="L579" s="189"/>
      <c r="M579" s="189"/>
      <c r="N579" s="189"/>
      <c r="O579" s="189"/>
      <c r="P579" s="189"/>
      <c r="Q579" s="189"/>
      <c r="R579" s="189"/>
      <c r="S579" s="189"/>
      <c r="T579" s="230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</row>
    <row r="580" spans="1:30">
      <c r="A580" s="189"/>
      <c r="B580" s="189"/>
      <c r="C580" s="189"/>
      <c r="D580" s="189"/>
      <c r="E580" s="189"/>
      <c r="F580" s="189"/>
      <c r="G580" s="189"/>
      <c r="H580" s="189"/>
      <c r="I580" s="189"/>
      <c r="J580" s="189"/>
      <c r="K580" s="189"/>
      <c r="L580" s="189"/>
      <c r="M580" s="189"/>
      <c r="N580" s="189"/>
      <c r="O580" s="189"/>
      <c r="P580" s="189"/>
      <c r="Q580" s="189"/>
      <c r="R580" s="189"/>
      <c r="S580" s="189"/>
      <c r="T580" s="230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</row>
    <row r="581" spans="1:30">
      <c r="A581" s="189"/>
      <c r="B581" s="189"/>
      <c r="C581" s="189"/>
      <c r="D581" s="189"/>
      <c r="E581" s="189"/>
      <c r="F581" s="189"/>
      <c r="G581" s="189"/>
      <c r="H581" s="189"/>
      <c r="I581" s="189"/>
      <c r="J581" s="189"/>
      <c r="K581" s="189"/>
      <c r="L581" s="189"/>
      <c r="M581" s="189"/>
      <c r="N581" s="189"/>
      <c r="O581" s="189"/>
      <c r="P581" s="189"/>
      <c r="Q581" s="189"/>
      <c r="R581" s="189"/>
      <c r="S581" s="189"/>
      <c r="T581" s="230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</row>
    <row r="582" spans="1:30">
      <c r="A582" s="189"/>
      <c r="B582" s="189"/>
      <c r="C582" s="189"/>
      <c r="D582" s="189"/>
      <c r="E582" s="189"/>
      <c r="F582" s="189"/>
      <c r="G582" s="189"/>
      <c r="H582" s="189"/>
      <c r="I582" s="189"/>
      <c r="J582" s="189"/>
      <c r="K582" s="189"/>
      <c r="L582" s="189"/>
      <c r="M582" s="189"/>
      <c r="N582" s="189"/>
      <c r="O582" s="189"/>
      <c r="P582" s="189"/>
      <c r="Q582" s="189"/>
      <c r="R582" s="189"/>
      <c r="S582" s="189"/>
      <c r="T582" s="230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</row>
    <row r="583" spans="1:30">
      <c r="A583" s="189"/>
      <c r="B583" s="189"/>
      <c r="C583" s="189"/>
      <c r="D583" s="189"/>
      <c r="E583" s="189"/>
      <c r="F583" s="189"/>
      <c r="G583" s="189"/>
      <c r="H583" s="189"/>
      <c r="I583" s="189"/>
      <c r="J583" s="189"/>
      <c r="K583" s="189"/>
      <c r="L583" s="189"/>
      <c r="M583" s="189"/>
      <c r="N583" s="189"/>
      <c r="O583" s="189"/>
      <c r="P583" s="189"/>
      <c r="Q583" s="189"/>
      <c r="R583" s="189"/>
      <c r="S583" s="189"/>
      <c r="T583" s="230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</row>
    <row r="584" spans="1:30">
      <c r="A584" s="189"/>
      <c r="B584" s="189"/>
      <c r="C584" s="189"/>
      <c r="D584" s="189"/>
      <c r="E584" s="189"/>
      <c r="F584" s="189"/>
      <c r="G584" s="189"/>
      <c r="H584" s="189"/>
      <c r="I584" s="189"/>
      <c r="J584" s="189"/>
      <c r="K584" s="189"/>
      <c r="L584" s="189"/>
      <c r="M584" s="189"/>
      <c r="N584" s="189"/>
      <c r="O584" s="189"/>
      <c r="P584" s="189"/>
      <c r="Q584" s="189"/>
      <c r="R584" s="189"/>
      <c r="S584" s="189"/>
      <c r="T584" s="230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</row>
    <row r="585" spans="1:30">
      <c r="A585" s="189"/>
      <c r="B585" s="189"/>
      <c r="C585" s="189"/>
      <c r="D585" s="189"/>
      <c r="E585" s="189"/>
      <c r="F585" s="189"/>
      <c r="G585" s="189"/>
      <c r="H585" s="189"/>
      <c r="I585" s="189"/>
      <c r="J585" s="189"/>
      <c r="K585" s="189"/>
      <c r="L585" s="189"/>
      <c r="M585" s="189"/>
      <c r="N585" s="189"/>
      <c r="O585" s="189"/>
      <c r="P585" s="189"/>
      <c r="Q585" s="189"/>
      <c r="R585" s="189"/>
      <c r="S585" s="189"/>
      <c r="T585" s="230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</row>
    <row r="586" spans="1:30">
      <c r="A586" s="189"/>
      <c r="B586" s="189"/>
      <c r="C586" s="189"/>
      <c r="D586" s="189"/>
      <c r="E586" s="189"/>
      <c r="F586" s="189"/>
      <c r="G586" s="189"/>
      <c r="H586" s="189"/>
      <c r="I586" s="189"/>
      <c r="J586" s="189"/>
      <c r="K586" s="189"/>
      <c r="L586" s="189"/>
      <c r="M586" s="189"/>
      <c r="N586" s="189"/>
      <c r="O586" s="189"/>
      <c r="P586" s="189"/>
      <c r="Q586" s="189"/>
      <c r="R586" s="189"/>
      <c r="S586" s="189"/>
      <c r="T586" s="230"/>
      <c r="U586" s="189"/>
      <c r="V586" s="189"/>
      <c r="W586" s="189"/>
      <c r="X586" s="189"/>
      <c r="Y586" s="189"/>
      <c r="Z586" s="189"/>
      <c r="AA586" s="189"/>
      <c r="AB586" s="189"/>
      <c r="AC586" s="189"/>
      <c r="AD586" s="189"/>
    </row>
    <row r="587" spans="1:30">
      <c r="A587" s="189"/>
      <c r="B587" s="189"/>
      <c r="C587" s="189"/>
      <c r="D587" s="189"/>
      <c r="E587" s="189"/>
      <c r="F587" s="189"/>
      <c r="G587" s="189"/>
      <c r="H587" s="189"/>
      <c r="I587" s="189"/>
      <c r="J587" s="189"/>
      <c r="K587" s="189"/>
      <c r="L587" s="189"/>
      <c r="M587" s="189"/>
      <c r="N587" s="189"/>
      <c r="O587" s="189"/>
      <c r="P587" s="189"/>
      <c r="Q587" s="189"/>
      <c r="R587" s="189"/>
      <c r="S587" s="189"/>
      <c r="T587" s="230"/>
      <c r="U587" s="189"/>
      <c r="V587" s="189"/>
      <c r="W587" s="189"/>
      <c r="X587" s="189"/>
      <c r="Y587" s="189"/>
      <c r="Z587" s="189"/>
      <c r="AA587" s="189"/>
      <c r="AB587" s="189"/>
      <c r="AC587" s="189"/>
      <c r="AD587" s="189"/>
    </row>
    <row r="588" spans="1:30">
      <c r="A588" s="189"/>
      <c r="B588" s="189"/>
      <c r="C588" s="189"/>
      <c r="D588" s="189"/>
      <c r="E588" s="189"/>
      <c r="F588" s="189"/>
      <c r="G588" s="189"/>
      <c r="H588" s="189"/>
      <c r="I588" s="189"/>
      <c r="J588" s="189"/>
      <c r="K588" s="189"/>
      <c r="L588" s="189"/>
      <c r="M588" s="189"/>
      <c r="N588" s="189"/>
      <c r="O588" s="189"/>
      <c r="P588" s="189"/>
      <c r="Q588" s="189"/>
      <c r="R588" s="189"/>
      <c r="S588" s="189"/>
      <c r="T588" s="230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</row>
    <row r="589" spans="1:30">
      <c r="A589" s="189"/>
      <c r="B589" s="189"/>
      <c r="C589" s="189"/>
      <c r="D589" s="189"/>
      <c r="E589" s="189"/>
      <c r="F589" s="189"/>
      <c r="G589" s="189"/>
      <c r="H589" s="189"/>
      <c r="I589" s="189"/>
      <c r="J589" s="189"/>
      <c r="K589" s="189"/>
      <c r="L589" s="189"/>
      <c r="M589" s="189"/>
      <c r="N589" s="189"/>
      <c r="O589" s="189"/>
      <c r="P589" s="189"/>
      <c r="Q589" s="189"/>
      <c r="R589" s="189"/>
      <c r="S589" s="189"/>
      <c r="T589" s="230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</row>
    <row r="590" spans="1:30">
      <c r="A590" s="189"/>
      <c r="B590" s="189"/>
      <c r="C590" s="189"/>
      <c r="D590" s="189"/>
      <c r="E590" s="189"/>
      <c r="F590" s="189"/>
      <c r="G590" s="189"/>
      <c r="H590" s="189"/>
      <c r="I590" s="189"/>
      <c r="J590" s="189"/>
      <c r="K590" s="189"/>
      <c r="L590" s="189"/>
      <c r="M590" s="189"/>
      <c r="N590" s="189"/>
      <c r="O590" s="189"/>
      <c r="P590" s="189"/>
      <c r="Q590" s="189"/>
      <c r="R590" s="189"/>
      <c r="S590" s="189"/>
      <c r="T590" s="230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</row>
    <row r="591" spans="1:30">
      <c r="A591" s="189"/>
      <c r="B591" s="189"/>
      <c r="C591" s="189"/>
      <c r="D591" s="189"/>
      <c r="E591" s="189"/>
      <c r="F591" s="189"/>
      <c r="G591" s="189"/>
      <c r="H591" s="189"/>
      <c r="I591" s="189"/>
      <c r="J591" s="189"/>
      <c r="K591" s="189"/>
      <c r="L591" s="189"/>
      <c r="M591" s="189"/>
      <c r="N591" s="189"/>
      <c r="O591" s="189"/>
      <c r="P591" s="189"/>
      <c r="Q591" s="189"/>
      <c r="R591" s="189"/>
      <c r="S591" s="189"/>
      <c r="T591" s="230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</row>
    <row r="592" spans="1:30">
      <c r="A592" s="189"/>
      <c r="B592" s="189"/>
      <c r="C592" s="189"/>
      <c r="D592" s="189"/>
      <c r="E592" s="189"/>
      <c r="F592" s="189"/>
      <c r="G592" s="189"/>
      <c r="H592" s="189"/>
      <c r="I592" s="189"/>
      <c r="J592" s="189"/>
      <c r="K592" s="189"/>
      <c r="L592" s="189"/>
      <c r="M592" s="189"/>
      <c r="N592" s="189"/>
      <c r="O592" s="189"/>
      <c r="P592" s="189"/>
      <c r="Q592" s="189"/>
      <c r="R592" s="189"/>
      <c r="S592" s="189"/>
      <c r="T592" s="230"/>
      <c r="U592" s="189"/>
      <c r="V592" s="189"/>
      <c r="W592" s="189"/>
      <c r="X592" s="189"/>
      <c r="Y592" s="189"/>
      <c r="Z592" s="189"/>
      <c r="AA592" s="189"/>
      <c r="AB592" s="189"/>
      <c r="AC592" s="189"/>
      <c r="AD592" s="189"/>
    </row>
    <row r="593" spans="1:30">
      <c r="A593" s="189"/>
      <c r="B593" s="189"/>
      <c r="C593" s="189"/>
      <c r="D593" s="189"/>
      <c r="E593" s="189"/>
      <c r="F593" s="189"/>
      <c r="G593" s="189"/>
      <c r="H593" s="189"/>
      <c r="I593" s="189"/>
      <c r="J593" s="189"/>
      <c r="K593" s="189"/>
      <c r="L593" s="189"/>
      <c r="M593" s="189"/>
      <c r="N593" s="189"/>
      <c r="O593" s="189"/>
      <c r="P593" s="189"/>
      <c r="Q593" s="189"/>
      <c r="R593" s="189"/>
      <c r="S593" s="189"/>
      <c r="T593" s="230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</row>
    <row r="594" spans="1:30">
      <c r="A594" s="189"/>
      <c r="B594" s="189"/>
      <c r="C594" s="189"/>
      <c r="D594" s="189"/>
      <c r="E594" s="189"/>
      <c r="F594" s="189"/>
      <c r="G594" s="189"/>
      <c r="H594" s="189"/>
      <c r="I594" s="189"/>
      <c r="J594" s="189"/>
      <c r="K594" s="189"/>
      <c r="L594" s="189"/>
      <c r="M594" s="189"/>
      <c r="N594" s="189"/>
      <c r="O594" s="189"/>
      <c r="P594" s="189"/>
      <c r="Q594" s="189"/>
      <c r="R594" s="189"/>
      <c r="S594" s="189"/>
      <c r="T594" s="230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</row>
    <row r="595" spans="1:30">
      <c r="A595" s="189"/>
      <c r="B595" s="189"/>
      <c r="C595" s="189"/>
      <c r="D595" s="189"/>
      <c r="E595" s="189"/>
      <c r="F595" s="189"/>
      <c r="G595" s="189"/>
      <c r="H595" s="189"/>
      <c r="I595" s="189"/>
      <c r="J595" s="189"/>
      <c r="K595" s="189"/>
      <c r="L595" s="189"/>
      <c r="M595" s="189"/>
      <c r="N595" s="189"/>
      <c r="O595" s="189"/>
      <c r="P595" s="189"/>
      <c r="Q595" s="189"/>
      <c r="R595" s="189"/>
      <c r="S595" s="189"/>
      <c r="T595" s="230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</row>
    <row r="596" spans="1:30">
      <c r="A596" s="189"/>
      <c r="B596" s="189"/>
      <c r="C596" s="189"/>
      <c r="D596" s="189"/>
      <c r="E596" s="189"/>
      <c r="F596" s="189"/>
      <c r="G596" s="189"/>
      <c r="H596" s="189"/>
      <c r="I596" s="189"/>
      <c r="J596" s="189"/>
      <c r="K596" s="189"/>
      <c r="L596" s="189"/>
      <c r="M596" s="189"/>
      <c r="N596" s="189"/>
      <c r="O596" s="189"/>
      <c r="P596" s="189"/>
      <c r="Q596" s="189"/>
      <c r="R596" s="189"/>
      <c r="S596" s="189"/>
      <c r="T596" s="230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</row>
    <row r="597" spans="1:30">
      <c r="A597" s="189"/>
      <c r="B597" s="189"/>
      <c r="C597" s="189"/>
      <c r="D597" s="189"/>
      <c r="E597" s="189"/>
      <c r="F597" s="189"/>
      <c r="G597" s="189"/>
      <c r="H597" s="189"/>
      <c r="I597" s="189"/>
      <c r="J597" s="189"/>
      <c r="K597" s="189"/>
      <c r="L597" s="189"/>
      <c r="M597" s="189"/>
      <c r="N597" s="189"/>
      <c r="O597" s="189"/>
      <c r="P597" s="189"/>
      <c r="Q597" s="189"/>
      <c r="R597" s="189"/>
      <c r="S597" s="189"/>
      <c r="T597" s="230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</row>
    <row r="598" spans="1:30">
      <c r="A598" s="189"/>
      <c r="B598" s="189"/>
      <c r="C598" s="189"/>
      <c r="D598" s="189"/>
      <c r="E598" s="189"/>
      <c r="F598" s="189"/>
      <c r="G598" s="189"/>
      <c r="H598" s="189"/>
      <c r="I598" s="189"/>
      <c r="J598" s="189"/>
      <c r="K598" s="189"/>
      <c r="L598" s="189"/>
      <c r="M598" s="189"/>
      <c r="N598" s="189"/>
      <c r="O598" s="189"/>
      <c r="P598" s="189"/>
      <c r="Q598" s="189"/>
      <c r="R598" s="189"/>
      <c r="S598" s="189"/>
      <c r="T598" s="230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</row>
    <row r="599" spans="1:30">
      <c r="A599" s="189"/>
      <c r="B599" s="189"/>
      <c r="C599" s="189"/>
      <c r="D599" s="189"/>
      <c r="E599" s="189"/>
      <c r="F599" s="189"/>
      <c r="G599" s="189"/>
      <c r="H599" s="189"/>
      <c r="I599" s="189"/>
      <c r="J599" s="189"/>
      <c r="K599" s="189"/>
      <c r="L599" s="189"/>
      <c r="M599" s="189"/>
      <c r="N599" s="189"/>
      <c r="O599" s="189"/>
      <c r="P599" s="189"/>
      <c r="Q599" s="189"/>
      <c r="R599" s="189"/>
      <c r="S599" s="189"/>
      <c r="T599" s="230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</row>
    <row r="600" spans="1:30">
      <c r="A600" s="189"/>
      <c r="B600" s="189"/>
      <c r="C600" s="189"/>
      <c r="D600" s="189"/>
      <c r="E600" s="189"/>
      <c r="F600" s="189"/>
      <c r="G600" s="189"/>
      <c r="H600" s="189"/>
      <c r="I600" s="189"/>
      <c r="J600" s="189"/>
      <c r="K600" s="189"/>
      <c r="L600" s="189"/>
      <c r="M600" s="189"/>
      <c r="N600" s="189"/>
      <c r="O600" s="189"/>
      <c r="P600" s="189"/>
      <c r="Q600" s="189"/>
      <c r="R600" s="189"/>
      <c r="S600" s="189"/>
      <c r="T600" s="230"/>
      <c r="U600" s="189"/>
      <c r="V600" s="189"/>
      <c r="W600" s="189"/>
      <c r="X600" s="189"/>
      <c r="Y600" s="189"/>
      <c r="Z600" s="189"/>
      <c r="AA600" s="189"/>
      <c r="AB600" s="189"/>
      <c r="AC600" s="189"/>
      <c r="AD600" s="189"/>
    </row>
    <row r="601" spans="1:30">
      <c r="A601" s="189"/>
      <c r="B601" s="189"/>
      <c r="C601" s="189"/>
      <c r="D601" s="189"/>
      <c r="E601" s="189"/>
      <c r="F601" s="189"/>
      <c r="G601" s="189"/>
      <c r="H601" s="189"/>
      <c r="I601" s="189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230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</row>
    <row r="602" spans="1:30">
      <c r="A602" s="189"/>
      <c r="B602" s="189"/>
      <c r="C602" s="189"/>
      <c r="D602" s="189"/>
      <c r="E602" s="189"/>
      <c r="F602" s="189"/>
      <c r="G602" s="189"/>
      <c r="H602" s="189"/>
      <c r="I602" s="189"/>
      <c r="J602" s="189"/>
      <c r="K602" s="189"/>
      <c r="L602" s="189"/>
      <c r="M602" s="189"/>
      <c r="N602" s="189"/>
      <c r="O602" s="189"/>
      <c r="P602" s="189"/>
      <c r="Q602" s="189"/>
      <c r="R602" s="189"/>
      <c r="S602" s="189"/>
      <c r="T602" s="230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</row>
    <row r="603" spans="1:30">
      <c r="A603" s="189"/>
      <c r="B603" s="189"/>
      <c r="C603" s="189"/>
      <c r="D603" s="189"/>
      <c r="E603" s="189"/>
      <c r="F603" s="189"/>
      <c r="G603" s="189"/>
      <c r="H603" s="189"/>
      <c r="I603" s="189"/>
      <c r="J603" s="189"/>
      <c r="K603" s="189"/>
      <c r="L603" s="189"/>
      <c r="M603" s="189"/>
      <c r="N603" s="189"/>
      <c r="O603" s="189"/>
      <c r="P603" s="189"/>
      <c r="Q603" s="189"/>
      <c r="R603" s="189"/>
      <c r="S603" s="189"/>
      <c r="T603" s="230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</row>
    <row r="604" spans="1:30">
      <c r="A604" s="189"/>
      <c r="B604" s="189"/>
      <c r="C604" s="189"/>
      <c r="D604" s="189"/>
      <c r="E604" s="189"/>
      <c r="F604" s="189"/>
      <c r="G604" s="189"/>
      <c r="H604" s="189"/>
      <c r="I604" s="189"/>
      <c r="J604" s="189"/>
      <c r="K604" s="189"/>
      <c r="L604" s="189"/>
      <c r="M604" s="189"/>
      <c r="N604" s="189"/>
      <c r="O604" s="189"/>
      <c r="P604" s="189"/>
      <c r="Q604" s="189"/>
      <c r="R604" s="189"/>
      <c r="S604" s="189"/>
      <c r="T604" s="230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</row>
    <row r="605" spans="1:30">
      <c r="A605" s="189"/>
      <c r="B605" s="189"/>
      <c r="C605" s="189"/>
      <c r="D605" s="189"/>
      <c r="E605" s="189"/>
      <c r="F605" s="189"/>
      <c r="G605" s="189"/>
      <c r="H605" s="189"/>
      <c r="I605" s="189"/>
      <c r="J605" s="189"/>
      <c r="K605" s="189"/>
      <c r="L605" s="189"/>
      <c r="M605" s="189"/>
      <c r="N605" s="189"/>
      <c r="O605" s="189"/>
      <c r="P605" s="189"/>
      <c r="Q605" s="189"/>
      <c r="R605" s="189"/>
      <c r="S605" s="189"/>
      <c r="T605" s="230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</row>
    <row r="606" spans="1:30">
      <c r="A606" s="189"/>
      <c r="B606" s="189"/>
      <c r="C606" s="189"/>
      <c r="D606" s="189"/>
      <c r="E606" s="189"/>
      <c r="F606" s="189"/>
      <c r="G606" s="189"/>
      <c r="H606" s="189"/>
      <c r="I606" s="189"/>
      <c r="J606" s="189"/>
      <c r="K606" s="189"/>
      <c r="L606" s="189"/>
      <c r="M606" s="189"/>
      <c r="N606" s="189"/>
      <c r="O606" s="189"/>
      <c r="P606" s="189"/>
      <c r="Q606" s="189"/>
      <c r="R606" s="189"/>
      <c r="S606" s="189"/>
      <c r="T606" s="230"/>
      <c r="U606" s="189"/>
      <c r="V606" s="189"/>
      <c r="W606" s="189"/>
      <c r="X606" s="189"/>
      <c r="Y606" s="189"/>
      <c r="Z606" s="189"/>
      <c r="AA606" s="189"/>
      <c r="AB606" s="189"/>
      <c r="AC606" s="189"/>
      <c r="AD606" s="189"/>
    </row>
    <row r="607" spans="1:30">
      <c r="A607" s="189"/>
      <c r="B607" s="189"/>
      <c r="C607" s="189"/>
      <c r="D607" s="189"/>
      <c r="E607" s="189"/>
      <c r="F607" s="189"/>
      <c r="G607" s="189"/>
      <c r="H607" s="189"/>
      <c r="I607" s="189"/>
      <c r="J607" s="189"/>
      <c r="K607" s="189"/>
      <c r="L607" s="189"/>
      <c r="M607" s="189"/>
      <c r="N607" s="189"/>
      <c r="O607" s="189"/>
      <c r="P607" s="189"/>
      <c r="Q607" s="189"/>
      <c r="R607" s="189"/>
      <c r="S607" s="189"/>
      <c r="T607" s="230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</row>
    <row r="608" spans="1:30">
      <c r="A608" s="189"/>
      <c r="B608" s="189"/>
      <c r="C608" s="189"/>
      <c r="D608" s="189"/>
      <c r="E608" s="189"/>
      <c r="F608" s="189"/>
      <c r="G608" s="189"/>
      <c r="H608" s="189"/>
      <c r="I608" s="189"/>
      <c r="J608" s="189"/>
      <c r="K608" s="189"/>
      <c r="L608" s="189"/>
      <c r="M608" s="189"/>
      <c r="N608" s="189"/>
      <c r="O608" s="189"/>
      <c r="P608" s="189"/>
      <c r="Q608" s="189"/>
      <c r="R608" s="189"/>
      <c r="S608" s="189"/>
      <c r="T608" s="230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</row>
    <row r="609" spans="1:30">
      <c r="A609" s="189"/>
      <c r="B609" s="189"/>
      <c r="C609" s="189"/>
      <c r="D609" s="189"/>
      <c r="E609" s="189"/>
      <c r="F609" s="189"/>
      <c r="G609" s="189"/>
      <c r="H609" s="189"/>
      <c r="I609" s="189"/>
      <c r="J609" s="189"/>
      <c r="K609" s="189"/>
      <c r="L609" s="189"/>
      <c r="M609" s="189"/>
      <c r="N609" s="189"/>
      <c r="O609" s="189"/>
      <c r="P609" s="189"/>
      <c r="Q609" s="189"/>
      <c r="R609" s="189"/>
      <c r="S609" s="189"/>
      <c r="T609" s="230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</row>
    <row r="610" spans="1:30">
      <c r="A610" s="189"/>
      <c r="B610" s="189"/>
      <c r="C610" s="189"/>
      <c r="D610" s="189"/>
      <c r="E610" s="189"/>
      <c r="F610" s="189"/>
      <c r="G610" s="189"/>
      <c r="H610" s="189"/>
      <c r="I610" s="189"/>
      <c r="J610" s="189"/>
      <c r="K610" s="189"/>
      <c r="L610" s="189"/>
      <c r="M610" s="189"/>
      <c r="N610" s="189"/>
      <c r="O610" s="189"/>
      <c r="P610" s="189"/>
      <c r="Q610" s="189"/>
      <c r="R610" s="189"/>
      <c r="S610" s="189"/>
      <c r="T610" s="230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</row>
    <row r="611" spans="1:30">
      <c r="A611" s="189"/>
      <c r="B611" s="189"/>
      <c r="C611" s="189"/>
      <c r="D611" s="189"/>
      <c r="E611" s="189"/>
      <c r="F611" s="189"/>
      <c r="G611" s="189"/>
      <c r="H611" s="189"/>
      <c r="I611" s="189"/>
      <c r="J611" s="189"/>
      <c r="K611" s="189"/>
      <c r="L611" s="189"/>
      <c r="M611" s="189"/>
      <c r="N611" s="189"/>
      <c r="O611" s="189"/>
      <c r="P611" s="189"/>
      <c r="Q611" s="189"/>
      <c r="R611" s="189"/>
      <c r="S611" s="189"/>
      <c r="T611" s="230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</row>
    <row r="612" spans="1:30">
      <c r="A612" s="189"/>
      <c r="B612" s="189"/>
      <c r="C612" s="189"/>
      <c r="D612" s="189"/>
      <c r="E612" s="189"/>
      <c r="F612" s="189"/>
      <c r="G612" s="189"/>
      <c r="H612" s="189"/>
      <c r="I612" s="189"/>
      <c r="J612" s="189"/>
      <c r="K612" s="189"/>
      <c r="L612" s="189"/>
      <c r="M612" s="189"/>
      <c r="N612" s="189"/>
      <c r="O612" s="189"/>
      <c r="P612" s="189"/>
      <c r="Q612" s="189"/>
      <c r="R612" s="189"/>
      <c r="S612" s="189"/>
      <c r="T612" s="230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</row>
    <row r="613" spans="1:30">
      <c r="A613" s="189"/>
      <c r="B613" s="189"/>
      <c r="C613" s="189"/>
      <c r="D613" s="189"/>
      <c r="E613" s="189"/>
      <c r="F613" s="189"/>
      <c r="G613" s="189"/>
      <c r="H613" s="189"/>
      <c r="I613" s="189"/>
      <c r="J613" s="189"/>
      <c r="K613" s="189"/>
      <c r="L613" s="189"/>
      <c r="M613" s="189"/>
      <c r="N613" s="189"/>
      <c r="O613" s="189"/>
      <c r="P613" s="189"/>
      <c r="Q613" s="189"/>
      <c r="R613" s="189"/>
      <c r="S613" s="189"/>
      <c r="T613" s="230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</row>
    <row r="614" spans="1:30">
      <c r="A614" s="189"/>
      <c r="B614" s="189"/>
      <c r="C614" s="189"/>
      <c r="D614" s="189"/>
      <c r="E614" s="189"/>
      <c r="F614" s="189"/>
      <c r="G614" s="189"/>
      <c r="H614" s="189"/>
      <c r="I614" s="189"/>
      <c r="J614" s="189"/>
      <c r="K614" s="189"/>
      <c r="L614" s="189"/>
      <c r="M614" s="189"/>
      <c r="N614" s="189"/>
      <c r="O614" s="189"/>
      <c r="P614" s="189"/>
      <c r="Q614" s="189"/>
      <c r="R614" s="189"/>
      <c r="S614" s="189"/>
      <c r="T614" s="230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</row>
    <row r="615" spans="1:30">
      <c r="A615" s="189"/>
      <c r="B615" s="189"/>
      <c r="C615" s="189"/>
      <c r="D615" s="189"/>
      <c r="E615" s="189"/>
      <c r="F615" s="189"/>
      <c r="G615" s="189"/>
      <c r="H615" s="189"/>
      <c r="I615" s="189"/>
      <c r="J615" s="189"/>
      <c r="K615" s="189"/>
      <c r="L615" s="189"/>
      <c r="M615" s="189"/>
      <c r="N615" s="189"/>
      <c r="O615" s="189"/>
      <c r="P615" s="189"/>
      <c r="Q615" s="189"/>
      <c r="R615" s="189"/>
      <c r="S615" s="189"/>
      <c r="T615" s="230"/>
      <c r="U615" s="189"/>
      <c r="V615" s="189"/>
      <c r="W615" s="189"/>
      <c r="X615" s="189"/>
      <c r="Y615" s="189"/>
      <c r="Z615" s="189"/>
      <c r="AA615" s="189"/>
      <c r="AB615" s="189"/>
      <c r="AC615" s="189"/>
      <c r="AD615" s="189"/>
    </row>
    <row r="616" spans="1:30">
      <c r="A616" s="189"/>
      <c r="B616" s="189"/>
      <c r="C616" s="189"/>
      <c r="D616" s="189"/>
      <c r="E616" s="189"/>
      <c r="F616" s="189"/>
      <c r="G616" s="189"/>
      <c r="H616" s="189"/>
      <c r="I616" s="189"/>
      <c r="J616" s="189"/>
      <c r="K616" s="189"/>
      <c r="L616" s="189"/>
      <c r="M616" s="189"/>
      <c r="N616" s="189"/>
      <c r="O616" s="189"/>
      <c r="P616" s="189"/>
      <c r="Q616" s="189"/>
      <c r="R616" s="189"/>
      <c r="S616" s="189"/>
      <c r="T616" s="230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</row>
    <row r="617" spans="1:30">
      <c r="A617" s="189"/>
      <c r="B617" s="189"/>
      <c r="C617" s="189"/>
      <c r="D617" s="189"/>
      <c r="E617" s="189"/>
      <c r="F617" s="189"/>
      <c r="G617" s="189"/>
      <c r="H617" s="189"/>
      <c r="I617" s="189"/>
      <c r="J617" s="189"/>
      <c r="K617" s="189"/>
      <c r="L617" s="189"/>
      <c r="M617" s="189"/>
      <c r="N617" s="189"/>
      <c r="O617" s="189"/>
      <c r="P617" s="189"/>
      <c r="Q617" s="189"/>
      <c r="R617" s="189"/>
      <c r="S617" s="189"/>
      <c r="T617" s="230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</row>
    <row r="618" spans="1:30">
      <c r="A618" s="189"/>
      <c r="B618" s="189"/>
      <c r="C618" s="189"/>
      <c r="D618" s="189"/>
      <c r="E618" s="189"/>
      <c r="F618" s="189"/>
      <c r="G618" s="189"/>
      <c r="H618" s="189"/>
      <c r="I618" s="189"/>
      <c r="J618" s="189"/>
      <c r="K618" s="189"/>
      <c r="L618" s="189"/>
      <c r="M618" s="189"/>
      <c r="N618" s="189"/>
      <c r="O618" s="189"/>
      <c r="P618" s="189"/>
      <c r="Q618" s="189"/>
      <c r="R618" s="189"/>
      <c r="S618" s="189"/>
      <c r="T618" s="230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</row>
    <row r="619" spans="1:30">
      <c r="A619" s="189"/>
      <c r="B619" s="189"/>
      <c r="C619" s="189"/>
      <c r="D619" s="189"/>
      <c r="E619" s="189"/>
      <c r="F619" s="189"/>
      <c r="G619" s="189"/>
      <c r="H619" s="189"/>
      <c r="I619" s="189"/>
      <c r="J619" s="189"/>
      <c r="K619" s="189"/>
      <c r="L619" s="189"/>
      <c r="M619" s="189"/>
      <c r="N619" s="189"/>
      <c r="O619" s="189"/>
      <c r="P619" s="189"/>
      <c r="Q619" s="189"/>
      <c r="R619" s="189"/>
      <c r="S619" s="189"/>
      <c r="T619" s="230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</row>
    <row r="620" spans="1:30">
      <c r="A620" s="189"/>
      <c r="B620" s="189"/>
      <c r="C620" s="189"/>
      <c r="D620" s="189"/>
      <c r="E620" s="189"/>
      <c r="F620" s="189"/>
      <c r="G620" s="189"/>
      <c r="H620" s="189"/>
      <c r="I620" s="189"/>
      <c r="J620" s="189"/>
      <c r="K620" s="189"/>
      <c r="L620" s="189"/>
      <c r="M620" s="189"/>
      <c r="N620" s="189"/>
      <c r="O620" s="189"/>
      <c r="P620" s="189"/>
      <c r="Q620" s="189"/>
      <c r="R620" s="189"/>
      <c r="S620" s="189"/>
      <c r="T620" s="230"/>
      <c r="U620" s="189"/>
      <c r="V620" s="189"/>
      <c r="W620" s="189"/>
      <c r="X620" s="189"/>
      <c r="Y620" s="189"/>
      <c r="Z620" s="189"/>
      <c r="AA620" s="189"/>
      <c r="AB620" s="189"/>
      <c r="AC620" s="189"/>
      <c r="AD620" s="189"/>
    </row>
    <row r="621" spans="1:30">
      <c r="A621" s="189"/>
      <c r="B621" s="189"/>
      <c r="C621" s="189"/>
      <c r="D621" s="189"/>
      <c r="E621" s="189"/>
      <c r="F621" s="189"/>
      <c r="G621" s="189"/>
      <c r="H621" s="189"/>
      <c r="I621" s="189"/>
      <c r="J621" s="189"/>
      <c r="K621" s="189"/>
      <c r="L621" s="189"/>
      <c r="M621" s="189"/>
      <c r="N621" s="189"/>
      <c r="O621" s="189"/>
      <c r="P621" s="189"/>
      <c r="Q621" s="189"/>
      <c r="R621" s="189"/>
      <c r="S621" s="189"/>
      <c r="T621" s="230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</row>
    <row r="622" spans="1:30">
      <c r="A622" s="189"/>
      <c r="B622" s="189"/>
      <c r="C622" s="189"/>
      <c r="D622" s="189"/>
      <c r="E622" s="189"/>
      <c r="F622" s="189"/>
      <c r="G622" s="189"/>
      <c r="H622" s="189"/>
      <c r="I622" s="189"/>
      <c r="J622" s="189"/>
      <c r="K622" s="189"/>
      <c r="L622" s="189"/>
      <c r="M622" s="189"/>
      <c r="N622" s="189"/>
      <c r="O622" s="189"/>
      <c r="P622" s="189"/>
      <c r="Q622" s="189"/>
      <c r="R622" s="189"/>
      <c r="S622" s="189"/>
      <c r="T622" s="230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</row>
    <row r="623" spans="1:30">
      <c r="A623" s="189"/>
      <c r="B623" s="189"/>
      <c r="C623" s="189"/>
      <c r="D623" s="189"/>
      <c r="E623" s="189"/>
      <c r="F623" s="189"/>
      <c r="G623" s="189"/>
      <c r="H623" s="189"/>
      <c r="I623" s="189"/>
      <c r="J623" s="189"/>
      <c r="K623" s="189"/>
      <c r="L623" s="189"/>
      <c r="M623" s="189"/>
      <c r="N623" s="189"/>
      <c r="O623" s="189"/>
      <c r="P623" s="189"/>
      <c r="Q623" s="189"/>
      <c r="R623" s="189"/>
      <c r="S623" s="189"/>
      <c r="T623" s="230"/>
      <c r="U623" s="189"/>
      <c r="V623" s="189"/>
      <c r="W623" s="189"/>
      <c r="X623" s="189"/>
      <c r="Y623" s="189"/>
      <c r="Z623" s="189"/>
      <c r="AA623" s="189"/>
      <c r="AB623" s="189"/>
      <c r="AC623" s="189"/>
      <c r="AD623" s="189"/>
    </row>
    <row r="624" spans="1:30">
      <c r="A624" s="189"/>
      <c r="B624" s="189"/>
      <c r="C624" s="189"/>
      <c r="D624" s="189"/>
      <c r="E624" s="189"/>
      <c r="F624" s="189"/>
      <c r="G624" s="189"/>
      <c r="H624" s="189"/>
      <c r="I624" s="189"/>
      <c r="J624" s="189"/>
      <c r="K624" s="189"/>
      <c r="L624" s="189"/>
      <c r="M624" s="189"/>
      <c r="N624" s="189"/>
      <c r="O624" s="189"/>
      <c r="P624" s="189"/>
      <c r="Q624" s="189"/>
      <c r="R624" s="189"/>
      <c r="S624" s="189"/>
      <c r="T624" s="230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</row>
    <row r="625" spans="1:30">
      <c r="A625" s="189"/>
      <c r="B625" s="189"/>
      <c r="C625" s="189"/>
      <c r="D625" s="189"/>
      <c r="E625" s="189"/>
      <c r="F625" s="189"/>
      <c r="G625" s="189"/>
      <c r="H625" s="189"/>
      <c r="I625" s="189"/>
      <c r="J625" s="189"/>
      <c r="K625" s="189"/>
      <c r="L625" s="189"/>
      <c r="M625" s="189"/>
      <c r="N625" s="189"/>
      <c r="O625" s="189"/>
      <c r="P625" s="189"/>
      <c r="Q625" s="189"/>
      <c r="R625" s="189"/>
      <c r="S625" s="189"/>
      <c r="T625" s="230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</row>
    <row r="626" spans="1:30">
      <c r="A626" s="189"/>
      <c r="B626" s="189"/>
      <c r="C626" s="189"/>
      <c r="D626" s="189"/>
      <c r="E626" s="189"/>
      <c r="F626" s="189"/>
      <c r="G626" s="189"/>
      <c r="H626" s="189"/>
      <c r="I626" s="189"/>
      <c r="J626" s="189"/>
      <c r="K626" s="189"/>
      <c r="L626" s="189"/>
      <c r="M626" s="189"/>
      <c r="N626" s="189"/>
      <c r="O626" s="189"/>
      <c r="P626" s="189"/>
      <c r="Q626" s="189"/>
      <c r="R626" s="189"/>
      <c r="S626" s="189"/>
      <c r="T626" s="230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</row>
    <row r="627" spans="1:30">
      <c r="A627" s="189"/>
      <c r="B627" s="189"/>
      <c r="C627" s="189"/>
      <c r="D627" s="189"/>
      <c r="E627" s="189"/>
      <c r="F627" s="189"/>
      <c r="G627" s="189"/>
      <c r="H627" s="189"/>
      <c r="I627" s="189"/>
      <c r="J627" s="189"/>
      <c r="K627" s="189"/>
      <c r="L627" s="189"/>
      <c r="M627" s="189"/>
      <c r="N627" s="189"/>
      <c r="O627" s="189"/>
      <c r="P627" s="189"/>
      <c r="Q627" s="189"/>
      <c r="R627" s="189"/>
      <c r="S627" s="189"/>
      <c r="T627" s="230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</row>
    <row r="628" spans="1:30">
      <c r="A628" s="189"/>
      <c r="B628" s="189"/>
      <c r="C628" s="189"/>
      <c r="D628" s="189"/>
      <c r="E628" s="189"/>
      <c r="F628" s="189"/>
      <c r="G628" s="189"/>
      <c r="H628" s="189"/>
      <c r="I628" s="189"/>
      <c r="J628" s="189"/>
      <c r="K628" s="189"/>
      <c r="L628" s="189"/>
      <c r="M628" s="189"/>
      <c r="N628" s="189"/>
      <c r="O628" s="189"/>
      <c r="P628" s="189"/>
      <c r="Q628" s="189"/>
      <c r="R628" s="189"/>
      <c r="S628" s="189"/>
      <c r="T628" s="230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</row>
    <row r="629" spans="1:30">
      <c r="A629" s="189"/>
      <c r="B629" s="189"/>
      <c r="C629" s="189"/>
      <c r="D629" s="189"/>
      <c r="E629" s="189"/>
      <c r="F629" s="189"/>
      <c r="G629" s="189"/>
      <c r="H629" s="189"/>
      <c r="I629" s="189"/>
      <c r="J629" s="189"/>
      <c r="K629" s="189"/>
      <c r="L629" s="189"/>
      <c r="M629" s="189"/>
      <c r="N629" s="189"/>
      <c r="O629" s="189"/>
      <c r="P629" s="189"/>
      <c r="Q629" s="189"/>
      <c r="R629" s="189"/>
      <c r="S629" s="189"/>
      <c r="T629" s="230"/>
      <c r="U629" s="189"/>
      <c r="V629" s="189"/>
      <c r="W629" s="189"/>
      <c r="X629" s="189"/>
      <c r="Y629" s="189"/>
      <c r="Z629" s="189"/>
      <c r="AA629" s="189"/>
      <c r="AB629" s="189"/>
      <c r="AC629" s="189"/>
      <c r="AD629" s="189"/>
    </row>
    <row r="630" spans="1:30">
      <c r="A630" s="189"/>
      <c r="B630" s="189"/>
      <c r="C630" s="189"/>
      <c r="D630" s="189"/>
      <c r="E630" s="189"/>
      <c r="F630" s="189"/>
      <c r="G630" s="189"/>
      <c r="H630" s="189"/>
      <c r="I630" s="189"/>
      <c r="J630" s="189"/>
      <c r="K630" s="189"/>
      <c r="L630" s="189"/>
      <c r="M630" s="189"/>
      <c r="N630" s="189"/>
      <c r="O630" s="189"/>
      <c r="P630" s="189"/>
      <c r="Q630" s="189"/>
      <c r="R630" s="189"/>
      <c r="S630" s="189"/>
      <c r="T630" s="230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</row>
    <row r="631" spans="1:30">
      <c r="A631" s="189"/>
      <c r="B631" s="189"/>
      <c r="C631" s="189"/>
      <c r="D631" s="189"/>
      <c r="E631" s="189"/>
      <c r="F631" s="189"/>
      <c r="G631" s="189"/>
      <c r="H631" s="189"/>
      <c r="I631" s="189"/>
      <c r="J631" s="189"/>
      <c r="K631" s="189"/>
      <c r="L631" s="189"/>
      <c r="M631" s="189"/>
      <c r="N631" s="189"/>
      <c r="O631" s="189"/>
      <c r="P631" s="189"/>
      <c r="Q631" s="189"/>
      <c r="R631" s="189"/>
      <c r="S631" s="189"/>
      <c r="T631" s="230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</row>
    <row r="632" spans="1:30">
      <c r="A632" s="189"/>
      <c r="B632" s="189"/>
      <c r="C632" s="189"/>
      <c r="D632" s="189"/>
      <c r="E632" s="189"/>
      <c r="F632" s="189"/>
      <c r="G632" s="189"/>
      <c r="H632" s="189"/>
      <c r="I632" s="189"/>
      <c r="J632" s="189"/>
      <c r="K632" s="189"/>
      <c r="L632" s="189"/>
      <c r="M632" s="189"/>
      <c r="N632" s="189"/>
      <c r="O632" s="189"/>
      <c r="P632" s="189"/>
      <c r="Q632" s="189"/>
      <c r="R632" s="189"/>
      <c r="S632" s="189"/>
      <c r="T632" s="230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</row>
    <row r="633" spans="1:30">
      <c r="A633" s="189"/>
      <c r="B633" s="189"/>
      <c r="C633" s="189"/>
      <c r="D633" s="189"/>
      <c r="E633" s="189"/>
      <c r="F633" s="189"/>
      <c r="G633" s="189"/>
      <c r="H633" s="189"/>
      <c r="I633" s="189"/>
      <c r="J633" s="189"/>
      <c r="K633" s="189"/>
      <c r="L633" s="189"/>
      <c r="M633" s="189"/>
      <c r="N633" s="189"/>
      <c r="O633" s="189"/>
      <c r="P633" s="189"/>
      <c r="Q633" s="189"/>
      <c r="R633" s="189"/>
      <c r="S633" s="189"/>
      <c r="T633" s="230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</row>
    <row r="634" spans="1:30">
      <c r="A634" s="189"/>
      <c r="B634" s="189"/>
      <c r="C634" s="189"/>
      <c r="D634" s="189"/>
      <c r="E634" s="189"/>
      <c r="F634" s="189"/>
      <c r="G634" s="189"/>
      <c r="H634" s="189"/>
      <c r="I634" s="189"/>
      <c r="J634" s="189"/>
      <c r="K634" s="189"/>
      <c r="L634" s="189"/>
      <c r="M634" s="189"/>
      <c r="N634" s="189"/>
      <c r="O634" s="189"/>
      <c r="P634" s="189"/>
      <c r="Q634" s="189"/>
      <c r="R634" s="189"/>
      <c r="S634" s="189"/>
      <c r="T634" s="230"/>
      <c r="U634" s="189"/>
      <c r="V634" s="189"/>
      <c r="W634" s="189"/>
      <c r="X634" s="189"/>
      <c r="Y634" s="189"/>
      <c r="Z634" s="189"/>
      <c r="AA634" s="189"/>
      <c r="AB634" s="189"/>
      <c r="AC634" s="189"/>
      <c r="AD634" s="189"/>
    </row>
    <row r="635" spans="1:30">
      <c r="A635" s="189"/>
      <c r="B635" s="189"/>
      <c r="C635" s="189"/>
      <c r="D635" s="189"/>
      <c r="E635" s="189"/>
      <c r="F635" s="189"/>
      <c r="G635" s="189"/>
      <c r="H635" s="189"/>
      <c r="I635" s="189"/>
      <c r="J635" s="189"/>
      <c r="K635" s="189"/>
      <c r="L635" s="189"/>
      <c r="M635" s="189"/>
      <c r="N635" s="189"/>
      <c r="O635" s="189"/>
      <c r="P635" s="189"/>
      <c r="Q635" s="189"/>
      <c r="R635" s="189"/>
      <c r="S635" s="189"/>
      <c r="T635" s="230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</row>
    <row r="636" spans="1:30">
      <c r="A636" s="189"/>
      <c r="B636" s="189"/>
      <c r="C636" s="189"/>
      <c r="D636" s="189"/>
      <c r="E636" s="189"/>
      <c r="F636" s="189"/>
      <c r="G636" s="189"/>
      <c r="H636" s="189"/>
      <c r="I636" s="189"/>
      <c r="J636" s="189"/>
      <c r="K636" s="189"/>
      <c r="L636" s="189"/>
      <c r="M636" s="189"/>
      <c r="N636" s="189"/>
      <c r="O636" s="189"/>
      <c r="P636" s="189"/>
      <c r="Q636" s="189"/>
      <c r="R636" s="189"/>
      <c r="S636" s="189"/>
      <c r="T636" s="230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</row>
    <row r="637" spans="1:30">
      <c r="A637" s="189"/>
      <c r="B637" s="189"/>
      <c r="C637" s="189"/>
      <c r="D637" s="189"/>
      <c r="E637" s="189"/>
      <c r="F637" s="189"/>
      <c r="G637" s="189"/>
      <c r="H637" s="189"/>
      <c r="I637" s="189"/>
      <c r="J637" s="189"/>
      <c r="K637" s="189"/>
      <c r="L637" s="189"/>
      <c r="M637" s="189"/>
      <c r="N637" s="189"/>
      <c r="O637" s="189"/>
      <c r="P637" s="189"/>
      <c r="Q637" s="189"/>
      <c r="R637" s="189"/>
      <c r="S637" s="189"/>
      <c r="T637" s="230"/>
      <c r="U637" s="189"/>
      <c r="V637" s="189"/>
      <c r="W637" s="189"/>
      <c r="X637" s="189"/>
      <c r="Y637" s="189"/>
      <c r="Z637" s="189"/>
      <c r="AA637" s="189"/>
      <c r="AB637" s="189"/>
      <c r="AC637" s="189"/>
      <c r="AD637" s="189"/>
    </row>
    <row r="638" spans="1:30">
      <c r="A638" s="189"/>
      <c r="B638" s="189"/>
      <c r="C638" s="189"/>
      <c r="D638" s="189"/>
      <c r="E638" s="189"/>
      <c r="F638" s="189"/>
      <c r="G638" s="189"/>
      <c r="H638" s="189"/>
      <c r="I638" s="189"/>
      <c r="J638" s="189"/>
      <c r="K638" s="189"/>
      <c r="L638" s="189"/>
      <c r="M638" s="189"/>
      <c r="N638" s="189"/>
      <c r="O638" s="189"/>
      <c r="P638" s="189"/>
      <c r="Q638" s="189"/>
      <c r="R638" s="189"/>
      <c r="S638" s="189"/>
      <c r="T638" s="230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</row>
    <row r="639" spans="1:30">
      <c r="A639" s="189"/>
      <c r="B639" s="189"/>
      <c r="C639" s="189"/>
      <c r="D639" s="189"/>
      <c r="E639" s="189"/>
      <c r="F639" s="189"/>
      <c r="G639" s="189"/>
      <c r="H639" s="189"/>
      <c r="I639" s="189"/>
      <c r="J639" s="189"/>
      <c r="K639" s="189"/>
      <c r="L639" s="189"/>
      <c r="M639" s="189"/>
      <c r="N639" s="189"/>
      <c r="O639" s="189"/>
      <c r="P639" s="189"/>
      <c r="Q639" s="189"/>
      <c r="R639" s="189"/>
      <c r="S639" s="189"/>
      <c r="T639" s="230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</row>
    <row r="640" spans="1:30">
      <c r="A640" s="189"/>
      <c r="B640" s="189"/>
      <c r="C640" s="189"/>
      <c r="D640" s="189"/>
      <c r="E640" s="189"/>
      <c r="F640" s="189"/>
      <c r="G640" s="189"/>
      <c r="H640" s="189"/>
      <c r="I640" s="189"/>
      <c r="J640" s="189"/>
      <c r="K640" s="189"/>
      <c r="L640" s="189"/>
      <c r="M640" s="189"/>
      <c r="N640" s="189"/>
      <c r="O640" s="189"/>
      <c r="P640" s="189"/>
      <c r="Q640" s="189"/>
      <c r="R640" s="189"/>
      <c r="S640" s="189"/>
      <c r="T640" s="230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</row>
    <row r="641" spans="1:30">
      <c r="A641" s="189"/>
      <c r="B641" s="189"/>
      <c r="C641" s="189"/>
      <c r="D641" s="189"/>
      <c r="E641" s="189"/>
      <c r="F641" s="189"/>
      <c r="G641" s="189"/>
      <c r="H641" s="189"/>
      <c r="I641" s="189"/>
      <c r="J641" s="189"/>
      <c r="K641" s="189"/>
      <c r="L641" s="189"/>
      <c r="M641" s="189"/>
      <c r="N641" s="189"/>
      <c r="O641" s="189"/>
      <c r="P641" s="189"/>
      <c r="Q641" s="189"/>
      <c r="R641" s="189"/>
      <c r="S641" s="189"/>
      <c r="T641" s="230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</row>
    <row r="642" spans="1:30">
      <c r="A642" s="189"/>
      <c r="B642" s="189"/>
      <c r="C642" s="189"/>
      <c r="D642" s="189"/>
      <c r="E642" s="189"/>
      <c r="F642" s="189"/>
      <c r="G642" s="189"/>
      <c r="H642" s="189"/>
      <c r="I642" s="189"/>
      <c r="J642" s="189"/>
      <c r="K642" s="189"/>
      <c r="L642" s="189"/>
      <c r="M642" s="189"/>
      <c r="N642" s="189"/>
      <c r="O642" s="189"/>
      <c r="P642" s="189"/>
      <c r="Q642" s="189"/>
      <c r="R642" s="189"/>
      <c r="S642" s="189"/>
      <c r="T642" s="230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</row>
    <row r="643" spans="1:30">
      <c r="A643" s="189"/>
      <c r="B643" s="189"/>
      <c r="C643" s="189"/>
      <c r="D643" s="189"/>
      <c r="E643" s="189"/>
      <c r="F643" s="189"/>
      <c r="G643" s="189"/>
      <c r="H643" s="189"/>
      <c r="I643" s="189"/>
      <c r="J643" s="189"/>
      <c r="K643" s="189"/>
      <c r="L643" s="189"/>
      <c r="M643" s="189"/>
      <c r="N643" s="189"/>
      <c r="O643" s="189"/>
      <c r="P643" s="189"/>
      <c r="Q643" s="189"/>
      <c r="R643" s="189"/>
      <c r="S643" s="189"/>
      <c r="T643" s="230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</row>
    <row r="644" spans="1:30">
      <c r="A644" s="189"/>
      <c r="B644" s="189"/>
      <c r="C644" s="189"/>
      <c r="D644" s="189"/>
      <c r="E644" s="189"/>
      <c r="F644" s="189"/>
      <c r="G644" s="189"/>
      <c r="H644" s="189"/>
      <c r="I644" s="189"/>
      <c r="J644" s="189"/>
      <c r="K644" s="189"/>
      <c r="L644" s="189"/>
      <c r="M644" s="189"/>
      <c r="N644" s="189"/>
      <c r="O644" s="189"/>
      <c r="P644" s="189"/>
      <c r="Q644" s="189"/>
      <c r="R644" s="189"/>
      <c r="S644" s="189"/>
      <c r="T644" s="230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</row>
    <row r="645" spans="1:30">
      <c r="A645" s="189"/>
      <c r="B645" s="189"/>
      <c r="C645" s="189"/>
      <c r="D645" s="189"/>
      <c r="E645" s="189"/>
      <c r="F645" s="189"/>
      <c r="G645" s="189"/>
      <c r="H645" s="189"/>
      <c r="I645" s="189"/>
      <c r="J645" s="189"/>
      <c r="K645" s="189"/>
      <c r="L645" s="189"/>
      <c r="M645" s="189"/>
      <c r="N645" s="189"/>
      <c r="O645" s="189"/>
      <c r="P645" s="189"/>
      <c r="Q645" s="189"/>
      <c r="R645" s="189"/>
      <c r="S645" s="189"/>
      <c r="T645" s="230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</row>
    <row r="646" spans="1:30">
      <c r="A646" s="189"/>
      <c r="B646" s="189"/>
      <c r="C646" s="189"/>
      <c r="D646" s="189"/>
      <c r="E646" s="189"/>
      <c r="F646" s="189"/>
      <c r="G646" s="189"/>
      <c r="H646" s="189"/>
      <c r="I646" s="189"/>
      <c r="J646" s="189"/>
      <c r="K646" s="189"/>
      <c r="L646" s="189"/>
      <c r="M646" s="189"/>
      <c r="N646" s="189"/>
      <c r="O646" s="189"/>
      <c r="P646" s="189"/>
      <c r="Q646" s="189"/>
      <c r="R646" s="189"/>
      <c r="S646" s="189"/>
      <c r="T646" s="230"/>
      <c r="U646" s="189"/>
      <c r="V646" s="189"/>
      <c r="W646" s="189"/>
      <c r="X646" s="189"/>
      <c r="Y646" s="189"/>
      <c r="Z646" s="189"/>
      <c r="AA646" s="189"/>
      <c r="AB646" s="189"/>
      <c r="AC646" s="189"/>
      <c r="AD646" s="189"/>
    </row>
    <row r="647" spans="1:30">
      <c r="A647" s="189"/>
      <c r="B647" s="189"/>
      <c r="C647" s="189"/>
      <c r="D647" s="189"/>
      <c r="E647" s="189"/>
      <c r="F647" s="189"/>
      <c r="G647" s="189"/>
      <c r="H647" s="189"/>
      <c r="I647" s="189"/>
      <c r="J647" s="189"/>
      <c r="K647" s="189"/>
      <c r="L647" s="189"/>
      <c r="M647" s="189"/>
      <c r="N647" s="189"/>
      <c r="O647" s="189"/>
      <c r="P647" s="189"/>
      <c r="Q647" s="189"/>
      <c r="R647" s="189"/>
      <c r="S647" s="189"/>
      <c r="T647" s="230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</row>
    <row r="648" spans="1:30">
      <c r="A648" s="189"/>
      <c r="B648" s="189"/>
      <c r="C648" s="189"/>
      <c r="D648" s="189"/>
      <c r="E648" s="189"/>
      <c r="F648" s="189"/>
      <c r="G648" s="189"/>
      <c r="H648" s="189"/>
      <c r="I648" s="189"/>
      <c r="J648" s="189"/>
      <c r="K648" s="189"/>
      <c r="L648" s="189"/>
      <c r="M648" s="189"/>
      <c r="N648" s="189"/>
      <c r="O648" s="189"/>
      <c r="P648" s="189"/>
      <c r="Q648" s="189"/>
      <c r="R648" s="189"/>
      <c r="S648" s="189"/>
      <c r="T648" s="230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</row>
    <row r="649" spans="1:30">
      <c r="A649" s="189"/>
      <c r="B649" s="189"/>
      <c r="C649" s="189"/>
      <c r="D649" s="189"/>
      <c r="E649" s="189"/>
      <c r="F649" s="189"/>
      <c r="G649" s="189"/>
      <c r="H649" s="189"/>
      <c r="I649" s="189"/>
      <c r="J649" s="189"/>
      <c r="K649" s="189"/>
      <c r="L649" s="189"/>
      <c r="M649" s="189"/>
      <c r="N649" s="189"/>
      <c r="O649" s="189"/>
      <c r="P649" s="189"/>
      <c r="Q649" s="189"/>
      <c r="R649" s="189"/>
      <c r="S649" s="189"/>
      <c r="T649" s="230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</row>
    <row r="650" spans="1:30">
      <c r="A650" s="189"/>
      <c r="B650" s="189"/>
      <c r="C650" s="189"/>
      <c r="D650" s="189"/>
      <c r="E650" s="189"/>
      <c r="F650" s="189"/>
      <c r="G650" s="189"/>
      <c r="H650" s="189"/>
      <c r="I650" s="189"/>
      <c r="J650" s="189"/>
      <c r="K650" s="189"/>
      <c r="L650" s="189"/>
      <c r="M650" s="189"/>
      <c r="N650" s="189"/>
      <c r="O650" s="189"/>
      <c r="P650" s="189"/>
      <c r="Q650" s="189"/>
      <c r="R650" s="189"/>
      <c r="S650" s="189"/>
      <c r="T650" s="230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</row>
    <row r="651" spans="1:30">
      <c r="A651" s="189"/>
      <c r="B651" s="189"/>
      <c r="C651" s="189"/>
      <c r="D651" s="189"/>
      <c r="E651" s="189"/>
      <c r="F651" s="189"/>
      <c r="G651" s="189"/>
      <c r="H651" s="189"/>
      <c r="I651" s="189"/>
      <c r="J651" s="189"/>
      <c r="K651" s="189"/>
      <c r="L651" s="189"/>
      <c r="M651" s="189"/>
      <c r="N651" s="189"/>
      <c r="O651" s="189"/>
      <c r="P651" s="189"/>
      <c r="Q651" s="189"/>
      <c r="R651" s="189"/>
      <c r="S651" s="189"/>
      <c r="T651" s="230"/>
      <c r="U651" s="189"/>
      <c r="V651" s="189"/>
      <c r="W651" s="189"/>
      <c r="X651" s="189"/>
      <c r="Y651" s="189"/>
      <c r="Z651" s="189"/>
      <c r="AA651" s="189"/>
      <c r="AB651" s="189"/>
      <c r="AC651" s="189"/>
      <c r="AD651" s="189"/>
    </row>
    <row r="652" spans="1:30">
      <c r="A652" s="189"/>
      <c r="B652" s="189"/>
      <c r="C652" s="189"/>
      <c r="D652" s="189"/>
      <c r="E652" s="189"/>
      <c r="F652" s="189"/>
      <c r="G652" s="189"/>
      <c r="H652" s="189"/>
      <c r="I652" s="189"/>
      <c r="J652" s="189"/>
      <c r="K652" s="189"/>
      <c r="L652" s="189"/>
      <c r="M652" s="189"/>
      <c r="N652" s="189"/>
      <c r="O652" s="189"/>
      <c r="P652" s="189"/>
      <c r="Q652" s="189"/>
      <c r="R652" s="189"/>
      <c r="S652" s="189"/>
      <c r="T652" s="230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</row>
    <row r="653" spans="1:30">
      <c r="A653" s="189"/>
      <c r="B653" s="189"/>
      <c r="C653" s="189"/>
      <c r="D653" s="189"/>
      <c r="E653" s="189"/>
      <c r="F653" s="189"/>
      <c r="G653" s="189"/>
      <c r="H653" s="189"/>
      <c r="I653" s="189"/>
      <c r="J653" s="189"/>
      <c r="K653" s="189"/>
      <c r="L653" s="189"/>
      <c r="M653" s="189"/>
      <c r="N653" s="189"/>
      <c r="O653" s="189"/>
      <c r="P653" s="189"/>
      <c r="Q653" s="189"/>
      <c r="R653" s="189"/>
      <c r="S653" s="189"/>
      <c r="T653" s="230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</row>
    <row r="654" spans="1:30">
      <c r="A654" s="189"/>
      <c r="B654" s="189"/>
      <c r="C654" s="189"/>
      <c r="D654" s="189"/>
      <c r="E654" s="189"/>
      <c r="F654" s="189"/>
      <c r="G654" s="189"/>
      <c r="H654" s="189"/>
      <c r="I654" s="189"/>
      <c r="J654" s="189"/>
      <c r="K654" s="189"/>
      <c r="L654" s="189"/>
      <c r="M654" s="189"/>
      <c r="N654" s="189"/>
      <c r="O654" s="189"/>
      <c r="P654" s="189"/>
      <c r="Q654" s="189"/>
      <c r="R654" s="189"/>
      <c r="S654" s="189"/>
      <c r="T654" s="230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</row>
    <row r="655" spans="1:30">
      <c r="A655" s="189"/>
      <c r="B655" s="189"/>
      <c r="C655" s="189"/>
      <c r="D655" s="189"/>
      <c r="E655" s="189"/>
      <c r="F655" s="189"/>
      <c r="G655" s="189"/>
      <c r="H655" s="189"/>
      <c r="I655" s="189"/>
      <c r="J655" s="189"/>
      <c r="K655" s="189"/>
      <c r="L655" s="189"/>
      <c r="M655" s="189"/>
      <c r="N655" s="189"/>
      <c r="O655" s="189"/>
      <c r="P655" s="189"/>
      <c r="Q655" s="189"/>
      <c r="R655" s="189"/>
      <c r="S655" s="189"/>
      <c r="T655" s="230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</row>
    <row r="656" spans="1:30">
      <c r="A656" s="189"/>
      <c r="B656" s="189"/>
      <c r="C656" s="189"/>
      <c r="D656" s="189"/>
      <c r="E656" s="189"/>
      <c r="F656" s="189"/>
      <c r="G656" s="189"/>
      <c r="H656" s="189"/>
      <c r="I656" s="189"/>
      <c r="J656" s="189"/>
      <c r="K656" s="189"/>
      <c r="L656" s="189"/>
      <c r="M656" s="189"/>
      <c r="N656" s="189"/>
      <c r="O656" s="189"/>
      <c r="P656" s="189"/>
      <c r="Q656" s="189"/>
      <c r="R656" s="189"/>
      <c r="S656" s="189"/>
      <c r="T656" s="230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</row>
    <row r="657" spans="1:30">
      <c r="A657" s="189"/>
      <c r="B657" s="189"/>
      <c r="C657" s="189"/>
      <c r="D657" s="189"/>
      <c r="E657" s="189"/>
      <c r="F657" s="189"/>
      <c r="G657" s="189"/>
      <c r="H657" s="189"/>
      <c r="I657" s="189"/>
      <c r="J657" s="189"/>
      <c r="K657" s="189"/>
      <c r="L657" s="189"/>
      <c r="M657" s="189"/>
      <c r="N657" s="189"/>
      <c r="O657" s="189"/>
      <c r="P657" s="189"/>
      <c r="Q657" s="189"/>
      <c r="R657" s="189"/>
      <c r="S657" s="189"/>
      <c r="T657" s="230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</row>
    <row r="658" spans="1:30">
      <c r="A658" s="189"/>
      <c r="B658" s="189"/>
      <c r="C658" s="189"/>
      <c r="D658" s="189"/>
      <c r="E658" s="189"/>
      <c r="F658" s="189"/>
      <c r="G658" s="189"/>
      <c r="H658" s="189"/>
      <c r="I658" s="189"/>
      <c r="J658" s="189"/>
      <c r="K658" s="189"/>
      <c r="L658" s="189"/>
      <c r="M658" s="189"/>
      <c r="N658" s="189"/>
      <c r="O658" s="189"/>
      <c r="P658" s="189"/>
      <c r="Q658" s="189"/>
      <c r="R658" s="189"/>
      <c r="S658" s="189"/>
      <c r="T658" s="230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</row>
    <row r="659" spans="1:30">
      <c r="A659" s="189"/>
      <c r="B659" s="189"/>
      <c r="C659" s="189"/>
      <c r="D659" s="189"/>
      <c r="E659" s="189"/>
      <c r="F659" s="189"/>
      <c r="G659" s="189"/>
      <c r="H659" s="189"/>
      <c r="I659" s="189"/>
      <c r="J659" s="189"/>
      <c r="K659" s="189"/>
      <c r="L659" s="189"/>
      <c r="M659" s="189"/>
      <c r="N659" s="189"/>
      <c r="O659" s="189"/>
      <c r="P659" s="189"/>
      <c r="Q659" s="189"/>
      <c r="R659" s="189"/>
      <c r="S659" s="189"/>
      <c r="T659" s="230"/>
      <c r="U659" s="189"/>
      <c r="V659" s="189"/>
      <c r="W659" s="189"/>
      <c r="X659" s="189"/>
      <c r="Y659" s="189"/>
      <c r="Z659" s="189"/>
      <c r="AA659" s="189"/>
      <c r="AB659" s="189"/>
      <c r="AC659" s="189"/>
      <c r="AD659" s="189"/>
    </row>
    <row r="660" spans="1:30">
      <c r="A660" s="189"/>
      <c r="B660" s="189"/>
      <c r="C660" s="189"/>
      <c r="D660" s="189"/>
      <c r="E660" s="189"/>
      <c r="F660" s="189"/>
      <c r="G660" s="189"/>
      <c r="H660" s="189"/>
      <c r="I660" s="189"/>
      <c r="J660" s="189"/>
      <c r="K660" s="189"/>
      <c r="L660" s="189"/>
      <c r="M660" s="189"/>
      <c r="N660" s="189"/>
      <c r="O660" s="189"/>
      <c r="P660" s="189"/>
      <c r="Q660" s="189"/>
      <c r="R660" s="189"/>
      <c r="S660" s="189"/>
      <c r="T660" s="230"/>
      <c r="U660" s="189"/>
      <c r="V660" s="189"/>
      <c r="W660" s="189"/>
      <c r="X660" s="189"/>
      <c r="Y660" s="189"/>
      <c r="Z660" s="189"/>
      <c r="AA660" s="189"/>
      <c r="AB660" s="189"/>
      <c r="AC660" s="189"/>
      <c r="AD660" s="189"/>
    </row>
    <row r="661" spans="1:30">
      <c r="A661" s="189"/>
      <c r="B661" s="189"/>
      <c r="C661" s="189"/>
      <c r="D661" s="189"/>
      <c r="E661" s="189"/>
      <c r="F661" s="189"/>
      <c r="G661" s="189"/>
      <c r="H661" s="189"/>
      <c r="I661" s="189"/>
      <c r="J661" s="189"/>
      <c r="K661" s="189"/>
      <c r="L661" s="189"/>
      <c r="M661" s="189"/>
      <c r="N661" s="189"/>
      <c r="O661" s="189"/>
      <c r="P661" s="189"/>
      <c r="Q661" s="189"/>
      <c r="R661" s="189"/>
      <c r="S661" s="189"/>
      <c r="T661" s="230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</row>
    <row r="662" spans="1:30">
      <c r="A662" s="189"/>
      <c r="B662" s="189"/>
      <c r="C662" s="189"/>
      <c r="D662" s="189"/>
      <c r="E662" s="189"/>
      <c r="F662" s="189"/>
      <c r="G662" s="189"/>
      <c r="H662" s="189"/>
      <c r="I662" s="189"/>
      <c r="J662" s="189"/>
      <c r="K662" s="189"/>
      <c r="L662" s="189"/>
      <c r="M662" s="189"/>
      <c r="N662" s="189"/>
      <c r="O662" s="189"/>
      <c r="P662" s="189"/>
      <c r="Q662" s="189"/>
      <c r="R662" s="189"/>
      <c r="S662" s="189"/>
      <c r="T662" s="230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</row>
    <row r="663" spans="1:30">
      <c r="A663" s="189"/>
      <c r="B663" s="189"/>
      <c r="C663" s="189"/>
      <c r="D663" s="189"/>
      <c r="E663" s="189"/>
      <c r="F663" s="189"/>
      <c r="G663" s="189"/>
      <c r="H663" s="189"/>
      <c r="I663" s="189"/>
      <c r="J663" s="189"/>
      <c r="K663" s="189"/>
      <c r="L663" s="189"/>
      <c r="M663" s="189"/>
      <c r="N663" s="189"/>
      <c r="O663" s="189"/>
      <c r="P663" s="189"/>
      <c r="Q663" s="189"/>
      <c r="R663" s="189"/>
      <c r="S663" s="189"/>
      <c r="T663" s="230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</row>
    <row r="664" spans="1:30">
      <c r="A664" s="189"/>
      <c r="B664" s="189"/>
      <c r="C664" s="189"/>
      <c r="D664" s="189"/>
      <c r="E664" s="189"/>
      <c r="F664" s="189"/>
      <c r="G664" s="189"/>
      <c r="H664" s="189"/>
      <c r="I664" s="189"/>
      <c r="J664" s="189"/>
      <c r="K664" s="189"/>
      <c r="L664" s="189"/>
      <c r="M664" s="189"/>
      <c r="N664" s="189"/>
      <c r="O664" s="189"/>
      <c r="P664" s="189"/>
      <c r="Q664" s="189"/>
      <c r="R664" s="189"/>
      <c r="S664" s="189"/>
      <c r="T664" s="230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</row>
    <row r="665" spans="1:30">
      <c r="A665" s="189"/>
      <c r="B665" s="189"/>
      <c r="C665" s="189"/>
      <c r="D665" s="189"/>
      <c r="E665" s="189"/>
      <c r="F665" s="189"/>
      <c r="G665" s="189"/>
      <c r="H665" s="189"/>
      <c r="I665" s="189"/>
      <c r="J665" s="189"/>
      <c r="K665" s="189"/>
      <c r="L665" s="189"/>
      <c r="M665" s="189"/>
      <c r="N665" s="189"/>
      <c r="O665" s="189"/>
      <c r="P665" s="189"/>
      <c r="Q665" s="189"/>
      <c r="R665" s="189"/>
      <c r="S665" s="189"/>
      <c r="T665" s="230"/>
      <c r="U665" s="189"/>
      <c r="V665" s="189"/>
      <c r="W665" s="189"/>
      <c r="X665" s="189"/>
      <c r="Y665" s="189"/>
      <c r="Z665" s="189"/>
      <c r="AA665" s="189"/>
      <c r="AB665" s="189"/>
      <c r="AC665" s="189"/>
      <c r="AD665" s="189"/>
    </row>
    <row r="666" spans="1:30">
      <c r="A666" s="189"/>
      <c r="B666" s="189"/>
      <c r="C666" s="189"/>
      <c r="D666" s="189"/>
      <c r="E666" s="189"/>
      <c r="F666" s="189"/>
      <c r="G666" s="189"/>
      <c r="H666" s="189"/>
      <c r="I666" s="189"/>
      <c r="J666" s="189"/>
      <c r="K666" s="189"/>
      <c r="L666" s="189"/>
      <c r="M666" s="189"/>
      <c r="N666" s="189"/>
      <c r="O666" s="189"/>
      <c r="P666" s="189"/>
      <c r="Q666" s="189"/>
      <c r="R666" s="189"/>
      <c r="S666" s="189"/>
      <c r="T666" s="230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</row>
    <row r="667" spans="1:30">
      <c r="A667" s="189"/>
      <c r="B667" s="189"/>
      <c r="C667" s="189"/>
      <c r="D667" s="189"/>
      <c r="E667" s="189"/>
      <c r="F667" s="189"/>
      <c r="G667" s="189"/>
      <c r="H667" s="189"/>
      <c r="I667" s="189"/>
      <c r="J667" s="189"/>
      <c r="K667" s="189"/>
      <c r="L667" s="189"/>
      <c r="M667" s="189"/>
      <c r="N667" s="189"/>
      <c r="O667" s="189"/>
      <c r="P667" s="189"/>
      <c r="Q667" s="189"/>
      <c r="R667" s="189"/>
      <c r="S667" s="189"/>
      <c r="T667" s="230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</row>
    <row r="668" spans="1:30">
      <c r="A668" s="189"/>
      <c r="B668" s="189"/>
      <c r="C668" s="189"/>
      <c r="D668" s="189"/>
      <c r="E668" s="189"/>
      <c r="F668" s="189"/>
      <c r="G668" s="189"/>
      <c r="H668" s="189"/>
      <c r="I668" s="189"/>
      <c r="J668" s="189"/>
      <c r="K668" s="189"/>
      <c r="L668" s="189"/>
      <c r="M668" s="189"/>
      <c r="N668" s="189"/>
      <c r="O668" s="189"/>
      <c r="P668" s="189"/>
      <c r="Q668" s="189"/>
      <c r="R668" s="189"/>
      <c r="S668" s="189"/>
      <c r="T668" s="230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</row>
    <row r="669" spans="1:30">
      <c r="A669" s="189"/>
      <c r="B669" s="189"/>
      <c r="C669" s="189"/>
      <c r="D669" s="189"/>
      <c r="E669" s="189"/>
      <c r="F669" s="189"/>
      <c r="G669" s="189"/>
      <c r="H669" s="189"/>
      <c r="I669" s="189"/>
      <c r="J669" s="189"/>
      <c r="K669" s="189"/>
      <c r="L669" s="189"/>
      <c r="M669" s="189"/>
      <c r="N669" s="189"/>
      <c r="O669" s="189"/>
      <c r="P669" s="189"/>
      <c r="Q669" s="189"/>
      <c r="R669" s="189"/>
      <c r="S669" s="189"/>
      <c r="T669" s="230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</row>
    <row r="670" spans="1:30">
      <c r="A670" s="189"/>
      <c r="B670" s="189"/>
      <c r="C670" s="189"/>
      <c r="D670" s="189"/>
      <c r="E670" s="189"/>
      <c r="F670" s="189"/>
      <c r="G670" s="189"/>
      <c r="H670" s="189"/>
      <c r="I670" s="189"/>
      <c r="J670" s="189"/>
      <c r="K670" s="189"/>
      <c r="L670" s="189"/>
      <c r="M670" s="189"/>
      <c r="N670" s="189"/>
      <c r="O670" s="189"/>
      <c r="P670" s="189"/>
      <c r="Q670" s="189"/>
      <c r="R670" s="189"/>
      <c r="S670" s="189"/>
      <c r="T670" s="230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</row>
    <row r="671" spans="1:30">
      <c r="A671" s="189"/>
      <c r="B671" s="189"/>
      <c r="C671" s="189"/>
      <c r="D671" s="189"/>
      <c r="E671" s="189"/>
      <c r="F671" s="189"/>
      <c r="G671" s="189"/>
      <c r="H671" s="189"/>
      <c r="I671" s="189"/>
      <c r="J671" s="189"/>
      <c r="K671" s="189"/>
      <c r="L671" s="189"/>
      <c r="M671" s="189"/>
      <c r="N671" s="189"/>
      <c r="O671" s="189"/>
      <c r="P671" s="189"/>
      <c r="Q671" s="189"/>
      <c r="R671" s="189"/>
      <c r="S671" s="189"/>
      <c r="T671" s="230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</row>
    <row r="672" spans="1:30">
      <c r="A672" s="189"/>
      <c r="B672" s="189"/>
      <c r="C672" s="189"/>
      <c r="D672" s="189"/>
      <c r="E672" s="189"/>
      <c r="F672" s="189"/>
      <c r="G672" s="189"/>
      <c r="H672" s="189"/>
      <c r="I672" s="189"/>
      <c r="J672" s="189"/>
      <c r="K672" s="189"/>
      <c r="L672" s="189"/>
      <c r="M672" s="189"/>
      <c r="N672" s="189"/>
      <c r="O672" s="189"/>
      <c r="P672" s="189"/>
      <c r="Q672" s="189"/>
      <c r="R672" s="189"/>
      <c r="S672" s="189"/>
      <c r="T672" s="230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</row>
    <row r="673" spans="1:30">
      <c r="A673" s="189"/>
      <c r="B673" s="189"/>
      <c r="C673" s="189"/>
      <c r="D673" s="189"/>
      <c r="E673" s="189"/>
      <c r="F673" s="189"/>
      <c r="G673" s="189"/>
      <c r="H673" s="189"/>
      <c r="I673" s="189"/>
      <c r="J673" s="189"/>
      <c r="K673" s="189"/>
      <c r="L673" s="189"/>
      <c r="M673" s="189"/>
      <c r="N673" s="189"/>
      <c r="O673" s="189"/>
      <c r="P673" s="189"/>
      <c r="Q673" s="189"/>
      <c r="R673" s="189"/>
      <c r="S673" s="189"/>
      <c r="T673" s="230"/>
      <c r="U673" s="189"/>
      <c r="V673" s="189"/>
      <c r="W673" s="189"/>
      <c r="X673" s="189"/>
      <c r="Y673" s="189"/>
      <c r="Z673" s="189"/>
      <c r="AA673" s="189"/>
      <c r="AB673" s="189"/>
      <c r="AC673" s="189"/>
      <c r="AD673" s="189"/>
    </row>
    <row r="674" spans="1:30">
      <c r="A674" s="189"/>
      <c r="B674" s="189"/>
      <c r="C674" s="189"/>
      <c r="D674" s="189"/>
      <c r="E674" s="189"/>
      <c r="F674" s="189"/>
      <c r="G674" s="189"/>
      <c r="H674" s="189"/>
      <c r="I674" s="189"/>
      <c r="J674" s="189"/>
      <c r="K674" s="189"/>
      <c r="L674" s="189"/>
      <c r="M674" s="189"/>
      <c r="N674" s="189"/>
      <c r="O674" s="189"/>
      <c r="P674" s="189"/>
      <c r="Q674" s="189"/>
      <c r="R674" s="189"/>
      <c r="S674" s="189"/>
      <c r="T674" s="230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</row>
    <row r="675" spans="1:30">
      <c r="A675" s="189"/>
      <c r="B675" s="189"/>
      <c r="C675" s="189"/>
      <c r="D675" s="189"/>
      <c r="E675" s="189"/>
      <c r="F675" s="189"/>
      <c r="G675" s="189"/>
      <c r="H675" s="189"/>
      <c r="I675" s="189"/>
      <c r="J675" s="189"/>
      <c r="K675" s="189"/>
      <c r="L675" s="189"/>
      <c r="M675" s="189"/>
      <c r="N675" s="189"/>
      <c r="O675" s="189"/>
      <c r="P675" s="189"/>
      <c r="Q675" s="189"/>
      <c r="R675" s="189"/>
      <c r="S675" s="189"/>
      <c r="T675" s="230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</row>
    <row r="676" spans="1:30">
      <c r="A676" s="189"/>
      <c r="B676" s="189"/>
      <c r="C676" s="189"/>
      <c r="D676" s="189"/>
      <c r="E676" s="189"/>
      <c r="F676" s="189"/>
      <c r="G676" s="189"/>
      <c r="H676" s="189"/>
      <c r="I676" s="189"/>
      <c r="J676" s="189"/>
      <c r="K676" s="189"/>
      <c r="L676" s="189"/>
      <c r="M676" s="189"/>
      <c r="N676" s="189"/>
      <c r="O676" s="189"/>
      <c r="P676" s="189"/>
      <c r="Q676" s="189"/>
      <c r="R676" s="189"/>
      <c r="S676" s="189"/>
      <c r="T676" s="230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</row>
    <row r="677" spans="1:30">
      <c r="A677" s="189"/>
      <c r="B677" s="189"/>
      <c r="C677" s="189"/>
      <c r="D677" s="189"/>
      <c r="E677" s="189"/>
      <c r="F677" s="189"/>
      <c r="G677" s="189"/>
      <c r="H677" s="189"/>
      <c r="I677" s="189"/>
      <c r="J677" s="189"/>
      <c r="K677" s="189"/>
      <c r="L677" s="189"/>
      <c r="M677" s="189"/>
      <c r="N677" s="189"/>
      <c r="O677" s="189"/>
      <c r="P677" s="189"/>
      <c r="Q677" s="189"/>
      <c r="R677" s="189"/>
      <c r="S677" s="189"/>
      <c r="T677" s="230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</row>
    <row r="678" spans="1:30">
      <c r="A678" s="189"/>
      <c r="B678" s="189"/>
      <c r="C678" s="189"/>
      <c r="D678" s="189"/>
      <c r="E678" s="189"/>
      <c r="F678" s="189"/>
      <c r="G678" s="189"/>
      <c r="H678" s="189"/>
      <c r="I678" s="189"/>
      <c r="J678" s="189"/>
      <c r="K678" s="189"/>
      <c r="L678" s="189"/>
      <c r="M678" s="189"/>
      <c r="N678" s="189"/>
      <c r="O678" s="189"/>
      <c r="P678" s="189"/>
      <c r="Q678" s="189"/>
      <c r="R678" s="189"/>
      <c r="S678" s="189"/>
      <c r="T678" s="230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</row>
    <row r="679" spans="1:30">
      <c r="A679" s="189"/>
      <c r="B679" s="189"/>
      <c r="C679" s="189"/>
      <c r="D679" s="189"/>
      <c r="E679" s="189"/>
      <c r="F679" s="189"/>
      <c r="G679" s="189"/>
      <c r="H679" s="189"/>
      <c r="I679" s="189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230"/>
      <c r="U679" s="189"/>
      <c r="V679" s="189"/>
      <c r="W679" s="189"/>
      <c r="X679" s="189"/>
      <c r="Y679" s="189"/>
      <c r="Z679" s="189"/>
      <c r="AA679" s="189"/>
      <c r="AB679" s="189"/>
      <c r="AC679" s="189"/>
      <c r="AD679" s="189"/>
    </row>
    <row r="680" spans="1:30">
      <c r="A680" s="189"/>
      <c r="B680" s="189"/>
      <c r="C680" s="189"/>
      <c r="D680" s="189"/>
      <c r="E680" s="189"/>
      <c r="F680" s="189"/>
      <c r="G680" s="189"/>
      <c r="H680" s="189"/>
      <c r="I680" s="189"/>
      <c r="J680" s="189"/>
      <c r="K680" s="189"/>
      <c r="L680" s="189"/>
      <c r="M680" s="189"/>
      <c r="N680" s="189"/>
      <c r="O680" s="189"/>
      <c r="P680" s="189"/>
      <c r="Q680" s="189"/>
      <c r="R680" s="189"/>
      <c r="S680" s="189"/>
      <c r="T680" s="230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</row>
    <row r="681" spans="1:30">
      <c r="A681" s="189"/>
      <c r="B681" s="189"/>
      <c r="C681" s="189"/>
      <c r="D681" s="189"/>
      <c r="E681" s="189"/>
      <c r="F681" s="189"/>
      <c r="G681" s="189"/>
      <c r="H681" s="189"/>
      <c r="I681" s="189"/>
      <c r="J681" s="189"/>
      <c r="K681" s="189"/>
      <c r="L681" s="189"/>
      <c r="M681" s="189"/>
      <c r="N681" s="189"/>
      <c r="O681" s="189"/>
      <c r="P681" s="189"/>
      <c r="Q681" s="189"/>
      <c r="R681" s="189"/>
      <c r="S681" s="189"/>
      <c r="T681" s="230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</row>
    <row r="682" spans="1:30">
      <c r="A682" s="189"/>
      <c r="B682" s="189"/>
      <c r="C682" s="189"/>
      <c r="D682" s="189"/>
      <c r="E682" s="189"/>
      <c r="F682" s="189"/>
      <c r="G682" s="189"/>
      <c r="H682" s="189"/>
      <c r="I682" s="189"/>
      <c r="J682" s="189"/>
      <c r="K682" s="189"/>
      <c r="L682" s="189"/>
      <c r="M682" s="189"/>
      <c r="N682" s="189"/>
      <c r="O682" s="189"/>
      <c r="P682" s="189"/>
      <c r="Q682" s="189"/>
      <c r="R682" s="189"/>
      <c r="S682" s="189"/>
      <c r="T682" s="230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</row>
    <row r="683" spans="1:30">
      <c r="A683" s="189"/>
      <c r="B683" s="189"/>
      <c r="C683" s="189"/>
      <c r="D683" s="189"/>
      <c r="E683" s="189"/>
      <c r="F683" s="189"/>
      <c r="G683" s="189"/>
      <c r="H683" s="189"/>
      <c r="I683" s="189"/>
      <c r="J683" s="189"/>
      <c r="K683" s="189"/>
      <c r="L683" s="189"/>
      <c r="M683" s="189"/>
      <c r="N683" s="189"/>
      <c r="O683" s="189"/>
      <c r="P683" s="189"/>
      <c r="Q683" s="189"/>
      <c r="R683" s="189"/>
      <c r="S683" s="189"/>
      <c r="T683" s="230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</row>
    <row r="684" spans="1:30">
      <c r="A684" s="189"/>
      <c r="B684" s="189"/>
      <c r="C684" s="189"/>
      <c r="D684" s="189"/>
      <c r="E684" s="189"/>
      <c r="F684" s="189"/>
      <c r="G684" s="189"/>
      <c r="H684" s="189"/>
      <c r="I684" s="189"/>
      <c r="J684" s="189"/>
      <c r="K684" s="189"/>
      <c r="L684" s="189"/>
      <c r="M684" s="189"/>
      <c r="N684" s="189"/>
      <c r="O684" s="189"/>
      <c r="P684" s="189"/>
      <c r="Q684" s="189"/>
      <c r="R684" s="189"/>
      <c r="S684" s="189"/>
      <c r="T684" s="230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</row>
    <row r="685" spans="1:30">
      <c r="A685" s="189"/>
      <c r="B685" s="189"/>
      <c r="C685" s="189"/>
      <c r="D685" s="189"/>
      <c r="E685" s="189"/>
      <c r="F685" s="189"/>
      <c r="G685" s="189"/>
      <c r="H685" s="189"/>
      <c r="I685" s="189"/>
      <c r="J685" s="189"/>
      <c r="K685" s="189"/>
      <c r="L685" s="189"/>
      <c r="M685" s="189"/>
      <c r="N685" s="189"/>
      <c r="O685" s="189"/>
      <c r="P685" s="189"/>
      <c r="Q685" s="189"/>
      <c r="R685" s="189"/>
      <c r="S685" s="189"/>
      <c r="T685" s="230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</row>
    <row r="686" spans="1:30">
      <c r="A686" s="189"/>
      <c r="B686" s="189"/>
      <c r="C686" s="189"/>
      <c r="D686" s="189"/>
      <c r="E686" s="189"/>
      <c r="F686" s="189"/>
      <c r="G686" s="189"/>
      <c r="H686" s="189"/>
      <c r="I686" s="189"/>
      <c r="J686" s="189"/>
      <c r="K686" s="189"/>
      <c r="L686" s="189"/>
      <c r="M686" s="189"/>
      <c r="N686" s="189"/>
      <c r="O686" s="189"/>
      <c r="P686" s="189"/>
      <c r="Q686" s="189"/>
      <c r="R686" s="189"/>
      <c r="S686" s="189"/>
      <c r="T686" s="230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</row>
    <row r="687" spans="1:30">
      <c r="A687" s="189"/>
      <c r="B687" s="189"/>
      <c r="C687" s="189"/>
      <c r="D687" s="189"/>
      <c r="E687" s="189"/>
      <c r="F687" s="189"/>
      <c r="G687" s="189"/>
      <c r="H687" s="189"/>
      <c r="I687" s="189"/>
      <c r="J687" s="189"/>
      <c r="K687" s="189"/>
      <c r="L687" s="189"/>
      <c r="M687" s="189"/>
      <c r="N687" s="189"/>
      <c r="O687" s="189"/>
      <c r="P687" s="189"/>
      <c r="Q687" s="189"/>
      <c r="R687" s="189"/>
      <c r="S687" s="189"/>
      <c r="T687" s="230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</row>
    <row r="688" spans="1:30">
      <c r="A688" s="189"/>
      <c r="B688" s="189"/>
      <c r="C688" s="189"/>
      <c r="D688" s="189"/>
      <c r="E688" s="189"/>
      <c r="F688" s="189"/>
      <c r="G688" s="189"/>
      <c r="H688" s="189"/>
      <c r="I688" s="189"/>
      <c r="J688" s="189"/>
      <c r="K688" s="189"/>
      <c r="L688" s="189"/>
      <c r="M688" s="189"/>
      <c r="N688" s="189"/>
      <c r="O688" s="189"/>
      <c r="P688" s="189"/>
      <c r="Q688" s="189"/>
      <c r="R688" s="189"/>
      <c r="S688" s="189"/>
      <c r="T688" s="230"/>
      <c r="U688" s="189"/>
      <c r="V688" s="189"/>
      <c r="W688" s="189"/>
      <c r="X688" s="189"/>
      <c r="Y688" s="189"/>
      <c r="Z688" s="189"/>
      <c r="AA688" s="189"/>
      <c r="AB688" s="189"/>
      <c r="AC688" s="189"/>
      <c r="AD688" s="189"/>
    </row>
    <row r="689" spans="1:30">
      <c r="A689" s="189"/>
      <c r="B689" s="189"/>
      <c r="C689" s="189"/>
      <c r="D689" s="189"/>
      <c r="E689" s="189"/>
      <c r="F689" s="189"/>
      <c r="G689" s="189"/>
      <c r="H689" s="189"/>
      <c r="I689" s="189"/>
      <c r="J689" s="189"/>
      <c r="K689" s="189"/>
      <c r="L689" s="189"/>
      <c r="M689" s="189"/>
      <c r="N689" s="189"/>
      <c r="O689" s="189"/>
      <c r="P689" s="189"/>
      <c r="Q689" s="189"/>
      <c r="R689" s="189"/>
      <c r="S689" s="189"/>
      <c r="T689" s="230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</row>
    <row r="690" spans="1:30">
      <c r="A690" s="189"/>
      <c r="B690" s="189"/>
      <c r="C690" s="189"/>
      <c r="D690" s="189"/>
      <c r="E690" s="189"/>
      <c r="F690" s="189"/>
      <c r="G690" s="189"/>
      <c r="H690" s="189"/>
      <c r="I690" s="189"/>
      <c r="J690" s="189"/>
      <c r="K690" s="189"/>
      <c r="L690" s="189"/>
      <c r="M690" s="189"/>
      <c r="N690" s="189"/>
      <c r="O690" s="189"/>
      <c r="P690" s="189"/>
      <c r="Q690" s="189"/>
      <c r="R690" s="189"/>
      <c r="S690" s="189"/>
      <c r="T690" s="230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</row>
    <row r="691" spans="1:30">
      <c r="A691" s="189"/>
      <c r="B691" s="189"/>
      <c r="C691" s="189"/>
      <c r="D691" s="189"/>
      <c r="E691" s="189"/>
      <c r="F691" s="189"/>
      <c r="G691" s="189"/>
      <c r="H691" s="189"/>
      <c r="I691" s="189"/>
      <c r="J691" s="189"/>
      <c r="K691" s="189"/>
      <c r="L691" s="189"/>
      <c r="M691" s="189"/>
      <c r="N691" s="189"/>
      <c r="O691" s="189"/>
      <c r="P691" s="189"/>
      <c r="Q691" s="189"/>
      <c r="R691" s="189"/>
      <c r="S691" s="189"/>
      <c r="T691" s="230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</row>
    <row r="692" spans="1:30">
      <c r="A692" s="189"/>
      <c r="B692" s="189"/>
      <c r="C692" s="189"/>
      <c r="D692" s="189"/>
      <c r="E692" s="189"/>
      <c r="F692" s="189"/>
      <c r="G692" s="189"/>
      <c r="H692" s="189"/>
      <c r="I692" s="189"/>
      <c r="J692" s="189"/>
      <c r="K692" s="189"/>
      <c r="L692" s="189"/>
      <c r="M692" s="189"/>
      <c r="N692" s="189"/>
      <c r="O692" s="189"/>
      <c r="P692" s="189"/>
      <c r="Q692" s="189"/>
      <c r="R692" s="189"/>
      <c r="S692" s="189"/>
      <c r="T692" s="230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</row>
    <row r="693" spans="1:30">
      <c r="A693" s="189"/>
      <c r="B693" s="189"/>
      <c r="C693" s="189"/>
      <c r="D693" s="189"/>
      <c r="E693" s="189"/>
      <c r="F693" s="189"/>
      <c r="G693" s="189"/>
      <c r="H693" s="189"/>
      <c r="I693" s="189"/>
      <c r="J693" s="189"/>
      <c r="K693" s="189"/>
      <c r="L693" s="189"/>
      <c r="M693" s="189"/>
      <c r="N693" s="189"/>
      <c r="O693" s="189"/>
      <c r="P693" s="189"/>
      <c r="Q693" s="189"/>
      <c r="R693" s="189"/>
      <c r="S693" s="189"/>
      <c r="T693" s="230"/>
      <c r="U693" s="189"/>
      <c r="V693" s="189"/>
      <c r="W693" s="189"/>
      <c r="X693" s="189"/>
      <c r="Y693" s="189"/>
      <c r="Z693" s="189"/>
      <c r="AA693" s="189"/>
      <c r="AB693" s="189"/>
      <c r="AC693" s="189"/>
      <c r="AD693" s="189"/>
    </row>
    <row r="694" spans="1:30">
      <c r="A694" s="189"/>
      <c r="B694" s="189"/>
      <c r="C694" s="189"/>
      <c r="D694" s="189"/>
      <c r="E694" s="189"/>
      <c r="F694" s="189"/>
      <c r="G694" s="189"/>
      <c r="H694" s="189"/>
      <c r="I694" s="189"/>
      <c r="J694" s="189"/>
      <c r="K694" s="189"/>
      <c r="L694" s="189"/>
      <c r="M694" s="189"/>
      <c r="N694" s="189"/>
      <c r="O694" s="189"/>
      <c r="P694" s="189"/>
      <c r="Q694" s="189"/>
      <c r="R694" s="189"/>
      <c r="S694" s="189"/>
      <c r="T694" s="230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</row>
    <row r="695" spans="1:30">
      <c r="A695" s="189"/>
      <c r="B695" s="189"/>
      <c r="C695" s="189"/>
      <c r="D695" s="189"/>
      <c r="E695" s="189"/>
      <c r="F695" s="189"/>
      <c r="G695" s="189"/>
      <c r="H695" s="189"/>
      <c r="I695" s="189"/>
      <c r="J695" s="189"/>
      <c r="K695" s="189"/>
      <c r="L695" s="189"/>
      <c r="M695" s="189"/>
      <c r="N695" s="189"/>
      <c r="O695" s="189"/>
      <c r="P695" s="189"/>
      <c r="Q695" s="189"/>
      <c r="R695" s="189"/>
      <c r="S695" s="189"/>
      <c r="T695" s="230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</row>
    <row r="696" spans="1:30">
      <c r="A696" s="189"/>
      <c r="B696" s="189"/>
      <c r="C696" s="189"/>
      <c r="D696" s="189"/>
      <c r="E696" s="189"/>
      <c r="F696" s="189"/>
      <c r="G696" s="189"/>
      <c r="H696" s="189"/>
      <c r="I696" s="189"/>
      <c r="J696" s="189"/>
      <c r="K696" s="189"/>
      <c r="L696" s="189"/>
      <c r="M696" s="189"/>
      <c r="N696" s="189"/>
      <c r="O696" s="189"/>
      <c r="P696" s="189"/>
      <c r="Q696" s="189"/>
      <c r="R696" s="189"/>
      <c r="S696" s="189"/>
      <c r="T696" s="230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</row>
    <row r="697" spans="1:30">
      <c r="A697" s="189"/>
      <c r="B697" s="189"/>
      <c r="C697" s="189"/>
      <c r="D697" s="189"/>
      <c r="E697" s="189"/>
      <c r="F697" s="189"/>
      <c r="G697" s="189"/>
      <c r="H697" s="189"/>
      <c r="I697" s="189"/>
      <c r="J697" s="189"/>
      <c r="K697" s="189"/>
      <c r="L697" s="189"/>
      <c r="M697" s="189"/>
      <c r="N697" s="189"/>
      <c r="O697" s="189"/>
      <c r="P697" s="189"/>
      <c r="Q697" s="189"/>
      <c r="R697" s="189"/>
      <c r="S697" s="189"/>
      <c r="T697" s="230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</row>
    <row r="698" spans="1:30">
      <c r="A698" s="189"/>
      <c r="B698" s="189"/>
      <c r="C698" s="189"/>
      <c r="D698" s="189"/>
      <c r="E698" s="189"/>
      <c r="F698" s="189"/>
      <c r="G698" s="189"/>
      <c r="H698" s="189"/>
      <c r="I698" s="189"/>
      <c r="J698" s="189"/>
      <c r="K698" s="189"/>
      <c r="L698" s="189"/>
      <c r="M698" s="189"/>
      <c r="N698" s="189"/>
      <c r="O698" s="189"/>
      <c r="P698" s="189"/>
      <c r="Q698" s="189"/>
      <c r="R698" s="189"/>
      <c r="S698" s="189"/>
      <c r="T698" s="230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</row>
    <row r="699" spans="1:30">
      <c r="A699" s="189"/>
      <c r="B699" s="189"/>
      <c r="C699" s="189"/>
      <c r="D699" s="189"/>
      <c r="E699" s="189"/>
      <c r="F699" s="189"/>
      <c r="G699" s="189"/>
      <c r="H699" s="189"/>
      <c r="I699" s="189"/>
      <c r="J699" s="189"/>
      <c r="K699" s="189"/>
      <c r="L699" s="189"/>
      <c r="M699" s="189"/>
      <c r="N699" s="189"/>
      <c r="O699" s="189"/>
      <c r="P699" s="189"/>
      <c r="Q699" s="189"/>
      <c r="R699" s="189"/>
      <c r="S699" s="189"/>
      <c r="T699" s="230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</row>
    <row r="700" spans="1:30">
      <c r="A700" s="189"/>
      <c r="B700" s="189"/>
      <c r="C700" s="189"/>
      <c r="D700" s="189"/>
      <c r="E700" s="189"/>
      <c r="F700" s="189"/>
      <c r="G700" s="189"/>
      <c r="H700" s="189"/>
      <c r="I700" s="189"/>
      <c r="J700" s="189"/>
      <c r="K700" s="189"/>
      <c r="L700" s="189"/>
      <c r="M700" s="189"/>
      <c r="N700" s="189"/>
      <c r="O700" s="189"/>
      <c r="P700" s="189"/>
      <c r="Q700" s="189"/>
      <c r="R700" s="189"/>
      <c r="S700" s="189"/>
      <c r="T700" s="230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</row>
    <row r="701" spans="1:30">
      <c r="A701" s="189"/>
      <c r="B701" s="189"/>
      <c r="C701" s="189"/>
      <c r="D701" s="189"/>
      <c r="E701" s="189"/>
      <c r="F701" s="189"/>
      <c r="G701" s="189"/>
      <c r="H701" s="189"/>
      <c r="I701" s="189"/>
      <c r="J701" s="189"/>
      <c r="K701" s="189"/>
      <c r="L701" s="189"/>
      <c r="M701" s="189"/>
      <c r="N701" s="189"/>
      <c r="O701" s="189"/>
      <c r="P701" s="189"/>
      <c r="Q701" s="189"/>
      <c r="R701" s="189"/>
      <c r="S701" s="189"/>
      <c r="T701" s="230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</row>
    <row r="702" spans="1:30">
      <c r="A702" s="189"/>
      <c r="B702" s="189"/>
      <c r="C702" s="189"/>
      <c r="D702" s="189"/>
      <c r="E702" s="189"/>
      <c r="F702" s="189"/>
      <c r="G702" s="189"/>
      <c r="H702" s="189"/>
      <c r="I702" s="189"/>
      <c r="J702" s="189"/>
      <c r="K702" s="189"/>
      <c r="L702" s="189"/>
      <c r="M702" s="189"/>
      <c r="N702" s="189"/>
      <c r="O702" s="189"/>
      <c r="P702" s="189"/>
      <c r="Q702" s="189"/>
      <c r="R702" s="189"/>
      <c r="S702" s="189"/>
      <c r="T702" s="230"/>
      <c r="U702" s="189"/>
      <c r="V702" s="189"/>
      <c r="W702" s="189"/>
      <c r="X702" s="189"/>
      <c r="Y702" s="189"/>
      <c r="Z702" s="189"/>
      <c r="AA702" s="189"/>
      <c r="AB702" s="189"/>
      <c r="AC702" s="189"/>
      <c r="AD702" s="189"/>
    </row>
    <row r="703" spans="1:30">
      <c r="A703" s="189"/>
      <c r="B703" s="189"/>
      <c r="C703" s="189"/>
      <c r="D703" s="189"/>
      <c r="E703" s="189"/>
      <c r="F703" s="189"/>
      <c r="G703" s="189"/>
      <c r="H703" s="189"/>
      <c r="I703" s="189"/>
      <c r="J703" s="189"/>
      <c r="K703" s="189"/>
      <c r="L703" s="189"/>
      <c r="M703" s="189"/>
      <c r="N703" s="189"/>
      <c r="O703" s="189"/>
      <c r="P703" s="189"/>
      <c r="Q703" s="189"/>
      <c r="R703" s="189"/>
      <c r="S703" s="189"/>
      <c r="T703" s="230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</row>
    <row r="704" spans="1:30">
      <c r="A704" s="189"/>
      <c r="B704" s="189"/>
      <c r="C704" s="189"/>
      <c r="D704" s="189"/>
      <c r="E704" s="189"/>
      <c r="F704" s="189"/>
      <c r="G704" s="189"/>
      <c r="H704" s="189"/>
      <c r="I704" s="189"/>
      <c r="J704" s="189"/>
      <c r="K704" s="189"/>
      <c r="L704" s="189"/>
      <c r="M704" s="189"/>
      <c r="N704" s="189"/>
      <c r="O704" s="189"/>
      <c r="P704" s="189"/>
      <c r="Q704" s="189"/>
      <c r="R704" s="189"/>
      <c r="S704" s="189"/>
      <c r="T704" s="230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</row>
    <row r="705" spans="1:30">
      <c r="A705" s="189"/>
      <c r="B705" s="189"/>
      <c r="C705" s="189"/>
      <c r="D705" s="189"/>
      <c r="E705" s="189"/>
      <c r="F705" s="189"/>
      <c r="G705" s="189"/>
      <c r="H705" s="189"/>
      <c r="I705" s="189"/>
      <c r="J705" s="189"/>
      <c r="K705" s="189"/>
      <c r="L705" s="189"/>
      <c r="M705" s="189"/>
      <c r="N705" s="189"/>
      <c r="O705" s="189"/>
      <c r="P705" s="189"/>
      <c r="Q705" s="189"/>
      <c r="R705" s="189"/>
      <c r="S705" s="189"/>
      <c r="T705" s="230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</row>
    <row r="706" spans="1:30">
      <c r="A706" s="189"/>
      <c r="B706" s="189"/>
      <c r="C706" s="189"/>
      <c r="D706" s="189"/>
      <c r="E706" s="189"/>
      <c r="F706" s="189"/>
      <c r="G706" s="189"/>
      <c r="H706" s="189"/>
      <c r="I706" s="189"/>
      <c r="J706" s="189"/>
      <c r="K706" s="189"/>
      <c r="L706" s="189"/>
      <c r="M706" s="189"/>
      <c r="N706" s="189"/>
      <c r="O706" s="189"/>
      <c r="P706" s="189"/>
      <c r="Q706" s="189"/>
      <c r="R706" s="189"/>
      <c r="S706" s="189"/>
      <c r="T706" s="230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</row>
    <row r="707" spans="1:30">
      <c r="A707" s="189"/>
      <c r="B707" s="189"/>
      <c r="C707" s="189"/>
      <c r="D707" s="189"/>
      <c r="E707" s="189"/>
      <c r="F707" s="189"/>
      <c r="G707" s="189"/>
      <c r="H707" s="189"/>
      <c r="I707" s="189"/>
      <c r="J707" s="189"/>
      <c r="K707" s="189"/>
      <c r="L707" s="189"/>
      <c r="M707" s="189"/>
      <c r="N707" s="189"/>
      <c r="O707" s="189"/>
      <c r="P707" s="189"/>
      <c r="Q707" s="189"/>
      <c r="R707" s="189"/>
      <c r="S707" s="189"/>
      <c r="T707" s="230"/>
      <c r="U707" s="189"/>
      <c r="V707" s="189"/>
      <c r="W707" s="189"/>
      <c r="X707" s="189"/>
      <c r="Y707" s="189"/>
      <c r="Z707" s="189"/>
      <c r="AA707" s="189"/>
      <c r="AB707" s="189"/>
      <c r="AC707" s="189"/>
      <c r="AD707" s="189"/>
    </row>
    <row r="708" spans="1:30">
      <c r="A708" s="189"/>
      <c r="B708" s="189"/>
      <c r="C708" s="189"/>
      <c r="D708" s="189"/>
      <c r="E708" s="189"/>
      <c r="F708" s="189"/>
      <c r="G708" s="189"/>
      <c r="H708" s="189"/>
      <c r="I708" s="189"/>
      <c r="J708" s="189"/>
      <c r="K708" s="189"/>
      <c r="L708" s="189"/>
      <c r="M708" s="189"/>
      <c r="N708" s="189"/>
      <c r="O708" s="189"/>
      <c r="P708" s="189"/>
      <c r="Q708" s="189"/>
      <c r="R708" s="189"/>
      <c r="S708" s="189"/>
      <c r="T708" s="230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</row>
    <row r="709" spans="1:30">
      <c r="A709" s="189"/>
      <c r="B709" s="189"/>
      <c r="C709" s="189"/>
      <c r="D709" s="189"/>
      <c r="E709" s="189"/>
      <c r="F709" s="189"/>
      <c r="G709" s="189"/>
      <c r="H709" s="189"/>
      <c r="I709" s="189"/>
      <c r="J709" s="189"/>
      <c r="K709" s="189"/>
      <c r="L709" s="189"/>
      <c r="M709" s="189"/>
      <c r="N709" s="189"/>
      <c r="O709" s="189"/>
      <c r="P709" s="189"/>
      <c r="Q709" s="189"/>
      <c r="R709" s="189"/>
      <c r="S709" s="189"/>
      <c r="T709" s="230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</row>
    <row r="710" spans="1:30">
      <c r="A710" s="189"/>
      <c r="B710" s="189"/>
      <c r="C710" s="189"/>
      <c r="D710" s="189"/>
      <c r="E710" s="189"/>
      <c r="F710" s="189"/>
      <c r="G710" s="189"/>
      <c r="H710" s="189"/>
      <c r="I710" s="189"/>
      <c r="J710" s="189"/>
      <c r="K710" s="189"/>
      <c r="L710" s="189"/>
      <c r="M710" s="189"/>
      <c r="N710" s="189"/>
      <c r="O710" s="189"/>
      <c r="P710" s="189"/>
      <c r="Q710" s="189"/>
      <c r="R710" s="189"/>
      <c r="S710" s="189"/>
      <c r="T710" s="230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</row>
    <row r="711" spans="1:30">
      <c r="A711" s="189"/>
      <c r="B711" s="189"/>
      <c r="C711" s="189"/>
      <c r="D711" s="189"/>
      <c r="E711" s="189"/>
      <c r="F711" s="189"/>
      <c r="G711" s="189"/>
      <c r="H711" s="189"/>
      <c r="I711" s="189"/>
      <c r="J711" s="189"/>
      <c r="K711" s="189"/>
      <c r="L711" s="189"/>
      <c r="M711" s="189"/>
      <c r="N711" s="189"/>
      <c r="O711" s="189"/>
      <c r="P711" s="189"/>
      <c r="Q711" s="189"/>
      <c r="R711" s="189"/>
      <c r="S711" s="189"/>
      <c r="T711" s="230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</row>
    <row r="712" spans="1:30">
      <c r="A712" s="189"/>
      <c r="B712" s="189"/>
      <c r="C712" s="189"/>
      <c r="D712" s="189"/>
      <c r="E712" s="189"/>
      <c r="F712" s="189"/>
      <c r="G712" s="189"/>
      <c r="H712" s="189"/>
      <c r="I712" s="189"/>
      <c r="J712" s="189"/>
      <c r="K712" s="189"/>
      <c r="L712" s="189"/>
      <c r="M712" s="189"/>
      <c r="N712" s="189"/>
      <c r="O712" s="189"/>
      <c r="P712" s="189"/>
      <c r="Q712" s="189"/>
      <c r="R712" s="189"/>
      <c r="S712" s="189"/>
      <c r="T712" s="230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</row>
    <row r="713" spans="1:30">
      <c r="A713" s="189"/>
      <c r="B713" s="189"/>
      <c r="C713" s="189"/>
      <c r="D713" s="189"/>
      <c r="E713" s="189"/>
      <c r="F713" s="189"/>
      <c r="G713" s="189"/>
      <c r="H713" s="189"/>
      <c r="I713" s="189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230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</row>
    <row r="714" spans="1:30">
      <c r="A714" s="189"/>
      <c r="B714" s="189"/>
      <c r="C714" s="189"/>
      <c r="D714" s="189"/>
      <c r="E714" s="189"/>
      <c r="F714" s="189"/>
      <c r="G714" s="189"/>
      <c r="H714" s="189"/>
      <c r="I714" s="189"/>
      <c r="J714" s="189"/>
      <c r="K714" s="189"/>
      <c r="L714" s="189"/>
      <c r="M714" s="189"/>
      <c r="N714" s="189"/>
      <c r="O714" s="189"/>
      <c r="P714" s="189"/>
      <c r="Q714" s="189"/>
      <c r="R714" s="189"/>
      <c r="S714" s="189"/>
      <c r="T714" s="230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</row>
    <row r="715" spans="1:30">
      <c r="A715" s="189"/>
      <c r="B715" s="189"/>
      <c r="C715" s="189"/>
      <c r="D715" s="189"/>
      <c r="E715" s="189"/>
      <c r="F715" s="189"/>
      <c r="G715" s="189"/>
      <c r="H715" s="189"/>
      <c r="I715" s="189"/>
      <c r="J715" s="189"/>
      <c r="K715" s="189"/>
      <c r="L715" s="189"/>
      <c r="M715" s="189"/>
      <c r="N715" s="189"/>
      <c r="O715" s="189"/>
      <c r="P715" s="189"/>
      <c r="Q715" s="189"/>
      <c r="R715" s="189"/>
      <c r="S715" s="189"/>
      <c r="T715" s="230"/>
      <c r="U715" s="189"/>
      <c r="V715" s="189"/>
      <c r="W715" s="189"/>
      <c r="X715" s="189"/>
      <c r="Y715" s="189"/>
      <c r="Z715" s="189"/>
      <c r="AA715" s="189"/>
      <c r="AB715" s="189"/>
      <c r="AC715" s="189"/>
      <c r="AD715" s="189"/>
    </row>
    <row r="716" spans="1:30">
      <c r="A716" s="189"/>
      <c r="B716" s="189"/>
      <c r="C716" s="189"/>
      <c r="D716" s="189"/>
      <c r="E716" s="189"/>
      <c r="F716" s="189"/>
      <c r="G716" s="189"/>
      <c r="H716" s="189"/>
      <c r="I716" s="189"/>
      <c r="J716" s="189"/>
      <c r="K716" s="189"/>
      <c r="L716" s="189"/>
      <c r="M716" s="189"/>
      <c r="N716" s="189"/>
      <c r="O716" s="189"/>
      <c r="P716" s="189"/>
      <c r="Q716" s="189"/>
      <c r="R716" s="189"/>
      <c r="S716" s="189"/>
      <c r="T716" s="230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</row>
    <row r="717" spans="1:30">
      <c r="A717" s="189"/>
      <c r="B717" s="189"/>
      <c r="C717" s="189"/>
      <c r="D717" s="189"/>
      <c r="E717" s="189"/>
      <c r="F717" s="189"/>
      <c r="G717" s="189"/>
      <c r="H717" s="189"/>
      <c r="I717" s="189"/>
      <c r="J717" s="189"/>
      <c r="K717" s="189"/>
      <c r="L717" s="189"/>
      <c r="M717" s="189"/>
      <c r="N717" s="189"/>
      <c r="O717" s="189"/>
      <c r="P717" s="189"/>
      <c r="Q717" s="189"/>
      <c r="R717" s="189"/>
      <c r="S717" s="189"/>
      <c r="T717" s="230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</row>
    <row r="718" spans="1:30">
      <c r="A718" s="189"/>
      <c r="B718" s="189"/>
      <c r="C718" s="189"/>
      <c r="D718" s="189"/>
      <c r="E718" s="189"/>
      <c r="F718" s="189"/>
      <c r="G718" s="189"/>
      <c r="H718" s="189"/>
      <c r="I718" s="189"/>
      <c r="J718" s="189"/>
      <c r="K718" s="189"/>
      <c r="L718" s="189"/>
      <c r="M718" s="189"/>
      <c r="N718" s="189"/>
      <c r="O718" s="189"/>
      <c r="P718" s="189"/>
      <c r="Q718" s="189"/>
      <c r="R718" s="189"/>
      <c r="S718" s="189"/>
      <c r="T718" s="230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</row>
    <row r="719" spans="1:30">
      <c r="A719" s="189"/>
      <c r="B719" s="189"/>
      <c r="C719" s="189"/>
      <c r="D719" s="189"/>
      <c r="E719" s="189"/>
      <c r="F719" s="189"/>
      <c r="G719" s="189"/>
      <c r="H719" s="189"/>
      <c r="I719" s="189"/>
      <c r="J719" s="189"/>
      <c r="K719" s="189"/>
      <c r="L719" s="189"/>
      <c r="M719" s="189"/>
      <c r="N719" s="189"/>
      <c r="O719" s="189"/>
      <c r="P719" s="189"/>
      <c r="Q719" s="189"/>
      <c r="R719" s="189"/>
      <c r="S719" s="189"/>
      <c r="T719" s="230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</row>
    <row r="720" spans="1:30">
      <c r="A720" s="189"/>
      <c r="B720" s="189"/>
      <c r="C720" s="189"/>
      <c r="D720" s="189"/>
      <c r="E720" s="189"/>
      <c r="F720" s="189"/>
      <c r="G720" s="189"/>
      <c r="H720" s="189"/>
      <c r="I720" s="189"/>
      <c r="J720" s="189"/>
      <c r="K720" s="189"/>
      <c r="L720" s="189"/>
      <c r="M720" s="189"/>
      <c r="N720" s="189"/>
      <c r="O720" s="189"/>
      <c r="P720" s="189"/>
      <c r="Q720" s="189"/>
      <c r="R720" s="189"/>
      <c r="S720" s="189"/>
      <c r="T720" s="230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</row>
    <row r="721" spans="1:30">
      <c r="A721" s="189"/>
      <c r="B721" s="189"/>
      <c r="C721" s="189"/>
      <c r="D721" s="189"/>
      <c r="E721" s="189"/>
      <c r="F721" s="189"/>
      <c r="G721" s="189"/>
      <c r="H721" s="189"/>
      <c r="I721" s="189"/>
      <c r="J721" s="189"/>
      <c r="K721" s="189"/>
      <c r="L721" s="189"/>
      <c r="M721" s="189"/>
      <c r="N721" s="189"/>
      <c r="O721" s="189"/>
      <c r="P721" s="189"/>
      <c r="Q721" s="189"/>
      <c r="R721" s="189"/>
      <c r="S721" s="189"/>
      <c r="T721" s="230"/>
      <c r="U721" s="189"/>
      <c r="V721" s="189"/>
      <c r="W721" s="189"/>
      <c r="X721" s="189"/>
      <c r="Y721" s="189"/>
      <c r="Z721" s="189"/>
      <c r="AA721" s="189"/>
      <c r="AB721" s="189"/>
      <c r="AC721" s="189"/>
      <c r="AD721" s="189"/>
    </row>
    <row r="722" spans="1:30">
      <c r="A722" s="189"/>
      <c r="B722" s="189"/>
      <c r="C722" s="189"/>
      <c r="D722" s="189"/>
      <c r="E722" s="189"/>
      <c r="F722" s="189"/>
      <c r="G722" s="189"/>
      <c r="H722" s="189"/>
      <c r="I722" s="189"/>
      <c r="J722" s="189"/>
      <c r="K722" s="189"/>
      <c r="L722" s="189"/>
      <c r="M722" s="189"/>
      <c r="N722" s="189"/>
      <c r="O722" s="189"/>
      <c r="P722" s="189"/>
      <c r="Q722" s="189"/>
      <c r="R722" s="189"/>
      <c r="S722" s="189"/>
      <c r="T722" s="230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</row>
    <row r="723" spans="1:30">
      <c r="A723" s="189"/>
      <c r="B723" s="189"/>
      <c r="C723" s="189"/>
      <c r="D723" s="189"/>
      <c r="E723" s="189"/>
      <c r="F723" s="189"/>
      <c r="G723" s="189"/>
      <c r="H723" s="189"/>
      <c r="I723" s="189"/>
      <c r="J723" s="189"/>
      <c r="K723" s="189"/>
      <c r="L723" s="189"/>
      <c r="M723" s="189"/>
      <c r="N723" s="189"/>
      <c r="O723" s="189"/>
      <c r="P723" s="189"/>
      <c r="Q723" s="189"/>
      <c r="R723" s="189"/>
      <c r="S723" s="189"/>
      <c r="T723" s="230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</row>
    <row r="724" spans="1:30">
      <c r="A724" s="189"/>
      <c r="B724" s="189"/>
      <c r="C724" s="189"/>
      <c r="D724" s="189"/>
      <c r="E724" s="189"/>
      <c r="F724" s="189"/>
      <c r="G724" s="189"/>
      <c r="H724" s="189"/>
      <c r="I724" s="189"/>
      <c r="J724" s="189"/>
      <c r="K724" s="189"/>
      <c r="L724" s="189"/>
      <c r="M724" s="189"/>
      <c r="N724" s="189"/>
      <c r="O724" s="189"/>
      <c r="P724" s="189"/>
      <c r="Q724" s="189"/>
      <c r="R724" s="189"/>
      <c r="S724" s="189"/>
      <c r="T724" s="230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</row>
    <row r="725" spans="1:30">
      <c r="A725" s="189"/>
      <c r="B725" s="189"/>
      <c r="C725" s="189"/>
      <c r="D725" s="189"/>
      <c r="E725" s="189"/>
      <c r="F725" s="189"/>
      <c r="G725" s="189"/>
      <c r="H725" s="189"/>
      <c r="I725" s="189"/>
      <c r="J725" s="189"/>
      <c r="K725" s="189"/>
      <c r="L725" s="189"/>
      <c r="M725" s="189"/>
      <c r="N725" s="189"/>
      <c r="O725" s="189"/>
      <c r="P725" s="189"/>
      <c r="Q725" s="189"/>
      <c r="R725" s="189"/>
      <c r="S725" s="189"/>
      <c r="T725" s="230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</row>
    <row r="726" spans="1:30">
      <c r="A726" s="189"/>
      <c r="B726" s="189"/>
      <c r="C726" s="189"/>
      <c r="D726" s="189"/>
      <c r="E726" s="189"/>
      <c r="F726" s="189"/>
      <c r="G726" s="189"/>
      <c r="H726" s="189"/>
      <c r="I726" s="189"/>
      <c r="J726" s="189"/>
      <c r="K726" s="189"/>
      <c r="L726" s="189"/>
      <c r="M726" s="189"/>
      <c r="N726" s="189"/>
      <c r="O726" s="189"/>
      <c r="P726" s="189"/>
      <c r="Q726" s="189"/>
      <c r="R726" s="189"/>
      <c r="S726" s="189"/>
      <c r="T726" s="230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</row>
    <row r="727" spans="1:30">
      <c r="A727" s="189"/>
      <c r="B727" s="189"/>
      <c r="C727" s="189"/>
      <c r="D727" s="189"/>
      <c r="E727" s="189"/>
      <c r="F727" s="189"/>
      <c r="G727" s="189"/>
      <c r="H727" s="189"/>
      <c r="I727" s="189"/>
      <c r="J727" s="189"/>
      <c r="K727" s="189"/>
      <c r="L727" s="189"/>
      <c r="M727" s="189"/>
      <c r="N727" s="189"/>
      <c r="O727" s="189"/>
      <c r="P727" s="189"/>
      <c r="Q727" s="189"/>
      <c r="R727" s="189"/>
      <c r="S727" s="189"/>
      <c r="T727" s="230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</row>
    <row r="728" spans="1:30">
      <c r="A728" s="189"/>
      <c r="B728" s="189"/>
      <c r="C728" s="189"/>
      <c r="D728" s="189"/>
      <c r="E728" s="189"/>
      <c r="F728" s="189"/>
      <c r="G728" s="189"/>
      <c r="H728" s="189"/>
      <c r="I728" s="189"/>
      <c r="J728" s="189"/>
      <c r="K728" s="189"/>
      <c r="L728" s="189"/>
      <c r="M728" s="189"/>
      <c r="N728" s="189"/>
      <c r="O728" s="189"/>
      <c r="P728" s="189"/>
      <c r="Q728" s="189"/>
      <c r="R728" s="189"/>
      <c r="S728" s="189"/>
      <c r="T728" s="230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</row>
    <row r="729" spans="1:30">
      <c r="A729" s="189"/>
      <c r="B729" s="189"/>
      <c r="C729" s="189"/>
      <c r="D729" s="189"/>
      <c r="E729" s="189"/>
      <c r="F729" s="189"/>
      <c r="G729" s="189"/>
      <c r="H729" s="189"/>
      <c r="I729" s="189"/>
      <c r="J729" s="189"/>
      <c r="K729" s="189"/>
      <c r="L729" s="189"/>
      <c r="M729" s="189"/>
      <c r="N729" s="189"/>
      <c r="O729" s="189"/>
      <c r="P729" s="189"/>
      <c r="Q729" s="189"/>
      <c r="R729" s="189"/>
      <c r="S729" s="189"/>
      <c r="T729" s="230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</row>
    <row r="730" spans="1:30">
      <c r="A730" s="189"/>
      <c r="B730" s="189"/>
      <c r="C730" s="189"/>
      <c r="D730" s="189"/>
      <c r="E730" s="189"/>
      <c r="F730" s="189"/>
      <c r="G730" s="189"/>
      <c r="H730" s="189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230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</row>
    <row r="731" spans="1:30">
      <c r="A731" s="189"/>
      <c r="B731" s="189"/>
      <c r="C731" s="189"/>
      <c r="D731" s="189"/>
      <c r="E731" s="189"/>
      <c r="F731" s="189"/>
      <c r="G731" s="189"/>
      <c r="H731" s="189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230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</row>
    <row r="732" spans="1:30">
      <c r="A732" s="189"/>
      <c r="B732" s="189"/>
      <c r="C732" s="189"/>
      <c r="D732" s="189"/>
      <c r="E732" s="189"/>
      <c r="F732" s="189"/>
      <c r="G732" s="189"/>
      <c r="H732" s="189"/>
      <c r="I732" s="189"/>
      <c r="J732" s="189"/>
      <c r="K732" s="189"/>
      <c r="L732" s="189"/>
      <c r="M732" s="189"/>
      <c r="N732" s="189"/>
      <c r="O732" s="189"/>
      <c r="P732" s="189"/>
      <c r="Q732" s="189"/>
      <c r="R732" s="189"/>
      <c r="S732" s="189"/>
      <c r="T732" s="230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</row>
    <row r="733" spans="1:30">
      <c r="A733" s="189"/>
      <c r="B733" s="189"/>
      <c r="C733" s="189"/>
      <c r="D733" s="189"/>
      <c r="E733" s="189"/>
      <c r="F733" s="189"/>
      <c r="G733" s="189"/>
      <c r="H733" s="189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230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</row>
    <row r="734" spans="1:30">
      <c r="A734" s="189"/>
      <c r="B734" s="189"/>
      <c r="C734" s="189"/>
      <c r="D734" s="189"/>
      <c r="E734" s="189"/>
      <c r="F734" s="189"/>
      <c r="G734" s="189"/>
      <c r="H734" s="189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230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</row>
    <row r="735" spans="1:30">
      <c r="A735" s="189"/>
      <c r="B735" s="189"/>
      <c r="C735" s="189"/>
      <c r="D735" s="189"/>
      <c r="E735" s="189"/>
      <c r="F735" s="189"/>
      <c r="G735" s="189"/>
      <c r="H735" s="189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230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</row>
    <row r="736" spans="1:30">
      <c r="A736" s="189"/>
      <c r="B736" s="189"/>
      <c r="C736" s="189"/>
      <c r="D736" s="189"/>
      <c r="E736" s="189"/>
      <c r="F736" s="189"/>
      <c r="G736" s="189"/>
      <c r="H736" s="189"/>
      <c r="I736" s="189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230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</row>
    <row r="737" spans="1:30">
      <c r="A737" s="189"/>
      <c r="B737" s="189"/>
      <c r="C737" s="189"/>
      <c r="D737" s="189"/>
      <c r="E737" s="189"/>
      <c r="F737" s="189"/>
      <c r="G737" s="189"/>
      <c r="H737" s="189"/>
      <c r="I737" s="189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230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</row>
    <row r="738" spans="1:30">
      <c r="A738" s="189"/>
      <c r="B738" s="189"/>
      <c r="C738" s="189"/>
      <c r="D738" s="189"/>
      <c r="E738" s="189"/>
      <c r="F738" s="189"/>
      <c r="G738" s="189"/>
      <c r="H738" s="189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230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</row>
    <row r="739" spans="1:30">
      <c r="A739" s="189"/>
      <c r="B739" s="189"/>
      <c r="C739" s="189"/>
      <c r="D739" s="189"/>
      <c r="E739" s="189"/>
      <c r="F739" s="189"/>
      <c r="G739" s="189"/>
      <c r="H739" s="189"/>
      <c r="I739" s="189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230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</row>
    <row r="740" spans="1:30">
      <c r="A740" s="189"/>
      <c r="B740" s="189"/>
      <c r="C740" s="189"/>
      <c r="D740" s="189"/>
      <c r="E740" s="189"/>
      <c r="F740" s="189"/>
      <c r="G740" s="189"/>
      <c r="H740" s="189"/>
      <c r="I740" s="189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230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</row>
    <row r="741" spans="1:30">
      <c r="A741" s="189"/>
      <c r="B741" s="189"/>
      <c r="C741" s="189"/>
      <c r="D741" s="189"/>
      <c r="E741" s="189"/>
      <c r="F741" s="189"/>
      <c r="G741" s="189"/>
      <c r="H741" s="189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230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</row>
    <row r="742" spans="1:30">
      <c r="A742" s="189"/>
      <c r="B742" s="189"/>
      <c r="C742" s="189"/>
      <c r="D742" s="189"/>
      <c r="E742" s="189"/>
      <c r="F742" s="189"/>
      <c r="G742" s="189"/>
      <c r="H742" s="189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230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</row>
    <row r="743" spans="1:30">
      <c r="A743" s="189"/>
      <c r="B743" s="189"/>
      <c r="C743" s="189"/>
      <c r="D743" s="189"/>
      <c r="E743" s="189"/>
      <c r="F743" s="189"/>
      <c r="G743" s="189"/>
      <c r="H743" s="189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230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</row>
    <row r="744" spans="1:30">
      <c r="A744" s="189"/>
      <c r="B744" s="189"/>
      <c r="C744" s="189"/>
      <c r="D744" s="189"/>
      <c r="E744" s="189"/>
      <c r="F744" s="189"/>
      <c r="G744" s="189"/>
      <c r="H744" s="189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230"/>
      <c r="U744" s="189"/>
      <c r="V744" s="189"/>
      <c r="W744" s="189"/>
      <c r="X744" s="189"/>
      <c r="Y744" s="189"/>
      <c r="Z744" s="189"/>
      <c r="AA744" s="189"/>
      <c r="AB744" s="189"/>
      <c r="AC744" s="189"/>
      <c r="AD744" s="189"/>
    </row>
    <row r="745" spans="1:30">
      <c r="A745" s="189"/>
      <c r="B745" s="189"/>
      <c r="C745" s="189"/>
      <c r="D745" s="189"/>
      <c r="E745" s="189"/>
      <c r="F745" s="189"/>
      <c r="G745" s="189"/>
      <c r="H745" s="189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230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</row>
    <row r="746" spans="1:30">
      <c r="A746" s="189"/>
      <c r="B746" s="189"/>
      <c r="C746" s="189"/>
      <c r="D746" s="189"/>
      <c r="E746" s="189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230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</row>
    <row r="747" spans="1:30">
      <c r="A747" s="189"/>
      <c r="B747" s="189"/>
      <c r="C747" s="189"/>
      <c r="D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230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</row>
    <row r="748" spans="1:30">
      <c r="A748" s="189"/>
      <c r="B748" s="189"/>
      <c r="C748" s="189"/>
      <c r="D748" s="189"/>
      <c r="E748" s="189"/>
      <c r="F748" s="189"/>
      <c r="G748" s="189"/>
      <c r="H748" s="189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230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</row>
    <row r="749" spans="1:30">
      <c r="A749" s="189"/>
      <c r="B749" s="189"/>
      <c r="C749" s="189"/>
      <c r="D749" s="189"/>
      <c r="E749" s="189"/>
      <c r="F749" s="189"/>
      <c r="G749" s="189"/>
      <c r="H749" s="189"/>
      <c r="I749" s="189"/>
      <c r="J749" s="189"/>
      <c r="K749" s="189"/>
      <c r="L749" s="189"/>
      <c r="M749" s="189"/>
      <c r="N749" s="189"/>
      <c r="O749" s="189"/>
      <c r="P749" s="189"/>
      <c r="Q749" s="189"/>
      <c r="R749" s="189"/>
      <c r="S749" s="189"/>
      <c r="T749" s="230"/>
      <c r="U749" s="189"/>
      <c r="V749" s="189"/>
      <c r="W749" s="189"/>
      <c r="X749" s="189"/>
      <c r="Y749" s="189"/>
      <c r="Z749" s="189"/>
      <c r="AA749" s="189"/>
      <c r="AB749" s="189"/>
      <c r="AC749" s="189"/>
      <c r="AD749" s="189"/>
    </row>
    <row r="750" spans="1:30">
      <c r="A750" s="189"/>
      <c r="B750" s="189"/>
      <c r="C750" s="189"/>
      <c r="D750" s="189"/>
      <c r="E750" s="189"/>
      <c r="F750" s="189"/>
      <c r="G750" s="189"/>
      <c r="H750" s="189"/>
      <c r="I750" s="189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230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</row>
    <row r="751" spans="1:30">
      <c r="A751" s="189"/>
      <c r="B751" s="189"/>
      <c r="C751" s="189"/>
      <c r="D751" s="189"/>
      <c r="E751" s="189"/>
      <c r="F751" s="189"/>
      <c r="G751" s="189"/>
      <c r="H751" s="189"/>
      <c r="I751" s="189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230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</row>
    <row r="752" spans="1:30">
      <c r="A752" s="189"/>
      <c r="B752" s="189"/>
      <c r="C752" s="189"/>
      <c r="D752" s="189"/>
      <c r="E752" s="189"/>
      <c r="F752" s="189"/>
      <c r="G752" s="189"/>
      <c r="H752" s="189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230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</row>
    <row r="753" spans="1:30">
      <c r="A753" s="189"/>
      <c r="B753" s="189"/>
      <c r="C753" s="189"/>
      <c r="D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230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</row>
    <row r="754" spans="1:30">
      <c r="A754" s="189"/>
      <c r="B754" s="189"/>
      <c r="C754" s="189"/>
      <c r="D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230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</row>
    <row r="755" spans="1:30">
      <c r="A755" s="189"/>
      <c r="B755" s="189"/>
      <c r="C755" s="189"/>
      <c r="D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230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</row>
    <row r="756" spans="1:30">
      <c r="A756" s="189"/>
      <c r="B756" s="189"/>
      <c r="C756" s="189"/>
      <c r="D756" s="189"/>
      <c r="E756" s="189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230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</row>
    <row r="757" spans="1:30">
      <c r="A757" s="189"/>
      <c r="B757" s="189"/>
      <c r="C757" s="189"/>
      <c r="D757" s="189"/>
      <c r="E757" s="189"/>
      <c r="F757" s="189"/>
      <c r="G757" s="189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230"/>
      <c r="U757" s="189"/>
      <c r="V757" s="189"/>
      <c r="W757" s="189"/>
      <c r="X757" s="189"/>
      <c r="Y757" s="189"/>
      <c r="Z757" s="189"/>
      <c r="AA757" s="189"/>
      <c r="AB757" s="189"/>
      <c r="AC757" s="189"/>
      <c r="AD757" s="189"/>
    </row>
    <row r="758" spans="1:30">
      <c r="A758" s="189"/>
      <c r="B758" s="189"/>
      <c r="C758" s="189"/>
      <c r="D758" s="189"/>
      <c r="E758" s="189"/>
      <c r="F758" s="189"/>
      <c r="G758" s="189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230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</row>
    <row r="759" spans="1:30">
      <c r="A759" s="189"/>
      <c r="B759" s="189"/>
      <c r="C759" s="189"/>
      <c r="D759" s="189"/>
      <c r="E759" s="189"/>
      <c r="F759" s="189"/>
      <c r="G759" s="189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230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</row>
    <row r="760" spans="1:30">
      <c r="A760" s="189"/>
      <c r="B760" s="189"/>
      <c r="C760" s="189"/>
      <c r="D760" s="189"/>
      <c r="E760" s="189"/>
      <c r="F760" s="189"/>
      <c r="G760" s="189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230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</row>
    <row r="761" spans="1:30">
      <c r="A761" s="189"/>
      <c r="B761" s="189"/>
      <c r="C761" s="189"/>
      <c r="D761" s="189"/>
      <c r="E761" s="189"/>
      <c r="F761" s="189"/>
      <c r="G761" s="189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230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</row>
    <row r="762" spans="1:30">
      <c r="A762" s="189"/>
      <c r="B762" s="189"/>
      <c r="C762" s="189"/>
      <c r="D762" s="189"/>
      <c r="E762" s="189"/>
      <c r="F762" s="189"/>
      <c r="G762" s="189"/>
      <c r="H762" s="189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230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</row>
    <row r="763" spans="1:30">
      <c r="A763" s="189"/>
      <c r="B763" s="189"/>
      <c r="C763" s="189"/>
      <c r="D763" s="189"/>
      <c r="E763" s="189"/>
      <c r="F763" s="189"/>
      <c r="G763" s="189"/>
      <c r="H763" s="189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230"/>
      <c r="U763" s="189"/>
      <c r="V763" s="189"/>
      <c r="W763" s="189"/>
      <c r="X763" s="189"/>
      <c r="Y763" s="189"/>
      <c r="Z763" s="189"/>
      <c r="AA763" s="189"/>
      <c r="AB763" s="189"/>
      <c r="AC763" s="189"/>
      <c r="AD763" s="189"/>
    </row>
    <row r="764" spans="1:30">
      <c r="A764" s="189"/>
      <c r="B764" s="189"/>
      <c r="C764" s="189"/>
      <c r="D764" s="189"/>
      <c r="E764" s="189"/>
      <c r="F764" s="189"/>
      <c r="G764" s="189"/>
      <c r="H764" s="189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230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</row>
    <row r="765" spans="1:30">
      <c r="A765" s="189"/>
      <c r="B765" s="189"/>
      <c r="C765" s="189"/>
      <c r="D765" s="189"/>
      <c r="E765" s="189"/>
      <c r="F765" s="189"/>
      <c r="G765" s="189"/>
      <c r="H765" s="189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230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</row>
    <row r="766" spans="1:30">
      <c r="A766" s="189"/>
      <c r="B766" s="189"/>
      <c r="C766" s="189"/>
      <c r="D766" s="189"/>
      <c r="E766" s="189"/>
      <c r="F766" s="189"/>
      <c r="G766" s="189"/>
      <c r="H766" s="189"/>
      <c r="I766" s="189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230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</row>
    <row r="767" spans="1:30">
      <c r="A767" s="189"/>
      <c r="B767" s="189"/>
      <c r="C767" s="189"/>
      <c r="D767" s="189"/>
      <c r="E767" s="189"/>
      <c r="F767" s="189"/>
      <c r="G767" s="189"/>
      <c r="H767" s="189"/>
      <c r="I767" s="189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230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</row>
    <row r="768" spans="1:30">
      <c r="A768" s="189"/>
      <c r="B768" s="189"/>
      <c r="C768" s="189"/>
      <c r="D768" s="189"/>
      <c r="E768" s="189"/>
      <c r="F768" s="189"/>
      <c r="G768" s="189"/>
      <c r="H768" s="189"/>
      <c r="I768" s="189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230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</row>
    <row r="769" spans="1:30">
      <c r="A769" s="189"/>
      <c r="B769" s="189"/>
      <c r="C769" s="189"/>
      <c r="D769" s="189"/>
      <c r="E769" s="189"/>
      <c r="F769" s="189"/>
      <c r="G769" s="189"/>
      <c r="H769" s="189"/>
      <c r="I769" s="189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230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</row>
    <row r="770" spans="1:30">
      <c r="A770" s="189"/>
      <c r="B770" s="189"/>
      <c r="C770" s="189"/>
      <c r="D770" s="189"/>
      <c r="E770" s="189"/>
      <c r="F770" s="189"/>
      <c r="G770" s="189"/>
      <c r="H770" s="189"/>
      <c r="I770" s="189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230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</row>
    <row r="771" spans="1:30">
      <c r="A771" s="189"/>
      <c r="B771" s="189"/>
      <c r="C771" s="189"/>
      <c r="D771" s="189"/>
      <c r="E771" s="189"/>
      <c r="F771" s="189"/>
      <c r="G771" s="189"/>
      <c r="H771" s="189"/>
      <c r="I771" s="189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230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</row>
    <row r="772" spans="1:30">
      <c r="A772" s="189"/>
      <c r="B772" s="189"/>
      <c r="C772" s="189"/>
      <c r="D772" s="189"/>
      <c r="E772" s="189"/>
      <c r="F772" s="189"/>
      <c r="G772" s="189"/>
      <c r="H772" s="189"/>
      <c r="I772" s="189"/>
      <c r="J772" s="189"/>
      <c r="K772" s="189"/>
      <c r="L772" s="189"/>
      <c r="M772" s="189"/>
      <c r="N772" s="189"/>
      <c r="O772" s="189"/>
      <c r="P772" s="189"/>
      <c r="Q772" s="189"/>
      <c r="R772" s="189"/>
      <c r="S772" s="189"/>
      <c r="T772" s="230"/>
      <c r="U772" s="189"/>
      <c r="V772" s="189"/>
      <c r="W772" s="189"/>
      <c r="X772" s="189"/>
      <c r="Y772" s="189"/>
      <c r="Z772" s="189"/>
      <c r="AA772" s="189"/>
      <c r="AB772" s="189"/>
      <c r="AC772" s="189"/>
      <c r="AD772" s="189"/>
    </row>
    <row r="773" spans="1:30">
      <c r="A773" s="189"/>
      <c r="B773" s="189"/>
      <c r="C773" s="189"/>
      <c r="D773" s="189"/>
      <c r="E773" s="189"/>
      <c r="F773" s="189"/>
      <c r="G773" s="189"/>
      <c r="H773" s="189"/>
      <c r="I773" s="189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230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</row>
    <row r="774" spans="1:30">
      <c r="A774" s="189"/>
      <c r="B774" s="189"/>
      <c r="C774" s="189"/>
      <c r="D774" s="189"/>
      <c r="E774" s="189"/>
      <c r="F774" s="189"/>
      <c r="G774" s="189"/>
      <c r="H774" s="189"/>
      <c r="I774" s="189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230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</row>
    <row r="775" spans="1:30">
      <c r="A775" s="189"/>
      <c r="B775" s="189"/>
      <c r="C775" s="189"/>
      <c r="D775" s="189"/>
      <c r="E775" s="189"/>
      <c r="F775" s="189"/>
      <c r="G775" s="189"/>
      <c r="H775" s="189"/>
      <c r="I775" s="189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230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</row>
    <row r="776" spans="1:30">
      <c r="A776" s="189"/>
      <c r="B776" s="189"/>
      <c r="C776" s="189"/>
      <c r="D776" s="189"/>
      <c r="E776" s="189"/>
      <c r="F776" s="189"/>
      <c r="G776" s="189"/>
      <c r="H776" s="189"/>
      <c r="I776" s="189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230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</row>
    <row r="777" spans="1:30">
      <c r="A777" s="189"/>
      <c r="B777" s="189"/>
      <c r="C777" s="189"/>
      <c r="D777" s="189"/>
      <c r="E777" s="189"/>
      <c r="F777" s="189"/>
      <c r="G777" s="189"/>
      <c r="H777" s="189"/>
      <c r="I777" s="189"/>
      <c r="J777" s="189"/>
      <c r="K777" s="189"/>
      <c r="L777" s="189"/>
      <c r="M777" s="189"/>
      <c r="N777" s="189"/>
      <c r="O777" s="189"/>
      <c r="P777" s="189"/>
      <c r="Q777" s="189"/>
      <c r="R777" s="189"/>
      <c r="S777" s="189"/>
      <c r="T777" s="230"/>
      <c r="U777" s="189"/>
      <c r="V777" s="189"/>
      <c r="W777" s="189"/>
      <c r="X777" s="189"/>
      <c r="Y777" s="189"/>
      <c r="Z777" s="189"/>
      <c r="AA777" s="189"/>
      <c r="AB777" s="189"/>
      <c r="AC777" s="189"/>
      <c r="AD777" s="189"/>
    </row>
    <row r="778" spans="1:30">
      <c r="A778" s="189"/>
      <c r="B778" s="189"/>
      <c r="C778" s="189"/>
      <c r="D778" s="189"/>
      <c r="E778" s="189"/>
      <c r="F778" s="189"/>
      <c r="G778" s="189"/>
      <c r="H778" s="189"/>
      <c r="I778" s="189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230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</row>
    <row r="779" spans="1:30">
      <c r="A779" s="189"/>
      <c r="B779" s="189"/>
      <c r="C779" s="189"/>
      <c r="D779" s="189"/>
      <c r="E779" s="189"/>
      <c r="F779" s="189"/>
      <c r="G779" s="189"/>
      <c r="H779" s="189"/>
      <c r="I779" s="189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230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</row>
    <row r="780" spans="1:30">
      <c r="A780" s="189"/>
      <c r="B780" s="189"/>
      <c r="C780" s="189"/>
      <c r="D780" s="189"/>
      <c r="E780" s="189"/>
      <c r="F780" s="189"/>
      <c r="G780" s="189"/>
      <c r="H780" s="189"/>
      <c r="I780" s="189"/>
      <c r="J780" s="189"/>
      <c r="K780" s="189"/>
      <c r="L780" s="189"/>
      <c r="M780" s="189"/>
      <c r="N780" s="189"/>
      <c r="O780" s="189"/>
      <c r="P780" s="189"/>
      <c r="Q780" s="189"/>
      <c r="R780" s="189"/>
      <c r="S780" s="189"/>
      <c r="T780" s="230"/>
      <c r="U780" s="189"/>
      <c r="V780" s="189"/>
      <c r="W780" s="189"/>
      <c r="X780" s="189"/>
      <c r="Y780" s="189"/>
      <c r="Z780" s="189"/>
      <c r="AA780" s="189"/>
      <c r="AB780" s="189"/>
      <c r="AC780" s="189"/>
      <c r="AD780" s="189"/>
    </row>
    <row r="781" spans="1:30">
      <c r="A781" s="189"/>
      <c r="B781" s="189"/>
      <c r="C781" s="189"/>
      <c r="D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230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</row>
    <row r="782" spans="1:30">
      <c r="A782" s="189"/>
      <c r="B782" s="189"/>
      <c r="C782" s="189"/>
      <c r="D782" s="189"/>
      <c r="E782" s="189"/>
      <c r="F782" s="189"/>
      <c r="G782" s="189"/>
      <c r="H782" s="189"/>
      <c r="I782" s="189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230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</row>
    <row r="783" spans="1:30">
      <c r="A783" s="189"/>
      <c r="B783" s="189"/>
      <c r="C783" s="189"/>
      <c r="D783" s="189"/>
      <c r="E783" s="189"/>
      <c r="F783" s="189"/>
      <c r="G783" s="189"/>
      <c r="H783" s="189"/>
      <c r="I783" s="189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230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</row>
    <row r="784" spans="1:30">
      <c r="A784" s="189"/>
      <c r="B784" s="189"/>
      <c r="C784" s="189"/>
      <c r="D784" s="189"/>
      <c r="E784" s="189"/>
      <c r="F784" s="189"/>
      <c r="G784" s="189"/>
      <c r="H784" s="189"/>
      <c r="I784" s="189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230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</row>
    <row r="785" spans="1:30">
      <c r="A785" s="189"/>
      <c r="B785" s="189"/>
      <c r="C785" s="189"/>
      <c r="D785" s="189"/>
      <c r="E785" s="189"/>
      <c r="F785" s="189"/>
      <c r="G785" s="189"/>
      <c r="H785" s="189"/>
      <c r="I785" s="189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230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</row>
    <row r="786" spans="1:30">
      <c r="A786" s="189"/>
      <c r="B786" s="189"/>
      <c r="C786" s="189"/>
      <c r="D786" s="189"/>
      <c r="E786" s="189"/>
      <c r="F786" s="189"/>
      <c r="G786" s="189"/>
      <c r="H786" s="189"/>
      <c r="I786" s="189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230"/>
      <c r="U786" s="189"/>
      <c r="V786" s="189"/>
      <c r="W786" s="189"/>
      <c r="X786" s="189"/>
      <c r="Y786" s="189"/>
      <c r="Z786" s="189"/>
      <c r="AA786" s="189"/>
      <c r="AB786" s="189"/>
      <c r="AC786" s="189"/>
      <c r="AD786" s="189"/>
    </row>
    <row r="787" spans="1:30">
      <c r="A787" s="189"/>
      <c r="B787" s="189"/>
      <c r="C787" s="189"/>
      <c r="D787" s="189"/>
      <c r="E787" s="189"/>
      <c r="F787" s="189"/>
      <c r="G787" s="189"/>
      <c r="H787" s="189"/>
      <c r="I787" s="189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230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</row>
    <row r="788" spans="1:30">
      <c r="A788" s="189"/>
      <c r="B788" s="189"/>
      <c r="C788" s="189"/>
      <c r="D788" s="189"/>
      <c r="E788" s="189"/>
      <c r="F788" s="189"/>
      <c r="G788" s="189"/>
      <c r="H788" s="189"/>
      <c r="I788" s="189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230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</row>
    <row r="789" spans="1:30">
      <c r="A789" s="189"/>
      <c r="B789" s="189"/>
      <c r="C789" s="189"/>
      <c r="D789" s="189"/>
      <c r="E789" s="189"/>
      <c r="F789" s="189"/>
      <c r="G789" s="189"/>
      <c r="H789" s="189"/>
      <c r="I789" s="189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230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</row>
    <row r="790" spans="1:30">
      <c r="A790" s="189"/>
      <c r="B790" s="189"/>
      <c r="C790" s="189"/>
      <c r="D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230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</row>
    <row r="791" spans="1:30">
      <c r="A791" s="189"/>
      <c r="B791" s="189"/>
      <c r="C791" s="189"/>
      <c r="D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230"/>
      <c r="U791" s="189"/>
      <c r="V791" s="189"/>
      <c r="W791" s="189"/>
      <c r="X791" s="189"/>
      <c r="Y791" s="189"/>
      <c r="Z791" s="189"/>
      <c r="AA791" s="189"/>
      <c r="AB791" s="189"/>
      <c r="AC791" s="189"/>
      <c r="AD791" s="189"/>
    </row>
    <row r="792" spans="1:30">
      <c r="A792" s="189"/>
      <c r="B792" s="189"/>
      <c r="C792" s="189"/>
      <c r="D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230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</row>
    <row r="793" spans="1:30">
      <c r="A793" s="189"/>
      <c r="B793" s="189"/>
      <c r="C793" s="189"/>
      <c r="D793" s="189"/>
      <c r="E793" s="189"/>
      <c r="F793" s="189"/>
      <c r="G793" s="189"/>
      <c r="H793" s="189"/>
      <c r="I793" s="189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230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</row>
    <row r="794" spans="1:30">
      <c r="A794" s="189"/>
      <c r="B794" s="189"/>
      <c r="C794" s="189"/>
      <c r="D794" s="189"/>
      <c r="E794" s="189"/>
      <c r="F794" s="189"/>
      <c r="G794" s="189"/>
      <c r="H794" s="189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230"/>
      <c r="U794" s="189"/>
      <c r="V794" s="189"/>
      <c r="W794" s="189"/>
      <c r="X794" s="189"/>
      <c r="Y794" s="189"/>
      <c r="Z794" s="189"/>
      <c r="AA794" s="189"/>
      <c r="AB794" s="189"/>
      <c r="AC794" s="189"/>
      <c r="AD794" s="189"/>
    </row>
    <row r="795" spans="1:30">
      <c r="A795" s="189"/>
      <c r="B795" s="189"/>
      <c r="C795" s="189"/>
      <c r="D795" s="189"/>
      <c r="E795" s="189"/>
      <c r="F795" s="189"/>
      <c r="G795" s="189"/>
      <c r="H795" s="189"/>
      <c r="I795" s="189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230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</row>
    <row r="796" spans="1:30">
      <c r="A796" s="189"/>
      <c r="B796" s="189"/>
      <c r="C796" s="189"/>
      <c r="D796" s="189"/>
      <c r="E796" s="189"/>
      <c r="F796" s="189"/>
      <c r="G796" s="189"/>
      <c r="H796" s="189"/>
      <c r="I796" s="189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230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</row>
    <row r="797" spans="1:30">
      <c r="A797" s="189"/>
      <c r="B797" s="189"/>
      <c r="C797" s="189"/>
      <c r="D797" s="189"/>
      <c r="E797" s="189"/>
      <c r="F797" s="189"/>
      <c r="G797" s="189"/>
      <c r="H797" s="189"/>
      <c r="I797" s="189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230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</row>
    <row r="798" spans="1:30">
      <c r="A798" s="189"/>
      <c r="B798" s="189"/>
      <c r="C798" s="189"/>
      <c r="D798" s="189"/>
      <c r="E798" s="189"/>
      <c r="F798" s="189"/>
      <c r="G798" s="189"/>
      <c r="H798" s="189"/>
      <c r="I798" s="189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230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</row>
    <row r="799" spans="1:30">
      <c r="A799" s="189"/>
      <c r="B799" s="189"/>
      <c r="C799" s="189"/>
      <c r="D799" s="189"/>
      <c r="E799" s="189"/>
      <c r="F799" s="189"/>
      <c r="G799" s="189"/>
      <c r="H799" s="189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230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</row>
    <row r="800" spans="1:30">
      <c r="A800" s="189"/>
      <c r="B800" s="189"/>
      <c r="C800" s="189"/>
      <c r="D800" s="189"/>
      <c r="E800" s="189"/>
      <c r="F800" s="189"/>
      <c r="G800" s="189"/>
      <c r="H800" s="189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230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</row>
    <row r="801" spans="1:30">
      <c r="A801" s="189"/>
      <c r="B801" s="189"/>
      <c r="C801" s="189"/>
      <c r="D801" s="189"/>
      <c r="E801" s="189"/>
      <c r="F801" s="189"/>
      <c r="G801" s="189"/>
      <c r="H801" s="189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230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</row>
    <row r="802" spans="1:30">
      <c r="A802" s="189"/>
      <c r="B802" s="189"/>
      <c r="C802" s="189"/>
      <c r="D802" s="189"/>
      <c r="E802" s="189"/>
      <c r="F802" s="189"/>
      <c r="G802" s="189"/>
      <c r="H802" s="189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230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</row>
    <row r="803" spans="1:30">
      <c r="A803" s="189"/>
      <c r="B803" s="189"/>
      <c r="C803" s="189"/>
      <c r="D803" s="189"/>
      <c r="E803" s="189"/>
      <c r="F803" s="189"/>
      <c r="G803" s="189"/>
      <c r="H803" s="189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230"/>
      <c r="U803" s="189"/>
      <c r="V803" s="189"/>
      <c r="W803" s="189"/>
      <c r="X803" s="189"/>
      <c r="Y803" s="189"/>
      <c r="Z803" s="189"/>
      <c r="AA803" s="189"/>
      <c r="AB803" s="189"/>
      <c r="AC803" s="189"/>
      <c r="AD803" s="189"/>
    </row>
    <row r="804" spans="1:30">
      <c r="A804" s="189"/>
      <c r="B804" s="189"/>
      <c r="C804" s="189"/>
      <c r="D804" s="189"/>
      <c r="E804" s="189"/>
      <c r="F804" s="189"/>
      <c r="G804" s="189"/>
      <c r="H804" s="189"/>
      <c r="I804" s="189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230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</row>
    <row r="805" spans="1:30">
      <c r="A805" s="189"/>
      <c r="B805" s="189"/>
      <c r="C805" s="189"/>
      <c r="D805" s="189"/>
      <c r="E805" s="189"/>
      <c r="F805" s="189"/>
      <c r="G805" s="189"/>
      <c r="H805" s="189"/>
      <c r="I805" s="189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230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</row>
    <row r="806" spans="1:30">
      <c r="A806" s="189"/>
      <c r="B806" s="189"/>
      <c r="C806" s="189"/>
      <c r="D806" s="189"/>
      <c r="E806" s="189"/>
      <c r="F806" s="189"/>
      <c r="G806" s="189"/>
      <c r="H806" s="189"/>
      <c r="I806" s="189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230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</row>
    <row r="807" spans="1:30">
      <c r="A807" s="189"/>
      <c r="B807" s="189"/>
      <c r="C807" s="189"/>
      <c r="D807" s="189"/>
      <c r="E807" s="189"/>
      <c r="F807" s="189"/>
      <c r="G807" s="189"/>
      <c r="H807" s="189"/>
      <c r="I807" s="189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230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</row>
    <row r="808" spans="1:30">
      <c r="A808" s="189"/>
      <c r="B808" s="189"/>
      <c r="C808" s="189"/>
      <c r="D808" s="189"/>
      <c r="E808" s="189"/>
      <c r="F808" s="189"/>
      <c r="G808" s="189"/>
      <c r="H808" s="189"/>
      <c r="I808" s="189"/>
      <c r="J808" s="189"/>
      <c r="K808" s="189"/>
      <c r="L808" s="189"/>
      <c r="M808" s="189"/>
      <c r="N808" s="189"/>
      <c r="O808" s="189"/>
      <c r="P808" s="189"/>
      <c r="Q808" s="189"/>
      <c r="R808" s="189"/>
      <c r="S808" s="189"/>
      <c r="T808" s="230"/>
      <c r="U808" s="189"/>
      <c r="V808" s="189"/>
      <c r="W808" s="189"/>
      <c r="X808" s="189"/>
      <c r="Y808" s="189"/>
      <c r="Z808" s="189"/>
      <c r="AA808" s="189"/>
      <c r="AB808" s="189"/>
      <c r="AC808" s="189"/>
      <c r="AD808" s="189"/>
    </row>
    <row r="809" spans="1:30">
      <c r="A809" s="189"/>
      <c r="B809" s="189"/>
      <c r="C809" s="189"/>
      <c r="D809" s="189"/>
      <c r="E809" s="189"/>
      <c r="F809" s="189"/>
      <c r="G809" s="189"/>
      <c r="H809" s="189"/>
      <c r="I809" s="189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230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</row>
    <row r="810" spans="1:30">
      <c r="A810" s="189"/>
      <c r="B810" s="189"/>
      <c r="C810" s="189"/>
      <c r="D810" s="189"/>
      <c r="E810" s="189"/>
      <c r="F810" s="189"/>
      <c r="G810" s="189"/>
      <c r="H810" s="189"/>
      <c r="I810" s="189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230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</row>
    <row r="811" spans="1:30">
      <c r="A811" s="189"/>
      <c r="B811" s="189"/>
      <c r="C811" s="189"/>
      <c r="D811" s="189"/>
      <c r="E811" s="189"/>
      <c r="F811" s="189"/>
      <c r="G811" s="189"/>
      <c r="H811" s="189"/>
      <c r="I811" s="189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230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</row>
    <row r="812" spans="1:30">
      <c r="A812" s="189"/>
      <c r="B812" s="189"/>
      <c r="C812" s="189"/>
      <c r="D812" s="189"/>
      <c r="E812" s="189"/>
      <c r="F812" s="189"/>
      <c r="G812" s="189"/>
      <c r="H812" s="189"/>
      <c r="I812" s="189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230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</row>
    <row r="813" spans="1:30">
      <c r="A813" s="189"/>
      <c r="B813" s="189"/>
      <c r="C813" s="189"/>
      <c r="D813" s="189"/>
      <c r="E813" s="189"/>
      <c r="F813" s="189"/>
      <c r="G813" s="189"/>
      <c r="H813" s="189"/>
      <c r="I813" s="189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230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</row>
    <row r="814" spans="1:30">
      <c r="A814" s="189"/>
      <c r="B814" s="189"/>
      <c r="C814" s="189"/>
      <c r="D814" s="189"/>
      <c r="E814" s="189"/>
      <c r="F814" s="189"/>
      <c r="G814" s="189"/>
      <c r="H814" s="189"/>
      <c r="I814" s="189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230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</row>
    <row r="815" spans="1:30">
      <c r="A815" s="189"/>
      <c r="B815" s="189"/>
      <c r="C815" s="189"/>
      <c r="D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230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</row>
    <row r="816" spans="1:30">
      <c r="A816" s="189"/>
      <c r="B816" s="189"/>
      <c r="C816" s="189"/>
      <c r="D816" s="189"/>
      <c r="E816" s="189"/>
      <c r="F816" s="189"/>
      <c r="G816" s="189"/>
      <c r="H816" s="189"/>
      <c r="I816" s="189"/>
      <c r="J816" s="189"/>
      <c r="K816" s="189"/>
      <c r="L816" s="189"/>
      <c r="M816" s="189"/>
      <c r="N816" s="189"/>
      <c r="O816" s="189"/>
      <c r="P816" s="189"/>
      <c r="Q816" s="189"/>
      <c r="R816" s="189"/>
      <c r="S816" s="189"/>
      <c r="T816" s="230"/>
      <c r="U816" s="189"/>
      <c r="V816" s="189"/>
      <c r="W816" s="189"/>
      <c r="X816" s="189"/>
      <c r="Y816" s="189"/>
      <c r="Z816" s="189"/>
      <c r="AA816" s="189"/>
      <c r="AB816" s="189"/>
      <c r="AC816" s="189"/>
      <c r="AD816" s="189"/>
    </row>
    <row r="817" spans="1:30">
      <c r="A817" s="189"/>
      <c r="B817" s="189"/>
      <c r="C817" s="189"/>
      <c r="D817" s="189"/>
      <c r="E817" s="189"/>
      <c r="F817" s="189"/>
      <c r="G817" s="189"/>
      <c r="H817" s="189"/>
      <c r="I817" s="189"/>
      <c r="J817" s="189"/>
      <c r="K817" s="189"/>
      <c r="L817" s="189"/>
      <c r="M817" s="189"/>
      <c r="N817" s="189"/>
      <c r="O817" s="189"/>
      <c r="P817" s="189"/>
      <c r="Q817" s="189"/>
      <c r="R817" s="189"/>
      <c r="S817" s="189"/>
      <c r="T817" s="230"/>
      <c r="U817" s="189"/>
      <c r="V817" s="189"/>
      <c r="W817" s="189"/>
      <c r="X817" s="189"/>
      <c r="Y817" s="189"/>
      <c r="Z817" s="189"/>
      <c r="AA817" s="189"/>
      <c r="AB817" s="189"/>
      <c r="AC817" s="189"/>
      <c r="AD817" s="189"/>
    </row>
    <row r="818" spans="1:30">
      <c r="A818" s="189"/>
      <c r="B818" s="189"/>
      <c r="C818" s="189"/>
      <c r="D818" s="189"/>
      <c r="E818" s="189"/>
      <c r="F818" s="189"/>
      <c r="G818" s="189"/>
      <c r="H818" s="189"/>
      <c r="I818" s="189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230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</row>
    <row r="819" spans="1:30">
      <c r="A819" s="189"/>
      <c r="B819" s="189"/>
      <c r="C819" s="189"/>
      <c r="D819" s="189"/>
      <c r="E819" s="189"/>
      <c r="F819" s="189"/>
      <c r="G819" s="189"/>
      <c r="H819" s="189"/>
      <c r="I819" s="189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230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</row>
    <row r="820" spans="1:30">
      <c r="A820" s="189"/>
      <c r="B820" s="189"/>
      <c r="C820" s="189"/>
      <c r="D820" s="189"/>
      <c r="E820" s="189"/>
      <c r="F820" s="189"/>
      <c r="G820" s="189"/>
      <c r="H820" s="189"/>
      <c r="I820" s="189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230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</row>
    <row r="821" spans="1:30">
      <c r="A821" s="189"/>
      <c r="B821" s="189"/>
      <c r="C821" s="189"/>
      <c r="D821" s="189"/>
      <c r="E821" s="189"/>
      <c r="F821" s="189"/>
      <c r="G821" s="189"/>
      <c r="H821" s="189"/>
      <c r="I821" s="189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230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</row>
    <row r="822" spans="1:30">
      <c r="A822" s="189"/>
      <c r="B822" s="189"/>
      <c r="C822" s="189"/>
      <c r="D822" s="189"/>
      <c r="E822" s="189"/>
      <c r="F822" s="189"/>
      <c r="G822" s="189"/>
      <c r="H822" s="189"/>
      <c r="I822" s="189"/>
      <c r="J822" s="189"/>
      <c r="K822" s="189"/>
      <c r="L822" s="189"/>
      <c r="M822" s="189"/>
      <c r="N822" s="189"/>
      <c r="O822" s="189"/>
      <c r="P822" s="189"/>
      <c r="Q822" s="189"/>
      <c r="R822" s="189"/>
      <c r="S822" s="189"/>
      <c r="T822" s="230"/>
      <c r="U822" s="189"/>
      <c r="V822" s="189"/>
      <c r="W822" s="189"/>
      <c r="X822" s="189"/>
      <c r="Y822" s="189"/>
      <c r="Z822" s="189"/>
      <c r="AA822" s="189"/>
      <c r="AB822" s="189"/>
      <c r="AC822" s="189"/>
      <c r="AD822" s="189"/>
    </row>
    <row r="823" spans="1:30">
      <c r="A823" s="189"/>
      <c r="B823" s="189"/>
      <c r="C823" s="189"/>
      <c r="D823" s="189"/>
      <c r="E823" s="189"/>
      <c r="F823" s="189"/>
      <c r="G823" s="189"/>
      <c r="H823" s="189"/>
      <c r="I823" s="189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230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</row>
    <row r="824" spans="1:30">
      <c r="A824" s="189"/>
      <c r="B824" s="189"/>
      <c r="C824" s="189"/>
      <c r="D824" s="189"/>
      <c r="E824" s="189"/>
      <c r="F824" s="189"/>
      <c r="G824" s="189"/>
      <c r="H824" s="189"/>
      <c r="I824" s="189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230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</row>
    <row r="825" spans="1:30">
      <c r="A825" s="189"/>
      <c r="B825" s="189"/>
      <c r="C825" s="189"/>
      <c r="D825" s="189"/>
      <c r="E825" s="189"/>
      <c r="F825" s="189"/>
      <c r="G825" s="189"/>
      <c r="H825" s="189"/>
      <c r="I825" s="189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230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</row>
    <row r="826" spans="1:30">
      <c r="A826" s="189"/>
      <c r="B826" s="189"/>
      <c r="C826" s="189"/>
      <c r="D826" s="189"/>
      <c r="E826" s="189"/>
      <c r="F826" s="189"/>
      <c r="G826" s="189"/>
      <c r="H826" s="189"/>
      <c r="I826" s="189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230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</row>
    <row r="827" spans="1:30">
      <c r="A827" s="189"/>
      <c r="B827" s="189"/>
      <c r="C827" s="189"/>
      <c r="D827" s="189"/>
      <c r="E827" s="189"/>
      <c r="F827" s="189"/>
      <c r="G827" s="189"/>
      <c r="H827" s="189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230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</row>
    <row r="828" spans="1:30">
      <c r="A828" s="189"/>
      <c r="B828" s="189"/>
      <c r="C828" s="189"/>
      <c r="D828" s="189"/>
      <c r="E828" s="189"/>
      <c r="F828" s="189"/>
      <c r="G828" s="189"/>
      <c r="H828" s="189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230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</row>
    <row r="829" spans="1:30">
      <c r="A829" s="189"/>
      <c r="B829" s="189"/>
      <c r="C829" s="189"/>
      <c r="D829" s="189"/>
      <c r="E829" s="189"/>
      <c r="F829" s="189"/>
      <c r="G829" s="189"/>
      <c r="H829" s="189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230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</row>
    <row r="830" spans="1:30">
      <c r="A830" s="189"/>
      <c r="B830" s="189"/>
      <c r="C830" s="189"/>
      <c r="D830" s="189"/>
      <c r="E830" s="189"/>
      <c r="F830" s="189"/>
      <c r="G830" s="189"/>
      <c r="H830" s="189"/>
      <c r="I830" s="189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230"/>
      <c r="U830" s="189"/>
      <c r="V830" s="189"/>
      <c r="W830" s="189"/>
      <c r="X830" s="189"/>
      <c r="Y830" s="189"/>
      <c r="Z830" s="189"/>
      <c r="AA830" s="189"/>
      <c r="AB830" s="189"/>
      <c r="AC830" s="189"/>
      <c r="AD830" s="189"/>
    </row>
    <row r="831" spans="1:30">
      <c r="A831" s="189"/>
      <c r="B831" s="189"/>
      <c r="C831" s="189"/>
      <c r="D831" s="189"/>
      <c r="E831" s="189"/>
      <c r="F831" s="189"/>
      <c r="G831" s="189"/>
      <c r="H831" s="189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230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</row>
    <row r="832" spans="1:30">
      <c r="A832" s="189"/>
      <c r="B832" s="189"/>
      <c r="C832" s="189"/>
      <c r="D832" s="189"/>
      <c r="E832" s="189"/>
      <c r="F832" s="189"/>
      <c r="G832" s="189"/>
      <c r="H832" s="189"/>
      <c r="I832" s="189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230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</row>
    <row r="833" spans="1:30">
      <c r="A833" s="189"/>
      <c r="B833" s="189"/>
      <c r="C833" s="189"/>
      <c r="D833" s="189"/>
      <c r="E833" s="189"/>
      <c r="F833" s="189"/>
      <c r="G833" s="189"/>
      <c r="H833" s="189"/>
      <c r="I833" s="189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230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</row>
    <row r="834" spans="1:30">
      <c r="A834" s="189"/>
      <c r="B834" s="189"/>
      <c r="C834" s="189"/>
      <c r="D834" s="189"/>
      <c r="E834" s="189"/>
      <c r="F834" s="189"/>
      <c r="G834" s="189"/>
      <c r="H834" s="189"/>
      <c r="I834" s="189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230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</row>
    <row r="835" spans="1:30">
      <c r="A835" s="189"/>
      <c r="B835" s="189"/>
      <c r="C835" s="189"/>
      <c r="D835" s="189"/>
      <c r="E835" s="189"/>
      <c r="F835" s="189"/>
      <c r="G835" s="189"/>
      <c r="H835" s="189"/>
      <c r="I835" s="189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230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</row>
    <row r="836" spans="1:30">
      <c r="A836" s="189"/>
      <c r="B836" s="189"/>
      <c r="C836" s="189"/>
      <c r="D836" s="189"/>
      <c r="E836" s="189"/>
      <c r="F836" s="189"/>
      <c r="G836" s="189"/>
      <c r="H836" s="189"/>
      <c r="I836" s="189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230"/>
      <c r="U836" s="189"/>
      <c r="V836" s="189"/>
      <c r="W836" s="189"/>
      <c r="X836" s="189"/>
      <c r="Y836" s="189"/>
      <c r="Z836" s="189"/>
      <c r="AA836" s="189"/>
      <c r="AB836" s="189"/>
      <c r="AC836" s="189"/>
      <c r="AD836" s="189"/>
    </row>
    <row r="837" spans="1:30">
      <c r="A837" s="189"/>
      <c r="B837" s="189"/>
      <c r="C837" s="189"/>
      <c r="D837" s="189"/>
      <c r="E837" s="189"/>
      <c r="F837" s="189"/>
      <c r="G837" s="189"/>
      <c r="H837" s="189"/>
      <c r="I837" s="189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230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</row>
    <row r="838" spans="1:30">
      <c r="A838" s="189"/>
      <c r="B838" s="189"/>
      <c r="C838" s="189"/>
      <c r="D838" s="189"/>
      <c r="E838" s="189"/>
      <c r="F838" s="189"/>
      <c r="G838" s="189"/>
      <c r="H838" s="189"/>
      <c r="I838" s="189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230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</row>
    <row r="839" spans="1:30">
      <c r="A839" s="189"/>
      <c r="B839" s="189"/>
      <c r="C839" s="189"/>
      <c r="D839" s="189"/>
      <c r="E839" s="189"/>
      <c r="F839" s="189"/>
      <c r="G839" s="189"/>
      <c r="H839" s="189"/>
      <c r="I839" s="189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230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</row>
    <row r="840" spans="1:30">
      <c r="A840" s="189"/>
      <c r="B840" s="189"/>
      <c r="C840" s="189"/>
      <c r="D840" s="189"/>
      <c r="E840" s="189"/>
      <c r="F840" s="189"/>
      <c r="G840" s="189"/>
      <c r="H840" s="189"/>
      <c r="I840" s="189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230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</row>
    <row r="841" spans="1:30">
      <c r="A841" s="189"/>
      <c r="B841" s="189"/>
      <c r="C841" s="189"/>
      <c r="D841" s="189"/>
      <c r="E841" s="189"/>
      <c r="F841" s="189"/>
      <c r="G841" s="189"/>
      <c r="H841" s="189"/>
      <c r="I841" s="189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230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</row>
    <row r="842" spans="1:30">
      <c r="A842" s="189"/>
      <c r="B842" s="189"/>
      <c r="C842" s="189"/>
      <c r="D842" s="189"/>
      <c r="E842" s="189"/>
      <c r="F842" s="189"/>
      <c r="G842" s="189"/>
      <c r="H842" s="189"/>
      <c r="I842" s="189"/>
      <c r="J842" s="189"/>
      <c r="K842" s="189"/>
      <c r="L842" s="189"/>
      <c r="M842" s="189"/>
      <c r="N842" s="189"/>
      <c r="O842" s="189"/>
      <c r="P842" s="189"/>
      <c r="Q842" s="189"/>
      <c r="R842" s="189"/>
      <c r="S842" s="189"/>
      <c r="T842" s="230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</row>
    <row r="843" spans="1:30">
      <c r="A843" s="189"/>
      <c r="B843" s="189"/>
      <c r="C843" s="189"/>
      <c r="D843" s="189"/>
      <c r="E843" s="189"/>
      <c r="F843" s="189"/>
      <c r="G843" s="189"/>
      <c r="H843" s="189"/>
      <c r="I843" s="189"/>
      <c r="J843" s="189"/>
      <c r="K843" s="189"/>
      <c r="L843" s="189"/>
      <c r="M843" s="189"/>
      <c r="N843" s="189"/>
      <c r="O843" s="189"/>
      <c r="P843" s="189"/>
      <c r="Q843" s="189"/>
      <c r="R843" s="189"/>
      <c r="S843" s="189"/>
      <c r="T843" s="230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</row>
    <row r="844" spans="1:30">
      <c r="A844" s="189"/>
      <c r="B844" s="189"/>
      <c r="C844" s="189"/>
      <c r="D844" s="189"/>
      <c r="E844" s="189"/>
      <c r="F844" s="189"/>
      <c r="G844" s="189"/>
      <c r="H844" s="189"/>
      <c r="I844" s="189"/>
      <c r="J844" s="189"/>
      <c r="K844" s="189"/>
      <c r="L844" s="189"/>
      <c r="M844" s="189"/>
      <c r="N844" s="189"/>
      <c r="O844" s="189"/>
      <c r="P844" s="189"/>
      <c r="Q844" s="189"/>
      <c r="R844" s="189"/>
      <c r="S844" s="189"/>
      <c r="T844" s="230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</row>
    <row r="845" spans="1:30">
      <c r="A845" s="189"/>
      <c r="B845" s="189"/>
      <c r="C845" s="189"/>
      <c r="D845" s="189"/>
      <c r="E845" s="189"/>
      <c r="F845" s="189"/>
      <c r="G845" s="189"/>
      <c r="H845" s="189"/>
      <c r="I845" s="189"/>
      <c r="J845" s="189"/>
      <c r="K845" s="189"/>
      <c r="L845" s="189"/>
      <c r="M845" s="189"/>
      <c r="N845" s="189"/>
      <c r="O845" s="189"/>
      <c r="P845" s="189"/>
      <c r="Q845" s="189"/>
      <c r="R845" s="189"/>
      <c r="S845" s="189"/>
      <c r="T845" s="230"/>
      <c r="U845" s="189"/>
      <c r="V845" s="189"/>
      <c r="W845" s="189"/>
      <c r="X845" s="189"/>
      <c r="Y845" s="189"/>
      <c r="Z845" s="189"/>
      <c r="AA845" s="189"/>
      <c r="AB845" s="189"/>
      <c r="AC845" s="189"/>
      <c r="AD845" s="189"/>
    </row>
    <row r="846" spans="1:30">
      <c r="A846" s="189"/>
      <c r="B846" s="189"/>
      <c r="C846" s="189"/>
      <c r="D846" s="189"/>
      <c r="E846" s="189"/>
      <c r="F846" s="189"/>
      <c r="G846" s="189"/>
      <c r="H846" s="189"/>
      <c r="I846" s="189"/>
      <c r="J846" s="189"/>
      <c r="K846" s="189"/>
      <c r="L846" s="189"/>
      <c r="M846" s="189"/>
      <c r="N846" s="189"/>
      <c r="O846" s="189"/>
      <c r="P846" s="189"/>
      <c r="Q846" s="189"/>
      <c r="R846" s="189"/>
      <c r="S846" s="189"/>
      <c r="T846" s="230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</row>
    <row r="847" spans="1:30">
      <c r="A847" s="189"/>
      <c r="B847" s="189"/>
      <c r="C847" s="189"/>
      <c r="D847" s="189"/>
      <c r="E847" s="189"/>
      <c r="F847" s="189"/>
      <c r="G847" s="189"/>
      <c r="H847" s="189"/>
      <c r="I847" s="189"/>
      <c r="J847" s="189"/>
      <c r="K847" s="189"/>
      <c r="L847" s="189"/>
      <c r="M847" s="189"/>
      <c r="N847" s="189"/>
      <c r="O847" s="189"/>
      <c r="P847" s="189"/>
      <c r="Q847" s="189"/>
      <c r="R847" s="189"/>
      <c r="S847" s="189"/>
      <c r="T847" s="230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</row>
    <row r="848" spans="1:30">
      <c r="A848" s="189"/>
      <c r="B848" s="189"/>
      <c r="C848" s="189"/>
      <c r="D848" s="189"/>
      <c r="E848" s="189"/>
      <c r="F848" s="189"/>
      <c r="G848" s="189"/>
      <c r="H848" s="189"/>
      <c r="I848" s="189"/>
      <c r="J848" s="189"/>
      <c r="K848" s="189"/>
      <c r="L848" s="189"/>
      <c r="M848" s="189"/>
      <c r="N848" s="189"/>
      <c r="O848" s="189"/>
      <c r="P848" s="189"/>
      <c r="Q848" s="189"/>
      <c r="R848" s="189"/>
      <c r="S848" s="189"/>
      <c r="T848" s="230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</row>
    <row r="849" spans="1:30">
      <c r="A849" s="189"/>
      <c r="B849" s="189"/>
      <c r="C849" s="189"/>
      <c r="D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S849" s="189"/>
      <c r="T849" s="230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</row>
    <row r="850" spans="1:30">
      <c r="A850" s="189"/>
      <c r="B850" s="189"/>
      <c r="C850" s="189"/>
      <c r="D850" s="189"/>
      <c r="E850" s="189"/>
      <c r="F850" s="189"/>
      <c r="G850" s="189"/>
      <c r="H850" s="189"/>
      <c r="I850" s="189"/>
      <c r="J850" s="189"/>
      <c r="K850" s="189"/>
      <c r="L850" s="189"/>
      <c r="M850" s="189"/>
      <c r="N850" s="189"/>
      <c r="O850" s="189"/>
      <c r="P850" s="189"/>
      <c r="Q850" s="189"/>
      <c r="R850" s="189"/>
      <c r="S850" s="189"/>
      <c r="T850" s="230"/>
      <c r="U850" s="189"/>
      <c r="V850" s="189"/>
      <c r="W850" s="189"/>
      <c r="X850" s="189"/>
      <c r="Y850" s="189"/>
      <c r="Z850" s="189"/>
      <c r="AA850" s="189"/>
      <c r="AB850" s="189"/>
      <c r="AC850" s="189"/>
      <c r="AD850" s="189"/>
    </row>
    <row r="851" spans="1:30">
      <c r="A851" s="189"/>
      <c r="B851" s="189"/>
      <c r="C851" s="189"/>
      <c r="D851" s="189"/>
      <c r="E851" s="189"/>
      <c r="F851" s="189"/>
      <c r="G851" s="189"/>
      <c r="H851" s="189"/>
      <c r="I851" s="189"/>
      <c r="J851" s="189"/>
      <c r="K851" s="189"/>
      <c r="L851" s="189"/>
      <c r="M851" s="189"/>
      <c r="N851" s="189"/>
      <c r="O851" s="189"/>
      <c r="P851" s="189"/>
      <c r="Q851" s="189"/>
      <c r="R851" s="189"/>
      <c r="S851" s="189"/>
      <c r="T851" s="230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</row>
    <row r="852" spans="1:30">
      <c r="A852" s="189"/>
      <c r="B852" s="189"/>
      <c r="C852" s="189"/>
      <c r="D852" s="189"/>
      <c r="E852" s="189"/>
      <c r="F852" s="189"/>
      <c r="G852" s="189"/>
      <c r="H852" s="189"/>
      <c r="I852" s="189"/>
      <c r="J852" s="189"/>
      <c r="K852" s="189"/>
      <c r="L852" s="189"/>
      <c r="M852" s="189"/>
      <c r="N852" s="189"/>
      <c r="O852" s="189"/>
      <c r="P852" s="189"/>
      <c r="Q852" s="189"/>
      <c r="R852" s="189"/>
      <c r="S852" s="189"/>
      <c r="T852" s="230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</row>
    <row r="853" spans="1:30">
      <c r="A853" s="189"/>
      <c r="B853" s="189"/>
      <c r="C853" s="189"/>
      <c r="D853" s="189"/>
      <c r="E853" s="189"/>
      <c r="F853" s="189"/>
      <c r="G853" s="189"/>
      <c r="H853" s="189"/>
      <c r="I853" s="189"/>
      <c r="J853" s="189"/>
      <c r="K853" s="189"/>
      <c r="L853" s="189"/>
      <c r="M853" s="189"/>
      <c r="N853" s="189"/>
      <c r="O853" s="189"/>
      <c r="P853" s="189"/>
      <c r="Q853" s="189"/>
      <c r="R853" s="189"/>
      <c r="S853" s="189"/>
      <c r="T853" s="230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</row>
    <row r="854" spans="1:30">
      <c r="A854" s="189"/>
      <c r="B854" s="189"/>
      <c r="C854" s="189"/>
      <c r="D854" s="189"/>
      <c r="E854" s="189"/>
      <c r="F854" s="189"/>
      <c r="G854" s="189"/>
      <c r="H854" s="189"/>
      <c r="I854" s="189"/>
      <c r="J854" s="189"/>
      <c r="K854" s="189"/>
      <c r="L854" s="189"/>
      <c r="M854" s="189"/>
      <c r="N854" s="189"/>
      <c r="O854" s="189"/>
      <c r="P854" s="189"/>
      <c r="Q854" s="189"/>
      <c r="R854" s="189"/>
      <c r="S854" s="189"/>
      <c r="T854" s="230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</row>
    <row r="855" spans="1:30">
      <c r="A855" s="189"/>
      <c r="B855" s="189"/>
      <c r="C855" s="189"/>
      <c r="D855" s="189"/>
      <c r="E855" s="189"/>
      <c r="F855" s="189"/>
      <c r="G855" s="189"/>
      <c r="H855" s="189"/>
      <c r="I855" s="189"/>
      <c r="J855" s="189"/>
      <c r="K855" s="189"/>
      <c r="L855" s="189"/>
      <c r="M855" s="189"/>
      <c r="N855" s="189"/>
      <c r="O855" s="189"/>
      <c r="P855" s="189"/>
      <c r="Q855" s="189"/>
      <c r="R855" s="189"/>
      <c r="S855" s="189"/>
      <c r="T855" s="230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</row>
    <row r="856" spans="1:30">
      <c r="A856" s="189"/>
      <c r="B856" s="189"/>
      <c r="C856" s="189"/>
      <c r="D856" s="189"/>
      <c r="E856" s="189"/>
      <c r="F856" s="189"/>
      <c r="G856" s="189"/>
      <c r="H856" s="189"/>
      <c r="I856" s="189"/>
      <c r="J856" s="189"/>
      <c r="K856" s="189"/>
      <c r="L856" s="189"/>
      <c r="M856" s="189"/>
      <c r="N856" s="189"/>
      <c r="O856" s="189"/>
      <c r="P856" s="189"/>
      <c r="Q856" s="189"/>
      <c r="R856" s="189"/>
      <c r="S856" s="189"/>
      <c r="T856" s="230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</row>
    <row r="857" spans="1:30">
      <c r="A857" s="189"/>
      <c r="B857" s="189"/>
      <c r="C857" s="189"/>
      <c r="D857" s="189"/>
      <c r="E857" s="189"/>
      <c r="F857" s="189"/>
      <c r="G857" s="189"/>
      <c r="H857" s="189"/>
      <c r="I857" s="189"/>
      <c r="J857" s="189"/>
      <c r="K857" s="189"/>
      <c r="L857" s="189"/>
      <c r="M857" s="189"/>
      <c r="N857" s="189"/>
      <c r="O857" s="189"/>
      <c r="P857" s="189"/>
      <c r="Q857" s="189"/>
      <c r="R857" s="189"/>
      <c r="S857" s="189"/>
      <c r="T857" s="230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</row>
    <row r="858" spans="1:30">
      <c r="A858" s="189"/>
      <c r="B858" s="189"/>
      <c r="C858" s="189"/>
      <c r="D858" s="189"/>
      <c r="E858" s="189"/>
      <c r="F858" s="189"/>
      <c r="G858" s="189"/>
      <c r="H858" s="189"/>
      <c r="I858" s="189"/>
      <c r="J858" s="189"/>
      <c r="K858" s="189"/>
      <c r="L858" s="189"/>
      <c r="M858" s="189"/>
      <c r="N858" s="189"/>
      <c r="O858" s="189"/>
      <c r="P858" s="189"/>
      <c r="Q858" s="189"/>
      <c r="R858" s="189"/>
      <c r="S858" s="189"/>
      <c r="T858" s="230"/>
      <c r="U858" s="189"/>
      <c r="V858" s="189"/>
      <c r="W858" s="189"/>
      <c r="X858" s="189"/>
      <c r="Y858" s="189"/>
      <c r="Z858" s="189"/>
      <c r="AA858" s="189"/>
      <c r="AB858" s="189"/>
      <c r="AC858" s="189"/>
      <c r="AD858" s="189"/>
    </row>
    <row r="859" spans="1:30">
      <c r="A859" s="189"/>
      <c r="B859" s="189"/>
      <c r="C859" s="189"/>
      <c r="D859" s="189"/>
      <c r="E859" s="189"/>
      <c r="F859" s="189"/>
      <c r="G859" s="189"/>
      <c r="H859" s="189"/>
      <c r="I859" s="189"/>
      <c r="J859" s="189"/>
      <c r="K859" s="189"/>
      <c r="L859" s="189"/>
      <c r="M859" s="189"/>
      <c r="N859" s="189"/>
      <c r="O859" s="189"/>
      <c r="P859" s="189"/>
      <c r="Q859" s="189"/>
      <c r="R859" s="189"/>
      <c r="S859" s="189"/>
      <c r="T859" s="230"/>
      <c r="U859" s="189"/>
      <c r="V859" s="189"/>
      <c r="W859" s="189"/>
      <c r="X859" s="189"/>
      <c r="Y859" s="189"/>
      <c r="Z859" s="189"/>
      <c r="AA859" s="189"/>
      <c r="AB859" s="189"/>
      <c r="AC859" s="189"/>
      <c r="AD859" s="189"/>
    </row>
    <row r="860" spans="1:30">
      <c r="A860" s="189"/>
      <c r="B860" s="189"/>
      <c r="C860" s="189"/>
      <c r="D860" s="189"/>
      <c r="E860" s="189"/>
      <c r="F860" s="189"/>
      <c r="G860" s="189"/>
      <c r="H860" s="189"/>
      <c r="I860" s="189"/>
      <c r="J860" s="189"/>
      <c r="K860" s="189"/>
      <c r="L860" s="189"/>
      <c r="M860" s="189"/>
      <c r="N860" s="189"/>
      <c r="O860" s="189"/>
      <c r="P860" s="189"/>
      <c r="Q860" s="189"/>
      <c r="R860" s="189"/>
      <c r="S860" s="189"/>
      <c r="T860" s="230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</row>
    <row r="861" spans="1:30">
      <c r="A861" s="189"/>
      <c r="B861" s="189"/>
      <c r="C861" s="189"/>
      <c r="D861" s="189"/>
      <c r="E861" s="189"/>
      <c r="F861" s="189"/>
      <c r="G861" s="189"/>
      <c r="H861" s="189"/>
      <c r="I861" s="189"/>
      <c r="J861" s="189"/>
      <c r="K861" s="189"/>
      <c r="L861" s="189"/>
      <c r="M861" s="189"/>
      <c r="N861" s="189"/>
      <c r="O861" s="189"/>
      <c r="P861" s="189"/>
      <c r="Q861" s="189"/>
      <c r="R861" s="189"/>
      <c r="S861" s="189"/>
      <c r="T861" s="230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</row>
    <row r="862" spans="1:30">
      <c r="A862" s="189"/>
      <c r="B862" s="189"/>
      <c r="C862" s="189"/>
      <c r="D862" s="189"/>
      <c r="E862" s="189"/>
      <c r="F862" s="189"/>
      <c r="G862" s="189"/>
      <c r="H862" s="189"/>
      <c r="I862" s="189"/>
      <c r="J862" s="189"/>
      <c r="K862" s="189"/>
      <c r="L862" s="189"/>
      <c r="M862" s="189"/>
      <c r="N862" s="189"/>
      <c r="O862" s="189"/>
      <c r="P862" s="189"/>
      <c r="Q862" s="189"/>
      <c r="R862" s="189"/>
      <c r="S862" s="189"/>
      <c r="T862" s="230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</row>
    <row r="863" spans="1:30">
      <c r="A863" s="189"/>
      <c r="B863" s="189"/>
      <c r="C863" s="189"/>
      <c r="D863" s="189"/>
      <c r="E863" s="189"/>
      <c r="F863" s="189"/>
      <c r="G863" s="189"/>
      <c r="H863" s="189"/>
      <c r="I863" s="189"/>
      <c r="J863" s="189"/>
      <c r="K863" s="189"/>
      <c r="L863" s="189"/>
      <c r="M863" s="189"/>
      <c r="N863" s="189"/>
      <c r="O863" s="189"/>
      <c r="P863" s="189"/>
      <c r="Q863" s="189"/>
      <c r="R863" s="189"/>
      <c r="S863" s="189"/>
      <c r="T863" s="230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</row>
    <row r="864" spans="1:30">
      <c r="A864" s="189"/>
      <c r="B864" s="189"/>
      <c r="C864" s="189"/>
      <c r="D864" s="189"/>
      <c r="E864" s="189"/>
      <c r="F864" s="189"/>
      <c r="G864" s="189"/>
      <c r="H864" s="189"/>
      <c r="I864" s="189"/>
      <c r="J864" s="189"/>
      <c r="K864" s="189"/>
      <c r="L864" s="189"/>
      <c r="M864" s="189"/>
      <c r="N864" s="189"/>
      <c r="O864" s="189"/>
      <c r="P864" s="189"/>
      <c r="Q864" s="189"/>
      <c r="R864" s="189"/>
      <c r="S864" s="189"/>
      <c r="T864" s="230"/>
      <c r="U864" s="189"/>
      <c r="V864" s="189"/>
      <c r="W864" s="189"/>
      <c r="X864" s="189"/>
      <c r="Y864" s="189"/>
      <c r="Z864" s="189"/>
      <c r="AA864" s="189"/>
      <c r="AB864" s="189"/>
      <c r="AC864" s="189"/>
      <c r="AD864" s="189"/>
    </row>
    <row r="865" spans="1:30">
      <c r="A865" s="189"/>
      <c r="B865" s="189"/>
      <c r="C865" s="189"/>
      <c r="D865" s="189"/>
      <c r="E865" s="189"/>
      <c r="F865" s="189"/>
      <c r="G865" s="189"/>
      <c r="H865" s="189"/>
      <c r="I865" s="189"/>
      <c r="J865" s="189"/>
      <c r="K865" s="189"/>
      <c r="L865" s="189"/>
      <c r="M865" s="189"/>
      <c r="N865" s="189"/>
      <c r="O865" s="189"/>
      <c r="P865" s="189"/>
      <c r="Q865" s="189"/>
      <c r="R865" s="189"/>
      <c r="S865" s="189"/>
      <c r="T865" s="230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</row>
    <row r="866" spans="1:30">
      <c r="A866" s="189"/>
      <c r="B866" s="189"/>
      <c r="C866" s="189"/>
      <c r="D866" s="189"/>
      <c r="E866" s="189"/>
      <c r="F866" s="189"/>
      <c r="G866" s="189"/>
      <c r="H866" s="189"/>
      <c r="I866" s="189"/>
      <c r="J866" s="189"/>
      <c r="K866" s="189"/>
      <c r="L866" s="189"/>
      <c r="M866" s="189"/>
      <c r="N866" s="189"/>
      <c r="O866" s="189"/>
      <c r="P866" s="189"/>
      <c r="Q866" s="189"/>
      <c r="R866" s="189"/>
      <c r="S866" s="189"/>
      <c r="T866" s="230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</row>
    <row r="867" spans="1:30">
      <c r="A867" s="189"/>
      <c r="B867" s="189"/>
      <c r="C867" s="189"/>
      <c r="D867" s="189"/>
      <c r="E867" s="189"/>
      <c r="F867" s="189"/>
      <c r="G867" s="189"/>
      <c r="H867" s="189"/>
      <c r="I867" s="189"/>
      <c r="J867" s="189"/>
      <c r="K867" s="189"/>
      <c r="L867" s="189"/>
      <c r="M867" s="189"/>
      <c r="N867" s="189"/>
      <c r="O867" s="189"/>
      <c r="P867" s="189"/>
      <c r="Q867" s="189"/>
      <c r="R867" s="189"/>
      <c r="S867" s="189"/>
      <c r="T867" s="230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</row>
    <row r="868" spans="1:30">
      <c r="A868" s="189"/>
      <c r="B868" s="189"/>
      <c r="C868" s="189"/>
      <c r="D868" s="189"/>
      <c r="E868" s="189"/>
      <c r="F868" s="189"/>
      <c r="G868" s="189"/>
      <c r="H868" s="189"/>
      <c r="I868" s="189"/>
      <c r="J868" s="189"/>
      <c r="K868" s="189"/>
      <c r="L868" s="189"/>
      <c r="M868" s="189"/>
      <c r="N868" s="189"/>
      <c r="O868" s="189"/>
      <c r="P868" s="189"/>
      <c r="Q868" s="189"/>
      <c r="R868" s="189"/>
      <c r="S868" s="189"/>
      <c r="T868" s="230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</row>
    <row r="869" spans="1:30">
      <c r="A869" s="189"/>
      <c r="B869" s="189"/>
      <c r="C869" s="189"/>
      <c r="D869" s="189"/>
      <c r="E869" s="189"/>
      <c r="F869" s="189"/>
      <c r="G869" s="189"/>
      <c r="H869" s="189"/>
      <c r="I869" s="189"/>
      <c r="J869" s="189"/>
      <c r="K869" s="189"/>
      <c r="L869" s="189"/>
      <c r="M869" s="189"/>
      <c r="N869" s="189"/>
      <c r="O869" s="189"/>
      <c r="P869" s="189"/>
      <c r="Q869" s="189"/>
      <c r="R869" s="189"/>
      <c r="S869" s="189"/>
      <c r="T869" s="230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</row>
    <row r="870" spans="1:30">
      <c r="A870" s="189"/>
      <c r="B870" s="189"/>
      <c r="C870" s="189"/>
      <c r="D870" s="189"/>
      <c r="E870" s="189"/>
      <c r="F870" s="189"/>
      <c r="G870" s="189"/>
      <c r="H870" s="189"/>
      <c r="I870" s="189"/>
      <c r="J870" s="189"/>
      <c r="K870" s="189"/>
      <c r="L870" s="189"/>
      <c r="M870" s="189"/>
      <c r="N870" s="189"/>
      <c r="O870" s="189"/>
      <c r="P870" s="189"/>
      <c r="Q870" s="189"/>
      <c r="R870" s="189"/>
      <c r="S870" s="189"/>
      <c r="T870" s="230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</row>
    <row r="871" spans="1:30">
      <c r="A871" s="189"/>
      <c r="B871" s="189"/>
      <c r="C871" s="189"/>
      <c r="D871" s="189"/>
      <c r="E871" s="189"/>
      <c r="F871" s="189"/>
      <c r="G871" s="189"/>
      <c r="H871" s="189"/>
      <c r="I871" s="189"/>
      <c r="J871" s="189"/>
      <c r="K871" s="189"/>
      <c r="L871" s="189"/>
      <c r="M871" s="189"/>
      <c r="N871" s="189"/>
      <c r="O871" s="189"/>
      <c r="P871" s="189"/>
      <c r="Q871" s="189"/>
      <c r="R871" s="189"/>
      <c r="S871" s="189"/>
      <c r="T871" s="230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</row>
    <row r="872" spans="1:30">
      <c r="A872" s="189"/>
      <c r="B872" s="189"/>
      <c r="C872" s="189"/>
      <c r="D872" s="189"/>
      <c r="E872" s="189"/>
      <c r="F872" s="189"/>
      <c r="G872" s="189"/>
      <c r="H872" s="189"/>
      <c r="I872" s="189"/>
      <c r="J872" s="189"/>
      <c r="K872" s="189"/>
      <c r="L872" s="189"/>
      <c r="M872" s="189"/>
      <c r="N872" s="189"/>
      <c r="O872" s="189"/>
      <c r="P872" s="189"/>
      <c r="Q872" s="189"/>
      <c r="R872" s="189"/>
      <c r="S872" s="189"/>
      <c r="T872" s="230"/>
      <c r="U872" s="189"/>
      <c r="V872" s="189"/>
      <c r="W872" s="189"/>
      <c r="X872" s="189"/>
      <c r="Y872" s="189"/>
      <c r="Z872" s="189"/>
      <c r="AA872" s="189"/>
      <c r="AB872" s="189"/>
      <c r="AC872" s="189"/>
      <c r="AD872" s="189"/>
    </row>
    <row r="873" spans="1:30">
      <c r="A873" s="189"/>
      <c r="B873" s="189"/>
      <c r="C873" s="189"/>
      <c r="D873" s="189"/>
      <c r="E873" s="189"/>
      <c r="F873" s="189"/>
      <c r="G873" s="189"/>
      <c r="H873" s="189"/>
      <c r="I873" s="189"/>
      <c r="J873" s="189"/>
      <c r="K873" s="189"/>
      <c r="L873" s="189"/>
      <c r="M873" s="189"/>
      <c r="N873" s="189"/>
      <c r="O873" s="189"/>
      <c r="P873" s="189"/>
      <c r="Q873" s="189"/>
      <c r="R873" s="189"/>
      <c r="S873" s="189"/>
      <c r="T873" s="230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</row>
    <row r="874" spans="1:30">
      <c r="A874" s="189"/>
      <c r="B874" s="189"/>
      <c r="C874" s="189"/>
      <c r="D874" s="189"/>
      <c r="E874" s="189"/>
      <c r="F874" s="189"/>
      <c r="G874" s="189"/>
      <c r="H874" s="189"/>
      <c r="I874" s="189"/>
      <c r="J874" s="189"/>
      <c r="K874" s="189"/>
      <c r="L874" s="189"/>
      <c r="M874" s="189"/>
      <c r="N874" s="189"/>
      <c r="O874" s="189"/>
      <c r="P874" s="189"/>
      <c r="Q874" s="189"/>
      <c r="R874" s="189"/>
      <c r="S874" s="189"/>
      <c r="T874" s="230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</row>
    <row r="875" spans="1:30">
      <c r="A875" s="189"/>
      <c r="B875" s="189"/>
      <c r="C875" s="189"/>
      <c r="D875" s="189"/>
      <c r="E875" s="189"/>
      <c r="F875" s="189"/>
      <c r="G875" s="189"/>
      <c r="H875" s="189"/>
      <c r="I875" s="189"/>
      <c r="J875" s="189"/>
      <c r="K875" s="189"/>
      <c r="L875" s="189"/>
      <c r="M875" s="189"/>
      <c r="N875" s="189"/>
      <c r="O875" s="189"/>
      <c r="P875" s="189"/>
      <c r="Q875" s="189"/>
      <c r="R875" s="189"/>
      <c r="S875" s="189"/>
      <c r="T875" s="230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</row>
    <row r="876" spans="1:30">
      <c r="A876" s="189"/>
      <c r="B876" s="189"/>
      <c r="C876" s="189"/>
      <c r="D876" s="189"/>
      <c r="E876" s="189"/>
      <c r="F876" s="189"/>
      <c r="G876" s="189"/>
      <c r="H876" s="189"/>
      <c r="I876" s="189"/>
      <c r="J876" s="189"/>
      <c r="K876" s="189"/>
      <c r="L876" s="189"/>
      <c r="M876" s="189"/>
      <c r="N876" s="189"/>
      <c r="O876" s="189"/>
      <c r="P876" s="189"/>
      <c r="Q876" s="189"/>
      <c r="R876" s="189"/>
      <c r="S876" s="189"/>
      <c r="T876" s="230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</row>
    <row r="877" spans="1:30">
      <c r="A877" s="189"/>
      <c r="B877" s="189"/>
      <c r="C877" s="189"/>
      <c r="D877" s="189"/>
      <c r="E877" s="189"/>
      <c r="F877" s="189"/>
      <c r="G877" s="189"/>
      <c r="H877" s="189"/>
      <c r="I877" s="189"/>
      <c r="J877" s="189"/>
      <c r="K877" s="189"/>
      <c r="L877" s="189"/>
      <c r="M877" s="189"/>
      <c r="N877" s="189"/>
      <c r="O877" s="189"/>
      <c r="P877" s="189"/>
      <c r="Q877" s="189"/>
      <c r="R877" s="189"/>
      <c r="S877" s="189"/>
      <c r="T877" s="230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</row>
    <row r="878" spans="1:30">
      <c r="A878" s="189"/>
      <c r="B878" s="189"/>
      <c r="C878" s="189"/>
      <c r="D878" s="189"/>
      <c r="E878" s="189"/>
      <c r="F878" s="189"/>
      <c r="G878" s="189"/>
      <c r="H878" s="189"/>
      <c r="I878" s="189"/>
      <c r="J878" s="189"/>
      <c r="K878" s="189"/>
      <c r="L878" s="189"/>
      <c r="M878" s="189"/>
      <c r="N878" s="189"/>
      <c r="O878" s="189"/>
      <c r="P878" s="189"/>
      <c r="Q878" s="189"/>
      <c r="R878" s="189"/>
      <c r="S878" s="189"/>
      <c r="T878" s="230"/>
      <c r="U878" s="189"/>
      <c r="V878" s="189"/>
      <c r="W878" s="189"/>
      <c r="X878" s="189"/>
      <c r="Y878" s="189"/>
      <c r="Z878" s="189"/>
      <c r="AA878" s="189"/>
      <c r="AB878" s="189"/>
      <c r="AC878" s="189"/>
      <c r="AD878" s="189"/>
    </row>
    <row r="879" spans="1:30">
      <c r="A879" s="189"/>
      <c r="B879" s="189"/>
      <c r="C879" s="189"/>
      <c r="D879" s="189"/>
      <c r="E879" s="189"/>
      <c r="F879" s="189"/>
      <c r="G879" s="189"/>
      <c r="H879" s="189"/>
      <c r="I879" s="189"/>
      <c r="J879" s="189"/>
      <c r="K879" s="189"/>
      <c r="L879" s="189"/>
      <c r="M879" s="189"/>
      <c r="N879" s="189"/>
      <c r="O879" s="189"/>
      <c r="P879" s="189"/>
      <c r="Q879" s="189"/>
      <c r="R879" s="189"/>
      <c r="S879" s="189"/>
      <c r="T879" s="230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</row>
    <row r="880" spans="1:30">
      <c r="A880" s="189"/>
      <c r="B880" s="189"/>
      <c r="C880" s="189"/>
      <c r="D880" s="189"/>
      <c r="E880" s="189"/>
      <c r="F880" s="189"/>
      <c r="G880" s="189"/>
      <c r="H880" s="189"/>
      <c r="I880" s="189"/>
      <c r="J880" s="189"/>
      <c r="K880" s="189"/>
      <c r="L880" s="189"/>
      <c r="M880" s="189"/>
      <c r="N880" s="189"/>
      <c r="O880" s="189"/>
      <c r="P880" s="189"/>
      <c r="Q880" s="189"/>
      <c r="R880" s="189"/>
      <c r="S880" s="189"/>
      <c r="T880" s="230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</row>
    <row r="881" spans="1:30">
      <c r="A881" s="189"/>
      <c r="B881" s="189"/>
      <c r="C881" s="189"/>
      <c r="D881" s="189"/>
      <c r="E881" s="189"/>
      <c r="F881" s="189"/>
      <c r="G881" s="189"/>
      <c r="H881" s="189"/>
      <c r="I881" s="189"/>
      <c r="J881" s="189"/>
      <c r="K881" s="189"/>
      <c r="L881" s="189"/>
      <c r="M881" s="189"/>
      <c r="N881" s="189"/>
      <c r="O881" s="189"/>
      <c r="P881" s="189"/>
      <c r="Q881" s="189"/>
      <c r="R881" s="189"/>
      <c r="S881" s="189"/>
      <c r="T881" s="230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</row>
    <row r="882" spans="1:30">
      <c r="A882" s="189"/>
      <c r="B882" s="189"/>
      <c r="C882" s="189"/>
      <c r="D882" s="189"/>
      <c r="E882" s="189"/>
      <c r="F882" s="189"/>
      <c r="G882" s="189"/>
      <c r="H882" s="189"/>
      <c r="I882" s="189"/>
      <c r="J882" s="189"/>
      <c r="K882" s="189"/>
      <c r="L882" s="189"/>
      <c r="M882" s="189"/>
      <c r="N882" s="189"/>
      <c r="O882" s="189"/>
      <c r="P882" s="189"/>
      <c r="Q882" s="189"/>
      <c r="R882" s="189"/>
      <c r="S882" s="189"/>
      <c r="T882" s="230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</row>
    <row r="883" spans="1:30">
      <c r="A883" s="189"/>
      <c r="B883" s="189"/>
      <c r="C883" s="189"/>
      <c r="D883" s="189"/>
      <c r="E883" s="189"/>
      <c r="F883" s="189"/>
      <c r="G883" s="189"/>
      <c r="H883" s="189"/>
      <c r="I883" s="189"/>
      <c r="J883" s="189"/>
      <c r="K883" s="189"/>
      <c r="L883" s="189"/>
      <c r="M883" s="189"/>
      <c r="N883" s="189"/>
      <c r="O883" s="189"/>
      <c r="P883" s="189"/>
      <c r="Q883" s="189"/>
      <c r="R883" s="189"/>
      <c r="S883" s="189"/>
      <c r="T883" s="230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</row>
    <row r="884" spans="1:30">
      <c r="A884" s="189"/>
      <c r="B884" s="189"/>
      <c r="C884" s="189"/>
      <c r="D884" s="189"/>
      <c r="E884" s="189"/>
      <c r="F884" s="189"/>
      <c r="G884" s="189"/>
      <c r="H884" s="189"/>
      <c r="I884" s="189"/>
      <c r="J884" s="189"/>
      <c r="K884" s="189"/>
      <c r="L884" s="189"/>
      <c r="M884" s="189"/>
      <c r="N884" s="189"/>
      <c r="O884" s="189"/>
      <c r="P884" s="189"/>
      <c r="Q884" s="189"/>
      <c r="R884" s="189"/>
      <c r="S884" s="189"/>
      <c r="T884" s="230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</row>
    <row r="885" spans="1:30">
      <c r="A885" s="189"/>
      <c r="B885" s="189"/>
      <c r="C885" s="189"/>
      <c r="D885" s="189"/>
      <c r="E885" s="189"/>
      <c r="F885" s="189"/>
      <c r="G885" s="189"/>
      <c r="H885" s="189"/>
      <c r="I885" s="189"/>
      <c r="J885" s="189"/>
      <c r="K885" s="189"/>
      <c r="L885" s="189"/>
      <c r="M885" s="189"/>
      <c r="N885" s="189"/>
      <c r="O885" s="189"/>
      <c r="P885" s="189"/>
      <c r="Q885" s="189"/>
      <c r="R885" s="189"/>
      <c r="S885" s="189"/>
      <c r="T885" s="230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</row>
    <row r="886" spans="1:30">
      <c r="A886" s="189"/>
      <c r="B886" s="189"/>
      <c r="C886" s="189"/>
      <c r="D886" s="189"/>
      <c r="E886" s="189"/>
      <c r="F886" s="189"/>
      <c r="G886" s="189"/>
      <c r="H886" s="189"/>
      <c r="I886" s="189"/>
      <c r="J886" s="189"/>
      <c r="K886" s="189"/>
      <c r="L886" s="189"/>
      <c r="M886" s="189"/>
      <c r="N886" s="189"/>
      <c r="O886" s="189"/>
      <c r="P886" s="189"/>
      <c r="Q886" s="189"/>
      <c r="R886" s="189"/>
      <c r="S886" s="189"/>
      <c r="T886" s="230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</row>
    <row r="887" spans="1:30">
      <c r="A887" s="189"/>
      <c r="B887" s="189"/>
      <c r="C887" s="189"/>
      <c r="D887" s="189"/>
      <c r="E887" s="189"/>
      <c r="F887" s="189"/>
      <c r="G887" s="189"/>
      <c r="H887" s="189"/>
      <c r="I887" s="189"/>
      <c r="J887" s="189"/>
      <c r="K887" s="189"/>
      <c r="L887" s="189"/>
      <c r="M887" s="189"/>
      <c r="N887" s="189"/>
      <c r="O887" s="189"/>
      <c r="P887" s="189"/>
      <c r="Q887" s="189"/>
      <c r="R887" s="189"/>
      <c r="S887" s="189"/>
      <c r="T887" s="230"/>
      <c r="U887" s="189"/>
      <c r="V887" s="189"/>
      <c r="W887" s="189"/>
      <c r="X887" s="189"/>
      <c r="Y887" s="189"/>
      <c r="Z887" s="189"/>
      <c r="AA887" s="189"/>
      <c r="AB887" s="189"/>
      <c r="AC887" s="189"/>
      <c r="AD887" s="189"/>
    </row>
    <row r="888" spans="1:30">
      <c r="A888" s="189"/>
      <c r="B888" s="189"/>
      <c r="C888" s="189"/>
      <c r="D888" s="189"/>
      <c r="E888" s="189"/>
      <c r="F888" s="189"/>
      <c r="G888" s="189"/>
      <c r="H888" s="189"/>
      <c r="I888" s="189"/>
      <c r="J888" s="189"/>
      <c r="K888" s="189"/>
      <c r="L888" s="189"/>
      <c r="M888" s="189"/>
      <c r="N888" s="189"/>
      <c r="O888" s="189"/>
      <c r="P888" s="189"/>
      <c r="Q888" s="189"/>
      <c r="R888" s="189"/>
      <c r="S888" s="189"/>
      <c r="T888" s="230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</row>
    <row r="889" spans="1:30">
      <c r="A889" s="189"/>
      <c r="B889" s="189"/>
      <c r="C889" s="189"/>
      <c r="D889" s="189"/>
      <c r="E889" s="189"/>
      <c r="F889" s="189"/>
      <c r="G889" s="189"/>
      <c r="H889" s="189"/>
      <c r="I889" s="189"/>
      <c r="J889" s="189"/>
      <c r="K889" s="189"/>
      <c r="L889" s="189"/>
      <c r="M889" s="189"/>
      <c r="N889" s="189"/>
      <c r="O889" s="189"/>
      <c r="P889" s="189"/>
      <c r="Q889" s="189"/>
      <c r="R889" s="189"/>
      <c r="S889" s="189"/>
      <c r="T889" s="230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</row>
    <row r="890" spans="1:30">
      <c r="A890" s="189"/>
      <c r="B890" s="189"/>
      <c r="C890" s="189"/>
      <c r="D890" s="189"/>
      <c r="E890" s="189"/>
      <c r="F890" s="189"/>
      <c r="G890" s="189"/>
      <c r="H890" s="189"/>
      <c r="I890" s="189"/>
      <c r="J890" s="189"/>
      <c r="K890" s="189"/>
      <c r="L890" s="189"/>
      <c r="M890" s="189"/>
      <c r="N890" s="189"/>
      <c r="O890" s="189"/>
      <c r="P890" s="189"/>
      <c r="Q890" s="189"/>
      <c r="R890" s="189"/>
      <c r="S890" s="189"/>
      <c r="T890" s="230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</row>
    <row r="891" spans="1:30">
      <c r="A891" s="189"/>
      <c r="B891" s="189"/>
      <c r="C891" s="189"/>
      <c r="D891" s="189"/>
      <c r="E891" s="189"/>
      <c r="F891" s="189"/>
      <c r="G891" s="189"/>
      <c r="H891" s="189"/>
      <c r="I891" s="189"/>
      <c r="J891" s="189"/>
      <c r="K891" s="189"/>
      <c r="L891" s="189"/>
      <c r="M891" s="189"/>
      <c r="N891" s="189"/>
      <c r="O891" s="189"/>
      <c r="P891" s="189"/>
      <c r="Q891" s="189"/>
      <c r="R891" s="189"/>
      <c r="S891" s="189"/>
      <c r="T891" s="230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</row>
    <row r="892" spans="1:30">
      <c r="A892" s="189"/>
      <c r="B892" s="189"/>
      <c r="C892" s="189"/>
      <c r="D892" s="189"/>
      <c r="E892" s="189"/>
      <c r="F892" s="189"/>
      <c r="G892" s="189"/>
      <c r="H892" s="189"/>
      <c r="I892" s="189"/>
      <c r="J892" s="189"/>
      <c r="K892" s="189"/>
      <c r="L892" s="189"/>
      <c r="M892" s="189"/>
      <c r="N892" s="189"/>
      <c r="O892" s="189"/>
      <c r="P892" s="189"/>
      <c r="Q892" s="189"/>
      <c r="R892" s="189"/>
      <c r="S892" s="189"/>
      <c r="T892" s="230"/>
      <c r="U892" s="189"/>
      <c r="V892" s="189"/>
      <c r="W892" s="189"/>
      <c r="X892" s="189"/>
      <c r="Y892" s="189"/>
      <c r="Z892" s="189"/>
      <c r="AA892" s="189"/>
      <c r="AB892" s="189"/>
      <c r="AC892" s="189"/>
      <c r="AD892" s="189"/>
    </row>
    <row r="893" spans="1:30">
      <c r="A893" s="189"/>
      <c r="B893" s="189"/>
      <c r="C893" s="189"/>
      <c r="D893" s="189"/>
      <c r="E893" s="189"/>
      <c r="F893" s="189"/>
      <c r="G893" s="189"/>
      <c r="H893" s="189"/>
      <c r="I893" s="189"/>
      <c r="J893" s="189"/>
      <c r="K893" s="189"/>
      <c r="L893" s="189"/>
      <c r="M893" s="189"/>
      <c r="N893" s="189"/>
      <c r="O893" s="189"/>
      <c r="P893" s="189"/>
      <c r="Q893" s="189"/>
      <c r="R893" s="189"/>
      <c r="S893" s="189"/>
      <c r="T893" s="230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</row>
    <row r="894" spans="1:30">
      <c r="A894" s="189"/>
      <c r="B894" s="189"/>
      <c r="C894" s="189"/>
      <c r="D894" s="189"/>
      <c r="E894" s="189"/>
      <c r="F894" s="189"/>
      <c r="G894" s="189"/>
      <c r="H894" s="189"/>
      <c r="I894" s="189"/>
      <c r="J894" s="189"/>
      <c r="K894" s="189"/>
      <c r="L894" s="189"/>
      <c r="M894" s="189"/>
      <c r="N894" s="189"/>
      <c r="O894" s="189"/>
      <c r="P894" s="189"/>
      <c r="Q894" s="189"/>
      <c r="R894" s="189"/>
      <c r="S894" s="189"/>
      <c r="T894" s="230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</row>
    <row r="895" spans="1:30">
      <c r="A895" s="189"/>
      <c r="B895" s="189"/>
      <c r="C895" s="189"/>
      <c r="D895" s="189"/>
      <c r="E895" s="189"/>
      <c r="F895" s="189"/>
      <c r="G895" s="189"/>
      <c r="H895" s="189"/>
      <c r="I895" s="189"/>
      <c r="J895" s="189"/>
      <c r="K895" s="189"/>
      <c r="L895" s="189"/>
      <c r="M895" s="189"/>
      <c r="N895" s="189"/>
      <c r="O895" s="189"/>
      <c r="P895" s="189"/>
      <c r="Q895" s="189"/>
      <c r="R895" s="189"/>
      <c r="S895" s="189"/>
      <c r="T895" s="230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</row>
    <row r="896" spans="1:30">
      <c r="A896" s="189"/>
      <c r="B896" s="189"/>
      <c r="C896" s="189"/>
      <c r="D896" s="189"/>
      <c r="E896" s="189"/>
      <c r="F896" s="189"/>
      <c r="G896" s="189"/>
      <c r="H896" s="189"/>
      <c r="I896" s="189"/>
      <c r="J896" s="189"/>
      <c r="K896" s="189"/>
      <c r="L896" s="189"/>
      <c r="M896" s="189"/>
      <c r="N896" s="189"/>
      <c r="O896" s="189"/>
      <c r="P896" s="189"/>
      <c r="Q896" s="189"/>
      <c r="R896" s="189"/>
      <c r="S896" s="189"/>
      <c r="T896" s="230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</row>
    <row r="897" spans="1:30">
      <c r="A897" s="189"/>
      <c r="B897" s="189"/>
      <c r="C897" s="189"/>
      <c r="D897" s="189"/>
      <c r="E897" s="189"/>
      <c r="F897" s="189"/>
      <c r="G897" s="189"/>
      <c r="H897" s="189"/>
      <c r="I897" s="189"/>
      <c r="J897" s="189"/>
      <c r="K897" s="189"/>
      <c r="L897" s="189"/>
      <c r="M897" s="189"/>
      <c r="N897" s="189"/>
      <c r="O897" s="189"/>
      <c r="P897" s="189"/>
      <c r="Q897" s="189"/>
      <c r="R897" s="189"/>
      <c r="S897" s="189"/>
      <c r="T897" s="230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</row>
    <row r="898" spans="1:30">
      <c r="A898" s="189"/>
      <c r="B898" s="189"/>
      <c r="C898" s="189"/>
      <c r="D898" s="189"/>
      <c r="E898" s="189"/>
      <c r="F898" s="189"/>
      <c r="G898" s="189"/>
      <c r="H898" s="189"/>
      <c r="I898" s="189"/>
      <c r="J898" s="189"/>
      <c r="K898" s="189"/>
      <c r="L898" s="189"/>
      <c r="M898" s="189"/>
      <c r="N898" s="189"/>
      <c r="O898" s="189"/>
      <c r="P898" s="189"/>
      <c r="Q898" s="189"/>
      <c r="R898" s="189"/>
      <c r="S898" s="189"/>
      <c r="T898" s="230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</row>
    <row r="899" spans="1:30">
      <c r="A899" s="189"/>
      <c r="B899" s="189"/>
      <c r="C899" s="189"/>
      <c r="D899" s="189"/>
      <c r="E899" s="189"/>
      <c r="F899" s="189"/>
      <c r="G899" s="189"/>
      <c r="H899" s="189"/>
      <c r="I899" s="189"/>
      <c r="J899" s="189"/>
      <c r="K899" s="189"/>
      <c r="L899" s="189"/>
      <c r="M899" s="189"/>
      <c r="N899" s="189"/>
      <c r="O899" s="189"/>
      <c r="P899" s="189"/>
      <c r="Q899" s="189"/>
      <c r="R899" s="189"/>
      <c r="S899" s="189"/>
      <c r="T899" s="230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</row>
    <row r="900" spans="1:30">
      <c r="A900" s="189"/>
      <c r="B900" s="189"/>
      <c r="C900" s="189"/>
      <c r="D900" s="189"/>
      <c r="E900" s="189"/>
      <c r="F900" s="189"/>
      <c r="G900" s="189"/>
      <c r="H900" s="189"/>
      <c r="I900" s="189"/>
      <c r="J900" s="189"/>
      <c r="K900" s="189"/>
      <c r="L900" s="189"/>
      <c r="M900" s="189"/>
      <c r="N900" s="189"/>
      <c r="O900" s="189"/>
      <c r="P900" s="189"/>
      <c r="Q900" s="189"/>
      <c r="R900" s="189"/>
      <c r="S900" s="189"/>
      <c r="T900" s="230"/>
      <c r="U900" s="189"/>
      <c r="V900" s="189"/>
      <c r="W900" s="189"/>
      <c r="X900" s="189"/>
      <c r="Y900" s="189"/>
      <c r="Z900" s="189"/>
      <c r="AA900" s="189"/>
      <c r="AB900" s="189"/>
      <c r="AC900" s="189"/>
      <c r="AD900" s="189"/>
    </row>
    <row r="901" spans="1:30">
      <c r="A901" s="189"/>
      <c r="B901" s="189"/>
      <c r="C901" s="189"/>
      <c r="D901" s="189"/>
      <c r="E901" s="189"/>
      <c r="F901" s="189"/>
      <c r="G901" s="189"/>
      <c r="H901" s="189"/>
      <c r="I901" s="189"/>
      <c r="J901" s="189"/>
      <c r="K901" s="189"/>
      <c r="L901" s="189"/>
      <c r="M901" s="189"/>
      <c r="N901" s="189"/>
      <c r="O901" s="189"/>
      <c r="P901" s="189"/>
      <c r="Q901" s="189"/>
      <c r="R901" s="189"/>
      <c r="S901" s="189"/>
      <c r="T901" s="230"/>
      <c r="U901" s="189"/>
      <c r="V901" s="189"/>
      <c r="W901" s="189"/>
      <c r="X901" s="189"/>
      <c r="Y901" s="189"/>
      <c r="Z901" s="189"/>
      <c r="AA901" s="189"/>
      <c r="AB901" s="189"/>
      <c r="AC901" s="189"/>
      <c r="AD901" s="189"/>
    </row>
    <row r="902" spans="1:30">
      <c r="A902" s="189"/>
      <c r="B902" s="189"/>
      <c r="C902" s="189"/>
      <c r="D902" s="189"/>
      <c r="E902" s="189"/>
      <c r="F902" s="189"/>
      <c r="G902" s="189"/>
      <c r="H902" s="189"/>
      <c r="I902" s="189"/>
      <c r="J902" s="189"/>
      <c r="K902" s="189"/>
      <c r="L902" s="189"/>
      <c r="M902" s="189"/>
      <c r="N902" s="189"/>
      <c r="O902" s="189"/>
      <c r="P902" s="189"/>
      <c r="Q902" s="189"/>
      <c r="R902" s="189"/>
      <c r="S902" s="189"/>
      <c r="T902" s="230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</row>
    <row r="903" spans="1:30">
      <c r="A903" s="189"/>
      <c r="B903" s="189"/>
      <c r="C903" s="189"/>
      <c r="D903" s="189"/>
      <c r="E903" s="189"/>
      <c r="F903" s="189"/>
      <c r="G903" s="189"/>
      <c r="H903" s="189"/>
      <c r="I903" s="189"/>
      <c r="J903" s="189"/>
      <c r="K903" s="189"/>
      <c r="L903" s="189"/>
      <c r="M903" s="189"/>
      <c r="N903" s="189"/>
      <c r="O903" s="189"/>
      <c r="P903" s="189"/>
      <c r="Q903" s="189"/>
      <c r="R903" s="189"/>
      <c r="S903" s="189"/>
      <c r="T903" s="230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</row>
    <row r="904" spans="1:30">
      <c r="A904" s="189"/>
      <c r="B904" s="189"/>
      <c r="C904" s="189"/>
      <c r="D904" s="189"/>
      <c r="E904" s="189"/>
      <c r="F904" s="189"/>
      <c r="G904" s="189"/>
      <c r="H904" s="189"/>
      <c r="I904" s="189"/>
      <c r="J904" s="189"/>
      <c r="K904" s="189"/>
      <c r="L904" s="189"/>
      <c r="M904" s="189"/>
      <c r="N904" s="189"/>
      <c r="O904" s="189"/>
      <c r="P904" s="189"/>
      <c r="Q904" s="189"/>
      <c r="R904" s="189"/>
      <c r="S904" s="189"/>
      <c r="T904" s="230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</row>
    <row r="905" spans="1:30">
      <c r="A905" s="189"/>
      <c r="B905" s="189"/>
      <c r="C905" s="189"/>
      <c r="D905" s="189"/>
      <c r="E905" s="189"/>
      <c r="F905" s="189"/>
      <c r="G905" s="189"/>
      <c r="H905" s="189"/>
      <c r="I905" s="189"/>
      <c r="J905" s="189"/>
      <c r="K905" s="189"/>
      <c r="L905" s="189"/>
      <c r="M905" s="189"/>
      <c r="N905" s="189"/>
      <c r="O905" s="189"/>
      <c r="P905" s="189"/>
      <c r="Q905" s="189"/>
      <c r="R905" s="189"/>
      <c r="S905" s="189"/>
      <c r="T905" s="230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</row>
    <row r="906" spans="1:30">
      <c r="A906" s="189"/>
      <c r="B906" s="189"/>
      <c r="C906" s="189"/>
      <c r="D906" s="189"/>
      <c r="E906" s="189"/>
      <c r="F906" s="189"/>
      <c r="G906" s="189"/>
      <c r="H906" s="189"/>
      <c r="I906" s="189"/>
      <c r="J906" s="189"/>
      <c r="K906" s="189"/>
      <c r="L906" s="189"/>
      <c r="M906" s="189"/>
      <c r="N906" s="189"/>
      <c r="O906" s="189"/>
      <c r="P906" s="189"/>
      <c r="Q906" s="189"/>
      <c r="R906" s="189"/>
      <c r="S906" s="189"/>
      <c r="T906" s="230"/>
      <c r="U906" s="189"/>
      <c r="V906" s="189"/>
      <c r="W906" s="189"/>
      <c r="X906" s="189"/>
      <c r="Y906" s="189"/>
      <c r="Z906" s="189"/>
      <c r="AA906" s="189"/>
      <c r="AB906" s="189"/>
      <c r="AC906" s="189"/>
      <c r="AD906" s="189"/>
    </row>
    <row r="907" spans="1:30">
      <c r="A907" s="189"/>
      <c r="B907" s="189"/>
      <c r="C907" s="189"/>
      <c r="D907" s="189"/>
      <c r="E907" s="189"/>
      <c r="F907" s="189"/>
      <c r="G907" s="189"/>
      <c r="H907" s="189"/>
      <c r="I907" s="189"/>
      <c r="J907" s="189"/>
      <c r="K907" s="189"/>
      <c r="L907" s="189"/>
      <c r="M907" s="189"/>
      <c r="N907" s="189"/>
      <c r="O907" s="189"/>
      <c r="P907" s="189"/>
      <c r="Q907" s="189"/>
      <c r="R907" s="189"/>
      <c r="S907" s="189"/>
      <c r="T907" s="230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</row>
    <row r="908" spans="1:30">
      <c r="A908" s="189"/>
      <c r="B908" s="189"/>
      <c r="C908" s="189"/>
      <c r="D908" s="189"/>
      <c r="E908" s="189"/>
      <c r="F908" s="189"/>
      <c r="G908" s="189"/>
      <c r="H908" s="189"/>
      <c r="I908" s="189"/>
      <c r="J908" s="189"/>
      <c r="K908" s="189"/>
      <c r="L908" s="189"/>
      <c r="M908" s="189"/>
      <c r="N908" s="189"/>
      <c r="O908" s="189"/>
      <c r="P908" s="189"/>
      <c r="Q908" s="189"/>
      <c r="R908" s="189"/>
      <c r="S908" s="189"/>
      <c r="T908" s="230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</row>
    <row r="909" spans="1:30">
      <c r="A909" s="189"/>
      <c r="B909" s="189"/>
      <c r="C909" s="189"/>
      <c r="D909" s="189"/>
      <c r="E909" s="189"/>
      <c r="F909" s="189"/>
      <c r="G909" s="189"/>
      <c r="H909" s="189"/>
      <c r="I909" s="189"/>
      <c r="J909" s="189"/>
      <c r="K909" s="189"/>
      <c r="L909" s="189"/>
      <c r="M909" s="189"/>
      <c r="N909" s="189"/>
      <c r="O909" s="189"/>
      <c r="P909" s="189"/>
      <c r="Q909" s="189"/>
      <c r="R909" s="189"/>
      <c r="S909" s="189"/>
      <c r="T909" s="230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</row>
    <row r="910" spans="1:30">
      <c r="A910" s="189"/>
      <c r="B910" s="189"/>
      <c r="C910" s="189"/>
      <c r="D910" s="189"/>
      <c r="E910" s="189"/>
      <c r="F910" s="189"/>
      <c r="G910" s="189"/>
      <c r="H910" s="189"/>
      <c r="I910" s="189"/>
      <c r="J910" s="189"/>
      <c r="K910" s="189"/>
      <c r="L910" s="189"/>
      <c r="M910" s="189"/>
      <c r="N910" s="189"/>
      <c r="O910" s="189"/>
      <c r="P910" s="189"/>
      <c r="Q910" s="189"/>
      <c r="R910" s="189"/>
      <c r="S910" s="189"/>
      <c r="T910" s="230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</row>
    <row r="911" spans="1:30">
      <c r="A911" s="189"/>
      <c r="B911" s="189"/>
      <c r="C911" s="189"/>
      <c r="D911" s="189"/>
      <c r="E911" s="189"/>
      <c r="F911" s="189"/>
      <c r="G911" s="189"/>
      <c r="H911" s="189"/>
      <c r="I911" s="189"/>
      <c r="J911" s="189"/>
      <c r="K911" s="189"/>
      <c r="L911" s="189"/>
      <c r="M911" s="189"/>
      <c r="N911" s="189"/>
      <c r="O911" s="189"/>
      <c r="P911" s="189"/>
      <c r="Q911" s="189"/>
      <c r="R911" s="189"/>
      <c r="S911" s="189"/>
      <c r="T911" s="230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</row>
    <row r="912" spans="1:30">
      <c r="A912" s="189"/>
      <c r="B912" s="189"/>
      <c r="C912" s="189"/>
      <c r="D912" s="189"/>
      <c r="E912" s="189"/>
      <c r="F912" s="189"/>
      <c r="G912" s="189"/>
      <c r="H912" s="189"/>
      <c r="I912" s="189"/>
      <c r="J912" s="189"/>
      <c r="K912" s="189"/>
      <c r="L912" s="189"/>
      <c r="M912" s="189"/>
      <c r="N912" s="189"/>
      <c r="O912" s="189"/>
      <c r="P912" s="189"/>
      <c r="Q912" s="189"/>
      <c r="R912" s="189"/>
      <c r="S912" s="189"/>
      <c r="T912" s="230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</row>
    <row r="913" spans="1:30">
      <c r="A913" s="189"/>
      <c r="B913" s="189"/>
      <c r="C913" s="189"/>
      <c r="D913" s="189"/>
      <c r="E913" s="189"/>
      <c r="F913" s="189"/>
      <c r="G913" s="189"/>
      <c r="H913" s="189"/>
      <c r="I913" s="189"/>
      <c r="J913" s="189"/>
      <c r="K913" s="189"/>
      <c r="L913" s="189"/>
      <c r="M913" s="189"/>
      <c r="N913" s="189"/>
      <c r="O913" s="189"/>
      <c r="P913" s="189"/>
      <c r="Q913" s="189"/>
      <c r="R913" s="189"/>
      <c r="S913" s="189"/>
      <c r="T913" s="230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</row>
    <row r="914" spans="1:30">
      <c r="A914" s="189"/>
      <c r="B914" s="189"/>
      <c r="C914" s="189"/>
      <c r="D914" s="189"/>
      <c r="E914" s="189"/>
      <c r="F914" s="189"/>
      <c r="G914" s="189"/>
      <c r="H914" s="189"/>
      <c r="I914" s="189"/>
      <c r="J914" s="189"/>
      <c r="K914" s="189"/>
      <c r="L914" s="189"/>
      <c r="M914" s="189"/>
      <c r="N914" s="189"/>
      <c r="O914" s="189"/>
      <c r="P914" s="189"/>
      <c r="Q914" s="189"/>
      <c r="R914" s="189"/>
      <c r="S914" s="189"/>
      <c r="T914" s="230"/>
      <c r="U914" s="189"/>
      <c r="V914" s="189"/>
      <c r="W914" s="189"/>
      <c r="X914" s="189"/>
      <c r="Y914" s="189"/>
      <c r="Z914" s="189"/>
      <c r="AA914" s="189"/>
      <c r="AB914" s="189"/>
      <c r="AC914" s="189"/>
      <c r="AD914" s="189"/>
    </row>
    <row r="915" spans="1:30">
      <c r="A915" s="189"/>
      <c r="B915" s="189"/>
      <c r="C915" s="189"/>
      <c r="D915" s="189"/>
      <c r="E915" s="189"/>
      <c r="F915" s="189"/>
      <c r="G915" s="189"/>
      <c r="H915" s="189"/>
      <c r="I915" s="189"/>
      <c r="J915" s="189"/>
      <c r="K915" s="189"/>
      <c r="L915" s="189"/>
      <c r="M915" s="189"/>
      <c r="N915" s="189"/>
      <c r="O915" s="189"/>
      <c r="P915" s="189"/>
      <c r="Q915" s="189"/>
      <c r="R915" s="189"/>
      <c r="S915" s="189"/>
      <c r="T915" s="230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</row>
    <row r="916" spans="1:30">
      <c r="A916" s="189"/>
      <c r="B916" s="189"/>
      <c r="C916" s="189"/>
      <c r="D916" s="189"/>
      <c r="E916" s="189"/>
      <c r="F916" s="189"/>
      <c r="G916" s="189"/>
      <c r="H916" s="189"/>
      <c r="I916" s="189"/>
      <c r="J916" s="189"/>
      <c r="K916" s="189"/>
      <c r="L916" s="189"/>
      <c r="M916" s="189"/>
      <c r="N916" s="189"/>
      <c r="O916" s="189"/>
      <c r="P916" s="189"/>
      <c r="Q916" s="189"/>
      <c r="R916" s="189"/>
      <c r="S916" s="189"/>
      <c r="T916" s="230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</row>
    <row r="917" spans="1:30">
      <c r="A917" s="189"/>
      <c r="B917" s="189"/>
      <c r="C917" s="189"/>
      <c r="D917" s="189"/>
      <c r="E917" s="189"/>
      <c r="F917" s="189"/>
      <c r="G917" s="189"/>
      <c r="H917" s="189"/>
      <c r="I917" s="189"/>
      <c r="J917" s="189"/>
      <c r="K917" s="189"/>
      <c r="L917" s="189"/>
      <c r="M917" s="189"/>
      <c r="N917" s="189"/>
      <c r="O917" s="189"/>
      <c r="P917" s="189"/>
      <c r="Q917" s="189"/>
      <c r="R917" s="189"/>
      <c r="S917" s="189"/>
      <c r="T917" s="230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</row>
    <row r="918" spans="1:30">
      <c r="A918" s="189"/>
      <c r="B918" s="189"/>
      <c r="C918" s="189"/>
      <c r="D918" s="189"/>
      <c r="E918" s="189"/>
      <c r="F918" s="189"/>
      <c r="G918" s="189"/>
      <c r="H918" s="189"/>
      <c r="I918" s="189"/>
      <c r="J918" s="189"/>
      <c r="K918" s="189"/>
      <c r="L918" s="189"/>
      <c r="M918" s="189"/>
      <c r="N918" s="189"/>
      <c r="O918" s="189"/>
      <c r="P918" s="189"/>
      <c r="Q918" s="189"/>
      <c r="R918" s="189"/>
      <c r="S918" s="189"/>
      <c r="T918" s="230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</row>
    <row r="919" spans="1:30">
      <c r="A919" s="189"/>
      <c r="B919" s="189"/>
      <c r="C919" s="189"/>
      <c r="D919" s="189"/>
      <c r="E919" s="189"/>
      <c r="F919" s="189"/>
      <c r="G919" s="189"/>
      <c r="H919" s="189"/>
      <c r="I919" s="189"/>
      <c r="J919" s="189"/>
      <c r="K919" s="189"/>
      <c r="L919" s="189"/>
      <c r="M919" s="189"/>
      <c r="N919" s="189"/>
      <c r="O919" s="189"/>
      <c r="P919" s="189"/>
      <c r="Q919" s="189"/>
      <c r="R919" s="189"/>
      <c r="S919" s="189"/>
      <c r="T919" s="230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</row>
    <row r="920" spans="1:30">
      <c r="A920" s="189"/>
      <c r="B920" s="189"/>
      <c r="C920" s="189"/>
      <c r="D920" s="189"/>
      <c r="E920" s="189"/>
      <c r="F920" s="189"/>
      <c r="G920" s="189"/>
      <c r="H920" s="189"/>
      <c r="I920" s="189"/>
      <c r="J920" s="189"/>
      <c r="K920" s="189"/>
      <c r="L920" s="189"/>
      <c r="M920" s="189"/>
      <c r="N920" s="189"/>
      <c r="O920" s="189"/>
      <c r="P920" s="189"/>
      <c r="Q920" s="189"/>
      <c r="R920" s="189"/>
      <c r="S920" s="189"/>
      <c r="T920" s="230"/>
      <c r="U920" s="189"/>
      <c r="V920" s="189"/>
      <c r="W920" s="189"/>
      <c r="X920" s="189"/>
      <c r="Y920" s="189"/>
      <c r="Z920" s="189"/>
      <c r="AA920" s="189"/>
      <c r="AB920" s="189"/>
      <c r="AC920" s="189"/>
      <c r="AD920" s="189"/>
    </row>
    <row r="921" spans="1:30">
      <c r="A921" s="189"/>
      <c r="B921" s="189"/>
      <c r="C921" s="189"/>
      <c r="D921" s="189"/>
      <c r="E921" s="189"/>
      <c r="F921" s="189"/>
      <c r="G921" s="189"/>
      <c r="H921" s="189"/>
      <c r="I921" s="189"/>
      <c r="J921" s="189"/>
      <c r="K921" s="189"/>
      <c r="L921" s="189"/>
      <c r="M921" s="189"/>
      <c r="N921" s="189"/>
      <c r="O921" s="189"/>
      <c r="P921" s="189"/>
      <c r="Q921" s="189"/>
      <c r="R921" s="189"/>
      <c r="S921" s="189"/>
      <c r="T921" s="230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</row>
    <row r="922" spans="1:30">
      <c r="A922" s="189"/>
      <c r="B922" s="189"/>
      <c r="C922" s="189"/>
      <c r="D922" s="189"/>
      <c r="E922" s="189"/>
      <c r="F922" s="189"/>
      <c r="G922" s="189"/>
      <c r="H922" s="189"/>
      <c r="I922" s="189"/>
      <c r="J922" s="189"/>
      <c r="K922" s="189"/>
      <c r="L922" s="189"/>
      <c r="M922" s="189"/>
      <c r="N922" s="189"/>
      <c r="O922" s="189"/>
      <c r="P922" s="189"/>
      <c r="Q922" s="189"/>
      <c r="R922" s="189"/>
      <c r="S922" s="189"/>
      <c r="T922" s="230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</row>
    <row r="923" spans="1:30">
      <c r="A923" s="189"/>
      <c r="B923" s="189"/>
      <c r="C923" s="189"/>
      <c r="D923" s="189"/>
      <c r="E923" s="189"/>
      <c r="F923" s="189"/>
      <c r="G923" s="189"/>
      <c r="H923" s="189"/>
      <c r="I923" s="189"/>
      <c r="J923" s="189"/>
      <c r="K923" s="189"/>
      <c r="L923" s="189"/>
      <c r="M923" s="189"/>
      <c r="N923" s="189"/>
      <c r="O923" s="189"/>
      <c r="P923" s="189"/>
      <c r="Q923" s="189"/>
      <c r="R923" s="189"/>
      <c r="S923" s="189"/>
      <c r="T923" s="230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</row>
    <row r="924" spans="1:30">
      <c r="A924" s="189"/>
      <c r="B924" s="189"/>
      <c r="C924" s="189"/>
      <c r="D924" s="189"/>
      <c r="E924" s="189"/>
      <c r="F924" s="189"/>
      <c r="G924" s="189"/>
      <c r="H924" s="189"/>
      <c r="I924" s="189"/>
      <c r="J924" s="189"/>
      <c r="K924" s="189"/>
      <c r="L924" s="189"/>
      <c r="M924" s="189"/>
      <c r="N924" s="189"/>
      <c r="O924" s="189"/>
      <c r="P924" s="189"/>
      <c r="Q924" s="189"/>
      <c r="R924" s="189"/>
      <c r="S924" s="189"/>
      <c r="T924" s="230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</row>
    <row r="925" spans="1:30">
      <c r="A925" s="189"/>
      <c r="B925" s="189"/>
      <c r="C925" s="189"/>
      <c r="D925" s="189"/>
      <c r="E925" s="189"/>
      <c r="F925" s="189"/>
      <c r="G925" s="189"/>
      <c r="H925" s="189"/>
      <c r="I925" s="189"/>
      <c r="J925" s="189"/>
      <c r="K925" s="189"/>
      <c r="L925" s="189"/>
      <c r="M925" s="189"/>
      <c r="N925" s="189"/>
      <c r="O925" s="189"/>
      <c r="P925" s="189"/>
      <c r="Q925" s="189"/>
      <c r="R925" s="189"/>
      <c r="S925" s="189"/>
      <c r="T925" s="230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</row>
    <row r="926" spans="1:30">
      <c r="A926" s="189"/>
      <c r="B926" s="189"/>
      <c r="C926" s="189"/>
      <c r="D926" s="189"/>
      <c r="E926" s="189"/>
      <c r="F926" s="189"/>
      <c r="G926" s="189"/>
      <c r="H926" s="189"/>
      <c r="I926" s="189"/>
      <c r="J926" s="189"/>
      <c r="K926" s="189"/>
      <c r="L926" s="189"/>
      <c r="M926" s="189"/>
      <c r="N926" s="189"/>
      <c r="O926" s="189"/>
      <c r="P926" s="189"/>
      <c r="Q926" s="189"/>
      <c r="R926" s="189"/>
      <c r="S926" s="189"/>
      <c r="T926" s="230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</row>
    <row r="927" spans="1:30">
      <c r="A927" s="189"/>
      <c r="B927" s="189"/>
      <c r="C927" s="189"/>
      <c r="D927" s="189"/>
      <c r="E927" s="189"/>
      <c r="F927" s="189"/>
      <c r="G927" s="189"/>
      <c r="H927" s="189"/>
      <c r="I927" s="189"/>
      <c r="J927" s="189"/>
      <c r="K927" s="189"/>
      <c r="L927" s="189"/>
      <c r="M927" s="189"/>
      <c r="N927" s="189"/>
      <c r="O927" s="189"/>
      <c r="P927" s="189"/>
      <c r="Q927" s="189"/>
      <c r="R927" s="189"/>
      <c r="S927" s="189"/>
      <c r="T927" s="230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</row>
    <row r="928" spans="1:30">
      <c r="A928" s="189"/>
      <c r="B928" s="189"/>
      <c r="C928" s="189"/>
      <c r="D928" s="189"/>
      <c r="E928" s="189"/>
      <c r="F928" s="189"/>
      <c r="G928" s="189"/>
      <c r="H928" s="189"/>
      <c r="I928" s="189"/>
      <c r="J928" s="189"/>
      <c r="K928" s="189"/>
      <c r="L928" s="189"/>
      <c r="M928" s="189"/>
      <c r="N928" s="189"/>
      <c r="O928" s="189"/>
      <c r="P928" s="189"/>
      <c r="Q928" s="189"/>
      <c r="R928" s="189"/>
      <c r="S928" s="189"/>
      <c r="T928" s="230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</row>
    <row r="929" spans="1:30">
      <c r="A929" s="189"/>
      <c r="B929" s="189"/>
      <c r="C929" s="189"/>
      <c r="D929" s="189"/>
      <c r="E929" s="189"/>
      <c r="F929" s="189"/>
      <c r="G929" s="189"/>
      <c r="H929" s="189"/>
      <c r="I929" s="189"/>
      <c r="J929" s="189"/>
      <c r="K929" s="189"/>
      <c r="L929" s="189"/>
      <c r="M929" s="189"/>
      <c r="N929" s="189"/>
      <c r="O929" s="189"/>
      <c r="P929" s="189"/>
      <c r="Q929" s="189"/>
      <c r="R929" s="189"/>
      <c r="S929" s="189"/>
      <c r="T929" s="230"/>
      <c r="U929" s="189"/>
      <c r="V929" s="189"/>
      <c r="W929" s="189"/>
      <c r="X929" s="189"/>
      <c r="Y929" s="189"/>
      <c r="Z929" s="189"/>
      <c r="AA929" s="189"/>
      <c r="AB929" s="189"/>
      <c r="AC929" s="189"/>
      <c r="AD929" s="189"/>
    </row>
    <row r="930" spans="1:30">
      <c r="A930" s="189"/>
      <c r="B930" s="189"/>
      <c r="C930" s="189"/>
      <c r="D930" s="189"/>
      <c r="E930" s="189"/>
      <c r="F930" s="189"/>
      <c r="G930" s="189"/>
      <c r="H930" s="189"/>
      <c r="I930" s="189"/>
      <c r="J930" s="189"/>
      <c r="K930" s="189"/>
      <c r="L930" s="189"/>
      <c r="M930" s="189"/>
      <c r="N930" s="189"/>
      <c r="O930" s="189"/>
      <c r="P930" s="189"/>
      <c r="Q930" s="189"/>
      <c r="R930" s="189"/>
      <c r="S930" s="189"/>
      <c r="T930" s="230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</row>
    <row r="931" spans="1:30">
      <c r="A931" s="189"/>
      <c r="B931" s="189"/>
      <c r="C931" s="189"/>
      <c r="D931" s="189"/>
      <c r="E931" s="189"/>
      <c r="F931" s="189"/>
      <c r="G931" s="189"/>
      <c r="H931" s="189"/>
      <c r="I931" s="189"/>
      <c r="J931" s="189"/>
      <c r="K931" s="189"/>
      <c r="L931" s="189"/>
      <c r="M931" s="189"/>
      <c r="N931" s="189"/>
      <c r="O931" s="189"/>
      <c r="P931" s="189"/>
      <c r="Q931" s="189"/>
      <c r="R931" s="189"/>
      <c r="S931" s="189"/>
      <c r="T931" s="230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</row>
    <row r="932" spans="1:30">
      <c r="A932" s="189"/>
      <c r="B932" s="189"/>
      <c r="C932" s="189"/>
      <c r="D932" s="189"/>
      <c r="E932" s="189"/>
      <c r="F932" s="189"/>
      <c r="G932" s="189"/>
      <c r="H932" s="189"/>
      <c r="I932" s="189"/>
      <c r="J932" s="189"/>
      <c r="K932" s="189"/>
      <c r="L932" s="189"/>
      <c r="M932" s="189"/>
      <c r="N932" s="189"/>
      <c r="O932" s="189"/>
      <c r="P932" s="189"/>
      <c r="Q932" s="189"/>
      <c r="R932" s="189"/>
      <c r="S932" s="189"/>
      <c r="T932" s="230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</row>
    <row r="933" spans="1:30">
      <c r="A933" s="189"/>
      <c r="B933" s="189"/>
      <c r="C933" s="189"/>
      <c r="D933" s="189"/>
      <c r="E933" s="189"/>
      <c r="F933" s="189"/>
      <c r="G933" s="189"/>
      <c r="H933" s="189"/>
      <c r="I933" s="189"/>
      <c r="J933" s="189"/>
      <c r="K933" s="189"/>
      <c r="L933" s="189"/>
      <c r="M933" s="189"/>
      <c r="N933" s="189"/>
      <c r="O933" s="189"/>
      <c r="P933" s="189"/>
      <c r="Q933" s="189"/>
      <c r="R933" s="189"/>
      <c r="S933" s="189"/>
      <c r="T933" s="230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</row>
    <row r="934" spans="1:30">
      <c r="A934" s="189"/>
      <c r="B934" s="189"/>
      <c r="C934" s="189"/>
      <c r="D934" s="189"/>
      <c r="E934" s="189"/>
      <c r="F934" s="189"/>
      <c r="G934" s="189"/>
      <c r="H934" s="189"/>
      <c r="I934" s="189"/>
      <c r="J934" s="189"/>
      <c r="K934" s="189"/>
      <c r="L934" s="189"/>
      <c r="M934" s="189"/>
      <c r="N934" s="189"/>
      <c r="O934" s="189"/>
      <c r="P934" s="189"/>
      <c r="Q934" s="189"/>
      <c r="R934" s="189"/>
      <c r="S934" s="189"/>
      <c r="T934" s="230"/>
      <c r="U934" s="189"/>
      <c r="V934" s="189"/>
      <c r="W934" s="189"/>
      <c r="X934" s="189"/>
      <c r="Y934" s="189"/>
      <c r="Z934" s="189"/>
      <c r="AA934" s="189"/>
      <c r="AB934" s="189"/>
      <c r="AC934" s="189"/>
      <c r="AD934" s="189"/>
    </row>
    <row r="935" spans="1:30">
      <c r="A935" s="189"/>
      <c r="B935" s="189"/>
      <c r="C935" s="189"/>
      <c r="D935" s="189"/>
      <c r="E935" s="189"/>
      <c r="F935" s="189"/>
      <c r="G935" s="189"/>
      <c r="H935" s="189"/>
      <c r="I935" s="189"/>
      <c r="J935" s="189"/>
      <c r="K935" s="189"/>
      <c r="L935" s="189"/>
      <c r="M935" s="189"/>
      <c r="N935" s="189"/>
      <c r="O935" s="189"/>
      <c r="P935" s="189"/>
      <c r="Q935" s="189"/>
      <c r="R935" s="189"/>
      <c r="S935" s="189"/>
      <c r="T935" s="230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</row>
    <row r="936" spans="1:30">
      <c r="A936" s="189"/>
      <c r="B936" s="189"/>
      <c r="C936" s="189"/>
      <c r="D936" s="189"/>
      <c r="E936" s="189"/>
      <c r="F936" s="189"/>
      <c r="G936" s="189"/>
      <c r="H936" s="189"/>
      <c r="I936" s="189"/>
      <c r="J936" s="189"/>
      <c r="K936" s="189"/>
      <c r="L936" s="189"/>
      <c r="M936" s="189"/>
      <c r="N936" s="189"/>
      <c r="O936" s="189"/>
      <c r="P936" s="189"/>
      <c r="Q936" s="189"/>
      <c r="R936" s="189"/>
      <c r="S936" s="189"/>
      <c r="T936" s="230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</row>
    <row r="937" spans="1:30">
      <c r="A937" s="189"/>
      <c r="B937" s="189"/>
      <c r="C937" s="189"/>
      <c r="D937" s="189"/>
      <c r="E937" s="189"/>
      <c r="F937" s="189"/>
      <c r="G937" s="189"/>
      <c r="H937" s="189"/>
      <c r="I937" s="189"/>
      <c r="J937" s="189"/>
      <c r="K937" s="189"/>
      <c r="L937" s="189"/>
      <c r="M937" s="189"/>
      <c r="N937" s="189"/>
      <c r="O937" s="189"/>
      <c r="P937" s="189"/>
      <c r="Q937" s="189"/>
      <c r="R937" s="189"/>
      <c r="S937" s="189"/>
      <c r="T937" s="230"/>
      <c r="U937" s="189"/>
      <c r="V937" s="189"/>
      <c r="W937" s="189"/>
      <c r="X937" s="189"/>
      <c r="Y937" s="189"/>
      <c r="Z937" s="189"/>
      <c r="AA937" s="189"/>
      <c r="AB937" s="189"/>
      <c r="AC937" s="189"/>
      <c r="AD937" s="189"/>
    </row>
    <row r="938" spans="1:30">
      <c r="A938" s="189"/>
      <c r="B938" s="189"/>
      <c r="C938" s="189"/>
      <c r="D938" s="189"/>
      <c r="E938" s="189"/>
      <c r="F938" s="189"/>
      <c r="G938" s="189"/>
      <c r="H938" s="189"/>
      <c r="I938" s="189"/>
      <c r="J938" s="189"/>
      <c r="K938" s="189"/>
      <c r="L938" s="189"/>
      <c r="M938" s="189"/>
      <c r="N938" s="189"/>
      <c r="O938" s="189"/>
      <c r="P938" s="189"/>
      <c r="Q938" s="189"/>
      <c r="R938" s="189"/>
      <c r="S938" s="189"/>
      <c r="T938" s="230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</row>
    <row r="939" spans="1:30">
      <c r="A939" s="189"/>
      <c r="B939" s="189"/>
      <c r="C939" s="189"/>
      <c r="D939" s="189"/>
      <c r="E939" s="189"/>
      <c r="F939" s="189"/>
      <c r="G939" s="189"/>
      <c r="H939" s="189"/>
      <c r="I939" s="189"/>
      <c r="J939" s="189"/>
      <c r="K939" s="189"/>
      <c r="L939" s="189"/>
      <c r="M939" s="189"/>
      <c r="N939" s="189"/>
      <c r="O939" s="189"/>
      <c r="P939" s="189"/>
      <c r="Q939" s="189"/>
      <c r="R939" s="189"/>
      <c r="S939" s="189"/>
      <c r="T939" s="230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</row>
    <row r="940" spans="1:30">
      <c r="A940" s="189"/>
      <c r="B940" s="189"/>
      <c r="C940" s="189"/>
      <c r="D940" s="189"/>
      <c r="E940" s="189"/>
      <c r="F940" s="189"/>
      <c r="G940" s="189"/>
      <c r="H940" s="189"/>
      <c r="I940" s="189"/>
      <c r="J940" s="189"/>
      <c r="K940" s="189"/>
      <c r="L940" s="189"/>
      <c r="M940" s="189"/>
      <c r="N940" s="189"/>
      <c r="O940" s="189"/>
      <c r="P940" s="189"/>
      <c r="Q940" s="189"/>
      <c r="R940" s="189"/>
      <c r="S940" s="189"/>
      <c r="T940" s="230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</row>
    <row r="941" spans="1:30">
      <c r="A941" s="189"/>
      <c r="B941" s="189"/>
      <c r="C941" s="189"/>
      <c r="D941" s="189"/>
      <c r="E941" s="189"/>
      <c r="F941" s="189"/>
      <c r="G941" s="189"/>
      <c r="H941" s="189"/>
      <c r="I941" s="189"/>
      <c r="J941" s="189"/>
      <c r="K941" s="189"/>
      <c r="L941" s="189"/>
      <c r="M941" s="189"/>
      <c r="N941" s="189"/>
      <c r="O941" s="189"/>
      <c r="P941" s="189"/>
      <c r="Q941" s="189"/>
      <c r="R941" s="189"/>
      <c r="S941" s="189"/>
      <c r="T941" s="230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</row>
    <row r="942" spans="1:30">
      <c r="A942" s="189"/>
      <c r="B942" s="189"/>
      <c r="C942" s="189"/>
      <c r="D942" s="189"/>
      <c r="E942" s="189"/>
      <c r="F942" s="189"/>
      <c r="G942" s="189"/>
      <c r="H942" s="189"/>
      <c r="I942" s="189"/>
      <c r="J942" s="189"/>
      <c r="K942" s="189"/>
      <c r="L942" s="189"/>
      <c r="M942" s="189"/>
      <c r="N942" s="189"/>
      <c r="O942" s="189"/>
      <c r="P942" s="189"/>
      <c r="Q942" s="189"/>
      <c r="R942" s="189"/>
      <c r="S942" s="189"/>
      <c r="T942" s="230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</row>
    <row r="943" spans="1:30">
      <c r="A943" s="189"/>
      <c r="B943" s="189"/>
      <c r="C943" s="189"/>
      <c r="D943" s="189"/>
      <c r="E943" s="189"/>
      <c r="F943" s="189"/>
      <c r="G943" s="189"/>
      <c r="H943" s="189"/>
      <c r="I943" s="189"/>
      <c r="J943" s="189"/>
      <c r="K943" s="189"/>
      <c r="L943" s="189"/>
      <c r="M943" s="189"/>
      <c r="N943" s="189"/>
      <c r="O943" s="189"/>
      <c r="P943" s="189"/>
      <c r="Q943" s="189"/>
      <c r="R943" s="189"/>
      <c r="S943" s="189"/>
      <c r="T943" s="230"/>
      <c r="U943" s="189"/>
      <c r="V943" s="189"/>
      <c r="W943" s="189"/>
      <c r="X943" s="189"/>
      <c r="Y943" s="189"/>
      <c r="Z943" s="189"/>
      <c r="AA943" s="189"/>
      <c r="AB943" s="189"/>
      <c r="AC943" s="189"/>
      <c r="AD943" s="189"/>
    </row>
    <row r="944" spans="1:30">
      <c r="A944" s="189"/>
      <c r="B944" s="189"/>
      <c r="C944" s="189"/>
      <c r="D944" s="189"/>
      <c r="E944" s="189"/>
      <c r="F944" s="189"/>
      <c r="G944" s="189"/>
      <c r="H944" s="189"/>
      <c r="I944" s="189"/>
      <c r="J944" s="189"/>
      <c r="K944" s="189"/>
      <c r="L944" s="189"/>
      <c r="M944" s="189"/>
      <c r="N944" s="189"/>
      <c r="O944" s="189"/>
      <c r="P944" s="189"/>
      <c r="Q944" s="189"/>
      <c r="R944" s="189"/>
      <c r="S944" s="189"/>
      <c r="T944" s="230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</row>
    <row r="945" spans="1:30">
      <c r="A945" s="189"/>
      <c r="B945" s="189"/>
      <c r="C945" s="189"/>
      <c r="D945" s="189"/>
      <c r="E945" s="189"/>
      <c r="F945" s="189"/>
      <c r="G945" s="189"/>
      <c r="H945" s="189"/>
      <c r="I945" s="189"/>
      <c r="J945" s="189"/>
      <c r="K945" s="189"/>
      <c r="L945" s="189"/>
      <c r="M945" s="189"/>
      <c r="N945" s="189"/>
      <c r="O945" s="189"/>
      <c r="P945" s="189"/>
      <c r="Q945" s="189"/>
      <c r="R945" s="189"/>
      <c r="S945" s="189"/>
      <c r="T945" s="230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</row>
    <row r="946" spans="1:30">
      <c r="A946" s="189"/>
      <c r="B946" s="189"/>
      <c r="C946" s="189"/>
      <c r="D946" s="189"/>
      <c r="E946" s="189"/>
      <c r="F946" s="189"/>
      <c r="G946" s="189"/>
      <c r="H946" s="189"/>
      <c r="I946" s="189"/>
      <c r="J946" s="189"/>
      <c r="K946" s="189"/>
      <c r="L946" s="189"/>
      <c r="M946" s="189"/>
      <c r="N946" s="189"/>
      <c r="O946" s="189"/>
      <c r="P946" s="189"/>
      <c r="Q946" s="189"/>
      <c r="R946" s="189"/>
      <c r="S946" s="189"/>
      <c r="T946" s="230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</row>
    <row r="947" spans="1:30">
      <c r="A947" s="189"/>
      <c r="B947" s="189"/>
      <c r="C947" s="189"/>
      <c r="D947" s="189"/>
      <c r="E947" s="189"/>
      <c r="F947" s="189"/>
      <c r="G947" s="189"/>
      <c r="H947" s="189"/>
      <c r="I947" s="189"/>
      <c r="J947" s="189"/>
      <c r="K947" s="189"/>
      <c r="L947" s="189"/>
      <c r="M947" s="189"/>
      <c r="N947" s="189"/>
      <c r="O947" s="189"/>
      <c r="P947" s="189"/>
      <c r="Q947" s="189"/>
      <c r="R947" s="189"/>
      <c r="S947" s="189"/>
      <c r="T947" s="230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</row>
    <row r="948" spans="1:30">
      <c r="A948" s="189"/>
      <c r="B948" s="189"/>
      <c r="C948" s="189"/>
      <c r="D948" s="189"/>
      <c r="E948" s="189"/>
      <c r="F948" s="189"/>
      <c r="G948" s="189"/>
      <c r="H948" s="189"/>
      <c r="I948" s="189"/>
      <c r="J948" s="189"/>
      <c r="K948" s="189"/>
      <c r="L948" s="189"/>
      <c r="M948" s="189"/>
      <c r="N948" s="189"/>
      <c r="O948" s="189"/>
      <c r="P948" s="189"/>
      <c r="Q948" s="189"/>
      <c r="R948" s="189"/>
      <c r="S948" s="189"/>
      <c r="T948" s="230"/>
      <c r="U948" s="189"/>
      <c r="V948" s="189"/>
      <c r="W948" s="189"/>
      <c r="X948" s="189"/>
      <c r="Y948" s="189"/>
      <c r="Z948" s="189"/>
      <c r="AA948" s="189"/>
      <c r="AB948" s="189"/>
      <c r="AC948" s="189"/>
      <c r="AD948" s="189"/>
    </row>
    <row r="949" spans="1:30">
      <c r="A949" s="189"/>
      <c r="B949" s="189"/>
      <c r="C949" s="189"/>
      <c r="D949" s="189"/>
      <c r="E949" s="189"/>
      <c r="F949" s="189"/>
      <c r="G949" s="189"/>
      <c r="H949" s="189"/>
      <c r="I949" s="189"/>
      <c r="J949" s="189"/>
      <c r="K949" s="189"/>
      <c r="L949" s="189"/>
      <c r="M949" s="189"/>
      <c r="N949" s="189"/>
      <c r="O949" s="189"/>
      <c r="P949" s="189"/>
      <c r="Q949" s="189"/>
      <c r="R949" s="189"/>
      <c r="S949" s="189"/>
      <c r="T949" s="230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</row>
    <row r="950" spans="1:30">
      <c r="A950" s="189"/>
      <c r="B950" s="189"/>
      <c r="C950" s="189"/>
      <c r="D950" s="189"/>
      <c r="E950" s="189"/>
      <c r="F950" s="189"/>
      <c r="G950" s="189"/>
      <c r="H950" s="189"/>
      <c r="I950" s="189"/>
      <c r="J950" s="189"/>
      <c r="K950" s="189"/>
      <c r="L950" s="189"/>
      <c r="M950" s="189"/>
      <c r="N950" s="189"/>
      <c r="O950" s="189"/>
      <c r="P950" s="189"/>
      <c r="Q950" s="189"/>
      <c r="R950" s="189"/>
      <c r="S950" s="189"/>
      <c r="T950" s="230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</row>
    <row r="951" spans="1:30">
      <c r="A951" s="189"/>
      <c r="B951" s="189"/>
      <c r="C951" s="189"/>
      <c r="D951" s="189"/>
      <c r="E951" s="189"/>
      <c r="F951" s="189"/>
      <c r="G951" s="189"/>
      <c r="H951" s="189"/>
      <c r="I951" s="189"/>
      <c r="J951" s="189"/>
      <c r="K951" s="189"/>
      <c r="L951" s="189"/>
      <c r="M951" s="189"/>
      <c r="N951" s="189"/>
      <c r="O951" s="189"/>
      <c r="P951" s="189"/>
      <c r="Q951" s="189"/>
      <c r="R951" s="189"/>
      <c r="S951" s="189"/>
      <c r="T951" s="230"/>
      <c r="U951" s="189"/>
      <c r="V951" s="189"/>
      <c r="W951" s="189"/>
      <c r="X951" s="189"/>
      <c r="Y951" s="189"/>
      <c r="Z951" s="189"/>
      <c r="AA951" s="189"/>
      <c r="AB951" s="189"/>
      <c r="AC951" s="189"/>
      <c r="AD951" s="189"/>
    </row>
    <row r="952" spans="1:30">
      <c r="A952" s="189"/>
      <c r="B952" s="189"/>
      <c r="C952" s="189"/>
      <c r="D952" s="189"/>
      <c r="E952" s="189"/>
      <c r="F952" s="189"/>
      <c r="G952" s="189"/>
      <c r="H952" s="189"/>
      <c r="I952" s="189"/>
      <c r="J952" s="189"/>
      <c r="K952" s="189"/>
      <c r="L952" s="189"/>
      <c r="M952" s="189"/>
      <c r="N952" s="189"/>
      <c r="O952" s="189"/>
      <c r="P952" s="189"/>
      <c r="Q952" s="189"/>
      <c r="R952" s="189"/>
      <c r="S952" s="189"/>
      <c r="T952" s="230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</row>
    <row r="953" spans="1:30">
      <c r="A953" s="189"/>
      <c r="B953" s="189"/>
      <c r="C953" s="189"/>
      <c r="D953" s="189"/>
      <c r="E953" s="189"/>
      <c r="F953" s="189"/>
      <c r="G953" s="189"/>
      <c r="H953" s="189"/>
      <c r="I953" s="189"/>
      <c r="J953" s="189"/>
      <c r="K953" s="189"/>
      <c r="L953" s="189"/>
      <c r="M953" s="189"/>
      <c r="N953" s="189"/>
      <c r="O953" s="189"/>
      <c r="P953" s="189"/>
      <c r="Q953" s="189"/>
      <c r="R953" s="189"/>
      <c r="S953" s="189"/>
      <c r="T953" s="230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</row>
    <row r="954" spans="1:30">
      <c r="A954" s="189"/>
      <c r="B954" s="189"/>
      <c r="C954" s="189"/>
      <c r="D954" s="189"/>
      <c r="E954" s="189"/>
      <c r="F954" s="189"/>
      <c r="G954" s="189"/>
      <c r="H954" s="189"/>
      <c r="I954" s="189"/>
      <c r="J954" s="189"/>
      <c r="K954" s="189"/>
      <c r="L954" s="189"/>
      <c r="M954" s="189"/>
      <c r="N954" s="189"/>
      <c r="O954" s="189"/>
      <c r="P954" s="189"/>
      <c r="Q954" s="189"/>
      <c r="R954" s="189"/>
      <c r="S954" s="189"/>
      <c r="T954" s="230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</row>
    <row r="955" spans="1:30">
      <c r="A955" s="189"/>
      <c r="B955" s="189"/>
      <c r="C955" s="189"/>
      <c r="D955" s="189"/>
      <c r="E955" s="189"/>
      <c r="F955" s="189"/>
      <c r="G955" s="189"/>
      <c r="H955" s="189"/>
      <c r="I955" s="189"/>
      <c r="J955" s="189"/>
      <c r="K955" s="189"/>
      <c r="L955" s="189"/>
      <c r="M955" s="189"/>
      <c r="N955" s="189"/>
      <c r="O955" s="189"/>
      <c r="P955" s="189"/>
      <c r="Q955" s="189"/>
      <c r="R955" s="189"/>
      <c r="S955" s="189"/>
      <c r="T955" s="230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</row>
    <row r="956" spans="1:30">
      <c r="A956" s="189"/>
      <c r="B956" s="189"/>
      <c r="C956" s="189"/>
      <c r="D956" s="189"/>
      <c r="E956" s="189"/>
      <c r="F956" s="189"/>
      <c r="G956" s="189"/>
      <c r="H956" s="189"/>
      <c r="I956" s="189"/>
      <c r="J956" s="189"/>
      <c r="K956" s="189"/>
      <c r="L956" s="189"/>
      <c r="M956" s="189"/>
      <c r="N956" s="189"/>
      <c r="O956" s="189"/>
      <c r="P956" s="189"/>
      <c r="Q956" s="189"/>
      <c r="R956" s="189"/>
      <c r="S956" s="189"/>
      <c r="T956" s="230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</row>
    <row r="957" spans="1:30">
      <c r="A957" s="189"/>
      <c r="B957" s="189"/>
      <c r="C957" s="189"/>
      <c r="D957" s="189"/>
      <c r="E957" s="189"/>
      <c r="F957" s="189"/>
      <c r="G957" s="189"/>
      <c r="H957" s="189"/>
      <c r="I957" s="189"/>
      <c r="J957" s="189"/>
      <c r="K957" s="189"/>
      <c r="L957" s="189"/>
      <c r="M957" s="189"/>
      <c r="N957" s="189"/>
      <c r="O957" s="189"/>
      <c r="P957" s="189"/>
      <c r="Q957" s="189"/>
      <c r="R957" s="189"/>
      <c r="S957" s="189"/>
      <c r="T957" s="230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</row>
    <row r="958" spans="1:30">
      <c r="A958" s="189"/>
      <c r="B958" s="189"/>
      <c r="C958" s="189"/>
      <c r="D958" s="189"/>
      <c r="E958" s="189"/>
      <c r="F958" s="189"/>
      <c r="G958" s="189"/>
      <c r="H958" s="189"/>
      <c r="I958" s="189"/>
      <c r="J958" s="189"/>
      <c r="K958" s="189"/>
      <c r="L958" s="189"/>
      <c r="M958" s="189"/>
      <c r="N958" s="189"/>
      <c r="O958" s="189"/>
      <c r="P958" s="189"/>
      <c r="Q958" s="189"/>
      <c r="R958" s="189"/>
      <c r="S958" s="189"/>
      <c r="T958" s="230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</row>
    <row r="959" spans="1:30">
      <c r="A959" s="189"/>
      <c r="B959" s="189"/>
      <c r="C959" s="189"/>
      <c r="D959" s="189"/>
      <c r="E959" s="189"/>
      <c r="F959" s="189"/>
      <c r="G959" s="189"/>
      <c r="H959" s="189"/>
      <c r="I959" s="189"/>
      <c r="J959" s="189"/>
      <c r="K959" s="189"/>
      <c r="L959" s="189"/>
      <c r="M959" s="189"/>
      <c r="N959" s="189"/>
      <c r="O959" s="189"/>
      <c r="P959" s="189"/>
      <c r="Q959" s="189"/>
      <c r="R959" s="189"/>
      <c r="S959" s="189"/>
      <c r="T959" s="230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</row>
    <row r="960" spans="1:30">
      <c r="A960" s="189"/>
      <c r="B960" s="189"/>
      <c r="C960" s="189"/>
      <c r="D960" s="189"/>
      <c r="E960" s="189"/>
      <c r="F960" s="189"/>
      <c r="G960" s="189"/>
      <c r="H960" s="189"/>
      <c r="I960" s="189"/>
      <c r="J960" s="189"/>
      <c r="K960" s="189"/>
      <c r="L960" s="189"/>
      <c r="M960" s="189"/>
      <c r="N960" s="189"/>
      <c r="O960" s="189"/>
      <c r="P960" s="189"/>
      <c r="Q960" s="189"/>
      <c r="R960" s="189"/>
      <c r="S960" s="189"/>
      <c r="T960" s="230"/>
      <c r="U960" s="189"/>
      <c r="V960" s="189"/>
      <c r="W960" s="189"/>
      <c r="X960" s="189"/>
      <c r="Y960" s="189"/>
      <c r="Z960" s="189"/>
      <c r="AA960" s="189"/>
      <c r="AB960" s="189"/>
      <c r="AC960" s="189"/>
      <c r="AD960" s="189"/>
    </row>
    <row r="961" spans="1:30">
      <c r="A961" s="189"/>
      <c r="B961" s="189"/>
      <c r="C961" s="189"/>
      <c r="D961" s="189"/>
      <c r="E961" s="189"/>
      <c r="F961" s="189"/>
      <c r="G961" s="189"/>
      <c r="H961" s="189"/>
      <c r="I961" s="189"/>
      <c r="J961" s="189"/>
      <c r="K961" s="189"/>
      <c r="L961" s="189"/>
      <c r="M961" s="189"/>
      <c r="N961" s="189"/>
      <c r="O961" s="189"/>
      <c r="P961" s="189"/>
      <c r="Q961" s="189"/>
      <c r="R961" s="189"/>
      <c r="S961" s="189"/>
      <c r="T961" s="230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</row>
    <row r="962" spans="1:30">
      <c r="A962" s="189"/>
      <c r="B962" s="189"/>
      <c r="C962" s="189"/>
      <c r="D962" s="189"/>
      <c r="E962" s="189"/>
      <c r="F962" s="189"/>
      <c r="G962" s="189"/>
      <c r="H962" s="189"/>
      <c r="I962" s="189"/>
      <c r="J962" s="189"/>
      <c r="K962" s="189"/>
      <c r="L962" s="189"/>
      <c r="M962" s="189"/>
      <c r="N962" s="189"/>
      <c r="O962" s="189"/>
      <c r="P962" s="189"/>
      <c r="Q962" s="189"/>
      <c r="R962" s="189"/>
      <c r="S962" s="189"/>
      <c r="T962" s="230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</row>
    <row r="963" spans="1:30">
      <c r="A963" s="189"/>
      <c r="B963" s="189"/>
      <c r="C963" s="189"/>
      <c r="D963" s="189"/>
      <c r="E963" s="189"/>
      <c r="F963" s="189"/>
      <c r="G963" s="189"/>
      <c r="H963" s="189"/>
      <c r="I963" s="189"/>
      <c r="J963" s="189"/>
      <c r="K963" s="189"/>
      <c r="L963" s="189"/>
      <c r="M963" s="189"/>
      <c r="N963" s="189"/>
      <c r="O963" s="189"/>
      <c r="P963" s="189"/>
      <c r="Q963" s="189"/>
      <c r="R963" s="189"/>
      <c r="S963" s="189"/>
      <c r="T963" s="230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</row>
    <row r="964" spans="1:30">
      <c r="A964" s="189"/>
      <c r="B964" s="189"/>
      <c r="C964" s="189"/>
      <c r="D964" s="189"/>
      <c r="E964" s="189"/>
      <c r="F964" s="189"/>
      <c r="G964" s="189"/>
      <c r="H964" s="189"/>
      <c r="I964" s="189"/>
      <c r="J964" s="189"/>
      <c r="K964" s="189"/>
      <c r="L964" s="189"/>
      <c r="M964" s="189"/>
      <c r="N964" s="189"/>
      <c r="O964" s="189"/>
      <c r="P964" s="189"/>
      <c r="Q964" s="189"/>
      <c r="R964" s="189"/>
      <c r="S964" s="189"/>
      <c r="T964" s="230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</row>
    <row r="965" spans="1:30">
      <c r="A965" s="189"/>
      <c r="B965" s="189"/>
      <c r="C965" s="189"/>
      <c r="D965" s="189"/>
      <c r="E965" s="189"/>
      <c r="F965" s="189"/>
      <c r="G965" s="189"/>
      <c r="H965" s="189"/>
      <c r="I965" s="189"/>
      <c r="J965" s="189"/>
      <c r="K965" s="189"/>
      <c r="L965" s="189"/>
      <c r="M965" s="189"/>
      <c r="N965" s="189"/>
      <c r="O965" s="189"/>
      <c r="P965" s="189"/>
      <c r="Q965" s="189"/>
      <c r="R965" s="189"/>
      <c r="S965" s="189"/>
      <c r="T965" s="230"/>
      <c r="U965" s="189"/>
      <c r="V965" s="189"/>
      <c r="W965" s="189"/>
      <c r="X965" s="189"/>
      <c r="Y965" s="189"/>
      <c r="Z965" s="189"/>
      <c r="AA965" s="189"/>
      <c r="AB965" s="189"/>
      <c r="AC965" s="189"/>
      <c r="AD965" s="189"/>
    </row>
    <row r="966" spans="1:30">
      <c r="A966" s="189"/>
      <c r="B966" s="189"/>
      <c r="C966" s="189"/>
      <c r="D966" s="189"/>
      <c r="E966" s="189"/>
      <c r="F966" s="189"/>
      <c r="G966" s="189"/>
      <c r="H966" s="189"/>
      <c r="I966" s="189"/>
      <c r="J966" s="189"/>
      <c r="K966" s="189"/>
      <c r="L966" s="189"/>
      <c r="M966" s="189"/>
      <c r="N966" s="189"/>
      <c r="O966" s="189"/>
      <c r="P966" s="189"/>
      <c r="Q966" s="189"/>
      <c r="R966" s="189"/>
      <c r="S966" s="189"/>
      <c r="T966" s="230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</row>
    <row r="967" spans="1:30">
      <c r="A967" s="189"/>
      <c r="B967" s="189"/>
      <c r="C967" s="189"/>
      <c r="D967" s="189"/>
      <c r="E967" s="189"/>
      <c r="F967" s="189"/>
      <c r="G967" s="189"/>
      <c r="H967" s="189"/>
      <c r="I967" s="189"/>
      <c r="J967" s="189"/>
      <c r="K967" s="189"/>
      <c r="L967" s="189"/>
      <c r="M967" s="189"/>
      <c r="N967" s="189"/>
      <c r="O967" s="189"/>
      <c r="P967" s="189"/>
      <c r="Q967" s="189"/>
      <c r="R967" s="189"/>
      <c r="S967" s="189"/>
      <c r="T967" s="230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</row>
    <row r="968" spans="1:30">
      <c r="A968" s="189"/>
      <c r="B968" s="189"/>
      <c r="C968" s="189"/>
      <c r="D968" s="189"/>
      <c r="E968" s="189"/>
      <c r="F968" s="189"/>
      <c r="G968" s="189"/>
      <c r="H968" s="189"/>
      <c r="I968" s="189"/>
      <c r="J968" s="189"/>
      <c r="K968" s="189"/>
      <c r="L968" s="189"/>
      <c r="M968" s="189"/>
      <c r="N968" s="189"/>
      <c r="O968" s="189"/>
      <c r="P968" s="189"/>
      <c r="Q968" s="189"/>
      <c r="R968" s="189"/>
      <c r="S968" s="189"/>
      <c r="T968" s="230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</row>
    <row r="969" spans="1:30">
      <c r="A969" s="189"/>
      <c r="B969" s="189"/>
      <c r="C969" s="189"/>
      <c r="D969" s="189"/>
      <c r="E969" s="189"/>
      <c r="F969" s="189"/>
      <c r="G969" s="189"/>
      <c r="H969" s="189"/>
      <c r="I969" s="189"/>
      <c r="J969" s="189"/>
      <c r="K969" s="189"/>
      <c r="L969" s="189"/>
      <c r="M969" s="189"/>
      <c r="N969" s="189"/>
      <c r="O969" s="189"/>
      <c r="P969" s="189"/>
      <c r="Q969" s="189"/>
      <c r="R969" s="189"/>
      <c r="S969" s="189"/>
      <c r="T969" s="230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</row>
    <row r="970" spans="1:30">
      <c r="A970" s="189"/>
      <c r="B970" s="189"/>
      <c r="C970" s="189"/>
      <c r="D970" s="189"/>
      <c r="E970" s="189"/>
      <c r="F970" s="189"/>
      <c r="G970" s="189"/>
      <c r="H970" s="189"/>
      <c r="I970" s="189"/>
      <c r="J970" s="189"/>
      <c r="K970" s="189"/>
      <c r="L970" s="189"/>
      <c r="M970" s="189"/>
      <c r="N970" s="189"/>
      <c r="O970" s="189"/>
      <c r="P970" s="189"/>
      <c r="Q970" s="189"/>
      <c r="R970" s="189"/>
      <c r="S970" s="189"/>
      <c r="T970" s="230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</row>
    <row r="971" spans="1:30">
      <c r="A971" s="189"/>
      <c r="B971" s="189"/>
      <c r="C971" s="189"/>
      <c r="D971" s="189"/>
      <c r="E971" s="189"/>
      <c r="F971" s="189"/>
      <c r="G971" s="189"/>
      <c r="H971" s="189"/>
      <c r="I971" s="189"/>
      <c r="J971" s="189"/>
      <c r="K971" s="189"/>
      <c r="L971" s="189"/>
      <c r="M971" s="189"/>
      <c r="N971" s="189"/>
      <c r="O971" s="189"/>
      <c r="P971" s="189"/>
      <c r="Q971" s="189"/>
      <c r="R971" s="189"/>
      <c r="S971" s="189"/>
      <c r="T971" s="230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</row>
    <row r="972" spans="1:30">
      <c r="A972" s="189"/>
      <c r="B972" s="189"/>
      <c r="C972" s="189"/>
      <c r="D972" s="189"/>
      <c r="E972" s="189"/>
      <c r="F972" s="189"/>
      <c r="G972" s="189"/>
      <c r="H972" s="189"/>
      <c r="I972" s="189"/>
      <c r="J972" s="189"/>
      <c r="K972" s="189"/>
      <c r="L972" s="189"/>
      <c r="M972" s="189"/>
      <c r="N972" s="189"/>
      <c r="O972" s="189"/>
      <c r="P972" s="189"/>
      <c r="Q972" s="189"/>
      <c r="R972" s="189"/>
      <c r="S972" s="189"/>
      <c r="T972" s="230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</row>
    <row r="973" spans="1:30">
      <c r="A973" s="189"/>
      <c r="B973" s="189"/>
      <c r="C973" s="189"/>
      <c r="D973" s="189"/>
      <c r="E973" s="189"/>
      <c r="F973" s="189"/>
      <c r="G973" s="189"/>
      <c r="H973" s="189"/>
      <c r="I973" s="189"/>
      <c r="J973" s="189"/>
      <c r="K973" s="189"/>
      <c r="L973" s="189"/>
      <c r="M973" s="189"/>
      <c r="N973" s="189"/>
      <c r="O973" s="189"/>
      <c r="P973" s="189"/>
      <c r="Q973" s="189"/>
      <c r="R973" s="189"/>
      <c r="S973" s="189"/>
      <c r="T973" s="230"/>
      <c r="U973" s="189"/>
      <c r="V973" s="189"/>
      <c r="W973" s="189"/>
      <c r="X973" s="189"/>
      <c r="Y973" s="189"/>
      <c r="Z973" s="189"/>
      <c r="AA973" s="189"/>
      <c r="AB973" s="189"/>
      <c r="AC973" s="189"/>
      <c r="AD973" s="189"/>
    </row>
    <row r="974" spans="1:30">
      <c r="A974" s="189"/>
      <c r="B974" s="189"/>
      <c r="C974" s="189"/>
      <c r="D974" s="189"/>
      <c r="E974" s="189"/>
      <c r="F974" s="189"/>
      <c r="G974" s="189"/>
      <c r="H974" s="189"/>
      <c r="I974" s="189"/>
      <c r="J974" s="189"/>
      <c r="K974" s="189"/>
      <c r="L974" s="189"/>
      <c r="M974" s="189"/>
      <c r="N974" s="189"/>
      <c r="O974" s="189"/>
      <c r="P974" s="189"/>
      <c r="Q974" s="189"/>
      <c r="R974" s="189"/>
      <c r="S974" s="189"/>
      <c r="T974" s="230"/>
      <c r="U974" s="189"/>
      <c r="V974" s="189"/>
      <c r="W974" s="189"/>
      <c r="X974" s="189"/>
      <c r="Y974" s="189"/>
      <c r="Z974" s="189"/>
      <c r="AA974" s="189"/>
      <c r="AB974" s="189"/>
      <c r="AC974" s="189"/>
      <c r="AD974" s="189"/>
    </row>
    <row r="975" spans="1:30">
      <c r="A975" s="189"/>
      <c r="B975" s="189"/>
      <c r="C975" s="189"/>
      <c r="D975" s="189"/>
      <c r="E975" s="189"/>
      <c r="F975" s="189"/>
      <c r="G975" s="189"/>
      <c r="H975" s="189"/>
      <c r="I975" s="189"/>
      <c r="J975" s="189"/>
      <c r="K975" s="189"/>
      <c r="L975" s="189"/>
      <c r="M975" s="189"/>
      <c r="N975" s="189"/>
      <c r="O975" s="189"/>
      <c r="P975" s="189"/>
      <c r="Q975" s="189"/>
      <c r="R975" s="189"/>
      <c r="S975" s="189"/>
      <c r="T975" s="230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</row>
    <row r="976" spans="1:30">
      <c r="A976" s="189"/>
      <c r="B976" s="189"/>
      <c r="C976" s="189"/>
      <c r="D976" s="189"/>
      <c r="E976" s="189"/>
      <c r="F976" s="189"/>
      <c r="G976" s="189"/>
      <c r="H976" s="189"/>
      <c r="I976" s="189"/>
      <c r="J976" s="189"/>
      <c r="K976" s="189"/>
      <c r="L976" s="189"/>
      <c r="M976" s="189"/>
      <c r="N976" s="189"/>
      <c r="O976" s="189"/>
      <c r="P976" s="189"/>
      <c r="Q976" s="189"/>
      <c r="R976" s="189"/>
      <c r="S976" s="189"/>
      <c r="T976" s="230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</row>
    <row r="977" spans="1:30">
      <c r="A977" s="189"/>
      <c r="B977" s="189"/>
      <c r="C977" s="189"/>
      <c r="D977" s="189"/>
      <c r="E977" s="189"/>
      <c r="F977" s="189"/>
      <c r="G977" s="189"/>
      <c r="H977" s="189"/>
      <c r="I977" s="189"/>
      <c r="J977" s="189"/>
      <c r="K977" s="189"/>
      <c r="L977" s="189"/>
      <c r="M977" s="189"/>
      <c r="N977" s="189"/>
      <c r="O977" s="189"/>
      <c r="P977" s="189"/>
      <c r="Q977" s="189"/>
      <c r="R977" s="189"/>
      <c r="S977" s="189"/>
      <c r="T977" s="230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</row>
    <row r="978" spans="1:30">
      <c r="A978" s="189"/>
      <c r="B978" s="189"/>
      <c r="C978" s="189"/>
      <c r="D978" s="189"/>
      <c r="E978" s="189"/>
      <c r="F978" s="189"/>
      <c r="G978" s="189"/>
      <c r="H978" s="189"/>
      <c r="I978" s="189"/>
      <c r="J978" s="189"/>
      <c r="K978" s="189"/>
      <c r="L978" s="189"/>
      <c r="M978" s="189"/>
      <c r="N978" s="189"/>
      <c r="O978" s="189"/>
      <c r="P978" s="189"/>
      <c r="Q978" s="189"/>
      <c r="R978" s="189"/>
      <c r="S978" s="189"/>
      <c r="T978" s="230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</row>
    <row r="979" spans="1:30">
      <c r="A979" s="189"/>
      <c r="B979" s="189"/>
      <c r="C979" s="189"/>
      <c r="D979" s="189"/>
      <c r="E979" s="189"/>
      <c r="F979" s="189"/>
      <c r="G979" s="189"/>
      <c r="H979" s="189"/>
      <c r="I979" s="189"/>
      <c r="J979" s="189"/>
      <c r="K979" s="189"/>
      <c r="L979" s="189"/>
      <c r="M979" s="189"/>
      <c r="N979" s="189"/>
      <c r="O979" s="189"/>
      <c r="P979" s="189"/>
      <c r="Q979" s="189"/>
      <c r="R979" s="189"/>
      <c r="S979" s="189"/>
      <c r="T979" s="230"/>
      <c r="U979" s="189"/>
      <c r="V979" s="189"/>
      <c r="W979" s="189"/>
      <c r="X979" s="189"/>
      <c r="Y979" s="189"/>
      <c r="Z979" s="189"/>
      <c r="AA979" s="189"/>
      <c r="AB979" s="189"/>
      <c r="AC979" s="189"/>
      <c r="AD979" s="189"/>
    </row>
    <row r="980" spans="1:30">
      <c r="A980" s="189"/>
      <c r="B980" s="189"/>
      <c r="C980" s="189"/>
      <c r="D980" s="189"/>
      <c r="E980" s="189"/>
      <c r="F980" s="189"/>
      <c r="G980" s="189"/>
      <c r="H980" s="189"/>
      <c r="I980" s="189"/>
      <c r="J980" s="189"/>
      <c r="K980" s="189"/>
      <c r="L980" s="189"/>
      <c r="M980" s="189"/>
      <c r="N980" s="189"/>
      <c r="O980" s="189"/>
      <c r="P980" s="189"/>
      <c r="Q980" s="189"/>
      <c r="R980" s="189"/>
      <c r="S980" s="189"/>
      <c r="T980" s="230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</row>
    <row r="981" spans="1:30">
      <c r="A981" s="189"/>
      <c r="B981" s="189"/>
      <c r="C981" s="189"/>
      <c r="D981" s="189"/>
      <c r="E981" s="189"/>
      <c r="F981" s="189"/>
      <c r="G981" s="189"/>
      <c r="H981" s="189"/>
      <c r="I981" s="189"/>
      <c r="J981" s="189"/>
      <c r="K981" s="189"/>
      <c r="L981" s="189"/>
      <c r="M981" s="189"/>
      <c r="N981" s="189"/>
      <c r="O981" s="189"/>
      <c r="P981" s="189"/>
      <c r="Q981" s="189"/>
      <c r="R981" s="189"/>
      <c r="S981" s="189"/>
      <c r="T981" s="230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</row>
    <row r="982" spans="1:30">
      <c r="A982" s="189"/>
      <c r="B982" s="189"/>
      <c r="C982" s="189"/>
      <c r="D982" s="189"/>
      <c r="E982" s="189"/>
      <c r="F982" s="189"/>
      <c r="G982" s="189"/>
      <c r="H982" s="189"/>
      <c r="I982" s="189"/>
      <c r="J982" s="189"/>
      <c r="K982" s="189"/>
      <c r="L982" s="189"/>
      <c r="M982" s="189"/>
      <c r="N982" s="189"/>
      <c r="O982" s="189"/>
      <c r="P982" s="189"/>
      <c r="Q982" s="189"/>
      <c r="R982" s="189"/>
      <c r="S982" s="189"/>
      <c r="T982" s="230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</row>
    <row r="983" spans="1:30">
      <c r="A983" s="189"/>
      <c r="B983" s="189"/>
      <c r="C983" s="189"/>
      <c r="D983" s="189"/>
      <c r="E983" s="189"/>
      <c r="F983" s="189"/>
      <c r="G983" s="189"/>
      <c r="H983" s="189"/>
      <c r="I983" s="189"/>
      <c r="J983" s="189"/>
      <c r="K983" s="189"/>
      <c r="L983" s="189"/>
      <c r="M983" s="189"/>
      <c r="N983" s="189"/>
      <c r="O983" s="189"/>
      <c r="P983" s="189"/>
      <c r="Q983" s="189"/>
      <c r="R983" s="189"/>
      <c r="S983" s="189"/>
      <c r="T983" s="230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</row>
    <row r="984" spans="1:30">
      <c r="A984" s="189"/>
      <c r="B984" s="189"/>
      <c r="C984" s="189"/>
      <c r="D984" s="189"/>
      <c r="E984" s="189"/>
      <c r="F984" s="189"/>
      <c r="G984" s="189"/>
      <c r="H984" s="189"/>
      <c r="I984" s="189"/>
      <c r="J984" s="189"/>
      <c r="K984" s="189"/>
      <c r="L984" s="189"/>
      <c r="M984" s="189"/>
      <c r="N984" s="189"/>
      <c r="O984" s="189"/>
      <c r="P984" s="189"/>
      <c r="Q984" s="189"/>
      <c r="R984" s="189"/>
      <c r="S984" s="189"/>
      <c r="T984" s="230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</row>
    <row r="985" spans="1:30">
      <c r="A985" s="189"/>
      <c r="B985" s="189"/>
      <c r="C985" s="189"/>
      <c r="D985" s="189"/>
      <c r="E985" s="189"/>
      <c r="F985" s="189"/>
      <c r="G985" s="189"/>
      <c r="H985" s="189"/>
      <c r="I985" s="189"/>
      <c r="J985" s="189"/>
      <c r="K985" s="189"/>
      <c r="L985" s="189"/>
      <c r="M985" s="189"/>
      <c r="N985" s="189"/>
      <c r="O985" s="189"/>
      <c r="P985" s="189"/>
      <c r="Q985" s="189"/>
      <c r="R985" s="189"/>
      <c r="S985" s="189"/>
      <c r="T985" s="230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</row>
    <row r="986" spans="1:30">
      <c r="A986" s="189"/>
      <c r="B986" s="189"/>
      <c r="C986" s="189"/>
      <c r="D986" s="189"/>
      <c r="E986" s="189"/>
      <c r="F986" s="189"/>
      <c r="G986" s="189"/>
      <c r="H986" s="189"/>
      <c r="I986" s="189"/>
      <c r="J986" s="189"/>
      <c r="K986" s="189"/>
      <c r="L986" s="189"/>
      <c r="M986" s="189"/>
      <c r="N986" s="189"/>
      <c r="O986" s="189"/>
      <c r="P986" s="189"/>
      <c r="Q986" s="189"/>
      <c r="R986" s="189"/>
      <c r="S986" s="189"/>
      <c r="T986" s="230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</row>
    <row r="987" spans="1:30">
      <c r="A987" s="189"/>
      <c r="B987" s="189"/>
      <c r="C987" s="189"/>
      <c r="D987" s="189"/>
      <c r="E987" s="189"/>
      <c r="F987" s="189"/>
      <c r="G987" s="189"/>
      <c r="H987" s="189"/>
      <c r="I987" s="189"/>
      <c r="J987" s="189"/>
      <c r="K987" s="189"/>
      <c r="L987" s="189"/>
      <c r="M987" s="189"/>
      <c r="N987" s="189"/>
      <c r="O987" s="189"/>
      <c r="P987" s="189"/>
      <c r="Q987" s="189"/>
      <c r="R987" s="189"/>
      <c r="S987" s="189"/>
      <c r="T987" s="230"/>
      <c r="U987" s="189"/>
      <c r="V987" s="189"/>
      <c r="W987" s="189"/>
      <c r="X987" s="189"/>
      <c r="Y987" s="189"/>
      <c r="Z987" s="189"/>
      <c r="AA987" s="189"/>
      <c r="AB987" s="189"/>
      <c r="AC987" s="189"/>
      <c r="AD987" s="189"/>
    </row>
    <row r="988" spans="1:30">
      <c r="A988" s="189"/>
      <c r="B988" s="189"/>
      <c r="C988" s="189"/>
      <c r="D988" s="189"/>
      <c r="E988" s="189"/>
      <c r="F988" s="189"/>
      <c r="G988" s="189"/>
      <c r="H988" s="189"/>
      <c r="I988" s="189"/>
      <c r="J988" s="189"/>
      <c r="K988" s="189"/>
      <c r="L988" s="189"/>
      <c r="M988" s="189"/>
      <c r="N988" s="189"/>
      <c r="O988" s="189"/>
      <c r="P988" s="189"/>
      <c r="Q988" s="189"/>
      <c r="R988" s="189"/>
      <c r="S988" s="189"/>
      <c r="T988" s="230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</row>
    <row r="989" spans="1:30">
      <c r="A989" s="189"/>
      <c r="B989" s="189"/>
      <c r="C989" s="189"/>
      <c r="D989" s="189"/>
      <c r="E989" s="189"/>
      <c r="F989" s="189"/>
      <c r="G989" s="189"/>
      <c r="H989" s="189"/>
      <c r="I989" s="189"/>
      <c r="J989" s="189"/>
      <c r="K989" s="189"/>
      <c r="L989" s="189"/>
      <c r="M989" s="189"/>
      <c r="N989" s="189"/>
      <c r="O989" s="189"/>
      <c r="P989" s="189"/>
      <c r="Q989" s="189"/>
      <c r="R989" s="189"/>
      <c r="S989" s="189"/>
      <c r="T989" s="230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</row>
    <row r="990" spans="1:30">
      <c r="A990" s="189"/>
      <c r="B990" s="189"/>
      <c r="C990" s="189"/>
      <c r="D990" s="189"/>
      <c r="E990" s="189"/>
      <c r="F990" s="189"/>
      <c r="G990" s="189"/>
      <c r="H990" s="189"/>
      <c r="I990" s="189"/>
      <c r="J990" s="189"/>
      <c r="K990" s="189"/>
      <c r="L990" s="189"/>
      <c r="M990" s="189"/>
      <c r="N990" s="189"/>
      <c r="O990" s="189"/>
      <c r="P990" s="189"/>
      <c r="Q990" s="189"/>
      <c r="R990" s="189"/>
      <c r="S990" s="189"/>
      <c r="T990" s="230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</row>
    <row r="991" spans="1:30">
      <c r="A991" s="189"/>
      <c r="B991" s="189"/>
      <c r="C991" s="189"/>
      <c r="D991" s="189"/>
      <c r="E991" s="189"/>
      <c r="F991" s="189"/>
      <c r="G991" s="189"/>
      <c r="H991" s="189"/>
      <c r="I991" s="189"/>
      <c r="J991" s="189"/>
      <c r="K991" s="189"/>
      <c r="L991" s="189"/>
      <c r="M991" s="189"/>
      <c r="N991" s="189"/>
      <c r="O991" s="189"/>
      <c r="P991" s="189"/>
      <c r="Q991" s="189"/>
      <c r="R991" s="189"/>
      <c r="S991" s="189"/>
      <c r="T991" s="230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</row>
    <row r="992" spans="1:30">
      <c r="A992" s="189"/>
      <c r="B992" s="189"/>
      <c r="C992" s="189"/>
      <c r="D992" s="189"/>
      <c r="E992" s="189"/>
      <c r="F992" s="189"/>
      <c r="G992" s="189"/>
      <c r="H992" s="189"/>
      <c r="I992" s="189"/>
      <c r="J992" s="189"/>
      <c r="K992" s="189"/>
      <c r="L992" s="189"/>
      <c r="M992" s="189"/>
      <c r="N992" s="189"/>
      <c r="O992" s="189"/>
      <c r="P992" s="189"/>
      <c r="Q992" s="189"/>
      <c r="R992" s="189"/>
      <c r="S992" s="189"/>
      <c r="T992" s="230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</row>
    <row r="993" spans="1:30">
      <c r="A993" s="189"/>
      <c r="B993" s="189"/>
      <c r="C993" s="189"/>
      <c r="D993" s="189"/>
      <c r="E993" s="189"/>
      <c r="F993" s="189"/>
      <c r="G993" s="189"/>
      <c r="H993" s="189"/>
      <c r="I993" s="189"/>
      <c r="J993" s="189"/>
      <c r="K993" s="189"/>
      <c r="L993" s="189"/>
      <c r="M993" s="189"/>
      <c r="N993" s="189"/>
      <c r="O993" s="189"/>
      <c r="P993" s="189"/>
      <c r="Q993" s="189"/>
      <c r="R993" s="189"/>
      <c r="S993" s="189"/>
      <c r="T993" s="230"/>
      <c r="U993" s="189"/>
      <c r="V993" s="189"/>
      <c r="W993" s="189"/>
      <c r="X993" s="189"/>
      <c r="Y993" s="189"/>
      <c r="Z993" s="189"/>
      <c r="AA993" s="189"/>
      <c r="AB993" s="189"/>
      <c r="AC993" s="189"/>
      <c r="AD993" s="189"/>
    </row>
    <row r="994" spans="1:30">
      <c r="A994" s="189"/>
      <c r="B994" s="189"/>
      <c r="C994" s="189"/>
      <c r="D994" s="189"/>
      <c r="E994" s="189"/>
      <c r="F994" s="189"/>
      <c r="G994" s="189"/>
      <c r="H994" s="189"/>
      <c r="I994" s="189"/>
      <c r="J994" s="189"/>
      <c r="K994" s="189"/>
      <c r="L994" s="189"/>
      <c r="M994" s="189"/>
      <c r="N994" s="189"/>
      <c r="O994" s="189"/>
      <c r="P994" s="189"/>
      <c r="Q994" s="189"/>
      <c r="R994" s="189"/>
      <c r="S994" s="189"/>
      <c r="T994" s="230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</row>
    <row r="995" spans="1:30">
      <c r="A995" s="189"/>
      <c r="B995" s="189"/>
      <c r="C995" s="189"/>
      <c r="D995" s="189"/>
      <c r="E995" s="189"/>
      <c r="F995" s="189"/>
      <c r="G995" s="189"/>
      <c r="H995" s="189"/>
      <c r="I995" s="189"/>
      <c r="J995" s="189"/>
      <c r="K995" s="189"/>
      <c r="L995" s="189"/>
      <c r="M995" s="189"/>
      <c r="N995" s="189"/>
      <c r="O995" s="189"/>
      <c r="P995" s="189"/>
      <c r="Q995" s="189"/>
      <c r="R995" s="189"/>
      <c r="S995" s="189"/>
      <c r="T995" s="230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</row>
    <row r="996" spans="1:30">
      <c r="A996" s="189"/>
      <c r="B996" s="189"/>
      <c r="C996" s="189"/>
      <c r="D996" s="189"/>
      <c r="E996" s="189"/>
      <c r="F996" s="189"/>
      <c r="G996" s="189"/>
      <c r="H996" s="189"/>
      <c r="I996" s="189"/>
      <c r="J996" s="189"/>
      <c r="K996" s="189"/>
      <c r="L996" s="189"/>
      <c r="M996" s="189"/>
      <c r="N996" s="189"/>
      <c r="O996" s="189"/>
      <c r="P996" s="189"/>
      <c r="Q996" s="189"/>
      <c r="R996" s="189"/>
      <c r="S996" s="189"/>
      <c r="T996" s="230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</row>
    <row r="997" spans="1:30">
      <c r="A997" s="189"/>
      <c r="B997" s="189"/>
      <c r="C997" s="189"/>
      <c r="D997" s="189"/>
      <c r="E997" s="189"/>
      <c r="F997" s="189"/>
      <c r="G997" s="189"/>
      <c r="H997" s="189"/>
      <c r="I997" s="189"/>
      <c r="J997" s="189"/>
      <c r="K997" s="189"/>
      <c r="L997" s="189"/>
      <c r="M997" s="189"/>
      <c r="N997" s="189"/>
      <c r="O997" s="189"/>
      <c r="P997" s="189"/>
      <c r="Q997" s="189"/>
      <c r="R997" s="189"/>
      <c r="S997" s="189"/>
      <c r="T997" s="230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</row>
    <row r="998" spans="1:30">
      <c r="A998" s="189"/>
      <c r="B998" s="189"/>
      <c r="C998" s="189"/>
      <c r="D998" s="189"/>
      <c r="E998" s="189"/>
      <c r="F998" s="189"/>
      <c r="G998" s="189"/>
      <c r="H998" s="189"/>
      <c r="I998" s="189"/>
      <c r="J998" s="189"/>
      <c r="K998" s="189"/>
      <c r="L998" s="189"/>
      <c r="M998" s="189"/>
      <c r="N998" s="189"/>
      <c r="O998" s="189"/>
      <c r="P998" s="189"/>
      <c r="Q998" s="189"/>
      <c r="R998" s="189"/>
      <c r="S998" s="189"/>
      <c r="T998" s="230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</row>
  </sheetData>
  <mergeCells count="2">
    <mergeCell ref="I2:T2"/>
    <mergeCell ref="A263:L26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zoomScale="78" zoomScaleNormal="78" workbookViewId="0">
      <pane ySplit="1" topLeftCell="A2" activePane="bottomLeft" state="frozen"/>
      <selection pane="bottomLeft" activeCell="B3" sqref="B3"/>
    </sheetView>
  </sheetViews>
  <sheetFormatPr baseColWidth="10" defaultColWidth="15.140625" defaultRowHeight="15" customHeight="1"/>
  <cols>
    <col min="1" max="1" width="5.28515625" customWidth="1"/>
    <col min="2" max="2" width="4.42578125" customWidth="1"/>
    <col min="3" max="3" width="5.42578125" customWidth="1"/>
    <col min="4" max="4" width="21.42578125" customWidth="1"/>
    <col min="5" max="5" width="19.85546875" customWidth="1"/>
    <col min="6" max="6" width="6.28515625" customWidth="1"/>
    <col min="7" max="7" width="6.7109375" customWidth="1"/>
    <col min="8" max="8" width="4.140625" customWidth="1"/>
    <col min="9" max="9" width="8.28515625" customWidth="1"/>
    <col min="10" max="11" width="8.42578125" customWidth="1"/>
    <col min="12" max="12" width="9.42578125" customWidth="1"/>
    <col min="13" max="13" width="9.140625" customWidth="1"/>
    <col min="14" max="15" width="8.42578125" customWidth="1"/>
    <col min="16" max="16" width="8.7109375" customWidth="1"/>
    <col min="17" max="17" width="8.28515625" customWidth="1"/>
    <col min="18" max="18" width="9.28515625" customWidth="1"/>
    <col min="19" max="19" width="11" customWidth="1"/>
    <col min="20" max="20" width="28.85546875" customWidth="1"/>
    <col min="21" max="21" width="20.5703125" customWidth="1"/>
    <col min="22" max="30" width="8" customWidth="1"/>
  </cols>
  <sheetData>
    <row r="1" spans="1:30" ht="13.5" customHeight="1">
      <c r="A1" s="302"/>
      <c r="B1" s="302"/>
      <c r="C1" s="302"/>
      <c r="D1" s="302"/>
      <c r="E1" s="302"/>
      <c r="F1" s="302"/>
      <c r="G1" s="302"/>
      <c r="H1" s="302"/>
      <c r="I1" s="303">
        <v>1</v>
      </c>
      <c r="J1" s="303">
        <v>2</v>
      </c>
      <c r="K1" s="303">
        <v>3</v>
      </c>
      <c r="L1" s="303">
        <v>4</v>
      </c>
      <c r="M1" s="303">
        <v>5</v>
      </c>
      <c r="N1" s="303">
        <v>6</v>
      </c>
      <c r="O1" s="303">
        <v>7</v>
      </c>
      <c r="P1" s="303">
        <v>8</v>
      </c>
      <c r="Q1" s="303">
        <v>9</v>
      </c>
      <c r="R1" s="303">
        <v>10</v>
      </c>
      <c r="S1" s="303" t="s">
        <v>21</v>
      </c>
      <c r="T1" s="304" t="s">
        <v>1</v>
      </c>
      <c r="U1" s="302"/>
      <c r="V1" s="302"/>
      <c r="W1" s="302"/>
      <c r="X1" s="302"/>
      <c r="Y1" s="302"/>
      <c r="Z1" s="302"/>
      <c r="AA1" s="302"/>
      <c r="AB1" s="302"/>
      <c r="AC1" s="302"/>
      <c r="AD1" s="302"/>
    </row>
    <row r="2" spans="1:30" ht="27" customHeight="1">
      <c r="A2" s="189"/>
      <c r="B2" s="189"/>
      <c r="C2" s="189"/>
      <c r="D2" s="189"/>
      <c r="E2" s="253"/>
      <c r="F2" s="238"/>
      <c r="G2" s="238"/>
      <c r="H2" s="238"/>
      <c r="I2" s="674" t="s">
        <v>249</v>
      </c>
      <c r="J2" s="670"/>
      <c r="K2" s="670"/>
      <c r="L2" s="670"/>
      <c r="M2" s="670"/>
      <c r="N2" s="670"/>
      <c r="O2" s="670"/>
      <c r="P2" s="670"/>
      <c r="Q2" s="670"/>
      <c r="R2" s="670"/>
      <c r="S2" s="670"/>
      <c r="T2" s="673"/>
      <c r="U2" s="189"/>
      <c r="V2" s="189"/>
      <c r="W2" s="189"/>
      <c r="X2" s="189"/>
      <c r="Y2" s="189"/>
      <c r="Z2" s="189"/>
      <c r="AA2" s="189"/>
      <c r="AB2" s="189"/>
      <c r="AC2" s="189"/>
      <c r="AD2" s="189"/>
    </row>
    <row r="3" spans="1:30" ht="24.75" customHeight="1">
      <c r="A3" s="17" t="s">
        <v>3</v>
      </c>
      <c r="B3" s="17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7" t="s">
        <v>9</v>
      </c>
      <c r="H3" s="17" t="s">
        <v>10</v>
      </c>
      <c r="I3" s="24" t="s">
        <v>11</v>
      </c>
      <c r="J3" s="24" t="s">
        <v>12</v>
      </c>
      <c r="K3" s="24" t="s">
        <v>13</v>
      </c>
      <c r="L3" s="24" t="s">
        <v>14</v>
      </c>
      <c r="M3" s="24" t="s">
        <v>15</v>
      </c>
      <c r="N3" s="24" t="s">
        <v>16</v>
      </c>
      <c r="O3" s="24" t="s">
        <v>17</v>
      </c>
      <c r="P3" s="24" t="s">
        <v>18</v>
      </c>
      <c r="Q3" s="24" t="s">
        <v>19</v>
      </c>
      <c r="R3" s="24" t="s">
        <v>20</v>
      </c>
      <c r="S3" s="24" t="s">
        <v>21</v>
      </c>
      <c r="T3" s="28" t="s">
        <v>1</v>
      </c>
      <c r="U3" s="189"/>
      <c r="V3" s="189"/>
      <c r="W3" s="189"/>
      <c r="X3" s="189"/>
      <c r="Y3" s="189"/>
      <c r="Z3" s="189"/>
      <c r="AA3" s="189"/>
      <c r="AB3" s="189"/>
      <c r="AC3" s="189"/>
      <c r="AD3" s="189"/>
    </row>
    <row r="4" spans="1:30" ht="15.75" customHeight="1">
      <c r="A4" s="35">
        <v>2</v>
      </c>
      <c r="B4" s="35">
        <v>1</v>
      </c>
      <c r="C4" s="35">
        <v>1</v>
      </c>
      <c r="D4" s="16" t="s">
        <v>22</v>
      </c>
      <c r="E4" s="16" t="s">
        <v>23</v>
      </c>
      <c r="F4" s="16" t="s">
        <v>25</v>
      </c>
      <c r="G4" s="37">
        <v>30876</v>
      </c>
      <c r="H4" s="39">
        <v>510</v>
      </c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45" t="s">
        <v>26</v>
      </c>
      <c r="U4" s="189"/>
      <c r="V4" s="189"/>
      <c r="W4" s="189"/>
      <c r="X4" s="189"/>
      <c r="Y4" s="189"/>
      <c r="Z4" s="189"/>
      <c r="AA4" s="189"/>
      <c r="AB4" s="189"/>
      <c r="AC4" s="189"/>
      <c r="AD4" s="189"/>
    </row>
    <row r="5" spans="1:30" ht="15.75" customHeight="1">
      <c r="A5" s="35">
        <v>2</v>
      </c>
      <c r="B5" s="35">
        <v>1</v>
      </c>
      <c r="C5" s="35">
        <v>2</v>
      </c>
      <c r="D5" s="16" t="s">
        <v>27</v>
      </c>
      <c r="E5" s="16" t="s">
        <v>28</v>
      </c>
      <c r="F5" s="16" t="s">
        <v>25</v>
      </c>
      <c r="G5" s="37">
        <v>30877</v>
      </c>
      <c r="H5" s="39">
        <v>250</v>
      </c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45" t="s">
        <v>26</v>
      </c>
      <c r="U5" s="189"/>
      <c r="V5" s="189"/>
      <c r="W5" s="189"/>
      <c r="X5" s="189"/>
      <c r="Y5" s="189"/>
      <c r="Z5" s="189"/>
      <c r="AA5" s="189"/>
      <c r="AB5" s="189"/>
      <c r="AC5" s="189"/>
      <c r="AD5" s="189"/>
    </row>
    <row r="6" spans="1:30" ht="15.75" customHeight="1">
      <c r="A6" s="35">
        <v>2</v>
      </c>
      <c r="B6" s="35">
        <v>1</v>
      </c>
      <c r="C6" s="35">
        <v>2</v>
      </c>
      <c r="D6" s="16" t="s">
        <v>22</v>
      </c>
      <c r="E6" s="16" t="s">
        <v>23</v>
      </c>
      <c r="F6" s="16" t="s">
        <v>25</v>
      </c>
      <c r="G6" s="37">
        <v>30876</v>
      </c>
      <c r="H6" s="39">
        <v>290</v>
      </c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45" t="s">
        <v>26</v>
      </c>
      <c r="U6" s="189"/>
      <c r="V6" s="189"/>
      <c r="W6" s="189"/>
      <c r="X6" s="189"/>
      <c r="Y6" s="189"/>
      <c r="Z6" s="189"/>
      <c r="AA6" s="189"/>
      <c r="AB6" s="189"/>
      <c r="AC6" s="189"/>
      <c r="AD6" s="189"/>
    </row>
    <row r="7" spans="1:30" ht="15.75" customHeight="1">
      <c r="A7" s="47">
        <v>2</v>
      </c>
      <c r="B7" s="47">
        <v>1</v>
      </c>
      <c r="C7" s="47">
        <v>3</v>
      </c>
      <c r="D7" s="25" t="s">
        <v>29</v>
      </c>
      <c r="E7" s="25" t="s">
        <v>30</v>
      </c>
      <c r="F7" s="25" t="s">
        <v>31</v>
      </c>
      <c r="G7" s="49">
        <v>50759</v>
      </c>
      <c r="H7" s="51">
        <v>232</v>
      </c>
      <c r="I7" s="306">
        <v>1.6950000000000001</v>
      </c>
      <c r="J7" s="306">
        <v>0.78</v>
      </c>
      <c r="K7" s="306">
        <v>1.47</v>
      </c>
      <c r="L7" s="306">
        <v>1.26</v>
      </c>
      <c r="M7" s="306">
        <v>1.984</v>
      </c>
      <c r="N7" s="306">
        <v>1.83</v>
      </c>
      <c r="O7" s="306">
        <v>1.18</v>
      </c>
      <c r="P7" s="306">
        <v>1.25</v>
      </c>
      <c r="Q7" s="306">
        <v>1.53</v>
      </c>
      <c r="R7" s="306">
        <v>2.3199999999999998</v>
      </c>
      <c r="S7" s="62">
        <f>AVERAGE(I7:R7)</f>
        <v>1.5299</v>
      </c>
      <c r="T7" s="60"/>
      <c r="U7" s="189"/>
      <c r="V7" s="189"/>
      <c r="W7" s="189"/>
      <c r="X7" s="189"/>
      <c r="Y7" s="189"/>
      <c r="Z7" s="189"/>
      <c r="AA7" s="189"/>
      <c r="AB7" s="189"/>
      <c r="AC7" s="189"/>
      <c r="AD7" s="189"/>
    </row>
    <row r="8" spans="1:30" ht="15.75" customHeight="1">
      <c r="A8" s="47">
        <v>2</v>
      </c>
      <c r="B8" s="47">
        <v>1</v>
      </c>
      <c r="C8" s="47">
        <v>5</v>
      </c>
      <c r="D8" s="25" t="s">
        <v>32</v>
      </c>
      <c r="E8" s="25" t="s">
        <v>33</v>
      </c>
      <c r="F8" s="25" t="s">
        <v>34</v>
      </c>
      <c r="G8" s="49">
        <v>50616</v>
      </c>
      <c r="H8" s="51">
        <v>468</v>
      </c>
      <c r="I8" s="306">
        <v>0.63700000000000001</v>
      </c>
      <c r="J8" s="306">
        <v>0.85899999999999999</v>
      </c>
      <c r="K8" s="306">
        <v>1.08</v>
      </c>
      <c r="L8" s="306">
        <v>1.464</v>
      </c>
      <c r="M8" s="306">
        <v>1.7509999999999999</v>
      </c>
      <c r="N8" s="306">
        <v>1.5920000000000001</v>
      </c>
      <c r="O8" s="306">
        <v>1.593</v>
      </c>
      <c r="P8" s="306">
        <v>1.5920000000000001</v>
      </c>
      <c r="Q8" s="306">
        <v>2.11</v>
      </c>
      <c r="R8" s="306">
        <v>1.56</v>
      </c>
      <c r="S8" s="62">
        <f>AVERAGE(I8:R8)</f>
        <v>1.4238000000000002</v>
      </c>
      <c r="T8" s="60"/>
      <c r="U8" s="189"/>
      <c r="V8" s="189"/>
      <c r="W8" s="189"/>
      <c r="X8" s="189"/>
      <c r="Y8" s="189"/>
      <c r="Z8" s="189"/>
      <c r="AA8" s="189"/>
      <c r="AB8" s="189"/>
      <c r="AC8" s="189"/>
      <c r="AD8" s="189"/>
    </row>
    <row r="9" spans="1:30" ht="15.75" customHeight="1">
      <c r="A9" s="47">
        <v>2</v>
      </c>
      <c r="B9" s="47">
        <v>1</v>
      </c>
      <c r="C9" s="47">
        <v>8</v>
      </c>
      <c r="D9" s="25" t="s">
        <v>35</v>
      </c>
      <c r="E9" s="25" t="s">
        <v>36</v>
      </c>
      <c r="F9" s="25" t="s">
        <v>31</v>
      </c>
      <c r="G9" s="49">
        <v>50794</v>
      </c>
      <c r="H9" s="51">
        <v>392</v>
      </c>
      <c r="I9" s="306">
        <v>1.56</v>
      </c>
      <c r="J9" s="306">
        <v>1.34</v>
      </c>
      <c r="K9" s="306">
        <v>1.64</v>
      </c>
      <c r="L9" s="306" t="s">
        <v>80</v>
      </c>
      <c r="M9" s="306">
        <v>1.32</v>
      </c>
      <c r="N9" s="306">
        <v>1.8779999999999999</v>
      </c>
      <c r="O9" s="306">
        <v>1.6930000000000001</v>
      </c>
      <c r="P9" s="306" t="s">
        <v>80</v>
      </c>
      <c r="Q9" s="306" t="s">
        <v>80</v>
      </c>
      <c r="R9" s="306" t="s">
        <v>80</v>
      </c>
      <c r="S9" s="62">
        <f>AVERAGE(I9:R9)</f>
        <v>1.5718333333333334</v>
      </c>
      <c r="T9" s="60"/>
      <c r="U9" s="189"/>
      <c r="V9" s="189"/>
      <c r="W9" s="189"/>
      <c r="X9" s="189"/>
      <c r="Y9" s="189"/>
      <c r="Z9" s="189"/>
      <c r="AA9" s="189"/>
      <c r="AB9" s="189"/>
      <c r="AC9" s="189"/>
      <c r="AD9" s="189"/>
    </row>
    <row r="10" spans="1:30" ht="15.75" customHeight="1">
      <c r="A10" s="47">
        <v>2</v>
      </c>
      <c r="B10" s="47">
        <v>1</v>
      </c>
      <c r="C10" s="47">
        <v>9</v>
      </c>
      <c r="D10" s="25" t="s">
        <v>37</v>
      </c>
      <c r="E10" s="25" t="s">
        <v>38</v>
      </c>
      <c r="F10" s="25" t="s">
        <v>34</v>
      </c>
      <c r="G10" s="49">
        <v>50663</v>
      </c>
      <c r="H10" s="51">
        <v>127</v>
      </c>
      <c r="I10" s="306">
        <v>1.337</v>
      </c>
      <c r="J10" s="306">
        <v>1.41</v>
      </c>
      <c r="K10" s="306">
        <v>1.05</v>
      </c>
      <c r="L10" s="306">
        <v>1.05</v>
      </c>
      <c r="M10" s="306">
        <v>1.0189999999999999</v>
      </c>
      <c r="N10" s="306">
        <v>1.7509999999999999</v>
      </c>
      <c r="O10" s="306">
        <v>0.88</v>
      </c>
      <c r="P10" s="306">
        <v>0.85899999999999999</v>
      </c>
      <c r="Q10" s="254"/>
      <c r="R10" s="254"/>
      <c r="S10" s="62">
        <f>AVERAGE(I10:R10)</f>
        <v>1.1695</v>
      </c>
      <c r="T10" s="60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</row>
    <row r="11" spans="1:30" ht="15.75" customHeight="1">
      <c r="A11" s="47">
        <v>2</v>
      </c>
      <c r="B11" s="47">
        <v>1</v>
      </c>
      <c r="C11" s="47">
        <v>9</v>
      </c>
      <c r="D11" s="25" t="s">
        <v>39</v>
      </c>
      <c r="E11" s="25" t="s">
        <v>40</v>
      </c>
      <c r="F11" s="25" t="s">
        <v>25</v>
      </c>
      <c r="G11" s="49">
        <v>50530</v>
      </c>
      <c r="H11" s="51">
        <v>48</v>
      </c>
      <c r="I11" s="306">
        <v>2.4550000000000001</v>
      </c>
      <c r="J11" s="306">
        <v>1.91</v>
      </c>
      <c r="K11" s="306">
        <v>1.528</v>
      </c>
      <c r="L11" s="254"/>
      <c r="M11" s="254"/>
      <c r="N11" s="254"/>
      <c r="O11" s="254"/>
      <c r="P11" s="254"/>
      <c r="Q11" s="254"/>
      <c r="R11" s="254"/>
      <c r="S11" s="62">
        <f>AVERAGE(I11:R11)</f>
        <v>1.9643333333333335</v>
      </c>
      <c r="T11" s="60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</row>
    <row r="12" spans="1:30" ht="15.75" customHeight="1">
      <c r="A12" s="63">
        <v>2</v>
      </c>
      <c r="B12" s="63">
        <v>1</v>
      </c>
      <c r="C12" s="63">
        <v>9</v>
      </c>
      <c r="D12" s="38" t="s">
        <v>41</v>
      </c>
      <c r="E12" s="38" t="s">
        <v>42</v>
      </c>
      <c r="F12" s="38" t="s">
        <v>25</v>
      </c>
      <c r="G12" s="64">
        <v>50721</v>
      </c>
      <c r="H12" s="65">
        <v>23</v>
      </c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7" t="s">
        <v>43</v>
      </c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</row>
    <row r="13" spans="1:30" ht="15.75" customHeight="1">
      <c r="A13" s="47">
        <v>2</v>
      </c>
      <c r="B13" s="47">
        <v>1</v>
      </c>
      <c r="C13" s="47">
        <v>11</v>
      </c>
      <c r="D13" s="25" t="s">
        <v>44</v>
      </c>
      <c r="E13" s="25" t="s">
        <v>45</v>
      </c>
      <c r="F13" s="25" t="s">
        <v>31</v>
      </c>
      <c r="G13" s="49">
        <v>50795</v>
      </c>
      <c r="H13" s="51">
        <v>754</v>
      </c>
      <c r="I13" s="306">
        <v>1.464</v>
      </c>
      <c r="J13" s="306">
        <v>1.44</v>
      </c>
      <c r="K13" s="306">
        <v>1.337</v>
      </c>
      <c r="L13" s="306">
        <v>1.2729999999999999</v>
      </c>
      <c r="M13" s="306">
        <v>1.577</v>
      </c>
      <c r="N13" s="306">
        <v>1.262</v>
      </c>
      <c r="O13" s="306">
        <v>1.3240000000000001</v>
      </c>
      <c r="P13" s="306">
        <v>1.0189999999999999</v>
      </c>
      <c r="Q13" s="306" t="s">
        <v>80</v>
      </c>
      <c r="R13" s="306">
        <v>1.64</v>
      </c>
      <c r="S13" s="62">
        <f t="shared" ref="S13:S21" si="0">AVERAGE(I13:R13)</f>
        <v>1.3706666666666667</v>
      </c>
      <c r="T13" s="60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</row>
    <row r="14" spans="1:30" ht="15.75" customHeight="1">
      <c r="A14" s="47">
        <v>2</v>
      </c>
      <c r="B14" s="47">
        <v>1</v>
      </c>
      <c r="C14" s="47">
        <v>12</v>
      </c>
      <c r="D14" s="25" t="s">
        <v>46</v>
      </c>
      <c r="E14" s="25" t="s">
        <v>47</v>
      </c>
      <c r="F14" s="25" t="s">
        <v>25</v>
      </c>
      <c r="G14" s="49">
        <v>50262</v>
      </c>
      <c r="H14" s="51">
        <v>472</v>
      </c>
      <c r="I14" s="306">
        <v>1.496</v>
      </c>
      <c r="J14" s="306">
        <v>1.8460000000000001</v>
      </c>
      <c r="K14" s="306">
        <v>1.91</v>
      </c>
      <c r="L14" s="306">
        <v>1.7829999999999999</v>
      </c>
      <c r="M14" s="306">
        <v>1.7509999999999999</v>
      </c>
      <c r="N14" s="306">
        <v>1.5920000000000001</v>
      </c>
      <c r="O14" s="306">
        <v>1.61</v>
      </c>
      <c r="P14" s="306">
        <v>1.5920000000000001</v>
      </c>
      <c r="Q14" s="306">
        <v>1.2729999999999999</v>
      </c>
      <c r="R14" s="306">
        <v>1.528</v>
      </c>
      <c r="S14" s="62">
        <f t="shared" si="0"/>
        <v>1.6381000000000001</v>
      </c>
      <c r="T14" s="60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</row>
    <row r="15" spans="1:30" ht="15.75" customHeight="1">
      <c r="A15" s="47">
        <v>2</v>
      </c>
      <c r="B15" s="47">
        <v>1</v>
      </c>
      <c r="C15" s="47">
        <v>13</v>
      </c>
      <c r="D15" s="25" t="s">
        <v>32</v>
      </c>
      <c r="E15" s="25" t="s">
        <v>33</v>
      </c>
      <c r="F15" s="25" t="s">
        <v>48</v>
      </c>
      <c r="G15" s="49">
        <v>50267</v>
      </c>
      <c r="H15" s="51">
        <v>442</v>
      </c>
      <c r="I15" s="306">
        <v>1.2729999999999999</v>
      </c>
      <c r="J15" s="306">
        <v>0.66800000000000004</v>
      </c>
      <c r="K15" s="306">
        <v>1.1140000000000001</v>
      </c>
      <c r="L15" s="306">
        <v>1.55</v>
      </c>
      <c r="M15" s="306">
        <v>1.4319999999999999</v>
      </c>
      <c r="N15" s="306">
        <v>1.464</v>
      </c>
      <c r="O15" s="306">
        <v>1.2410000000000001</v>
      </c>
      <c r="P15" s="306">
        <v>1.5920000000000001</v>
      </c>
      <c r="Q15" s="306">
        <v>1.2729999999999999</v>
      </c>
      <c r="R15" s="306">
        <v>1.1140000000000001</v>
      </c>
      <c r="S15" s="62">
        <f t="shared" si="0"/>
        <v>1.2721</v>
      </c>
      <c r="T15" s="60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</row>
    <row r="16" spans="1:30" ht="15.75" customHeight="1">
      <c r="A16" s="47">
        <v>2</v>
      </c>
      <c r="B16" s="47">
        <v>1</v>
      </c>
      <c r="C16" s="47">
        <v>13</v>
      </c>
      <c r="D16" s="25" t="s">
        <v>32</v>
      </c>
      <c r="E16" s="25" t="s">
        <v>33</v>
      </c>
      <c r="F16" s="25" t="s">
        <v>34</v>
      </c>
      <c r="G16" s="49">
        <v>50462</v>
      </c>
      <c r="H16" s="51">
        <v>206</v>
      </c>
      <c r="I16" s="306">
        <v>1.464</v>
      </c>
      <c r="J16" s="306">
        <v>1.6870000000000001</v>
      </c>
      <c r="K16" s="306">
        <v>1.8140000000000001</v>
      </c>
      <c r="L16" s="306">
        <v>1.1779999999999999</v>
      </c>
      <c r="M16" s="306">
        <v>1.464</v>
      </c>
      <c r="N16" s="306">
        <v>1.3049999999999999</v>
      </c>
      <c r="O16" s="254"/>
      <c r="P16" s="254"/>
      <c r="Q16" s="254"/>
      <c r="R16" s="254"/>
      <c r="S16" s="62">
        <f t="shared" si="0"/>
        <v>1.4853333333333332</v>
      </c>
      <c r="T16" s="60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</row>
    <row r="17" spans="1:30" ht="15.75" customHeight="1">
      <c r="A17" s="47">
        <v>2</v>
      </c>
      <c r="B17" s="47">
        <v>1</v>
      </c>
      <c r="C17" s="47">
        <v>13</v>
      </c>
      <c r="D17" s="25" t="s">
        <v>32</v>
      </c>
      <c r="E17" s="25" t="s">
        <v>33</v>
      </c>
      <c r="F17" s="25" t="s">
        <v>34</v>
      </c>
      <c r="G17" s="49">
        <v>50616</v>
      </c>
      <c r="H17" s="51">
        <v>21</v>
      </c>
      <c r="I17" s="306">
        <v>1.1140000000000001</v>
      </c>
      <c r="J17" s="306">
        <v>1.2410000000000001</v>
      </c>
      <c r="K17" s="254"/>
      <c r="L17" s="254"/>
      <c r="M17" s="254"/>
      <c r="N17" s="254"/>
      <c r="O17" s="254"/>
      <c r="P17" s="254"/>
      <c r="Q17" s="254"/>
      <c r="R17" s="254"/>
      <c r="S17" s="62">
        <f t="shared" si="0"/>
        <v>1.1775000000000002</v>
      </c>
      <c r="T17" s="60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</row>
    <row r="18" spans="1:30" ht="15.75" customHeight="1">
      <c r="A18" s="47">
        <v>2</v>
      </c>
      <c r="B18" s="47">
        <v>1</v>
      </c>
      <c r="C18" s="47">
        <v>13</v>
      </c>
      <c r="D18" s="25" t="s">
        <v>32</v>
      </c>
      <c r="E18" s="25" t="s">
        <v>33</v>
      </c>
      <c r="F18" s="25" t="s">
        <v>31</v>
      </c>
      <c r="G18" s="49">
        <v>50184</v>
      </c>
      <c r="H18" s="51">
        <v>39</v>
      </c>
      <c r="I18" s="306">
        <v>0.95499999999999996</v>
      </c>
      <c r="J18" s="306">
        <v>1.0189999999999999</v>
      </c>
      <c r="K18" s="254"/>
      <c r="L18" s="254"/>
      <c r="M18" s="254"/>
      <c r="N18" s="254"/>
      <c r="O18" s="254"/>
      <c r="P18" s="254"/>
      <c r="Q18" s="254"/>
      <c r="R18" s="254"/>
      <c r="S18" s="62">
        <f t="shared" si="0"/>
        <v>0.98699999999999988</v>
      </c>
      <c r="T18" s="60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</row>
    <row r="19" spans="1:30" ht="15.75" customHeight="1">
      <c r="A19" s="47">
        <v>2</v>
      </c>
      <c r="B19" s="47">
        <v>1</v>
      </c>
      <c r="C19" s="47">
        <v>13</v>
      </c>
      <c r="D19" s="25" t="s">
        <v>32</v>
      </c>
      <c r="E19" s="25" t="s">
        <v>33</v>
      </c>
      <c r="F19" s="25" t="s">
        <v>34</v>
      </c>
      <c r="G19" s="49">
        <v>50104</v>
      </c>
      <c r="H19" s="51">
        <v>22</v>
      </c>
      <c r="I19" s="306">
        <v>1.496</v>
      </c>
      <c r="J19" s="254"/>
      <c r="K19" s="254"/>
      <c r="L19" s="254"/>
      <c r="M19" s="254"/>
      <c r="N19" s="254"/>
      <c r="O19" s="254"/>
      <c r="P19" s="254"/>
      <c r="Q19" s="254"/>
      <c r="R19" s="254"/>
      <c r="S19" s="62">
        <f t="shared" si="0"/>
        <v>1.496</v>
      </c>
      <c r="T19" s="60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</row>
    <row r="20" spans="1:30" ht="15.75" customHeight="1">
      <c r="A20" s="47">
        <v>2</v>
      </c>
      <c r="B20" s="47">
        <v>1</v>
      </c>
      <c r="C20" s="47">
        <v>14</v>
      </c>
      <c r="D20" s="25" t="s">
        <v>49</v>
      </c>
      <c r="E20" s="25" t="s">
        <v>50</v>
      </c>
      <c r="F20" s="25" t="s">
        <v>25</v>
      </c>
      <c r="G20" s="49">
        <v>50874</v>
      </c>
      <c r="H20" s="51">
        <v>282</v>
      </c>
      <c r="I20" s="306" t="s">
        <v>55</v>
      </c>
      <c r="J20" s="306">
        <v>0.67</v>
      </c>
      <c r="K20" s="306">
        <v>0.434</v>
      </c>
      <c r="L20" s="306">
        <v>0.33</v>
      </c>
      <c r="M20" s="306">
        <v>0.91</v>
      </c>
      <c r="N20" s="306">
        <v>0.83</v>
      </c>
      <c r="O20" s="306">
        <v>0.71</v>
      </c>
      <c r="P20" s="306">
        <v>0.51</v>
      </c>
      <c r="Q20" s="306">
        <v>0.82</v>
      </c>
      <c r="R20" s="306">
        <v>0.56999999999999995</v>
      </c>
      <c r="S20" s="62">
        <f t="shared" si="0"/>
        <v>0.64266666666666672</v>
      </c>
      <c r="T20" s="60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</row>
    <row r="21" spans="1:30" ht="15.75" customHeight="1">
      <c r="A21" s="47">
        <v>2</v>
      </c>
      <c r="B21" s="47">
        <v>1</v>
      </c>
      <c r="C21" s="47">
        <v>14</v>
      </c>
      <c r="D21" s="25" t="s">
        <v>51</v>
      </c>
      <c r="E21" s="25" t="s">
        <v>52</v>
      </c>
      <c r="F21" s="25" t="s">
        <v>25</v>
      </c>
      <c r="G21" s="49">
        <v>50875</v>
      </c>
      <c r="H21" s="51">
        <v>348</v>
      </c>
      <c r="I21" s="306">
        <v>0.11</v>
      </c>
      <c r="J21" s="306">
        <v>7.0000000000000007E-2</v>
      </c>
      <c r="K21" s="306">
        <v>0.16</v>
      </c>
      <c r="L21" s="306">
        <v>0.18</v>
      </c>
      <c r="M21" s="306">
        <v>0.12</v>
      </c>
      <c r="N21" s="306">
        <v>0.13</v>
      </c>
      <c r="O21" s="306">
        <v>0.16</v>
      </c>
      <c r="P21" s="306">
        <v>0.14000000000000001</v>
      </c>
      <c r="Q21" s="306">
        <v>0.31</v>
      </c>
      <c r="R21" s="306">
        <v>0.19</v>
      </c>
      <c r="S21" s="62">
        <f t="shared" si="0"/>
        <v>0.157</v>
      </c>
      <c r="T21" s="60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</row>
    <row r="22" spans="1:30" ht="15.75" customHeight="1">
      <c r="A22" s="71">
        <v>2</v>
      </c>
      <c r="B22" s="71">
        <v>1</v>
      </c>
      <c r="C22" s="71">
        <v>14</v>
      </c>
      <c r="D22" s="53" t="s">
        <v>53</v>
      </c>
      <c r="E22" s="53" t="s">
        <v>54</v>
      </c>
      <c r="F22" s="53" t="s">
        <v>25</v>
      </c>
      <c r="G22" s="73">
        <v>50877</v>
      </c>
      <c r="H22" s="74">
        <v>101</v>
      </c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79" t="s">
        <v>55</v>
      </c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</row>
    <row r="23" spans="1:30" ht="15.75" customHeight="1">
      <c r="A23" s="47">
        <v>2</v>
      </c>
      <c r="B23" s="47">
        <v>1</v>
      </c>
      <c r="C23" s="47">
        <v>15</v>
      </c>
      <c r="D23" s="25" t="s">
        <v>56</v>
      </c>
      <c r="E23" s="25" t="s">
        <v>57</v>
      </c>
      <c r="F23" s="25" t="s">
        <v>34</v>
      </c>
      <c r="G23" s="49">
        <v>50594</v>
      </c>
      <c r="H23" s="51">
        <v>154</v>
      </c>
      <c r="I23" s="306">
        <v>1.7509999999999999</v>
      </c>
      <c r="J23" s="306">
        <v>1.2729999999999999</v>
      </c>
      <c r="K23" s="254"/>
      <c r="L23" s="254"/>
      <c r="M23" s="254"/>
      <c r="N23" s="254"/>
      <c r="O23" s="254"/>
      <c r="P23" s="254"/>
      <c r="Q23" s="254"/>
      <c r="R23" s="254"/>
      <c r="S23" s="62">
        <f t="shared" ref="S23:S28" si="1">AVERAGE(I23:R23)</f>
        <v>1.512</v>
      </c>
      <c r="T23" s="60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</row>
    <row r="24" spans="1:30" ht="15.75" customHeight="1">
      <c r="A24" s="47">
        <v>2</v>
      </c>
      <c r="B24" s="47">
        <v>1</v>
      </c>
      <c r="C24" s="47">
        <v>16</v>
      </c>
      <c r="D24" s="25" t="s">
        <v>58</v>
      </c>
      <c r="E24" s="25" t="s">
        <v>59</v>
      </c>
      <c r="F24" s="25" t="s">
        <v>31</v>
      </c>
      <c r="G24" s="49">
        <v>50797</v>
      </c>
      <c r="H24" s="51">
        <v>311</v>
      </c>
      <c r="I24" s="306">
        <v>2.0369999999999999</v>
      </c>
      <c r="J24" s="306">
        <v>2.0299999999999998</v>
      </c>
      <c r="K24" s="306">
        <v>1.4750000000000001</v>
      </c>
      <c r="L24" s="306">
        <v>1.7190000000000001</v>
      </c>
      <c r="M24" s="306">
        <v>1.91</v>
      </c>
      <c r="N24" s="306">
        <v>1.35</v>
      </c>
      <c r="O24" s="306">
        <v>1.8779999999999999</v>
      </c>
      <c r="P24" s="306">
        <v>1.369</v>
      </c>
      <c r="Q24" s="306">
        <v>1.7509999999999999</v>
      </c>
      <c r="R24" s="306">
        <v>1.2729999999999999</v>
      </c>
      <c r="S24" s="62">
        <f t="shared" si="1"/>
        <v>1.6791999999999998</v>
      </c>
      <c r="T24" s="60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</row>
    <row r="25" spans="1:30" ht="15.75" customHeight="1">
      <c r="A25" s="47">
        <v>2</v>
      </c>
      <c r="B25" s="47">
        <v>1</v>
      </c>
      <c r="C25" s="47">
        <v>17</v>
      </c>
      <c r="D25" s="25" t="s">
        <v>60</v>
      </c>
      <c r="E25" s="25" t="s">
        <v>61</v>
      </c>
      <c r="F25" s="25" t="s">
        <v>34</v>
      </c>
      <c r="G25" s="49">
        <v>50467</v>
      </c>
      <c r="H25" s="51">
        <v>426</v>
      </c>
      <c r="I25" s="306">
        <v>2.714</v>
      </c>
      <c r="J25" s="306">
        <v>1.3049999999999999</v>
      </c>
      <c r="K25" s="306">
        <v>1.623</v>
      </c>
      <c r="L25" s="306">
        <v>1.4319999999999999</v>
      </c>
      <c r="M25" s="306">
        <v>1.1140000000000001</v>
      </c>
      <c r="N25" s="306">
        <v>1.369</v>
      </c>
      <c r="O25" s="306">
        <v>1.3049999999999999</v>
      </c>
      <c r="P25" s="306">
        <v>1.464</v>
      </c>
      <c r="Q25" s="306">
        <v>1.0820000000000001</v>
      </c>
      <c r="R25" s="306">
        <v>1.05</v>
      </c>
      <c r="S25" s="62">
        <f t="shared" si="1"/>
        <v>1.4458000000000002</v>
      </c>
      <c r="T25" s="60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</row>
    <row r="26" spans="1:30" ht="15.75" customHeight="1">
      <c r="A26" s="47">
        <v>2</v>
      </c>
      <c r="B26" s="47">
        <v>1</v>
      </c>
      <c r="C26" s="47">
        <v>18</v>
      </c>
      <c r="D26" s="25" t="s">
        <v>46</v>
      </c>
      <c r="E26" s="25" t="s">
        <v>47</v>
      </c>
      <c r="F26" s="25" t="s">
        <v>25</v>
      </c>
      <c r="G26" s="49">
        <v>50262</v>
      </c>
      <c r="H26" s="51">
        <v>81</v>
      </c>
      <c r="I26" s="306">
        <v>1.85</v>
      </c>
      <c r="J26" s="306">
        <v>1.7829999999999999</v>
      </c>
      <c r="K26" s="306">
        <v>1.8460000000000001</v>
      </c>
      <c r="L26" s="306">
        <v>1.8779999999999999</v>
      </c>
      <c r="M26" s="306">
        <v>1.974</v>
      </c>
      <c r="N26" s="306">
        <v>1.337</v>
      </c>
      <c r="O26" s="306">
        <v>1.56</v>
      </c>
      <c r="P26" s="306">
        <v>1.6870000000000001</v>
      </c>
      <c r="Q26" s="306">
        <v>1.974</v>
      </c>
      <c r="R26" s="306">
        <v>1.7829999999999999</v>
      </c>
      <c r="S26" s="62">
        <f t="shared" si="1"/>
        <v>1.7672000000000001</v>
      </c>
      <c r="T26" s="60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</row>
    <row r="27" spans="1:30" ht="15.75" customHeight="1">
      <c r="A27" s="47">
        <v>2</v>
      </c>
      <c r="B27" s="47">
        <v>1</v>
      </c>
      <c r="C27" s="47">
        <v>18</v>
      </c>
      <c r="D27" s="25" t="s">
        <v>46</v>
      </c>
      <c r="E27" s="25" t="s">
        <v>47</v>
      </c>
      <c r="F27" s="25" t="s">
        <v>34</v>
      </c>
      <c r="G27" s="49">
        <v>50542</v>
      </c>
      <c r="H27" s="51">
        <v>109</v>
      </c>
      <c r="I27" s="306">
        <v>1.8</v>
      </c>
      <c r="J27" s="306">
        <v>1.57</v>
      </c>
      <c r="K27" s="306">
        <v>1.8</v>
      </c>
      <c r="L27" s="306">
        <v>1.464</v>
      </c>
      <c r="M27" s="306">
        <v>1.337</v>
      </c>
      <c r="N27" s="306">
        <v>1.4319999999999999</v>
      </c>
      <c r="O27" s="306">
        <v>1.41</v>
      </c>
      <c r="P27" s="254"/>
      <c r="Q27" s="254"/>
      <c r="R27" s="254"/>
      <c r="S27" s="62">
        <f t="shared" si="1"/>
        <v>1.5447142857142857</v>
      </c>
      <c r="T27" s="60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</row>
    <row r="28" spans="1:30" ht="15.75" customHeight="1">
      <c r="A28" s="47">
        <v>2</v>
      </c>
      <c r="B28" s="47">
        <v>2</v>
      </c>
      <c r="C28" s="47">
        <v>2</v>
      </c>
      <c r="D28" s="25" t="s">
        <v>62</v>
      </c>
      <c r="E28" s="25" t="s">
        <v>63</v>
      </c>
      <c r="F28" s="25" t="s">
        <v>34</v>
      </c>
      <c r="G28" s="49">
        <v>50752</v>
      </c>
      <c r="H28" s="51">
        <v>89</v>
      </c>
      <c r="I28" s="306">
        <v>1.1100000000000001</v>
      </c>
      <c r="J28" s="306">
        <v>0.62</v>
      </c>
      <c r="K28" s="306">
        <v>0.73</v>
      </c>
      <c r="L28" s="306">
        <v>1.22</v>
      </c>
      <c r="M28" s="254"/>
      <c r="N28" s="254"/>
      <c r="O28" s="254"/>
      <c r="P28" s="254"/>
      <c r="Q28" s="254"/>
      <c r="R28" s="254"/>
      <c r="S28" s="62">
        <f t="shared" si="1"/>
        <v>0.91999999999999993</v>
      </c>
      <c r="T28" s="60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</row>
    <row r="29" spans="1:30" ht="15.75" customHeight="1">
      <c r="A29" s="63">
        <v>2</v>
      </c>
      <c r="B29" s="63">
        <v>2</v>
      </c>
      <c r="C29" s="63">
        <v>2</v>
      </c>
      <c r="D29" s="38" t="s">
        <v>64</v>
      </c>
      <c r="E29" s="38" t="s">
        <v>65</v>
      </c>
      <c r="F29" s="38" t="s">
        <v>31</v>
      </c>
      <c r="G29" s="64">
        <v>30869</v>
      </c>
      <c r="H29" s="65">
        <v>319</v>
      </c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7" t="s">
        <v>43</v>
      </c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</row>
    <row r="30" spans="1:30" ht="15.75" customHeight="1">
      <c r="A30" s="269">
        <v>2</v>
      </c>
      <c r="B30" s="82">
        <v>2</v>
      </c>
      <c r="C30" s="82">
        <v>2</v>
      </c>
      <c r="D30" s="84" t="s">
        <v>62</v>
      </c>
      <c r="E30" s="84" t="s">
        <v>63</v>
      </c>
      <c r="F30" s="84" t="s">
        <v>34</v>
      </c>
      <c r="G30" s="86">
        <v>50719</v>
      </c>
      <c r="H30" s="87">
        <v>25</v>
      </c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89" t="s">
        <v>88</v>
      </c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</row>
    <row r="31" spans="1:30" ht="15.75" customHeight="1">
      <c r="A31" s="47">
        <v>2</v>
      </c>
      <c r="B31" s="47">
        <v>2</v>
      </c>
      <c r="C31" s="47">
        <v>2</v>
      </c>
      <c r="D31" s="25" t="s">
        <v>62</v>
      </c>
      <c r="E31" s="25" t="s">
        <v>63</v>
      </c>
      <c r="F31" s="25" t="s">
        <v>25</v>
      </c>
      <c r="G31" s="49">
        <v>50188</v>
      </c>
      <c r="H31" s="51">
        <v>24</v>
      </c>
      <c r="I31" s="306">
        <v>0.53</v>
      </c>
      <c r="J31" s="306">
        <v>0.84</v>
      </c>
      <c r="K31" s="254"/>
      <c r="L31" s="254"/>
      <c r="M31" s="254"/>
      <c r="N31" s="254"/>
      <c r="O31" s="254"/>
      <c r="P31" s="254"/>
      <c r="Q31" s="254"/>
      <c r="R31" s="254"/>
      <c r="S31" s="62">
        <f t="shared" ref="S31:S38" si="2">AVERAGE(I31:R31)</f>
        <v>0.68500000000000005</v>
      </c>
      <c r="T31" s="60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</row>
    <row r="32" spans="1:30" ht="15.75" customHeight="1">
      <c r="A32" s="47">
        <v>2</v>
      </c>
      <c r="B32" s="47">
        <v>2</v>
      </c>
      <c r="C32" s="47">
        <v>3</v>
      </c>
      <c r="D32" s="25" t="s">
        <v>66</v>
      </c>
      <c r="E32" s="25" t="s">
        <v>67</v>
      </c>
      <c r="F32" s="25" t="s">
        <v>68</v>
      </c>
      <c r="G32" s="49">
        <v>50632</v>
      </c>
      <c r="H32" s="51">
        <v>220</v>
      </c>
      <c r="I32" s="306">
        <v>1.91</v>
      </c>
      <c r="J32" s="306">
        <v>1.5920000000000001</v>
      </c>
      <c r="K32" s="306">
        <v>1.9419999999999999</v>
      </c>
      <c r="L32" s="306">
        <v>2.2919999999999998</v>
      </c>
      <c r="M32" s="306">
        <v>1.5920000000000001</v>
      </c>
      <c r="N32" s="306">
        <v>1.8460000000000001</v>
      </c>
      <c r="O32" s="306">
        <v>1.9419999999999999</v>
      </c>
      <c r="P32" s="306">
        <v>1.2410000000000001</v>
      </c>
      <c r="Q32" s="306">
        <v>1.72</v>
      </c>
      <c r="R32" s="306">
        <v>0.57299999999999995</v>
      </c>
      <c r="S32" s="62">
        <f t="shared" si="2"/>
        <v>1.6649999999999998</v>
      </c>
      <c r="T32" s="60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</row>
    <row r="33" spans="1:30" ht="15.75" customHeight="1">
      <c r="A33" s="47">
        <v>2</v>
      </c>
      <c r="B33" s="47">
        <v>2</v>
      </c>
      <c r="C33" s="47">
        <v>3</v>
      </c>
      <c r="D33" s="25" t="s">
        <v>66</v>
      </c>
      <c r="E33" s="25" t="s">
        <v>67</v>
      </c>
      <c r="F33" s="25" t="s">
        <v>34</v>
      </c>
      <c r="G33" s="49">
        <v>50558</v>
      </c>
      <c r="H33" s="51">
        <v>227</v>
      </c>
      <c r="I33" s="306"/>
      <c r="J33" s="306">
        <v>1.401</v>
      </c>
      <c r="K33" s="306">
        <v>0.72</v>
      </c>
      <c r="L33" s="306">
        <v>0.54</v>
      </c>
      <c r="M33" s="306">
        <v>1.31</v>
      </c>
      <c r="N33" s="306">
        <v>1.468</v>
      </c>
      <c r="O33" s="306">
        <v>1.1200000000000001</v>
      </c>
      <c r="P33" s="306">
        <v>1.87</v>
      </c>
      <c r="Q33" s="306">
        <v>1.37</v>
      </c>
      <c r="R33" s="306">
        <v>2.302</v>
      </c>
      <c r="S33" s="62">
        <f t="shared" si="2"/>
        <v>1.3445555555555555</v>
      </c>
      <c r="T33" s="60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</row>
    <row r="34" spans="1:30" ht="15.75" customHeight="1">
      <c r="A34" s="47">
        <v>2</v>
      </c>
      <c r="B34" s="47">
        <v>2</v>
      </c>
      <c r="C34" s="47">
        <v>4</v>
      </c>
      <c r="D34" s="25" t="s">
        <v>69</v>
      </c>
      <c r="E34" s="25" t="s">
        <v>70</v>
      </c>
      <c r="F34" s="25" t="s">
        <v>25</v>
      </c>
      <c r="G34" s="49">
        <v>50754</v>
      </c>
      <c r="H34" s="51">
        <v>205</v>
      </c>
      <c r="I34" s="306">
        <v>1.76</v>
      </c>
      <c r="J34" s="306">
        <v>1.357</v>
      </c>
      <c r="K34" s="306">
        <v>1.655</v>
      </c>
      <c r="L34" s="306">
        <v>1.8779999999999999</v>
      </c>
      <c r="M34" s="306">
        <v>2.5099999999999998</v>
      </c>
      <c r="N34" s="306">
        <v>1.401</v>
      </c>
      <c r="O34" s="306">
        <v>1.4319999999999999</v>
      </c>
      <c r="P34" s="306">
        <v>1.464</v>
      </c>
      <c r="Q34" s="306">
        <v>1.6</v>
      </c>
      <c r="R34" s="306">
        <v>2.2280000000000002</v>
      </c>
      <c r="S34" s="62">
        <f t="shared" si="2"/>
        <v>1.7284999999999999</v>
      </c>
      <c r="T34" s="60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</row>
    <row r="35" spans="1:30" ht="15.75" customHeight="1">
      <c r="A35" s="47">
        <v>2</v>
      </c>
      <c r="B35" s="47">
        <v>2</v>
      </c>
      <c r="C35" s="47">
        <v>4</v>
      </c>
      <c r="D35" s="25" t="s">
        <v>69</v>
      </c>
      <c r="E35" s="25" t="s">
        <v>70</v>
      </c>
      <c r="F35" s="25" t="s">
        <v>68</v>
      </c>
      <c r="G35" s="49">
        <v>50820</v>
      </c>
      <c r="H35" s="51">
        <v>9</v>
      </c>
      <c r="I35" s="306">
        <v>1.6259999999999999</v>
      </c>
      <c r="J35" s="254"/>
      <c r="K35" s="254"/>
      <c r="L35" s="254"/>
      <c r="M35" s="254"/>
      <c r="N35" s="254"/>
      <c r="O35" s="254"/>
      <c r="P35" s="254"/>
      <c r="Q35" s="254"/>
      <c r="R35" s="254"/>
      <c r="S35" s="62">
        <f t="shared" si="2"/>
        <v>1.6259999999999999</v>
      </c>
      <c r="T35" s="60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</row>
    <row r="36" spans="1:30" ht="15.75" customHeight="1">
      <c r="A36" s="47">
        <v>2</v>
      </c>
      <c r="B36" s="47">
        <v>2</v>
      </c>
      <c r="C36" s="47">
        <v>5</v>
      </c>
      <c r="D36" s="25" t="s">
        <v>60</v>
      </c>
      <c r="E36" s="25" t="s">
        <v>71</v>
      </c>
      <c r="F36" s="25" t="s">
        <v>31</v>
      </c>
      <c r="G36" s="49">
        <v>50764</v>
      </c>
      <c r="H36" s="51">
        <v>175</v>
      </c>
      <c r="I36" s="306">
        <v>1.7190000000000001</v>
      </c>
      <c r="J36" s="306">
        <v>1.4</v>
      </c>
      <c r="K36" s="306">
        <v>1.1559999999999999</v>
      </c>
      <c r="L36" s="306">
        <v>1.56</v>
      </c>
      <c r="M36" s="306">
        <v>1.2350000000000001</v>
      </c>
      <c r="N36" s="306">
        <v>1.2729999999999999</v>
      </c>
      <c r="O36" s="306">
        <v>1.7190000000000001</v>
      </c>
      <c r="P36" s="306">
        <v>1.05</v>
      </c>
      <c r="Q36" s="306">
        <v>1.8460000000000001</v>
      </c>
      <c r="R36" s="306" t="s">
        <v>80</v>
      </c>
      <c r="S36" s="62">
        <f t="shared" si="2"/>
        <v>1.4397777777777778</v>
      </c>
      <c r="T36" s="60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</row>
    <row r="37" spans="1:30" ht="15.75" customHeight="1">
      <c r="A37" s="47">
        <v>2</v>
      </c>
      <c r="B37" s="47">
        <v>2</v>
      </c>
      <c r="C37" s="47">
        <v>8</v>
      </c>
      <c r="D37" s="25" t="s">
        <v>72</v>
      </c>
      <c r="E37" s="25" t="s">
        <v>73</v>
      </c>
      <c r="F37" s="25" t="s">
        <v>34</v>
      </c>
      <c r="G37" s="49">
        <v>50426</v>
      </c>
      <c r="H37" s="51">
        <v>320</v>
      </c>
      <c r="I37" s="306">
        <v>0.25</v>
      </c>
      <c r="J37" s="306" t="s">
        <v>80</v>
      </c>
      <c r="K37" s="306">
        <v>0.55000000000000004</v>
      </c>
      <c r="L37" s="306">
        <v>0.24</v>
      </c>
      <c r="M37" s="306">
        <v>0.4</v>
      </c>
      <c r="N37" s="306">
        <v>0.44400000000000001</v>
      </c>
      <c r="O37" s="306" t="s">
        <v>80</v>
      </c>
      <c r="P37" s="306">
        <v>0.38</v>
      </c>
      <c r="Q37" s="306">
        <v>0.64</v>
      </c>
      <c r="R37" s="306">
        <v>1.59</v>
      </c>
      <c r="S37" s="62">
        <f t="shared" si="2"/>
        <v>0.56174999999999997</v>
      </c>
      <c r="T37" s="60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</row>
    <row r="38" spans="1:30" ht="15.75" customHeight="1">
      <c r="A38" s="47">
        <v>2</v>
      </c>
      <c r="B38" s="47">
        <v>2</v>
      </c>
      <c r="C38" s="47">
        <v>8</v>
      </c>
      <c r="D38" s="25" t="s">
        <v>72</v>
      </c>
      <c r="E38" s="25" t="s">
        <v>73</v>
      </c>
      <c r="F38" s="25" t="s">
        <v>34</v>
      </c>
      <c r="G38" s="49">
        <v>50760</v>
      </c>
      <c r="H38" s="51">
        <v>140</v>
      </c>
      <c r="I38" s="306">
        <v>1.1299999999999999</v>
      </c>
      <c r="J38" s="306">
        <v>0.88</v>
      </c>
      <c r="K38" s="306">
        <v>1.1499999999999999</v>
      </c>
      <c r="L38" s="306">
        <v>1.46</v>
      </c>
      <c r="M38" s="306">
        <v>1.33</v>
      </c>
      <c r="N38" s="306">
        <v>1.34</v>
      </c>
      <c r="O38" s="306">
        <v>0.88</v>
      </c>
      <c r="P38" s="306">
        <v>1.22</v>
      </c>
      <c r="Q38" s="254"/>
      <c r="R38" s="254"/>
      <c r="S38" s="62">
        <f t="shared" si="2"/>
        <v>1.1737500000000001</v>
      </c>
      <c r="T38" s="60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</row>
    <row r="39" spans="1:30" ht="15.75" customHeight="1">
      <c r="A39" s="47">
        <v>2</v>
      </c>
      <c r="B39" s="47">
        <v>2</v>
      </c>
      <c r="C39" s="47">
        <v>9</v>
      </c>
      <c r="D39" s="25" t="s">
        <v>60</v>
      </c>
      <c r="E39" s="25" t="s">
        <v>71</v>
      </c>
      <c r="F39" s="25" t="s">
        <v>31</v>
      </c>
      <c r="G39" s="49">
        <v>50764</v>
      </c>
      <c r="H39" s="51">
        <v>48</v>
      </c>
      <c r="I39" s="306" t="s">
        <v>80</v>
      </c>
      <c r="J39" s="306" t="s">
        <v>80</v>
      </c>
      <c r="K39" s="306" t="s">
        <v>80</v>
      </c>
      <c r="L39" s="254"/>
      <c r="M39" s="254"/>
      <c r="N39" s="254"/>
      <c r="O39" s="254"/>
      <c r="P39" s="254"/>
      <c r="Q39" s="254"/>
      <c r="R39" s="254"/>
      <c r="S39" s="62"/>
      <c r="T39" s="58" t="s">
        <v>256</v>
      </c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</row>
    <row r="40" spans="1:30" ht="15.75" customHeight="1">
      <c r="A40" s="47">
        <v>2</v>
      </c>
      <c r="B40" s="47">
        <v>2</v>
      </c>
      <c r="C40" s="47">
        <v>11</v>
      </c>
      <c r="D40" s="25" t="s">
        <v>74</v>
      </c>
      <c r="E40" s="25" t="s">
        <v>75</v>
      </c>
      <c r="F40" s="25" t="s">
        <v>25</v>
      </c>
      <c r="G40" s="49">
        <v>50736</v>
      </c>
      <c r="H40" s="51">
        <v>354</v>
      </c>
      <c r="I40" s="306">
        <v>1.34</v>
      </c>
      <c r="J40" s="306">
        <v>1.1000000000000001</v>
      </c>
      <c r="K40" s="306">
        <v>1.337</v>
      </c>
      <c r="L40" s="306">
        <v>1.623</v>
      </c>
      <c r="M40" s="306">
        <v>1.865</v>
      </c>
      <c r="N40" s="306">
        <v>1.49</v>
      </c>
      <c r="O40" s="306">
        <v>1.946</v>
      </c>
      <c r="P40" s="306">
        <v>1.718</v>
      </c>
      <c r="Q40" s="306">
        <v>1.6870000000000001</v>
      </c>
      <c r="R40" s="306">
        <v>1.4319999999999999</v>
      </c>
      <c r="S40" s="62">
        <f t="shared" ref="S40:S54" si="3">AVERAGE(I40:R40)</f>
        <v>1.5538000000000001</v>
      </c>
      <c r="T40" s="60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</row>
    <row r="41" spans="1:30" ht="15.75" customHeight="1">
      <c r="A41" s="47">
        <v>2</v>
      </c>
      <c r="B41" s="47">
        <v>2</v>
      </c>
      <c r="C41" s="47">
        <v>11</v>
      </c>
      <c r="D41" s="25" t="s">
        <v>74</v>
      </c>
      <c r="E41" s="25" t="s">
        <v>75</v>
      </c>
      <c r="F41" s="25" t="s">
        <v>34</v>
      </c>
      <c r="G41" s="49">
        <v>50505</v>
      </c>
      <c r="H41" s="51">
        <v>15</v>
      </c>
      <c r="I41" s="306">
        <v>1.3049999999999999</v>
      </c>
      <c r="J41" s="254"/>
      <c r="K41" s="254"/>
      <c r="L41" s="254"/>
      <c r="M41" s="254"/>
      <c r="N41" s="254"/>
      <c r="O41" s="254"/>
      <c r="P41" s="254"/>
      <c r="Q41" s="254"/>
      <c r="R41" s="254"/>
      <c r="S41" s="62">
        <f t="shared" si="3"/>
        <v>1.3049999999999999</v>
      </c>
      <c r="T41" s="60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</row>
    <row r="42" spans="1:30" ht="15.75" customHeight="1">
      <c r="A42" s="47">
        <v>2</v>
      </c>
      <c r="B42" s="47">
        <v>2</v>
      </c>
      <c r="C42" s="47">
        <v>13</v>
      </c>
      <c r="D42" s="25" t="s">
        <v>60</v>
      </c>
      <c r="E42" s="25" t="s">
        <v>61</v>
      </c>
      <c r="F42" s="25" t="s">
        <v>25</v>
      </c>
      <c r="G42" s="49">
        <v>50749</v>
      </c>
      <c r="H42" s="51">
        <v>200</v>
      </c>
      <c r="I42" s="62">
        <v>1.0660000000000001</v>
      </c>
      <c r="J42" s="62">
        <v>1.05</v>
      </c>
      <c r="K42" s="62">
        <v>1.8779999999999999</v>
      </c>
      <c r="L42" s="62">
        <v>1.5920000000000001</v>
      </c>
      <c r="M42" s="62">
        <v>1.8</v>
      </c>
      <c r="N42" s="62">
        <v>1.337</v>
      </c>
      <c r="O42" s="62">
        <v>1.704</v>
      </c>
      <c r="P42" s="62">
        <v>1.6870000000000001</v>
      </c>
      <c r="Q42" s="254"/>
      <c r="R42" s="254"/>
      <c r="S42" s="62">
        <f t="shared" si="3"/>
        <v>1.5142500000000001</v>
      </c>
      <c r="T42" s="27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</row>
    <row r="43" spans="1:30" ht="15.75" customHeight="1">
      <c r="A43" s="47">
        <v>2</v>
      </c>
      <c r="B43" s="47">
        <v>2</v>
      </c>
      <c r="C43" s="47">
        <v>13</v>
      </c>
      <c r="D43" s="25" t="s">
        <v>76</v>
      </c>
      <c r="E43" s="25" t="s">
        <v>77</v>
      </c>
      <c r="F43" s="25" t="s">
        <v>25</v>
      </c>
      <c r="G43" s="49">
        <v>50748</v>
      </c>
      <c r="H43" s="51">
        <v>296</v>
      </c>
      <c r="I43" s="62">
        <v>0.41</v>
      </c>
      <c r="J43" s="62">
        <v>0.68</v>
      </c>
      <c r="K43" s="62">
        <v>0.81</v>
      </c>
      <c r="L43" s="62">
        <v>0.48199999999999998</v>
      </c>
      <c r="M43" s="62">
        <v>0.55000000000000004</v>
      </c>
      <c r="N43" s="62">
        <v>0.41</v>
      </c>
      <c r="O43" s="62">
        <v>0.57399999999999995</v>
      </c>
      <c r="P43" s="62">
        <v>0.42799999999999999</v>
      </c>
      <c r="Q43" s="254"/>
      <c r="R43" s="254"/>
      <c r="S43" s="62">
        <f t="shared" si="3"/>
        <v>0.54300000000000004</v>
      </c>
      <c r="T43" s="27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</row>
    <row r="44" spans="1:30" ht="15.75" customHeight="1">
      <c r="A44" s="47">
        <v>2</v>
      </c>
      <c r="B44" s="47">
        <v>2</v>
      </c>
      <c r="C44" s="47">
        <v>18</v>
      </c>
      <c r="D44" s="25" t="s">
        <v>72</v>
      </c>
      <c r="E44" s="25" t="s">
        <v>73</v>
      </c>
      <c r="F44" s="25" t="s">
        <v>25</v>
      </c>
      <c r="G44" s="49">
        <v>50706</v>
      </c>
      <c r="H44" s="51">
        <v>71</v>
      </c>
      <c r="I44" s="62">
        <v>0.45</v>
      </c>
      <c r="J44" s="62">
        <v>0.48</v>
      </c>
      <c r="K44" s="62">
        <v>0.66</v>
      </c>
      <c r="L44" s="254"/>
      <c r="M44" s="254"/>
      <c r="N44" s="254"/>
      <c r="O44" s="254"/>
      <c r="P44" s="254"/>
      <c r="Q44" s="254"/>
      <c r="R44" s="254"/>
      <c r="S44" s="62">
        <f t="shared" si="3"/>
        <v>0.52999999999999992</v>
      </c>
      <c r="T44" s="27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</row>
    <row r="45" spans="1:30" ht="15.75" customHeight="1">
      <c r="A45" s="47">
        <v>2</v>
      </c>
      <c r="B45" s="47">
        <v>3</v>
      </c>
      <c r="C45" s="47">
        <v>1</v>
      </c>
      <c r="D45" s="25" t="s">
        <v>78</v>
      </c>
      <c r="E45" s="25" t="s">
        <v>79</v>
      </c>
      <c r="F45" s="25" t="s">
        <v>31</v>
      </c>
      <c r="G45" s="49">
        <v>50801</v>
      </c>
      <c r="H45" s="51">
        <v>371</v>
      </c>
      <c r="I45" s="62">
        <v>0.9</v>
      </c>
      <c r="J45" s="62">
        <v>1.244</v>
      </c>
      <c r="K45" s="62">
        <v>0.64</v>
      </c>
      <c r="L45" s="62">
        <v>0.63</v>
      </c>
      <c r="M45" s="62">
        <v>1.1399999999999999</v>
      </c>
      <c r="N45" s="62">
        <v>0.77</v>
      </c>
      <c r="O45" s="62">
        <v>0.66</v>
      </c>
      <c r="P45" s="62">
        <v>0.72599999999999998</v>
      </c>
      <c r="Q45" s="62">
        <v>0.74299999999999999</v>
      </c>
      <c r="R45" s="62">
        <v>0.44900000000000001</v>
      </c>
      <c r="S45" s="62">
        <f t="shared" si="3"/>
        <v>0.79020000000000001</v>
      </c>
      <c r="T45" s="27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</row>
    <row r="46" spans="1:30" ht="15.75" customHeight="1">
      <c r="A46" s="47">
        <v>2</v>
      </c>
      <c r="B46" s="47">
        <v>3</v>
      </c>
      <c r="C46" s="47">
        <v>1</v>
      </c>
      <c r="D46" s="25" t="s">
        <v>78</v>
      </c>
      <c r="E46" s="25" t="s">
        <v>79</v>
      </c>
      <c r="F46" s="25" t="s">
        <v>68</v>
      </c>
      <c r="G46" s="49">
        <v>50814</v>
      </c>
      <c r="H46" s="51">
        <v>218</v>
      </c>
      <c r="I46" s="62">
        <v>0.72</v>
      </c>
      <c r="J46" s="62">
        <v>0.89</v>
      </c>
      <c r="K46" s="62">
        <v>0.38</v>
      </c>
      <c r="L46" s="62">
        <v>0.67</v>
      </c>
      <c r="M46" s="62">
        <v>0.67</v>
      </c>
      <c r="N46" s="62">
        <v>0.66</v>
      </c>
      <c r="O46" s="62">
        <v>0.51400000000000001</v>
      </c>
      <c r="P46" s="62">
        <v>0.53</v>
      </c>
      <c r="Q46" s="254"/>
      <c r="R46" s="254"/>
      <c r="S46" s="62">
        <f t="shared" si="3"/>
        <v>0.62924999999999998</v>
      </c>
      <c r="T46" s="27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</row>
    <row r="47" spans="1:30" ht="15.75" customHeight="1">
      <c r="A47" s="47">
        <v>2</v>
      </c>
      <c r="B47" s="47">
        <v>3</v>
      </c>
      <c r="C47" s="47">
        <v>1</v>
      </c>
      <c r="D47" s="25" t="s">
        <v>78</v>
      </c>
      <c r="E47" s="25" t="s">
        <v>79</v>
      </c>
      <c r="F47" s="25" t="s">
        <v>25</v>
      </c>
      <c r="G47" s="49">
        <v>50741</v>
      </c>
      <c r="H47" s="51">
        <v>55</v>
      </c>
      <c r="I47" s="62">
        <v>0.96</v>
      </c>
      <c r="J47" s="62">
        <v>0.5</v>
      </c>
      <c r="K47" s="62">
        <v>0.87</v>
      </c>
      <c r="L47" s="254"/>
      <c r="M47" s="254"/>
      <c r="N47" s="254"/>
      <c r="O47" s="254"/>
      <c r="P47" s="254"/>
      <c r="Q47" s="254"/>
      <c r="R47" s="254"/>
      <c r="S47" s="62">
        <f t="shared" si="3"/>
        <v>0.77666666666666673</v>
      </c>
      <c r="T47" s="27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</row>
    <row r="48" spans="1:30" ht="15.75" customHeight="1">
      <c r="A48" s="47">
        <v>2</v>
      </c>
      <c r="B48" s="47">
        <v>3</v>
      </c>
      <c r="C48" s="47">
        <v>1</v>
      </c>
      <c r="D48" s="25" t="s">
        <v>78</v>
      </c>
      <c r="E48" s="25" t="s">
        <v>79</v>
      </c>
      <c r="F48" s="25" t="s">
        <v>31</v>
      </c>
      <c r="G48" s="49">
        <v>50791</v>
      </c>
      <c r="H48" s="51">
        <v>49</v>
      </c>
      <c r="I48" s="62">
        <v>0.8</v>
      </c>
      <c r="J48" s="62">
        <v>0.74</v>
      </c>
      <c r="K48" s="254"/>
      <c r="L48" s="254"/>
      <c r="M48" s="254"/>
      <c r="N48" s="254"/>
      <c r="O48" s="254"/>
      <c r="P48" s="254"/>
      <c r="Q48" s="254"/>
      <c r="R48" s="254"/>
      <c r="S48" s="62">
        <f t="shared" si="3"/>
        <v>0.77</v>
      </c>
      <c r="T48" s="27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</row>
    <row r="49" spans="1:30" ht="15.75" customHeight="1">
      <c r="A49" s="47">
        <v>2</v>
      </c>
      <c r="B49" s="47">
        <v>3</v>
      </c>
      <c r="C49" s="47">
        <v>1</v>
      </c>
      <c r="D49" s="25" t="s">
        <v>78</v>
      </c>
      <c r="E49" s="25" t="s">
        <v>79</v>
      </c>
      <c r="F49" s="25" t="s">
        <v>34</v>
      </c>
      <c r="G49" s="49">
        <v>50850</v>
      </c>
      <c r="H49" s="51">
        <v>46</v>
      </c>
      <c r="I49" s="62">
        <v>0.94</v>
      </c>
      <c r="J49" s="62">
        <v>0.97</v>
      </c>
      <c r="K49" s="254"/>
      <c r="L49" s="254"/>
      <c r="M49" s="254"/>
      <c r="N49" s="254"/>
      <c r="O49" s="254"/>
      <c r="P49" s="254"/>
      <c r="Q49" s="254"/>
      <c r="R49" s="254"/>
      <c r="S49" s="62">
        <f t="shared" si="3"/>
        <v>0.95499999999999996</v>
      </c>
      <c r="T49" s="27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</row>
    <row r="50" spans="1:30" ht="15.75" customHeight="1">
      <c r="A50" s="47">
        <v>2</v>
      </c>
      <c r="B50" s="47">
        <v>3</v>
      </c>
      <c r="C50" s="47">
        <v>2</v>
      </c>
      <c r="D50" s="25" t="s">
        <v>81</v>
      </c>
      <c r="E50" s="25" t="s">
        <v>82</v>
      </c>
      <c r="F50" s="25" t="s">
        <v>25</v>
      </c>
      <c r="G50" s="49">
        <v>50723</v>
      </c>
      <c r="H50" s="51">
        <v>44</v>
      </c>
      <c r="I50" s="62">
        <v>2.1800000000000002</v>
      </c>
      <c r="J50" s="62">
        <v>1.27</v>
      </c>
      <c r="K50" s="254"/>
      <c r="L50" s="254"/>
      <c r="M50" s="254"/>
      <c r="N50" s="254"/>
      <c r="O50" s="254"/>
      <c r="P50" s="254"/>
      <c r="Q50" s="254"/>
      <c r="R50" s="254"/>
      <c r="S50" s="62">
        <f t="shared" si="3"/>
        <v>1.7250000000000001</v>
      </c>
      <c r="T50" s="27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</row>
    <row r="51" spans="1:30" ht="15.75" customHeight="1">
      <c r="A51" s="47">
        <v>2</v>
      </c>
      <c r="B51" s="47">
        <v>3</v>
      </c>
      <c r="C51" s="47">
        <v>2</v>
      </c>
      <c r="D51" s="25" t="s">
        <v>81</v>
      </c>
      <c r="E51" s="25" t="s">
        <v>82</v>
      </c>
      <c r="F51" s="25" t="s">
        <v>34</v>
      </c>
      <c r="G51" s="49">
        <v>50518</v>
      </c>
      <c r="H51" s="51">
        <v>61</v>
      </c>
      <c r="I51" s="62">
        <v>2.0019999999999998</v>
      </c>
      <c r="J51" s="62">
        <v>2.4500000000000002</v>
      </c>
      <c r="K51" s="62">
        <v>3.21</v>
      </c>
      <c r="L51" s="254"/>
      <c r="M51" s="254"/>
      <c r="N51" s="254"/>
      <c r="O51" s="254"/>
      <c r="P51" s="254"/>
      <c r="Q51" s="254"/>
      <c r="R51" s="254"/>
      <c r="S51" s="62">
        <f t="shared" si="3"/>
        <v>2.5539999999999998</v>
      </c>
      <c r="T51" s="27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</row>
    <row r="52" spans="1:30" ht="15.75" customHeight="1">
      <c r="A52" s="33">
        <v>2</v>
      </c>
      <c r="B52" s="47">
        <v>3</v>
      </c>
      <c r="C52" s="47">
        <v>2</v>
      </c>
      <c r="D52" s="25" t="s">
        <v>85</v>
      </c>
      <c r="E52" s="25" t="s">
        <v>86</v>
      </c>
      <c r="F52" s="25" t="s">
        <v>68</v>
      </c>
      <c r="G52" s="49">
        <v>50832</v>
      </c>
      <c r="H52" s="51">
        <v>251</v>
      </c>
      <c r="I52" s="62">
        <v>0.47</v>
      </c>
      <c r="J52" s="62">
        <v>0.41</v>
      </c>
      <c r="K52" s="62">
        <v>0.59</v>
      </c>
      <c r="L52" s="62">
        <v>0.4</v>
      </c>
      <c r="M52" s="62">
        <v>0.57099999999999995</v>
      </c>
      <c r="N52" s="62">
        <v>0.53600000000000003</v>
      </c>
      <c r="O52" s="62">
        <v>0.64</v>
      </c>
      <c r="P52" s="62">
        <v>0.68</v>
      </c>
      <c r="Q52" s="62">
        <v>0.76</v>
      </c>
      <c r="R52" s="62">
        <v>0.78</v>
      </c>
      <c r="S52" s="62">
        <f t="shared" si="3"/>
        <v>0.5837</v>
      </c>
      <c r="T52" s="27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</row>
    <row r="53" spans="1:30" ht="15.75" customHeight="1">
      <c r="A53" s="47">
        <v>2</v>
      </c>
      <c r="B53" s="47">
        <v>3</v>
      </c>
      <c r="C53" s="47">
        <v>2</v>
      </c>
      <c r="D53" s="25" t="s">
        <v>81</v>
      </c>
      <c r="E53" s="25" t="s">
        <v>82</v>
      </c>
      <c r="F53" s="25" t="s">
        <v>34</v>
      </c>
      <c r="G53" s="49">
        <v>50628</v>
      </c>
      <c r="H53" s="51">
        <v>28</v>
      </c>
      <c r="I53" s="62">
        <v>2.2599999999999998</v>
      </c>
      <c r="J53" s="254"/>
      <c r="K53" s="254"/>
      <c r="L53" s="254"/>
      <c r="M53" s="254"/>
      <c r="N53" s="254"/>
      <c r="O53" s="254"/>
      <c r="P53" s="254"/>
      <c r="Q53" s="254"/>
      <c r="R53" s="254"/>
      <c r="S53" s="62">
        <f t="shared" si="3"/>
        <v>2.2599999999999998</v>
      </c>
      <c r="T53" s="27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</row>
    <row r="54" spans="1:30" ht="15.75" customHeight="1">
      <c r="A54" s="47">
        <v>2</v>
      </c>
      <c r="B54" s="47">
        <v>3</v>
      </c>
      <c r="C54" s="47">
        <v>2</v>
      </c>
      <c r="D54" s="25" t="s">
        <v>81</v>
      </c>
      <c r="E54" s="25" t="s">
        <v>82</v>
      </c>
      <c r="F54" s="25" t="s">
        <v>34</v>
      </c>
      <c r="G54" s="49">
        <v>50520</v>
      </c>
      <c r="H54" s="51">
        <v>142</v>
      </c>
      <c r="I54" s="62">
        <v>0.78</v>
      </c>
      <c r="J54" s="62">
        <v>1.43</v>
      </c>
      <c r="K54" s="62">
        <v>1.72</v>
      </c>
      <c r="L54" s="62">
        <v>0.89</v>
      </c>
      <c r="M54" s="62">
        <v>2.19</v>
      </c>
      <c r="N54" s="62">
        <v>2.41</v>
      </c>
      <c r="O54" s="254"/>
      <c r="P54" s="254"/>
      <c r="Q54" s="254"/>
      <c r="R54" s="254"/>
      <c r="S54" s="62">
        <f t="shared" si="3"/>
        <v>1.57</v>
      </c>
      <c r="T54" s="27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</row>
    <row r="55" spans="1:30" ht="15.75" customHeight="1">
      <c r="A55" s="71">
        <v>2</v>
      </c>
      <c r="B55" s="71">
        <v>3</v>
      </c>
      <c r="C55" s="71">
        <v>2</v>
      </c>
      <c r="D55" s="53" t="s">
        <v>81</v>
      </c>
      <c r="E55" s="53" t="s">
        <v>82</v>
      </c>
      <c r="F55" s="53" t="s">
        <v>34</v>
      </c>
      <c r="G55" s="73">
        <v>50483</v>
      </c>
      <c r="H55" s="74">
        <v>3</v>
      </c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62"/>
      <c r="T55" s="79" t="s">
        <v>55</v>
      </c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</row>
    <row r="56" spans="1:30" ht="15.75" customHeight="1">
      <c r="A56" s="77">
        <v>2</v>
      </c>
      <c r="B56" s="77">
        <v>3</v>
      </c>
      <c r="C56" s="77">
        <v>3</v>
      </c>
      <c r="D56" s="70" t="s">
        <v>72</v>
      </c>
      <c r="E56" s="70" t="s">
        <v>73</v>
      </c>
      <c r="F56" s="70" t="s">
        <v>68</v>
      </c>
      <c r="G56" s="99">
        <v>50618</v>
      </c>
      <c r="H56" s="100">
        <v>96</v>
      </c>
      <c r="I56" s="309">
        <v>0.41</v>
      </c>
      <c r="J56" s="309">
        <v>0.38</v>
      </c>
      <c r="K56" s="309">
        <v>0.33</v>
      </c>
      <c r="L56" s="309">
        <v>0.2</v>
      </c>
      <c r="M56" s="309">
        <v>0.43</v>
      </c>
      <c r="N56" s="309">
        <v>0.22</v>
      </c>
      <c r="O56" s="310"/>
      <c r="P56" s="310"/>
      <c r="Q56" s="310"/>
      <c r="R56" s="310"/>
      <c r="S56" s="62">
        <f>AVERAGE(I56:R56)</f>
        <v>0.32833333333333331</v>
      </c>
      <c r="T56" s="103" t="s">
        <v>87</v>
      </c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</row>
    <row r="57" spans="1:30" ht="15.75" customHeight="1">
      <c r="A57" s="47">
        <v>2</v>
      </c>
      <c r="B57" s="47">
        <v>3</v>
      </c>
      <c r="C57" s="47">
        <v>4</v>
      </c>
      <c r="D57" s="25" t="s">
        <v>72</v>
      </c>
      <c r="E57" s="25" t="s">
        <v>73</v>
      </c>
      <c r="F57" s="25" t="s">
        <v>31</v>
      </c>
      <c r="G57" s="49">
        <v>50803</v>
      </c>
      <c r="H57" s="51">
        <v>486</v>
      </c>
      <c r="I57" s="62">
        <v>0.61</v>
      </c>
      <c r="J57" s="62">
        <v>0.71</v>
      </c>
      <c r="K57" s="62">
        <v>0.7</v>
      </c>
      <c r="L57" s="62">
        <v>0.44</v>
      </c>
      <c r="M57" s="62">
        <v>0.63</v>
      </c>
      <c r="N57" s="62">
        <v>0.6</v>
      </c>
      <c r="O57" s="62">
        <v>0.84</v>
      </c>
      <c r="P57" s="62">
        <v>0.871</v>
      </c>
      <c r="Q57" s="254"/>
      <c r="R57" s="254"/>
      <c r="S57" s="62">
        <f>AVERAGE(I57:R57)</f>
        <v>0.67512499999999998</v>
      </c>
      <c r="T57" s="27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</row>
    <row r="58" spans="1:30" ht="15.75" customHeight="1">
      <c r="A58" s="77">
        <v>2</v>
      </c>
      <c r="B58" s="77">
        <v>3</v>
      </c>
      <c r="C58" s="77">
        <v>4</v>
      </c>
      <c r="D58" s="70" t="s">
        <v>72</v>
      </c>
      <c r="E58" s="70" t="s">
        <v>73</v>
      </c>
      <c r="F58" s="70" t="s">
        <v>68</v>
      </c>
      <c r="G58" s="99">
        <v>50618</v>
      </c>
      <c r="H58" s="100">
        <v>49</v>
      </c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62"/>
      <c r="T58" s="103" t="s">
        <v>87</v>
      </c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</row>
    <row r="59" spans="1:30" ht="15.75" customHeight="1">
      <c r="A59" s="47">
        <v>2</v>
      </c>
      <c r="B59" s="47">
        <v>3</v>
      </c>
      <c r="C59" s="47">
        <v>5</v>
      </c>
      <c r="D59" s="25" t="s">
        <v>89</v>
      </c>
      <c r="E59" s="25" t="s">
        <v>90</v>
      </c>
      <c r="F59" s="25" t="s">
        <v>34</v>
      </c>
      <c r="G59" s="49">
        <v>50854</v>
      </c>
      <c r="H59" s="51">
        <v>179</v>
      </c>
      <c r="I59" s="62">
        <v>1.1100000000000001</v>
      </c>
      <c r="J59" s="62">
        <v>1.331</v>
      </c>
      <c r="K59" s="62">
        <v>1.04</v>
      </c>
      <c r="L59" s="62">
        <v>1.1599999999999999</v>
      </c>
      <c r="M59" s="62">
        <v>1.31</v>
      </c>
      <c r="N59" s="62">
        <v>1.1100000000000001</v>
      </c>
      <c r="O59" s="62">
        <v>1.1399999999999999</v>
      </c>
      <c r="P59" s="62">
        <v>1.1000000000000001</v>
      </c>
      <c r="Q59" s="254"/>
      <c r="R59" s="254"/>
      <c r="S59" s="62">
        <f t="shared" ref="S59:S64" si="4">AVERAGE(I59:R59)</f>
        <v>1.162625</v>
      </c>
      <c r="T59" s="27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</row>
    <row r="60" spans="1:30" ht="15.75" customHeight="1">
      <c r="A60" s="47">
        <v>2</v>
      </c>
      <c r="B60" s="47">
        <v>3</v>
      </c>
      <c r="C60" s="47">
        <v>5</v>
      </c>
      <c r="D60" s="25" t="s">
        <v>89</v>
      </c>
      <c r="E60" s="25" t="s">
        <v>90</v>
      </c>
      <c r="F60" s="25" t="s">
        <v>25</v>
      </c>
      <c r="G60" s="49">
        <v>50846</v>
      </c>
      <c r="H60" s="51">
        <v>114</v>
      </c>
      <c r="I60" s="62">
        <v>2.21</v>
      </c>
      <c r="J60" s="62">
        <v>1.633</v>
      </c>
      <c r="K60" s="62">
        <v>1.76</v>
      </c>
      <c r="L60" s="62">
        <v>1.73</v>
      </c>
      <c r="M60" s="62">
        <v>1.5</v>
      </c>
      <c r="N60" s="62">
        <v>1.54</v>
      </c>
      <c r="O60" s="254"/>
      <c r="P60" s="254"/>
      <c r="Q60" s="254"/>
      <c r="R60" s="254"/>
      <c r="S60" s="62">
        <f t="shared" si="4"/>
        <v>1.7288333333333334</v>
      </c>
      <c r="T60" s="27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</row>
    <row r="61" spans="1:30" ht="15.75" customHeight="1">
      <c r="A61" s="47">
        <v>2</v>
      </c>
      <c r="B61" s="47">
        <v>3</v>
      </c>
      <c r="C61" s="47">
        <v>6</v>
      </c>
      <c r="D61" s="25" t="s">
        <v>58</v>
      </c>
      <c r="E61" s="25" t="s">
        <v>59</v>
      </c>
      <c r="F61" s="25" t="s">
        <v>68</v>
      </c>
      <c r="G61" s="49">
        <v>50816</v>
      </c>
      <c r="H61" s="51">
        <v>983</v>
      </c>
      <c r="I61" s="62">
        <v>1.05</v>
      </c>
      <c r="J61" s="62">
        <v>1.23</v>
      </c>
      <c r="K61" s="62">
        <v>1.0529999999999999</v>
      </c>
      <c r="L61" s="62">
        <v>1.0860000000000001</v>
      </c>
      <c r="M61" s="62">
        <v>1.24</v>
      </c>
      <c r="N61" s="62">
        <v>1.012</v>
      </c>
      <c r="O61" s="62">
        <v>1.087</v>
      </c>
      <c r="P61" s="62">
        <v>1.1819999999999999</v>
      </c>
      <c r="Q61" s="62">
        <v>1.0189999999999999</v>
      </c>
      <c r="R61" s="62">
        <v>1.62</v>
      </c>
      <c r="S61" s="62">
        <f t="shared" si="4"/>
        <v>1.1579000000000002</v>
      </c>
      <c r="T61" s="27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</row>
    <row r="62" spans="1:30" ht="15.75" customHeight="1">
      <c r="A62" s="47">
        <v>2</v>
      </c>
      <c r="B62" s="47">
        <v>3</v>
      </c>
      <c r="C62" s="47">
        <v>6</v>
      </c>
      <c r="D62" s="25" t="s">
        <v>58</v>
      </c>
      <c r="E62" s="25" t="s">
        <v>59</v>
      </c>
      <c r="F62" s="25" t="s">
        <v>34</v>
      </c>
      <c r="G62" s="49">
        <v>50773</v>
      </c>
      <c r="H62" s="51">
        <v>13</v>
      </c>
      <c r="I62" s="62">
        <v>1.35</v>
      </c>
      <c r="J62" s="254"/>
      <c r="K62" s="254"/>
      <c r="L62" s="254"/>
      <c r="M62" s="254"/>
      <c r="N62" s="254"/>
      <c r="O62" s="254"/>
      <c r="P62" s="254"/>
      <c r="Q62" s="254"/>
      <c r="R62" s="254"/>
      <c r="S62" s="62">
        <f t="shared" si="4"/>
        <v>1.35</v>
      </c>
      <c r="T62" s="27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</row>
    <row r="63" spans="1:30" ht="15.75" customHeight="1">
      <c r="A63" s="47">
        <v>2</v>
      </c>
      <c r="B63" s="47">
        <v>3</v>
      </c>
      <c r="C63" s="47">
        <v>6</v>
      </c>
      <c r="D63" s="25" t="s">
        <v>91</v>
      </c>
      <c r="E63" s="25" t="s">
        <v>92</v>
      </c>
      <c r="F63" s="25" t="s">
        <v>31</v>
      </c>
      <c r="G63" s="49">
        <v>50784</v>
      </c>
      <c r="H63" s="51">
        <v>32</v>
      </c>
      <c r="I63" s="62">
        <v>1.131</v>
      </c>
      <c r="J63" s="254"/>
      <c r="K63" s="254"/>
      <c r="L63" s="254"/>
      <c r="M63" s="254"/>
      <c r="N63" s="254"/>
      <c r="O63" s="254"/>
      <c r="P63" s="254"/>
      <c r="Q63" s="254"/>
      <c r="R63" s="254"/>
      <c r="S63" s="62">
        <f t="shared" si="4"/>
        <v>1.131</v>
      </c>
      <c r="T63" s="27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</row>
    <row r="64" spans="1:30" ht="15.75" customHeight="1">
      <c r="A64" s="47">
        <v>2</v>
      </c>
      <c r="B64" s="47">
        <v>3</v>
      </c>
      <c r="C64" s="47">
        <v>7</v>
      </c>
      <c r="D64" s="25" t="s">
        <v>93</v>
      </c>
      <c r="E64" s="25" t="s">
        <v>94</v>
      </c>
      <c r="F64" s="25" t="s">
        <v>34</v>
      </c>
      <c r="G64" s="49">
        <v>50604</v>
      </c>
      <c r="H64" s="51">
        <v>350</v>
      </c>
      <c r="I64" s="62">
        <v>1.0629999999999999</v>
      </c>
      <c r="J64" s="62">
        <v>1.913</v>
      </c>
      <c r="K64" s="62">
        <v>1.91</v>
      </c>
      <c r="L64" s="62">
        <v>1.1399999999999999</v>
      </c>
      <c r="M64" s="62">
        <v>1.1739999999999999</v>
      </c>
      <c r="N64" s="62">
        <v>1.379</v>
      </c>
      <c r="O64" s="62">
        <v>1.655</v>
      </c>
      <c r="P64" s="62">
        <v>1.54</v>
      </c>
      <c r="Q64" s="62">
        <v>1.43</v>
      </c>
      <c r="R64" s="62">
        <v>1.19</v>
      </c>
      <c r="S64" s="62">
        <f t="shared" si="4"/>
        <v>1.4393999999999996</v>
      </c>
      <c r="T64" s="27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</row>
    <row r="65" spans="1:30" ht="15.75" customHeight="1">
      <c r="A65" s="71">
        <v>2</v>
      </c>
      <c r="B65" s="71">
        <v>3</v>
      </c>
      <c r="C65" s="71">
        <v>7</v>
      </c>
      <c r="D65" s="53" t="s">
        <v>72</v>
      </c>
      <c r="E65" s="53" t="s">
        <v>73</v>
      </c>
      <c r="F65" s="53" t="s">
        <v>31</v>
      </c>
      <c r="G65" s="73">
        <v>50803</v>
      </c>
      <c r="H65" s="74">
        <v>132</v>
      </c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62"/>
      <c r="T65" s="79" t="s">
        <v>55</v>
      </c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</row>
    <row r="66" spans="1:30" ht="15.75" customHeight="1">
      <c r="A66" s="47">
        <v>2</v>
      </c>
      <c r="B66" s="47">
        <v>3</v>
      </c>
      <c r="C66" s="47">
        <v>8</v>
      </c>
      <c r="D66" s="25" t="s">
        <v>95</v>
      </c>
      <c r="E66" s="25" t="s">
        <v>96</v>
      </c>
      <c r="F66" s="25" t="s">
        <v>34</v>
      </c>
      <c r="G66" s="49">
        <v>50886</v>
      </c>
      <c r="H66" s="51">
        <v>289</v>
      </c>
      <c r="I66" s="62">
        <v>0.53400000000000003</v>
      </c>
      <c r="J66" s="62">
        <v>0.36899999999999999</v>
      </c>
      <c r="K66" s="62">
        <v>0.31</v>
      </c>
      <c r="L66" s="62">
        <v>0.27</v>
      </c>
      <c r="M66" s="62">
        <v>0.37</v>
      </c>
      <c r="N66" s="62">
        <v>0.32100000000000001</v>
      </c>
      <c r="O66" s="62">
        <v>0.32</v>
      </c>
      <c r="P66" s="62">
        <v>0.34</v>
      </c>
      <c r="Q66" s="62">
        <v>0.41599999999999998</v>
      </c>
      <c r="R66" s="62">
        <v>0.67</v>
      </c>
      <c r="S66" s="62">
        <f>AVERAGE(I66:R66)</f>
        <v>0.39200000000000002</v>
      </c>
      <c r="T66" s="27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</row>
    <row r="67" spans="1:30" ht="15.75" customHeight="1">
      <c r="A67" s="47">
        <v>2</v>
      </c>
      <c r="B67" s="47">
        <v>3</v>
      </c>
      <c r="C67" s="47">
        <v>8</v>
      </c>
      <c r="D67" s="25" t="s">
        <v>74</v>
      </c>
      <c r="E67" s="25" t="s">
        <v>75</v>
      </c>
      <c r="F67" s="25" t="s">
        <v>34</v>
      </c>
      <c r="G67" s="49">
        <v>50887</v>
      </c>
      <c r="H67" s="51">
        <v>179</v>
      </c>
      <c r="I67" s="62">
        <v>0.50800000000000001</v>
      </c>
      <c r="J67" s="62">
        <v>0.34499999999999997</v>
      </c>
      <c r="K67" s="62">
        <v>0.25900000000000001</v>
      </c>
      <c r="L67" s="62">
        <v>0.27700000000000002</v>
      </c>
      <c r="M67" s="62">
        <v>0.247</v>
      </c>
      <c r="N67" s="62">
        <v>0.20300000000000001</v>
      </c>
      <c r="O67" s="62">
        <v>0.22700000000000001</v>
      </c>
      <c r="P67" s="62">
        <v>0.21</v>
      </c>
      <c r="Q67" s="62">
        <v>0.16500000000000001</v>
      </c>
      <c r="R67" s="254"/>
      <c r="S67" s="62">
        <f>AVERAGE(I67:R67)</f>
        <v>0.27122222222222225</v>
      </c>
      <c r="T67" s="27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</row>
    <row r="68" spans="1:30" ht="15.75" customHeight="1">
      <c r="A68" s="47">
        <v>2</v>
      </c>
      <c r="B68" s="47">
        <v>3</v>
      </c>
      <c r="C68" s="47">
        <v>9</v>
      </c>
      <c r="D68" s="25" t="s">
        <v>97</v>
      </c>
      <c r="E68" s="25" t="s">
        <v>98</v>
      </c>
      <c r="F68" s="25" t="s">
        <v>68</v>
      </c>
      <c r="G68" s="49">
        <v>50845</v>
      </c>
      <c r="H68" s="51">
        <v>459</v>
      </c>
      <c r="I68" s="62">
        <v>0.56000000000000005</v>
      </c>
      <c r="J68" s="62">
        <v>0.65</v>
      </c>
      <c r="K68" s="62">
        <v>0.38</v>
      </c>
      <c r="L68" s="62">
        <v>0.58499999999999996</v>
      </c>
      <c r="M68" s="62">
        <v>0.49299999999999999</v>
      </c>
      <c r="N68" s="62">
        <v>0.6</v>
      </c>
      <c r="O68" s="62">
        <v>0.77</v>
      </c>
      <c r="P68" s="62">
        <v>0.625</v>
      </c>
      <c r="Q68" s="62">
        <v>0.62</v>
      </c>
      <c r="R68" s="62">
        <v>0.74399999999999999</v>
      </c>
      <c r="S68" s="62">
        <f>AVERAGE(I68:R68)</f>
        <v>0.60270000000000001</v>
      </c>
      <c r="T68" s="27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</row>
    <row r="69" spans="1:30" ht="15.75" customHeight="1">
      <c r="A69" s="63">
        <v>2</v>
      </c>
      <c r="B69" s="63">
        <v>3</v>
      </c>
      <c r="C69" s="63">
        <v>9</v>
      </c>
      <c r="D69" s="38" t="s">
        <v>97</v>
      </c>
      <c r="E69" s="38" t="s">
        <v>98</v>
      </c>
      <c r="F69" s="38" t="s">
        <v>34</v>
      </c>
      <c r="G69" s="64">
        <v>50590</v>
      </c>
      <c r="H69" s="65">
        <v>3</v>
      </c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2"/>
      <c r="T69" s="67" t="s">
        <v>43</v>
      </c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</row>
    <row r="70" spans="1:30" ht="15.75" customHeight="1">
      <c r="A70" s="47">
        <v>2</v>
      </c>
      <c r="B70" s="47">
        <v>3</v>
      </c>
      <c r="C70" s="47">
        <v>9</v>
      </c>
      <c r="D70" s="25" t="s">
        <v>99</v>
      </c>
      <c r="E70" s="114"/>
      <c r="F70" s="25" t="s">
        <v>25</v>
      </c>
      <c r="G70" s="49">
        <v>50848</v>
      </c>
      <c r="H70" s="51">
        <v>217</v>
      </c>
      <c r="I70" s="62">
        <v>0.627</v>
      </c>
      <c r="J70" s="62">
        <v>0.63</v>
      </c>
      <c r="K70" s="62">
        <v>0.82199999999999995</v>
      </c>
      <c r="L70" s="62">
        <v>0.4</v>
      </c>
      <c r="M70" s="62">
        <v>0.5</v>
      </c>
      <c r="N70" s="62">
        <v>0.63</v>
      </c>
      <c r="O70" s="62">
        <v>0.496</v>
      </c>
      <c r="P70" s="62">
        <v>0.504</v>
      </c>
      <c r="Q70" s="254"/>
      <c r="R70" s="254"/>
      <c r="S70" s="62">
        <f>AVERAGE(I70:R70)</f>
        <v>0.576125</v>
      </c>
      <c r="T70" s="27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</row>
    <row r="71" spans="1:30" ht="15.75" customHeight="1">
      <c r="A71" s="71">
        <v>2</v>
      </c>
      <c r="B71" s="71">
        <v>3</v>
      </c>
      <c r="C71" s="71">
        <v>9</v>
      </c>
      <c r="D71" s="53" t="s">
        <v>100</v>
      </c>
      <c r="E71" s="53" t="s">
        <v>101</v>
      </c>
      <c r="F71" s="53" t="s">
        <v>68</v>
      </c>
      <c r="G71" s="73">
        <v>50645</v>
      </c>
      <c r="H71" s="74">
        <v>102</v>
      </c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62"/>
      <c r="T71" s="79" t="s">
        <v>55</v>
      </c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</row>
    <row r="72" spans="1:30" ht="15.75" customHeight="1">
      <c r="A72" s="47">
        <v>2</v>
      </c>
      <c r="B72" s="47">
        <v>3</v>
      </c>
      <c r="C72" s="47">
        <v>9</v>
      </c>
      <c r="D72" s="25" t="s">
        <v>100</v>
      </c>
      <c r="E72" s="25" t="s">
        <v>101</v>
      </c>
      <c r="F72" s="25" t="s">
        <v>25</v>
      </c>
      <c r="G72" s="49">
        <v>50746</v>
      </c>
      <c r="H72" s="51">
        <v>53</v>
      </c>
      <c r="I72" s="62">
        <v>0.84299999999999997</v>
      </c>
      <c r="J72" s="62">
        <v>0.51</v>
      </c>
      <c r="K72" s="62">
        <v>0.84</v>
      </c>
      <c r="L72" s="254"/>
      <c r="M72" s="254"/>
      <c r="N72" s="254"/>
      <c r="O72" s="254"/>
      <c r="P72" s="254"/>
      <c r="Q72" s="254"/>
      <c r="R72" s="254"/>
      <c r="S72" s="62">
        <f>AVERAGE(I72:R72)</f>
        <v>0.73099999999999998</v>
      </c>
      <c r="T72" s="27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</row>
    <row r="73" spans="1:30" ht="15.75" customHeight="1">
      <c r="A73" s="47">
        <v>2</v>
      </c>
      <c r="B73" s="47">
        <v>3</v>
      </c>
      <c r="C73" s="47">
        <v>9</v>
      </c>
      <c r="D73" s="25" t="s">
        <v>100</v>
      </c>
      <c r="E73" s="25" t="s">
        <v>101</v>
      </c>
      <c r="F73" s="25" t="s">
        <v>31</v>
      </c>
      <c r="G73" s="49">
        <v>50804</v>
      </c>
      <c r="H73" s="51">
        <v>29</v>
      </c>
      <c r="I73" s="62">
        <v>0.77400000000000002</v>
      </c>
      <c r="J73" s="254"/>
      <c r="K73" s="254"/>
      <c r="L73" s="254"/>
      <c r="M73" s="254"/>
      <c r="N73" s="254"/>
      <c r="O73" s="254"/>
      <c r="P73" s="254"/>
      <c r="Q73" s="254"/>
      <c r="R73" s="254"/>
      <c r="S73" s="62">
        <f>AVERAGE(I73:R73)</f>
        <v>0.77400000000000002</v>
      </c>
      <c r="T73" s="27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</row>
    <row r="74" spans="1:30" ht="15.75" customHeight="1">
      <c r="A74" s="47">
        <v>2</v>
      </c>
      <c r="B74" s="47">
        <v>3</v>
      </c>
      <c r="C74" s="47">
        <v>11</v>
      </c>
      <c r="D74" s="25" t="s">
        <v>102</v>
      </c>
      <c r="E74" s="25" t="s">
        <v>103</v>
      </c>
      <c r="F74" s="25" t="s">
        <v>31</v>
      </c>
      <c r="G74" s="49">
        <v>50821</v>
      </c>
      <c r="H74" s="51">
        <v>369</v>
      </c>
      <c r="I74" s="62">
        <v>0.92</v>
      </c>
      <c r="J74" s="62">
        <v>1.1299999999999999</v>
      </c>
      <c r="K74" s="62">
        <v>1.1499999999999999</v>
      </c>
      <c r="L74" s="62">
        <v>1.2</v>
      </c>
      <c r="M74" s="62">
        <v>0.93</v>
      </c>
      <c r="N74" s="62">
        <v>0.82899999999999996</v>
      </c>
      <c r="O74" s="62">
        <v>1.1499999999999999</v>
      </c>
      <c r="P74" s="62">
        <v>0.93</v>
      </c>
      <c r="Q74" s="62">
        <v>0.90700000000000003</v>
      </c>
      <c r="R74" s="62">
        <v>0.96499999999999997</v>
      </c>
      <c r="S74" s="62">
        <f>AVERAGE(I74:R74)</f>
        <v>1.0110999999999999</v>
      </c>
      <c r="T74" s="27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</row>
    <row r="75" spans="1:30" ht="15.75" customHeight="1">
      <c r="A75" s="71">
        <v>2</v>
      </c>
      <c r="B75" s="71">
        <v>3</v>
      </c>
      <c r="C75" s="71">
        <v>11</v>
      </c>
      <c r="D75" s="53" t="s">
        <v>102</v>
      </c>
      <c r="E75" s="53" t="s">
        <v>103</v>
      </c>
      <c r="F75" s="53" t="s">
        <v>34</v>
      </c>
      <c r="G75" s="73">
        <v>50415</v>
      </c>
      <c r="H75" s="74">
        <v>4</v>
      </c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62"/>
      <c r="T75" s="79" t="s">
        <v>55</v>
      </c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</row>
    <row r="76" spans="1:30" ht="15.75" customHeight="1">
      <c r="A76" s="47">
        <v>2</v>
      </c>
      <c r="B76" s="47">
        <v>3</v>
      </c>
      <c r="C76" s="47">
        <v>11</v>
      </c>
      <c r="D76" s="25" t="s">
        <v>102</v>
      </c>
      <c r="E76" s="25" t="s">
        <v>104</v>
      </c>
      <c r="F76" s="25" t="s">
        <v>68</v>
      </c>
      <c r="G76" s="49">
        <v>50658</v>
      </c>
      <c r="H76" s="51">
        <v>136</v>
      </c>
      <c r="I76" s="62">
        <v>1.19</v>
      </c>
      <c r="J76" s="62">
        <v>1.17</v>
      </c>
      <c r="K76" s="62">
        <v>1.032</v>
      </c>
      <c r="L76" s="62">
        <v>0.93</v>
      </c>
      <c r="M76" s="62">
        <v>0.8</v>
      </c>
      <c r="N76" s="254"/>
      <c r="O76" s="254"/>
      <c r="P76" s="254"/>
      <c r="Q76" s="254"/>
      <c r="R76" s="254"/>
      <c r="S76" s="62">
        <f t="shared" ref="S76:S86" si="5">AVERAGE(I76:R76)</f>
        <v>1.0244</v>
      </c>
      <c r="T76" s="27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</row>
    <row r="77" spans="1:30" ht="15.75" customHeight="1">
      <c r="A77" s="47">
        <v>2</v>
      </c>
      <c r="B77" s="47">
        <v>3</v>
      </c>
      <c r="C77" s="47">
        <v>12</v>
      </c>
      <c r="D77" s="25" t="s">
        <v>102</v>
      </c>
      <c r="E77" s="25" t="s">
        <v>103</v>
      </c>
      <c r="F77" s="25" t="s">
        <v>68</v>
      </c>
      <c r="G77" s="49">
        <v>50817</v>
      </c>
      <c r="H77" s="51">
        <v>1429</v>
      </c>
      <c r="I77" s="62">
        <v>1.2430000000000001</v>
      </c>
      <c r="J77" s="62">
        <v>0.77</v>
      </c>
      <c r="K77" s="62">
        <v>0.82</v>
      </c>
      <c r="L77" s="62">
        <v>0.73</v>
      </c>
      <c r="M77" s="62">
        <v>0.55600000000000005</v>
      </c>
      <c r="N77" s="62">
        <v>0.81100000000000005</v>
      </c>
      <c r="O77" s="62">
        <v>0.6</v>
      </c>
      <c r="P77" s="62">
        <v>0.65</v>
      </c>
      <c r="Q77" s="62">
        <v>0.67</v>
      </c>
      <c r="R77" s="62">
        <v>0.44</v>
      </c>
      <c r="S77" s="62">
        <f t="shared" si="5"/>
        <v>0.72899999999999998</v>
      </c>
      <c r="T77" s="27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</row>
    <row r="78" spans="1:30" ht="15.75" customHeight="1">
      <c r="A78" s="47">
        <v>2</v>
      </c>
      <c r="B78" s="47">
        <v>3</v>
      </c>
      <c r="C78" s="47">
        <v>13</v>
      </c>
      <c r="D78" s="25" t="s">
        <v>105</v>
      </c>
      <c r="E78" s="25" t="s">
        <v>106</v>
      </c>
      <c r="F78" s="25" t="s">
        <v>25</v>
      </c>
      <c r="G78" s="49">
        <v>50859</v>
      </c>
      <c r="H78" s="51">
        <v>349</v>
      </c>
      <c r="I78" s="62">
        <v>0.96</v>
      </c>
      <c r="J78" s="62">
        <v>0.85</v>
      </c>
      <c r="K78" s="62">
        <v>0.67</v>
      </c>
      <c r="L78" s="62">
        <v>0.66</v>
      </c>
      <c r="M78" s="62">
        <v>0.66</v>
      </c>
      <c r="N78" s="62">
        <v>0.66</v>
      </c>
      <c r="O78" s="62">
        <v>0.77</v>
      </c>
      <c r="P78" s="62">
        <v>0.7</v>
      </c>
      <c r="Q78" s="62">
        <v>0.95699999999999996</v>
      </c>
      <c r="R78" s="62">
        <v>1</v>
      </c>
      <c r="S78" s="62">
        <f t="shared" si="5"/>
        <v>0.78870000000000007</v>
      </c>
      <c r="T78" s="27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</row>
    <row r="79" spans="1:30" ht="15.75" customHeight="1">
      <c r="A79" s="47">
        <v>2</v>
      </c>
      <c r="B79" s="47">
        <v>3</v>
      </c>
      <c r="C79" s="47">
        <v>13</v>
      </c>
      <c r="D79" s="25" t="s">
        <v>105</v>
      </c>
      <c r="E79" s="25" t="s">
        <v>106</v>
      </c>
      <c r="F79" s="25" t="s">
        <v>25</v>
      </c>
      <c r="G79" s="49">
        <v>50735</v>
      </c>
      <c r="H79" s="51">
        <v>22</v>
      </c>
      <c r="I79" s="62">
        <v>0.83</v>
      </c>
      <c r="J79" s="254"/>
      <c r="K79" s="254"/>
      <c r="L79" s="254"/>
      <c r="M79" s="254"/>
      <c r="N79" s="254"/>
      <c r="O79" s="254"/>
      <c r="P79" s="254"/>
      <c r="Q79" s="254"/>
      <c r="R79" s="254"/>
      <c r="S79" s="62">
        <f t="shared" si="5"/>
        <v>0.83</v>
      </c>
      <c r="T79" s="27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</row>
    <row r="80" spans="1:30" ht="15.75" customHeight="1">
      <c r="A80" s="47">
        <v>2</v>
      </c>
      <c r="B80" s="47">
        <v>3</v>
      </c>
      <c r="C80" s="47">
        <v>13</v>
      </c>
      <c r="D80" s="25" t="s">
        <v>105</v>
      </c>
      <c r="E80" s="25" t="s">
        <v>106</v>
      </c>
      <c r="F80" s="25" t="s">
        <v>25</v>
      </c>
      <c r="G80" s="49">
        <v>50756</v>
      </c>
      <c r="H80" s="51">
        <v>37</v>
      </c>
      <c r="I80" s="306">
        <v>1.2</v>
      </c>
      <c r="J80" s="254"/>
      <c r="K80" s="254"/>
      <c r="L80" s="254"/>
      <c r="M80" s="254"/>
      <c r="N80" s="254"/>
      <c r="O80" s="254"/>
      <c r="P80" s="254"/>
      <c r="Q80" s="254"/>
      <c r="R80" s="254"/>
      <c r="S80" s="62">
        <f t="shared" si="5"/>
        <v>1.2</v>
      </c>
      <c r="T80" s="60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</row>
    <row r="81" spans="1:30" ht="15.75" customHeight="1">
      <c r="A81" s="47">
        <v>2</v>
      </c>
      <c r="B81" s="47">
        <v>3</v>
      </c>
      <c r="C81" s="47">
        <v>13</v>
      </c>
      <c r="D81" s="25" t="s">
        <v>105</v>
      </c>
      <c r="E81" s="25" t="s">
        <v>106</v>
      </c>
      <c r="F81" s="25" t="s">
        <v>68</v>
      </c>
      <c r="G81" s="49">
        <v>50836</v>
      </c>
      <c r="H81" s="51">
        <v>172</v>
      </c>
      <c r="I81" s="306">
        <v>0.95799999999999996</v>
      </c>
      <c r="J81" s="306">
        <v>1.3420000000000001</v>
      </c>
      <c r="K81" s="306">
        <v>0.9</v>
      </c>
      <c r="L81" s="306">
        <v>0.93100000000000005</v>
      </c>
      <c r="M81" s="306">
        <v>1.0940000000000001</v>
      </c>
      <c r="N81" s="306">
        <v>0.9</v>
      </c>
      <c r="O81" s="306">
        <v>0.81</v>
      </c>
      <c r="P81" s="306">
        <v>1.03</v>
      </c>
      <c r="Q81" s="254"/>
      <c r="R81" s="254"/>
      <c r="S81" s="62">
        <f t="shared" si="5"/>
        <v>0.99562500000000009</v>
      </c>
      <c r="T81" s="60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</row>
    <row r="82" spans="1:30" ht="15.75" customHeight="1">
      <c r="A82" s="47">
        <v>2</v>
      </c>
      <c r="B82" s="47">
        <v>3</v>
      </c>
      <c r="C82" s="47">
        <v>14</v>
      </c>
      <c r="D82" s="25" t="s">
        <v>107</v>
      </c>
      <c r="E82" s="25" t="s">
        <v>108</v>
      </c>
      <c r="F82" s="25" t="s">
        <v>25</v>
      </c>
      <c r="G82" s="49">
        <v>50847</v>
      </c>
      <c r="H82" s="51">
        <v>371</v>
      </c>
      <c r="I82" s="306">
        <v>0.62</v>
      </c>
      <c r="J82" s="306">
        <v>0.52</v>
      </c>
      <c r="K82" s="306">
        <v>0.75</v>
      </c>
      <c r="L82" s="306">
        <v>0.7</v>
      </c>
      <c r="M82" s="306">
        <v>0.89</v>
      </c>
      <c r="N82" s="306">
        <v>0.4</v>
      </c>
      <c r="O82" s="306">
        <v>0.52</v>
      </c>
      <c r="P82" s="306">
        <v>0.77</v>
      </c>
      <c r="Q82" s="306">
        <v>0.74</v>
      </c>
      <c r="R82" s="306">
        <v>0.83</v>
      </c>
      <c r="S82" s="62">
        <f t="shared" si="5"/>
        <v>0.67400000000000004</v>
      </c>
      <c r="T82" s="60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</row>
    <row r="83" spans="1:30" ht="15.75" customHeight="1">
      <c r="A83" s="47">
        <v>2</v>
      </c>
      <c r="B83" s="47">
        <v>3</v>
      </c>
      <c r="C83" s="47">
        <v>14</v>
      </c>
      <c r="D83" s="25" t="s">
        <v>107</v>
      </c>
      <c r="E83" s="25" t="s">
        <v>108</v>
      </c>
      <c r="F83" s="25" t="s">
        <v>109</v>
      </c>
      <c r="G83" s="49">
        <v>50743</v>
      </c>
      <c r="H83" s="51">
        <v>88</v>
      </c>
      <c r="I83" s="306">
        <v>0.65</v>
      </c>
      <c r="J83" s="254"/>
      <c r="K83" s="254"/>
      <c r="L83" s="254"/>
      <c r="M83" s="254"/>
      <c r="N83" s="254"/>
      <c r="O83" s="254"/>
      <c r="P83" s="254"/>
      <c r="Q83" s="254"/>
      <c r="R83" s="254"/>
      <c r="S83" s="62">
        <f t="shared" si="5"/>
        <v>0.65</v>
      </c>
      <c r="T83" s="60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</row>
    <row r="84" spans="1:30" ht="15.75" customHeight="1">
      <c r="A84" s="47">
        <v>2</v>
      </c>
      <c r="B84" s="47">
        <v>3</v>
      </c>
      <c r="C84" s="47">
        <v>17</v>
      </c>
      <c r="D84" s="25" t="s">
        <v>60</v>
      </c>
      <c r="E84" s="25" t="s">
        <v>71</v>
      </c>
      <c r="F84" s="25" t="s">
        <v>25</v>
      </c>
      <c r="G84" s="49">
        <v>50747</v>
      </c>
      <c r="H84" s="51">
        <v>1</v>
      </c>
      <c r="I84" s="306">
        <v>1.5920000000000001</v>
      </c>
      <c r="J84" s="254"/>
      <c r="K84" s="254"/>
      <c r="L84" s="254"/>
      <c r="M84" s="254"/>
      <c r="N84" s="254"/>
      <c r="O84" s="254"/>
      <c r="P84" s="254"/>
      <c r="Q84" s="254"/>
      <c r="R84" s="254"/>
      <c r="S84" s="62">
        <f t="shared" si="5"/>
        <v>1.5920000000000001</v>
      </c>
      <c r="T84" s="60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</row>
    <row r="85" spans="1:30" ht="15.75" customHeight="1">
      <c r="A85" s="111">
        <v>2</v>
      </c>
      <c r="B85" s="111">
        <v>3</v>
      </c>
      <c r="C85" s="111">
        <v>17</v>
      </c>
      <c r="D85" s="101" t="s">
        <v>60</v>
      </c>
      <c r="E85" s="101" t="s">
        <v>61</v>
      </c>
      <c r="F85" s="101" t="s">
        <v>25</v>
      </c>
      <c r="G85" s="121">
        <v>50733</v>
      </c>
      <c r="H85" s="122">
        <v>114</v>
      </c>
      <c r="I85" s="311">
        <v>1.44</v>
      </c>
      <c r="J85" s="312"/>
      <c r="K85" s="312"/>
      <c r="L85" s="312"/>
      <c r="M85" s="312"/>
      <c r="N85" s="312"/>
      <c r="O85" s="312"/>
      <c r="P85" s="312"/>
      <c r="Q85" s="312"/>
      <c r="R85" s="312"/>
      <c r="S85" s="313">
        <f t="shared" si="5"/>
        <v>1.44</v>
      </c>
      <c r="T85" s="126" t="s">
        <v>111</v>
      </c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</row>
    <row r="86" spans="1:30" ht="15.75" customHeight="1">
      <c r="A86" s="47">
        <v>2</v>
      </c>
      <c r="B86" s="47">
        <v>3</v>
      </c>
      <c r="C86" s="47">
        <v>17</v>
      </c>
      <c r="D86" s="25" t="s">
        <v>60</v>
      </c>
      <c r="E86" s="25" t="s">
        <v>61</v>
      </c>
      <c r="F86" s="25" t="s">
        <v>68</v>
      </c>
      <c r="G86" s="49">
        <v>50636</v>
      </c>
      <c r="H86" s="51">
        <v>36</v>
      </c>
      <c r="I86" s="306">
        <v>1.1459999999999999</v>
      </c>
      <c r="J86" s="306">
        <v>1.5920000000000001</v>
      </c>
      <c r="K86" s="254"/>
      <c r="L86" s="254"/>
      <c r="M86" s="254"/>
      <c r="N86" s="254"/>
      <c r="O86" s="254"/>
      <c r="P86" s="254"/>
      <c r="Q86" s="254"/>
      <c r="R86" s="254"/>
      <c r="S86" s="62">
        <f t="shared" si="5"/>
        <v>1.369</v>
      </c>
      <c r="T86" s="60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</row>
    <row r="87" spans="1:30" ht="15.75" customHeight="1">
      <c r="A87" s="63">
        <v>2</v>
      </c>
      <c r="B87" s="63">
        <v>3</v>
      </c>
      <c r="C87" s="63">
        <v>17</v>
      </c>
      <c r="D87" s="38" t="s">
        <v>60</v>
      </c>
      <c r="E87" s="38" t="s">
        <v>61</v>
      </c>
      <c r="F87" s="38" t="s">
        <v>68</v>
      </c>
      <c r="G87" s="64">
        <v>50668</v>
      </c>
      <c r="H87" s="65">
        <v>34</v>
      </c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2"/>
      <c r="T87" s="67" t="s">
        <v>43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</row>
    <row r="88" spans="1:30" ht="15.75" customHeight="1">
      <c r="A88" s="47">
        <v>2</v>
      </c>
      <c r="B88" s="47">
        <v>3</v>
      </c>
      <c r="C88" s="47">
        <v>17</v>
      </c>
      <c r="D88" s="25" t="s">
        <v>60</v>
      </c>
      <c r="E88" s="25" t="s">
        <v>61</v>
      </c>
      <c r="F88" s="25" t="s">
        <v>68</v>
      </c>
      <c r="G88" s="49">
        <v>50626</v>
      </c>
      <c r="H88" s="51">
        <v>8</v>
      </c>
      <c r="I88" s="306">
        <v>1.34</v>
      </c>
      <c r="J88" s="254"/>
      <c r="K88" s="254"/>
      <c r="L88" s="254"/>
      <c r="M88" s="254"/>
      <c r="N88" s="254"/>
      <c r="O88" s="254"/>
      <c r="P88" s="254"/>
      <c r="Q88" s="254"/>
      <c r="R88" s="254"/>
      <c r="S88" s="62">
        <f t="shared" ref="S88:S95" si="6">AVERAGE(I88:R88)</f>
        <v>1.34</v>
      </c>
      <c r="T88" s="60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</row>
    <row r="89" spans="1:30" ht="15.75" customHeight="1">
      <c r="A89" s="47">
        <v>2</v>
      </c>
      <c r="B89" s="47">
        <v>3</v>
      </c>
      <c r="C89" s="47">
        <v>17</v>
      </c>
      <c r="D89" s="25" t="s">
        <v>60</v>
      </c>
      <c r="E89" s="25" t="s">
        <v>61</v>
      </c>
      <c r="F89" s="25" t="s">
        <v>34</v>
      </c>
      <c r="G89" s="49">
        <v>50595</v>
      </c>
      <c r="H89" s="51">
        <v>45</v>
      </c>
      <c r="I89" s="306">
        <v>1.302</v>
      </c>
      <c r="J89" s="306">
        <v>2.0049999999999999</v>
      </c>
      <c r="K89" s="306">
        <v>2.0019999999999998</v>
      </c>
      <c r="L89" s="254"/>
      <c r="M89" s="254"/>
      <c r="N89" s="254"/>
      <c r="O89" s="254"/>
      <c r="P89" s="254"/>
      <c r="Q89" s="254"/>
      <c r="R89" s="254"/>
      <c r="S89" s="62">
        <f t="shared" si="6"/>
        <v>1.7696666666666665</v>
      </c>
      <c r="T89" s="60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</row>
    <row r="90" spans="1:30" ht="15.75" customHeight="1">
      <c r="A90" s="47">
        <v>2</v>
      </c>
      <c r="B90" s="47">
        <v>3</v>
      </c>
      <c r="C90" s="47">
        <v>17</v>
      </c>
      <c r="D90" s="25" t="s">
        <v>60</v>
      </c>
      <c r="E90" s="25" t="s">
        <v>61</v>
      </c>
      <c r="F90" s="25" t="s">
        <v>68</v>
      </c>
      <c r="G90" s="49">
        <v>50818</v>
      </c>
      <c r="H90" s="51">
        <v>67</v>
      </c>
      <c r="I90" s="306">
        <v>1.1140000000000001</v>
      </c>
      <c r="J90" s="306">
        <v>1.21</v>
      </c>
      <c r="K90" s="306">
        <v>1.1140000000000001</v>
      </c>
      <c r="L90" s="254"/>
      <c r="M90" s="254"/>
      <c r="N90" s="254"/>
      <c r="O90" s="254"/>
      <c r="P90" s="254"/>
      <c r="Q90" s="254"/>
      <c r="R90" s="254"/>
      <c r="S90" s="62">
        <f t="shared" si="6"/>
        <v>1.1459999999999999</v>
      </c>
      <c r="T90" s="60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</row>
    <row r="91" spans="1:30" ht="15.75" customHeight="1">
      <c r="A91" s="47">
        <v>2</v>
      </c>
      <c r="B91" s="47">
        <v>3</v>
      </c>
      <c r="C91" s="47">
        <v>17</v>
      </c>
      <c r="D91" s="25" t="s">
        <v>60</v>
      </c>
      <c r="E91" s="25" t="s">
        <v>61</v>
      </c>
      <c r="F91" s="25" t="s">
        <v>31</v>
      </c>
      <c r="G91" s="49">
        <v>50810</v>
      </c>
      <c r="H91" s="51">
        <v>127</v>
      </c>
      <c r="I91" s="306">
        <v>1.92</v>
      </c>
      <c r="J91" s="306">
        <v>1.974</v>
      </c>
      <c r="K91" s="306">
        <v>1.5920000000000001</v>
      </c>
      <c r="L91" s="306">
        <v>1.7190000000000001</v>
      </c>
      <c r="M91" s="306">
        <v>1.994</v>
      </c>
      <c r="N91" s="306">
        <v>2.4830000000000001</v>
      </c>
      <c r="O91" s="306">
        <v>1.8460000000000001</v>
      </c>
      <c r="P91" s="306">
        <v>2.165</v>
      </c>
      <c r="Q91" s="254"/>
      <c r="R91" s="254"/>
      <c r="S91" s="62">
        <f t="shared" si="6"/>
        <v>1.9616250000000002</v>
      </c>
      <c r="T91" s="60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</row>
    <row r="92" spans="1:30" ht="15.75" customHeight="1">
      <c r="A92" s="47">
        <v>2</v>
      </c>
      <c r="B92" s="47">
        <v>3</v>
      </c>
      <c r="C92" s="47">
        <v>17</v>
      </c>
      <c r="D92" s="25" t="s">
        <v>60</v>
      </c>
      <c r="E92" s="25" t="s">
        <v>61</v>
      </c>
      <c r="F92" s="25" t="s">
        <v>25</v>
      </c>
      <c r="G92" s="49">
        <v>50749</v>
      </c>
      <c r="H92" s="51">
        <v>29</v>
      </c>
      <c r="I92" s="306">
        <v>1.47</v>
      </c>
      <c r="J92" s="254"/>
      <c r="K92" s="254"/>
      <c r="L92" s="254"/>
      <c r="M92" s="254"/>
      <c r="N92" s="254"/>
      <c r="O92" s="254"/>
      <c r="P92" s="254"/>
      <c r="Q92" s="254"/>
      <c r="R92" s="254"/>
      <c r="S92" s="62">
        <f t="shared" si="6"/>
        <v>1.47</v>
      </c>
      <c r="T92" s="60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</row>
    <row r="93" spans="1:30" ht="15.75" customHeight="1">
      <c r="A93" s="47">
        <v>2</v>
      </c>
      <c r="B93" s="47">
        <v>3</v>
      </c>
      <c r="C93" s="47">
        <v>18</v>
      </c>
      <c r="D93" s="25" t="s">
        <v>112</v>
      </c>
      <c r="E93" s="25" t="s">
        <v>113</v>
      </c>
      <c r="F93" s="25" t="s">
        <v>25</v>
      </c>
      <c r="G93" s="49">
        <v>50758</v>
      </c>
      <c r="H93" s="51">
        <v>246</v>
      </c>
      <c r="I93" s="306">
        <v>1.1659999999999999</v>
      </c>
      <c r="J93" s="306">
        <v>0.96499999999999997</v>
      </c>
      <c r="K93" s="306">
        <v>1.524</v>
      </c>
      <c r="L93" s="306">
        <v>1.1399999999999999</v>
      </c>
      <c r="M93" s="306">
        <v>1.46</v>
      </c>
      <c r="N93" s="306">
        <v>1.27</v>
      </c>
      <c r="O93" s="306">
        <v>1.1000000000000001</v>
      </c>
      <c r="P93" s="306">
        <v>1.18</v>
      </c>
      <c r="Q93" s="306">
        <v>1.399</v>
      </c>
      <c r="R93" s="306">
        <v>1.2210000000000001</v>
      </c>
      <c r="S93" s="62">
        <f t="shared" si="6"/>
        <v>1.2425000000000002</v>
      </c>
      <c r="T93" s="60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</row>
    <row r="94" spans="1:30" ht="15.75" customHeight="1">
      <c r="A94" s="47">
        <v>2</v>
      </c>
      <c r="B94" s="47">
        <v>3</v>
      </c>
      <c r="C94" s="47">
        <v>18</v>
      </c>
      <c r="D94" s="25" t="s">
        <v>114</v>
      </c>
      <c r="E94" s="25" t="s">
        <v>115</v>
      </c>
      <c r="F94" s="25" t="s">
        <v>25</v>
      </c>
      <c r="G94" s="49">
        <v>50858</v>
      </c>
      <c r="H94" s="51">
        <v>98</v>
      </c>
      <c r="I94" s="306">
        <v>0.186</v>
      </c>
      <c r="J94" s="306">
        <v>0.20599999999999999</v>
      </c>
      <c r="K94" s="306">
        <v>0.23</v>
      </c>
      <c r="L94" s="254"/>
      <c r="M94" s="254"/>
      <c r="N94" s="254"/>
      <c r="O94" s="254"/>
      <c r="P94" s="254"/>
      <c r="Q94" s="254"/>
      <c r="R94" s="254"/>
      <c r="S94" s="62">
        <f t="shared" si="6"/>
        <v>0.20733333333333334</v>
      </c>
      <c r="T94" s="60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</row>
    <row r="95" spans="1:30" ht="15.75" customHeight="1">
      <c r="A95" s="47">
        <v>2</v>
      </c>
      <c r="B95" s="47">
        <v>3</v>
      </c>
      <c r="C95" s="47">
        <v>18</v>
      </c>
      <c r="D95" s="25" t="s">
        <v>112</v>
      </c>
      <c r="E95" s="25" t="s">
        <v>113</v>
      </c>
      <c r="F95" s="25" t="s">
        <v>25</v>
      </c>
      <c r="G95" s="49">
        <v>50812</v>
      </c>
      <c r="H95" s="51">
        <v>29</v>
      </c>
      <c r="I95" s="306">
        <v>0.72</v>
      </c>
      <c r="J95" s="254"/>
      <c r="K95" s="254"/>
      <c r="L95" s="254"/>
      <c r="M95" s="254"/>
      <c r="N95" s="254"/>
      <c r="O95" s="254"/>
      <c r="P95" s="254"/>
      <c r="Q95" s="254"/>
      <c r="R95" s="254"/>
      <c r="S95" s="62">
        <f t="shared" si="6"/>
        <v>0.72</v>
      </c>
      <c r="T95" s="60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</row>
    <row r="96" spans="1:30" ht="15.75" customHeight="1">
      <c r="A96" s="63">
        <v>2</v>
      </c>
      <c r="B96" s="63">
        <v>3</v>
      </c>
      <c r="C96" s="63">
        <v>18</v>
      </c>
      <c r="D96" s="38" t="s">
        <v>112</v>
      </c>
      <c r="E96" s="38" t="s">
        <v>113</v>
      </c>
      <c r="F96" s="38" t="s">
        <v>116</v>
      </c>
      <c r="G96" s="64">
        <v>50065</v>
      </c>
      <c r="H96" s="65">
        <v>10</v>
      </c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2"/>
      <c r="T96" s="67" t="s">
        <v>43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</row>
    <row r="97" spans="1:30" ht="15.75" customHeight="1">
      <c r="A97" s="47">
        <v>2</v>
      </c>
      <c r="B97" s="47">
        <v>3</v>
      </c>
      <c r="C97" s="47">
        <v>18</v>
      </c>
      <c r="D97" s="25" t="s">
        <v>114</v>
      </c>
      <c r="E97" s="25" t="s">
        <v>115</v>
      </c>
      <c r="F97" s="25" t="s">
        <v>117</v>
      </c>
      <c r="G97" s="49">
        <v>50535</v>
      </c>
      <c r="H97" s="51">
        <v>24</v>
      </c>
      <c r="I97" s="306">
        <v>0.23</v>
      </c>
      <c r="J97" s="254"/>
      <c r="K97" s="254"/>
      <c r="L97" s="254"/>
      <c r="M97" s="254"/>
      <c r="N97" s="254"/>
      <c r="O97" s="254"/>
      <c r="P97" s="254"/>
      <c r="Q97" s="254"/>
      <c r="R97" s="254"/>
      <c r="S97" s="62">
        <f>AVERAGE(I97:R97)</f>
        <v>0.23</v>
      </c>
      <c r="T97" s="60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</row>
    <row r="98" spans="1:30" ht="15.75" customHeight="1">
      <c r="A98" s="47">
        <v>2</v>
      </c>
      <c r="B98" s="47">
        <v>3</v>
      </c>
      <c r="C98" s="47">
        <v>19</v>
      </c>
      <c r="D98" s="25" t="s">
        <v>32</v>
      </c>
      <c r="E98" s="25" t="s">
        <v>33</v>
      </c>
      <c r="F98" s="25" t="s">
        <v>34</v>
      </c>
      <c r="G98" s="49">
        <v>50563</v>
      </c>
      <c r="H98" s="51">
        <v>338</v>
      </c>
      <c r="I98" s="306">
        <v>1.657</v>
      </c>
      <c r="J98" s="306">
        <v>1.57</v>
      </c>
      <c r="K98" s="306">
        <v>1.163</v>
      </c>
      <c r="L98" s="306">
        <v>0.187</v>
      </c>
      <c r="M98" s="306">
        <v>1.0900000000000001</v>
      </c>
      <c r="N98" s="306">
        <v>1.214</v>
      </c>
      <c r="O98" s="306">
        <v>1.2</v>
      </c>
      <c r="P98" s="306">
        <v>0.746</v>
      </c>
      <c r="Q98" s="306">
        <v>1.04</v>
      </c>
      <c r="R98" s="306">
        <v>1</v>
      </c>
      <c r="S98" s="62">
        <f>AVERAGE(I98:R98)</f>
        <v>1.0867</v>
      </c>
      <c r="T98" s="60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</row>
    <row r="99" spans="1:30" ht="15.75" customHeight="1">
      <c r="A99" s="143">
        <v>2</v>
      </c>
      <c r="B99" s="143">
        <v>3</v>
      </c>
      <c r="C99" s="143">
        <v>19</v>
      </c>
      <c r="D99" s="144" t="s">
        <v>112</v>
      </c>
      <c r="E99" s="144" t="s">
        <v>113</v>
      </c>
      <c r="F99" s="144" t="s">
        <v>34</v>
      </c>
      <c r="G99" s="146">
        <v>50688</v>
      </c>
      <c r="H99" s="147">
        <v>113</v>
      </c>
      <c r="I99" s="318">
        <v>1.75</v>
      </c>
      <c r="J99" s="318">
        <v>1.343</v>
      </c>
      <c r="K99" s="318">
        <v>1.5409999999999999</v>
      </c>
      <c r="L99" s="318">
        <v>1.27</v>
      </c>
      <c r="M99" s="318">
        <v>1.45</v>
      </c>
      <c r="N99" s="318">
        <v>1.33</v>
      </c>
      <c r="O99" s="318">
        <v>1.3</v>
      </c>
      <c r="P99" s="318">
        <v>1.2689999999999999</v>
      </c>
      <c r="Q99" s="149"/>
      <c r="R99" s="149"/>
      <c r="S99" s="62">
        <f>AVERAGE(I99:R99)</f>
        <v>1.4066250000000002</v>
      </c>
      <c r="T99" s="154" t="s">
        <v>118</v>
      </c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</row>
    <row r="100" spans="1:30" ht="15.75" customHeight="1">
      <c r="A100" s="33">
        <v>2</v>
      </c>
      <c r="B100" s="47">
        <v>3</v>
      </c>
      <c r="C100" s="47">
        <v>19</v>
      </c>
      <c r="D100" s="25" t="s">
        <v>112</v>
      </c>
      <c r="E100" s="25" t="s">
        <v>113</v>
      </c>
      <c r="F100" s="25" t="s">
        <v>68</v>
      </c>
      <c r="G100" s="49">
        <v>50146</v>
      </c>
      <c r="H100" s="51">
        <v>9</v>
      </c>
      <c r="I100" s="306">
        <v>1.34</v>
      </c>
      <c r="J100" s="254"/>
      <c r="K100" s="254"/>
      <c r="L100" s="254"/>
      <c r="M100" s="254"/>
      <c r="N100" s="254"/>
      <c r="O100" s="254"/>
      <c r="P100" s="254"/>
      <c r="Q100" s="254"/>
      <c r="R100" s="254"/>
      <c r="S100" s="62">
        <f>AVERAGE(I100:R100)</f>
        <v>1.34</v>
      </c>
      <c r="T100" s="60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</row>
    <row r="101" spans="1:30" ht="15.75" customHeight="1">
      <c r="A101" s="143">
        <v>2</v>
      </c>
      <c r="B101" s="143">
        <v>3</v>
      </c>
      <c r="C101" s="143">
        <v>19</v>
      </c>
      <c r="D101" s="144" t="s">
        <v>112</v>
      </c>
      <c r="E101" s="144" t="s">
        <v>113</v>
      </c>
      <c r="F101" s="144" t="s">
        <v>25</v>
      </c>
      <c r="G101" s="146">
        <v>50758</v>
      </c>
      <c r="H101" s="147">
        <v>133</v>
      </c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62"/>
      <c r="T101" s="154" t="s">
        <v>119</v>
      </c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</row>
    <row r="102" spans="1:30" ht="15.75" customHeight="1">
      <c r="A102" s="47">
        <v>2</v>
      </c>
      <c r="B102" s="47">
        <v>3</v>
      </c>
      <c r="C102" s="47">
        <v>21</v>
      </c>
      <c r="D102" s="25" t="s">
        <v>120</v>
      </c>
      <c r="E102" s="25" t="s">
        <v>121</v>
      </c>
      <c r="F102" s="25" t="s">
        <v>25</v>
      </c>
      <c r="G102" s="49">
        <v>50745</v>
      </c>
      <c r="H102" s="51">
        <v>131</v>
      </c>
      <c r="I102" s="306">
        <v>1.655</v>
      </c>
      <c r="J102" s="306">
        <v>1.5920000000000001</v>
      </c>
      <c r="K102" s="306">
        <v>1.7190000000000001</v>
      </c>
      <c r="L102" s="306">
        <v>1.7509999999999999</v>
      </c>
      <c r="M102" s="306">
        <v>2</v>
      </c>
      <c r="N102" s="306">
        <v>1.8779999999999999</v>
      </c>
      <c r="O102" s="254"/>
      <c r="P102" s="254"/>
      <c r="Q102" s="254"/>
      <c r="R102" s="254"/>
      <c r="S102" s="62">
        <f t="shared" ref="S102:S110" si="7">AVERAGE(I102:R102)</f>
        <v>1.7658333333333334</v>
      </c>
      <c r="T102" s="60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</row>
    <row r="103" spans="1:30" ht="15.75" customHeight="1">
      <c r="A103" s="47">
        <v>2</v>
      </c>
      <c r="B103" s="47">
        <v>3</v>
      </c>
      <c r="C103" s="47">
        <v>21</v>
      </c>
      <c r="D103" s="25" t="s">
        <v>120</v>
      </c>
      <c r="E103" s="25" t="s">
        <v>121</v>
      </c>
      <c r="F103" s="25" t="s">
        <v>31</v>
      </c>
      <c r="G103" s="49">
        <v>50718</v>
      </c>
      <c r="H103" s="51">
        <v>168</v>
      </c>
      <c r="I103" s="306">
        <v>0.87</v>
      </c>
      <c r="J103" s="306">
        <v>1.2410000000000001</v>
      </c>
      <c r="K103" s="306">
        <v>1.8779999999999999</v>
      </c>
      <c r="L103" s="306">
        <v>1.6870000000000001</v>
      </c>
      <c r="M103" s="306">
        <v>1.73</v>
      </c>
      <c r="N103" s="306">
        <v>1.7509999999999999</v>
      </c>
      <c r="O103" s="306">
        <v>1.6870000000000001</v>
      </c>
      <c r="P103" s="306">
        <v>1.62</v>
      </c>
      <c r="Q103" s="254"/>
      <c r="R103" s="254"/>
      <c r="S103" s="62">
        <f t="shared" si="7"/>
        <v>1.5579999999999998</v>
      </c>
      <c r="T103" s="60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</row>
    <row r="104" spans="1:30" ht="15.75" customHeight="1">
      <c r="A104" s="47">
        <v>2</v>
      </c>
      <c r="B104" s="47">
        <v>3</v>
      </c>
      <c r="C104" s="47">
        <v>21</v>
      </c>
      <c r="D104" s="25" t="s">
        <v>120</v>
      </c>
      <c r="E104" s="25" t="s">
        <v>121</v>
      </c>
      <c r="F104" s="25" t="s">
        <v>25</v>
      </c>
      <c r="G104" s="49">
        <v>50681</v>
      </c>
      <c r="H104" s="51">
        <v>9</v>
      </c>
      <c r="I104" s="306">
        <v>1.2729999999999999</v>
      </c>
      <c r="J104" s="254"/>
      <c r="K104" s="254"/>
      <c r="L104" s="254"/>
      <c r="M104" s="254"/>
      <c r="N104" s="254"/>
      <c r="O104" s="254"/>
      <c r="P104" s="254"/>
      <c r="Q104" s="254"/>
      <c r="R104" s="254"/>
      <c r="S104" s="62">
        <f t="shared" si="7"/>
        <v>1.2729999999999999</v>
      </c>
      <c r="T104" s="60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</row>
    <row r="105" spans="1:30" ht="15.75" customHeight="1">
      <c r="A105" s="47">
        <v>2</v>
      </c>
      <c r="B105" s="47">
        <v>3</v>
      </c>
      <c r="C105" s="47">
        <v>22</v>
      </c>
      <c r="D105" s="25" t="s">
        <v>122</v>
      </c>
      <c r="E105" s="25" t="s">
        <v>123</v>
      </c>
      <c r="F105" s="25" t="s">
        <v>34</v>
      </c>
      <c r="G105" s="49">
        <v>50732</v>
      </c>
      <c r="H105" s="51">
        <v>274</v>
      </c>
      <c r="I105" s="306">
        <v>1.56</v>
      </c>
      <c r="J105" s="306">
        <v>1.17</v>
      </c>
      <c r="K105" s="306">
        <v>1.327</v>
      </c>
      <c r="L105" s="306">
        <v>1.43</v>
      </c>
      <c r="M105" s="306">
        <v>1.31</v>
      </c>
      <c r="N105" s="306">
        <v>1.64</v>
      </c>
      <c r="O105" s="306">
        <v>1.623</v>
      </c>
      <c r="P105" s="306">
        <v>1.64</v>
      </c>
      <c r="Q105" s="306">
        <v>1.36</v>
      </c>
      <c r="R105" s="306">
        <v>1.5329999999999999</v>
      </c>
      <c r="S105" s="62">
        <f t="shared" si="7"/>
        <v>1.4593</v>
      </c>
      <c r="T105" s="60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</row>
    <row r="106" spans="1:30" ht="15.75" customHeight="1">
      <c r="A106" s="47">
        <v>2</v>
      </c>
      <c r="B106" s="47">
        <v>3</v>
      </c>
      <c r="C106" s="47">
        <v>22</v>
      </c>
      <c r="D106" s="25" t="s">
        <v>122</v>
      </c>
      <c r="E106" s="25" t="s">
        <v>123</v>
      </c>
      <c r="F106" s="25" t="s">
        <v>34</v>
      </c>
      <c r="G106" s="49">
        <v>50545</v>
      </c>
      <c r="H106" s="51">
        <v>13</v>
      </c>
      <c r="I106" s="306">
        <v>1.3660000000000001</v>
      </c>
      <c r="J106" s="306">
        <v>0.90700000000000003</v>
      </c>
      <c r="K106" s="306">
        <v>0.93400000000000005</v>
      </c>
      <c r="L106" s="306">
        <v>1.0900000000000001</v>
      </c>
      <c r="M106" s="306">
        <v>1.272</v>
      </c>
      <c r="N106" s="254"/>
      <c r="O106" s="254"/>
      <c r="P106" s="254"/>
      <c r="Q106" s="254"/>
      <c r="R106" s="254"/>
      <c r="S106" s="62">
        <f t="shared" si="7"/>
        <v>1.1138000000000001</v>
      </c>
      <c r="T106" s="60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</row>
    <row r="107" spans="1:30" ht="15.75" customHeight="1">
      <c r="A107" s="47">
        <v>2</v>
      </c>
      <c r="B107" s="47">
        <v>3</v>
      </c>
      <c r="C107" s="47">
        <v>22</v>
      </c>
      <c r="D107" s="25" t="s">
        <v>122</v>
      </c>
      <c r="E107" s="25" t="s">
        <v>123</v>
      </c>
      <c r="F107" s="25" t="s">
        <v>25</v>
      </c>
      <c r="G107" s="49">
        <v>50833</v>
      </c>
      <c r="H107" s="51">
        <v>204</v>
      </c>
      <c r="I107" s="306">
        <v>0.61899999999999999</v>
      </c>
      <c r="J107" s="306">
        <v>0.92</v>
      </c>
      <c r="K107" s="306">
        <v>0.8</v>
      </c>
      <c r="L107" s="306">
        <v>0.79500000000000004</v>
      </c>
      <c r="M107" s="306">
        <v>1.02</v>
      </c>
      <c r="N107" s="306">
        <v>1.6</v>
      </c>
      <c r="O107" s="306">
        <v>1.006</v>
      </c>
      <c r="P107" s="306">
        <v>1.24</v>
      </c>
      <c r="Q107" s="254"/>
      <c r="R107" s="254"/>
      <c r="S107" s="62">
        <f t="shared" si="7"/>
        <v>1</v>
      </c>
      <c r="T107" s="60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</row>
    <row r="108" spans="1:30" ht="15.75" customHeight="1">
      <c r="A108" s="47">
        <v>2</v>
      </c>
      <c r="B108" s="47">
        <v>3</v>
      </c>
      <c r="C108" s="47">
        <v>22</v>
      </c>
      <c r="D108" s="25" t="s">
        <v>122</v>
      </c>
      <c r="E108" s="25" t="s">
        <v>123</v>
      </c>
      <c r="F108" s="25" t="s">
        <v>25</v>
      </c>
      <c r="G108" s="49">
        <v>50725</v>
      </c>
      <c r="H108" s="51">
        <v>62</v>
      </c>
      <c r="I108" s="306">
        <v>0.98199999999999998</v>
      </c>
      <c r="J108" s="306">
        <v>1.2629999999999999</v>
      </c>
      <c r="K108" s="306">
        <v>1.3</v>
      </c>
      <c r="L108" s="254"/>
      <c r="M108" s="254"/>
      <c r="N108" s="254"/>
      <c r="O108" s="254"/>
      <c r="P108" s="254"/>
      <c r="Q108" s="254"/>
      <c r="R108" s="254"/>
      <c r="S108" s="62">
        <f t="shared" si="7"/>
        <v>1.1816666666666666</v>
      </c>
      <c r="T108" s="60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</row>
    <row r="109" spans="1:30" ht="15.75" customHeight="1">
      <c r="A109" s="47">
        <v>2</v>
      </c>
      <c r="B109" s="47">
        <v>4</v>
      </c>
      <c r="C109" s="47">
        <v>2</v>
      </c>
      <c r="D109" s="25" t="s">
        <v>124</v>
      </c>
      <c r="E109" s="25" t="s">
        <v>125</v>
      </c>
      <c r="F109" s="25" t="s">
        <v>31</v>
      </c>
      <c r="G109" s="49">
        <v>50761</v>
      </c>
      <c r="H109" s="51">
        <v>250</v>
      </c>
      <c r="I109" s="306">
        <v>1.151</v>
      </c>
      <c r="J109" s="306">
        <v>0.99199999999999999</v>
      </c>
      <c r="K109" s="306">
        <v>1.27</v>
      </c>
      <c r="L109" s="306">
        <v>1.147</v>
      </c>
      <c r="M109" s="306">
        <v>1.1399999999999999</v>
      </c>
      <c r="N109" s="306">
        <v>1.25</v>
      </c>
      <c r="O109" s="306">
        <v>0.87</v>
      </c>
      <c r="P109" s="306">
        <v>0.86199999999999999</v>
      </c>
      <c r="Q109" s="306">
        <v>0.84</v>
      </c>
      <c r="R109" s="306">
        <v>0.61299999999999999</v>
      </c>
      <c r="S109" s="62">
        <f t="shared" si="7"/>
        <v>1.0134999999999998</v>
      </c>
      <c r="T109" s="60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</row>
    <row r="110" spans="1:30" ht="15.75" customHeight="1">
      <c r="A110" s="47">
        <v>2</v>
      </c>
      <c r="B110" s="47">
        <v>4</v>
      </c>
      <c r="C110" s="47">
        <v>2</v>
      </c>
      <c r="D110" s="25" t="s">
        <v>124</v>
      </c>
      <c r="E110" s="25" t="s">
        <v>125</v>
      </c>
      <c r="F110" s="25" t="s">
        <v>25</v>
      </c>
      <c r="G110" s="49">
        <v>50113</v>
      </c>
      <c r="H110" s="51">
        <v>172</v>
      </c>
      <c r="I110" s="306">
        <v>1.67</v>
      </c>
      <c r="J110" s="306">
        <v>1.62</v>
      </c>
      <c r="K110" s="306">
        <v>1.24</v>
      </c>
      <c r="L110" s="306">
        <v>1.4350000000000001</v>
      </c>
      <c r="M110" s="306">
        <v>1.1299999999999999</v>
      </c>
      <c r="N110" s="306">
        <v>1.23</v>
      </c>
      <c r="O110" s="306">
        <v>1.22</v>
      </c>
      <c r="P110" s="306">
        <v>1.05</v>
      </c>
      <c r="Q110" s="254"/>
      <c r="R110" s="254"/>
      <c r="S110" s="62">
        <f t="shared" si="7"/>
        <v>1.3243750000000001</v>
      </c>
      <c r="T110" s="60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</row>
    <row r="111" spans="1:30" ht="15.75" customHeight="1">
      <c r="A111" s="63">
        <v>2</v>
      </c>
      <c r="B111" s="63">
        <v>4</v>
      </c>
      <c r="C111" s="63">
        <v>2</v>
      </c>
      <c r="D111" s="38" t="s">
        <v>124</v>
      </c>
      <c r="E111" s="38" t="s">
        <v>125</v>
      </c>
      <c r="F111" s="38" t="s">
        <v>25</v>
      </c>
      <c r="G111" s="64">
        <v>50659</v>
      </c>
      <c r="H111" s="65">
        <v>63</v>
      </c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2"/>
      <c r="T111" s="67" t="s">
        <v>43</v>
      </c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</row>
    <row r="112" spans="1:30" ht="15.75" customHeight="1">
      <c r="A112" s="159">
        <v>2</v>
      </c>
      <c r="B112" s="159">
        <v>4</v>
      </c>
      <c r="C112" s="159">
        <v>2</v>
      </c>
      <c r="D112" s="153" t="s">
        <v>126</v>
      </c>
      <c r="E112" s="153" t="s">
        <v>127</v>
      </c>
      <c r="F112" s="153" t="s">
        <v>25</v>
      </c>
      <c r="G112" s="161">
        <v>50767</v>
      </c>
      <c r="H112" s="162">
        <v>145</v>
      </c>
      <c r="I112" s="319">
        <v>1.5029999999999999</v>
      </c>
      <c r="J112" s="320"/>
      <c r="K112" s="320"/>
      <c r="L112" s="320"/>
      <c r="M112" s="320"/>
      <c r="N112" s="320"/>
      <c r="O112" s="320"/>
      <c r="P112" s="320"/>
      <c r="Q112" s="320"/>
      <c r="R112" s="320"/>
      <c r="S112" s="62">
        <f t="shared" ref="S112:S120" si="8">AVERAGE(I112:R112)</f>
        <v>1.5029999999999999</v>
      </c>
      <c r="T112" s="163" t="s">
        <v>128</v>
      </c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</row>
    <row r="113" spans="1:30" ht="15.75" customHeight="1">
      <c r="A113" s="47">
        <v>2</v>
      </c>
      <c r="B113" s="47">
        <v>4</v>
      </c>
      <c r="C113" s="47">
        <v>3</v>
      </c>
      <c r="D113" s="25" t="s">
        <v>60</v>
      </c>
      <c r="E113" s="25" t="s">
        <v>61</v>
      </c>
      <c r="F113" s="25" t="s">
        <v>31</v>
      </c>
      <c r="G113" s="49">
        <v>50810</v>
      </c>
      <c r="H113" s="51">
        <v>482</v>
      </c>
      <c r="I113" s="306">
        <v>1.44</v>
      </c>
      <c r="J113" s="306">
        <v>1.64</v>
      </c>
      <c r="K113" s="306">
        <v>1.52</v>
      </c>
      <c r="L113" s="306">
        <v>1.804</v>
      </c>
      <c r="M113" s="306">
        <v>2.19</v>
      </c>
      <c r="N113" s="306">
        <v>1.609</v>
      </c>
      <c r="O113" s="306">
        <v>1.62</v>
      </c>
      <c r="P113" s="306">
        <v>2.04</v>
      </c>
      <c r="Q113" s="306">
        <v>1.75</v>
      </c>
      <c r="R113" s="306">
        <v>1.464</v>
      </c>
      <c r="S113" s="62">
        <f t="shared" si="8"/>
        <v>1.7076999999999998</v>
      </c>
      <c r="T113" s="60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</row>
    <row r="114" spans="1:30" ht="15.75" customHeight="1">
      <c r="A114" s="47">
        <v>2</v>
      </c>
      <c r="B114" s="47">
        <v>4</v>
      </c>
      <c r="C114" s="47">
        <v>4</v>
      </c>
      <c r="D114" s="25" t="s">
        <v>129</v>
      </c>
      <c r="E114" s="25" t="s">
        <v>130</v>
      </c>
      <c r="F114" s="25" t="s">
        <v>31</v>
      </c>
      <c r="G114" s="49">
        <v>50827</v>
      </c>
      <c r="H114" s="51">
        <v>654</v>
      </c>
      <c r="I114" s="306">
        <v>0.79400000000000004</v>
      </c>
      <c r="J114" s="306">
        <v>0.754</v>
      </c>
      <c r="K114" s="306">
        <v>0.53</v>
      </c>
      <c r="L114" s="306">
        <v>0.47699999999999998</v>
      </c>
      <c r="M114" s="306">
        <v>0.77</v>
      </c>
      <c r="N114" s="306">
        <v>0.84</v>
      </c>
      <c r="O114" s="306"/>
      <c r="P114" s="306">
        <v>0.8</v>
      </c>
      <c r="Q114" s="306">
        <v>0.66</v>
      </c>
      <c r="R114" s="306">
        <v>0.64</v>
      </c>
      <c r="S114" s="62">
        <f t="shared" si="8"/>
        <v>0.69611111111111112</v>
      </c>
      <c r="T114" s="60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</row>
    <row r="115" spans="1:30" ht="15.75" customHeight="1">
      <c r="A115" s="159">
        <v>2</v>
      </c>
      <c r="B115" s="159">
        <v>4</v>
      </c>
      <c r="C115" s="159">
        <v>4</v>
      </c>
      <c r="D115" s="153" t="s">
        <v>60</v>
      </c>
      <c r="E115" s="153" t="s">
        <v>61</v>
      </c>
      <c r="F115" s="153" t="s">
        <v>31</v>
      </c>
      <c r="G115" s="161">
        <v>50860</v>
      </c>
      <c r="H115" s="162">
        <v>214</v>
      </c>
      <c r="I115" s="319">
        <v>0.64</v>
      </c>
      <c r="J115" s="319">
        <v>1.44</v>
      </c>
      <c r="K115" s="319">
        <v>0.74</v>
      </c>
      <c r="L115" s="319">
        <v>0.73499999999999999</v>
      </c>
      <c r="M115" s="319">
        <v>0.95</v>
      </c>
      <c r="N115" s="319">
        <v>0.92</v>
      </c>
      <c r="O115" s="319">
        <v>0.84</v>
      </c>
      <c r="P115" s="319">
        <v>0.73599999999999999</v>
      </c>
      <c r="Q115" s="319">
        <v>0.73</v>
      </c>
      <c r="R115" s="320"/>
      <c r="S115" s="62">
        <f t="shared" si="8"/>
        <v>0.85899999999999999</v>
      </c>
      <c r="T115" s="163" t="s">
        <v>131</v>
      </c>
      <c r="U115" s="271"/>
      <c r="V115" s="271"/>
      <c r="W115" s="271"/>
      <c r="X115" s="271"/>
      <c r="Y115" s="271"/>
      <c r="Z115" s="271"/>
      <c r="AA115" s="271"/>
      <c r="AB115" s="271"/>
      <c r="AC115" s="271"/>
      <c r="AD115" s="271"/>
    </row>
    <row r="116" spans="1:30" ht="15.75" customHeight="1">
      <c r="A116" s="47">
        <v>2</v>
      </c>
      <c r="B116" s="47">
        <v>4</v>
      </c>
      <c r="C116" s="47">
        <v>5</v>
      </c>
      <c r="D116" s="25" t="s">
        <v>56</v>
      </c>
      <c r="E116" s="25" t="s">
        <v>57</v>
      </c>
      <c r="F116" s="25" t="s">
        <v>31</v>
      </c>
      <c r="G116" s="49">
        <v>50712</v>
      </c>
      <c r="H116" s="51">
        <v>621</v>
      </c>
      <c r="I116" s="306">
        <v>0.66900000000000004</v>
      </c>
      <c r="J116" s="306">
        <v>2.8010000000000002</v>
      </c>
      <c r="K116" s="306">
        <v>0.53200000000000003</v>
      </c>
      <c r="L116" s="306">
        <v>0.65300000000000002</v>
      </c>
      <c r="M116" s="306">
        <v>0.6</v>
      </c>
      <c r="N116" s="306">
        <v>0.85699999999999998</v>
      </c>
      <c r="O116" s="306">
        <v>0.89</v>
      </c>
      <c r="P116" s="306">
        <v>0.7</v>
      </c>
      <c r="Q116" s="306">
        <v>1.6240000000000001</v>
      </c>
      <c r="R116" s="306">
        <v>1.07</v>
      </c>
      <c r="S116" s="62">
        <f t="shared" si="8"/>
        <v>1.0396000000000001</v>
      </c>
      <c r="T116" s="60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</row>
    <row r="117" spans="1:30" ht="15.75" customHeight="1">
      <c r="A117" s="47">
        <v>2</v>
      </c>
      <c r="B117" s="47">
        <v>4</v>
      </c>
      <c r="C117" s="47">
        <v>6</v>
      </c>
      <c r="D117" s="25" t="s">
        <v>132</v>
      </c>
      <c r="E117" s="25" t="s">
        <v>133</v>
      </c>
      <c r="F117" s="25" t="s">
        <v>109</v>
      </c>
      <c r="G117" s="49">
        <v>50716</v>
      </c>
      <c r="H117" s="51">
        <v>82</v>
      </c>
      <c r="I117" s="306">
        <v>0.27</v>
      </c>
      <c r="J117" s="306">
        <v>0.27</v>
      </c>
      <c r="K117" s="306">
        <v>0.3</v>
      </c>
      <c r="L117" s="306"/>
      <c r="M117" s="254"/>
      <c r="N117" s="254"/>
      <c r="O117" s="254"/>
      <c r="P117" s="254"/>
      <c r="Q117" s="254"/>
      <c r="R117" s="254"/>
      <c r="S117" s="62">
        <f t="shared" si="8"/>
        <v>0.28000000000000003</v>
      </c>
      <c r="T117" s="60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</row>
    <row r="118" spans="1:30" ht="15.75" customHeight="1">
      <c r="A118" s="47">
        <v>2</v>
      </c>
      <c r="B118" s="47">
        <v>4</v>
      </c>
      <c r="C118" s="47">
        <v>6</v>
      </c>
      <c r="D118" s="25" t="s">
        <v>132</v>
      </c>
      <c r="E118" s="25" t="s">
        <v>133</v>
      </c>
      <c r="F118" s="25" t="s">
        <v>109</v>
      </c>
      <c r="G118" s="49">
        <v>50789</v>
      </c>
      <c r="H118" s="51">
        <v>327</v>
      </c>
      <c r="I118" s="62">
        <v>1.9039999999999999</v>
      </c>
      <c r="J118" s="62">
        <v>1.5</v>
      </c>
      <c r="K118" s="62">
        <v>1.98</v>
      </c>
      <c r="L118" s="62">
        <v>1.2</v>
      </c>
      <c r="M118" s="62">
        <v>1.478</v>
      </c>
      <c r="N118" s="62">
        <v>1.0569999999999999</v>
      </c>
      <c r="O118" s="62">
        <v>1.083</v>
      </c>
      <c r="P118" s="62">
        <v>1.43</v>
      </c>
      <c r="Q118" s="62">
        <v>0.98</v>
      </c>
      <c r="R118" s="62">
        <v>0.28000000000000003</v>
      </c>
      <c r="S118" s="62">
        <f t="shared" si="8"/>
        <v>1.2892000000000001</v>
      </c>
      <c r="T118" s="27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</row>
    <row r="119" spans="1:30" ht="15.75" customHeight="1">
      <c r="A119" s="47">
        <v>2</v>
      </c>
      <c r="B119" s="47">
        <v>4</v>
      </c>
      <c r="C119" s="47">
        <v>6</v>
      </c>
      <c r="D119" s="25" t="s">
        <v>132</v>
      </c>
      <c r="E119" s="25" t="s">
        <v>133</v>
      </c>
      <c r="F119" s="25" t="s">
        <v>34</v>
      </c>
      <c r="G119" s="49">
        <v>50710</v>
      </c>
      <c r="H119" s="51">
        <v>15</v>
      </c>
      <c r="I119" s="62">
        <v>1.45</v>
      </c>
      <c r="J119" s="62">
        <v>1.31</v>
      </c>
      <c r="K119" s="62">
        <v>1.52</v>
      </c>
      <c r="L119" s="254"/>
      <c r="M119" s="254"/>
      <c r="N119" s="254"/>
      <c r="O119" s="254"/>
      <c r="P119" s="254"/>
      <c r="Q119" s="254"/>
      <c r="R119" s="254"/>
      <c r="S119" s="62">
        <f t="shared" si="8"/>
        <v>1.4266666666666665</v>
      </c>
      <c r="T119" s="27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</row>
    <row r="120" spans="1:30" ht="15.75" customHeight="1">
      <c r="A120" s="47">
        <v>2</v>
      </c>
      <c r="B120" s="47">
        <v>4</v>
      </c>
      <c r="C120" s="47">
        <v>7</v>
      </c>
      <c r="D120" s="25" t="s">
        <v>134</v>
      </c>
      <c r="E120" s="25" t="s">
        <v>135</v>
      </c>
      <c r="F120" s="25" t="s">
        <v>25</v>
      </c>
      <c r="G120" s="49">
        <v>50268</v>
      </c>
      <c r="H120" s="51">
        <v>411</v>
      </c>
      <c r="I120" s="62">
        <v>0.44</v>
      </c>
      <c r="J120" s="62">
        <v>0.43</v>
      </c>
      <c r="K120" s="62">
        <v>1.59</v>
      </c>
      <c r="L120" s="62">
        <v>1.2</v>
      </c>
      <c r="M120" s="62">
        <v>0.84</v>
      </c>
      <c r="N120" s="62">
        <v>0.72</v>
      </c>
      <c r="O120" s="62">
        <v>1.3</v>
      </c>
      <c r="P120" s="62">
        <v>1.44</v>
      </c>
      <c r="Q120" s="62">
        <v>1.319</v>
      </c>
      <c r="R120" s="62">
        <v>0.67</v>
      </c>
      <c r="S120" s="62">
        <f t="shared" si="8"/>
        <v>0.99490000000000001</v>
      </c>
      <c r="T120" s="27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</row>
    <row r="121" spans="1:30" ht="15.75" customHeight="1">
      <c r="A121" s="71">
        <v>2</v>
      </c>
      <c r="B121" s="71">
        <v>4</v>
      </c>
      <c r="C121" s="71">
        <v>7</v>
      </c>
      <c r="D121" s="53" t="s">
        <v>134</v>
      </c>
      <c r="E121" s="53" t="s">
        <v>135</v>
      </c>
      <c r="F121" s="53" t="s">
        <v>68</v>
      </c>
      <c r="G121" s="73">
        <v>50169</v>
      </c>
      <c r="H121" s="74">
        <v>10</v>
      </c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62"/>
      <c r="T121" s="79" t="s">
        <v>55</v>
      </c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</row>
    <row r="122" spans="1:30" ht="15.75" customHeight="1">
      <c r="A122" s="47">
        <v>2</v>
      </c>
      <c r="B122" s="47">
        <v>4</v>
      </c>
      <c r="C122" s="47">
        <v>9</v>
      </c>
      <c r="D122" s="25" t="s">
        <v>136</v>
      </c>
      <c r="E122" s="25" t="s">
        <v>137</v>
      </c>
      <c r="F122" s="25" t="s">
        <v>68</v>
      </c>
      <c r="G122" s="49">
        <v>50830</v>
      </c>
      <c r="H122" s="51">
        <v>329</v>
      </c>
      <c r="I122" s="62">
        <v>0.78</v>
      </c>
      <c r="J122" s="62">
        <v>1</v>
      </c>
      <c r="K122" s="62">
        <v>1.1000000000000001</v>
      </c>
      <c r="L122" s="62">
        <v>1</v>
      </c>
      <c r="M122" s="62">
        <v>0.85</v>
      </c>
      <c r="N122" s="62">
        <v>0.7</v>
      </c>
      <c r="O122" s="62">
        <v>0.9</v>
      </c>
      <c r="P122" s="62">
        <v>1.7</v>
      </c>
      <c r="Q122" s="62">
        <v>0.8</v>
      </c>
      <c r="R122" s="62">
        <v>0.83</v>
      </c>
      <c r="S122" s="62">
        <f t="shared" ref="S122:S128" si="9">AVERAGE(I122:R122)</f>
        <v>0.96599999999999997</v>
      </c>
      <c r="T122" s="27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</row>
    <row r="123" spans="1:30" ht="15.75" customHeight="1">
      <c r="A123" s="47">
        <v>2</v>
      </c>
      <c r="B123" s="47">
        <v>4</v>
      </c>
      <c r="C123" s="47">
        <v>9</v>
      </c>
      <c r="D123" s="25" t="s">
        <v>136</v>
      </c>
      <c r="E123" s="25" t="s">
        <v>137</v>
      </c>
      <c r="F123" s="25" t="s">
        <v>25</v>
      </c>
      <c r="G123" s="49">
        <v>50757</v>
      </c>
      <c r="H123" s="51">
        <v>10</v>
      </c>
      <c r="I123" s="62">
        <v>0.66</v>
      </c>
      <c r="J123" s="254"/>
      <c r="K123" s="254"/>
      <c r="L123" s="254"/>
      <c r="M123" s="254"/>
      <c r="N123" s="254"/>
      <c r="O123" s="254"/>
      <c r="P123" s="254"/>
      <c r="Q123" s="254"/>
      <c r="R123" s="254"/>
      <c r="S123" s="62">
        <f t="shared" si="9"/>
        <v>0.66</v>
      </c>
      <c r="T123" s="27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</row>
    <row r="124" spans="1:30" ht="15.75" customHeight="1">
      <c r="A124" s="47">
        <v>2</v>
      </c>
      <c r="B124" s="47">
        <v>4</v>
      </c>
      <c r="C124" s="47">
        <v>10</v>
      </c>
      <c r="D124" s="25" t="s">
        <v>138</v>
      </c>
      <c r="E124" s="25" t="s">
        <v>139</v>
      </c>
      <c r="F124" s="25" t="s">
        <v>68</v>
      </c>
      <c r="G124" s="49">
        <v>50828</v>
      </c>
      <c r="H124" s="51">
        <v>954</v>
      </c>
      <c r="I124" s="62">
        <v>1.02</v>
      </c>
      <c r="J124" s="62">
        <v>0.78300000000000003</v>
      </c>
      <c r="K124" s="62">
        <v>0.66</v>
      </c>
      <c r="L124" s="62">
        <v>0.78300000000000003</v>
      </c>
      <c r="M124" s="62">
        <v>0.72</v>
      </c>
      <c r="N124" s="62">
        <v>0.7</v>
      </c>
      <c r="O124" s="62">
        <v>0.8</v>
      </c>
      <c r="P124" s="62">
        <v>0.6</v>
      </c>
      <c r="Q124" s="62">
        <v>0.57999999999999996</v>
      </c>
      <c r="R124" s="62">
        <v>0.49</v>
      </c>
      <c r="S124" s="62">
        <f t="shared" si="9"/>
        <v>0.71360000000000001</v>
      </c>
      <c r="T124" s="27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</row>
    <row r="125" spans="1:30" ht="15.75" customHeight="1">
      <c r="A125" s="47">
        <v>2</v>
      </c>
      <c r="B125" s="47">
        <v>4</v>
      </c>
      <c r="C125" s="47">
        <v>10</v>
      </c>
      <c r="D125" s="25" t="s">
        <v>140</v>
      </c>
      <c r="E125" s="25" t="s">
        <v>141</v>
      </c>
      <c r="F125" s="25" t="s">
        <v>25</v>
      </c>
      <c r="G125" s="49">
        <v>50763</v>
      </c>
      <c r="H125" s="51">
        <v>19</v>
      </c>
      <c r="I125" s="62">
        <v>1.7</v>
      </c>
      <c r="J125" s="254"/>
      <c r="K125" s="254"/>
      <c r="L125" s="254"/>
      <c r="M125" s="254"/>
      <c r="N125" s="254"/>
      <c r="O125" s="254"/>
      <c r="P125" s="254"/>
      <c r="Q125" s="254"/>
      <c r="R125" s="254"/>
      <c r="S125" s="62">
        <f t="shared" si="9"/>
        <v>1.7</v>
      </c>
      <c r="T125" s="27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</row>
    <row r="126" spans="1:30" ht="15.75" customHeight="1">
      <c r="A126" s="47">
        <v>2</v>
      </c>
      <c r="B126" s="47">
        <v>4</v>
      </c>
      <c r="C126" s="47">
        <v>10</v>
      </c>
      <c r="D126" s="25" t="s">
        <v>138</v>
      </c>
      <c r="E126" s="25" t="s">
        <v>139</v>
      </c>
      <c r="F126" s="25" t="s">
        <v>68</v>
      </c>
      <c r="G126" s="49">
        <v>50295</v>
      </c>
      <c r="H126" s="51">
        <v>11</v>
      </c>
      <c r="I126" s="62">
        <v>1.03</v>
      </c>
      <c r="J126" s="62">
        <v>0.87</v>
      </c>
      <c r="K126" s="254"/>
      <c r="L126" s="254"/>
      <c r="M126" s="254"/>
      <c r="N126" s="254"/>
      <c r="O126" s="254"/>
      <c r="P126" s="254"/>
      <c r="Q126" s="254"/>
      <c r="R126" s="254"/>
      <c r="S126" s="62">
        <f t="shared" si="9"/>
        <v>0.95</v>
      </c>
      <c r="T126" s="27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</row>
    <row r="127" spans="1:30" ht="15.75" customHeight="1">
      <c r="A127" s="47">
        <v>2</v>
      </c>
      <c r="B127" s="47">
        <v>4</v>
      </c>
      <c r="C127" s="47">
        <v>10</v>
      </c>
      <c r="D127" s="25" t="s">
        <v>140</v>
      </c>
      <c r="E127" s="25" t="s">
        <v>141</v>
      </c>
      <c r="F127" s="25" t="s">
        <v>68</v>
      </c>
      <c r="G127" s="49">
        <v>50638</v>
      </c>
      <c r="H127" s="51">
        <v>52</v>
      </c>
      <c r="I127" s="62">
        <v>0.74</v>
      </c>
      <c r="J127" s="62">
        <v>1.4</v>
      </c>
      <c r="K127" s="62">
        <v>0.55000000000000004</v>
      </c>
      <c r="L127" s="254"/>
      <c r="M127" s="254"/>
      <c r="N127" s="254"/>
      <c r="O127" s="254"/>
      <c r="P127" s="254"/>
      <c r="Q127" s="254"/>
      <c r="R127" s="254"/>
      <c r="S127" s="62">
        <f t="shared" si="9"/>
        <v>0.8966666666666665</v>
      </c>
      <c r="T127" s="27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</row>
    <row r="128" spans="1:30" ht="15.75" customHeight="1">
      <c r="A128" s="47">
        <v>2</v>
      </c>
      <c r="B128" s="47">
        <v>4</v>
      </c>
      <c r="C128" s="47">
        <v>10</v>
      </c>
      <c r="D128" s="25" t="s">
        <v>138</v>
      </c>
      <c r="E128" s="25" t="s">
        <v>139</v>
      </c>
      <c r="F128" s="25" t="s">
        <v>25</v>
      </c>
      <c r="G128" s="49">
        <v>50750</v>
      </c>
      <c r="H128" s="51">
        <v>82</v>
      </c>
      <c r="I128" s="62">
        <v>1.2490000000000001</v>
      </c>
      <c r="J128" s="254"/>
      <c r="K128" s="254"/>
      <c r="L128" s="254"/>
      <c r="M128" s="254"/>
      <c r="N128" s="254"/>
      <c r="O128" s="254"/>
      <c r="P128" s="254"/>
      <c r="Q128" s="254"/>
      <c r="R128" s="254"/>
      <c r="S128" s="62">
        <f t="shared" si="9"/>
        <v>1.2490000000000001</v>
      </c>
      <c r="T128" s="27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</row>
    <row r="129" spans="1:30" ht="15.75" customHeight="1">
      <c r="A129" s="63">
        <v>2</v>
      </c>
      <c r="B129" s="63">
        <v>4</v>
      </c>
      <c r="C129" s="63">
        <v>11</v>
      </c>
      <c r="D129" s="38" t="s">
        <v>142</v>
      </c>
      <c r="E129" s="38" t="s">
        <v>143</v>
      </c>
      <c r="F129" s="38" t="s">
        <v>144</v>
      </c>
      <c r="G129" s="64">
        <v>50769</v>
      </c>
      <c r="H129" s="65">
        <v>2</v>
      </c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2"/>
      <c r="T129" s="67" t="s">
        <v>43</v>
      </c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</row>
    <row r="130" spans="1:30" ht="15.75" customHeight="1">
      <c r="A130" s="47">
        <v>2</v>
      </c>
      <c r="B130" s="47">
        <v>4</v>
      </c>
      <c r="C130" s="47">
        <v>13</v>
      </c>
      <c r="D130" s="25" t="s">
        <v>32</v>
      </c>
      <c r="E130" s="25" t="s">
        <v>33</v>
      </c>
      <c r="F130" s="25" t="s">
        <v>68</v>
      </c>
      <c r="G130" s="49">
        <v>50819</v>
      </c>
      <c r="H130" s="51">
        <v>1285</v>
      </c>
      <c r="I130" s="62">
        <v>1.54</v>
      </c>
      <c r="J130" s="62">
        <v>1.1000000000000001</v>
      </c>
      <c r="K130" s="62">
        <v>1.54</v>
      </c>
      <c r="L130" s="62">
        <v>0.84</v>
      </c>
      <c r="M130" s="62">
        <v>1.23</v>
      </c>
      <c r="N130" s="62">
        <v>1.47</v>
      </c>
      <c r="O130" s="62">
        <v>1.5</v>
      </c>
      <c r="P130" s="62">
        <v>1</v>
      </c>
      <c r="Q130" s="62">
        <v>1.55</v>
      </c>
      <c r="R130" s="62">
        <v>0.97</v>
      </c>
      <c r="S130" s="62">
        <f>AVERAGE(I130:R130)</f>
        <v>1.274</v>
      </c>
      <c r="T130" s="27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</row>
    <row r="131" spans="1:30" ht="15.75" customHeight="1">
      <c r="A131" s="47">
        <v>2</v>
      </c>
      <c r="B131" s="47">
        <v>4</v>
      </c>
      <c r="C131" s="47">
        <v>14</v>
      </c>
      <c r="D131" s="25" t="s">
        <v>145</v>
      </c>
      <c r="E131" s="25" t="s">
        <v>146</v>
      </c>
      <c r="F131" s="25" t="s">
        <v>31</v>
      </c>
      <c r="G131" s="49">
        <v>50809</v>
      </c>
      <c r="H131" s="51">
        <v>664</v>
      </c>
      <c r="I131" s="62">
        <v>1.64</v>
      </c>
      <c r="J131" s="62">
        <v>1.43</v>
      </c>
      <c r="K131" s="62">
        <v>1.66</v>
      </c>
      <c r="L131" s="62">
        <v>2.1</v>
      </c>
      <c r="M131" s="62">
        <v>1.38</v>
      </c>
      <c r="N131" s="62">
        <v>1.93</v>
      </c>
      <c r="O131" s="62">
        <v>1.37</v>
      </c>
      <c r="P131" s="62">
        <v>1.37</v>
      </c>
      <c r="Q131" s="62">
        <v>1.34</v>
      </c>
      <c r="R131" s="62">
        <v>1.06</v>
      </c>
      <c r="S131" s="62">
        <f>AVERAGE(I131:R131)</f>
        <v>1.5280000000000002</v>
      </c>
      <c r="T131" s="27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</row>
    <row r="132" spans="1:30" ht="15.75" customHeight="1">
      <c r="A132" s="63">
        <v>2</v>
      </c>
      <c r="B132" s="63">
        <v>4</v>
      </c>
      <c r="C132" s="63">
        <v>15</v>
      </c>
      <c r="D132" s="38" t="s">
        <v>147</v>
      </c>
      <c r="E132" s="38" t="s">
        <v>148</v>
      </c>
      <c r="F132" s="38" t="s">
        <v>25</v>
      </c>
      <c r="G132" s="64">
        <v>50376</v>
      </c>
      <c r="H132" s="65">
        <v>6</v>
      </c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2"/>
      <c r="T132" s="67" t="s">
        <v>43</v>
      </c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</row>
    <row r="133" spans="1:30" ht="15.75" customHeight="1">
      <c r="A133" s="47">
        <v>2</v>
      </c>
      <c r="B133" s="47">
        <v>4</v>
      </c>
      <c r="C133" s="47">
        <v>15</v>
      </c>
      <c r="D133" s="25" t="s">
        <v>149</v>
      </c>
      <c r="E133" s="25" t="s">
        <v>150</v>
      </c>
      <c r="F133" s="25" t="s">
        <v>31</v>
      </c>
      <c r="G133" s="49">
        <v>50815</v>
      </c>
      <c r="H133" s="51">
        <v>81</v>
      </c>
      <c r="I133" s="62">
        <v>1.52</v>
      </c>
      <c r="J133" s="62">
        <v>2.13</v>
      </c>
      <c r="K133" s="62">
        <v>1.4</v>
      </c>
      <c r="L133" s="254"/>
      <c r="M133" s="254"/>
      <c r="N133" s="254"/>
      <c r="O133" s="254"/>
      <c r="P133" s="254"/>
      <c r="Q133" s="254"/>
      <c r="R133" s="254"/>
      <c r="S133" s="62">
        <f>AVERAGE(I133:R133)</f>
        <v>1.6833333333333333</v>
      </c>
      <c r="T133" s="27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</row>
    <row r="134" spans="1:30" ht="15.75" customHeight="1">
      <c r="A134" s="47">
        <v>2</v>
      </c>
      <c r="B134" s="47">
        <v>4</v>
      </c>
      <c r="C134" s="47">
        <v>15</v>
      </c>
      <c r="D134" s="25" t="s">
        <v>145</v>
      </c>
      <c r="E134" s="25" t="s">
        <v>146</v>
      </c>
      <c r="F134" s="25" t="s">
        <v>31</v>
      </c>
      <c r="G134" s="49">
        <v>50711</v>
      </c>
      <c r="H134" s="51">
        <v>100</v>
      </c>
      <c r="I134" s="62">
        <v>1.51</v>
      </c>
      <c r="J134" s="62">
        <v>1.25</v>
      </c>
      <c r="K134" s="62">
        <v>1.44</v>
      </c>
      <c r="L134" s="254"/>
      <c r="M134" s="254"/>
      <c r="N134" s="254"/>
      <c r="O134" s="254"/>
      <c r="P134" s="254"/>
      <c r="Q134" s="254"/>
      <c r="R134" s="254"/>
      <c r="S134" s="62">
        <f>AVERAGE(I134:R134)</f>
        <v>1.3999999999999997</v>
      </c>
      <c r="T134" s="27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</row>
    <row r="135" spans="1:30" ht="15.75" customHeight="1">
      <c r="A135" s="47">
        <v>2</v>
      </c>
      <c r="B135" s="47">
        <v>4</v>
      </c>
      <c r="C135" s="47">
        <v>15</v>
      </c>
      <c r="D135" s="25" t="s">
        <v>145</v>
      </c>
      <c r="E135" s="25" t="s">
        <v>146</v>
      </c>
      <c r="F135" s="25" t="s">
        <v>68</v>
      </c>
      <c r="G135" s="49">
        <v>50701</v>
      </c>
      <c r="H135" s="51">
        <v>70</v>
      </c>
      <c r="I135" s="62">
        <v>0.43</v>
      </c>
      <c r="J135" s="62">
        <v>0.47</v>
      </c>
      <c r="K135" s="62">
        <v>0.41</v>
      </c>
      <c r="L135" s="254"/>
      <c r="M135" s="254"/>
      <c r="N135" s="254"/>
      <c r="O135" s="254"/>
      <c r="P135" s="254"/>
      <c r="Q135" s="254"/>
      <c r="R135" s="254"/>
      <c r="S135" s="62">
        <f>AVERAGE(I135:R135)</f>
        <v>0.43666666666666659</v>
      </c>
      <c r="T135" s="27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</row>
    <row r="136" spans="1:30" ht="15.75" customHeight="1">
      <c r="A136" s="47">
        <v>2</v>
      </c>
      <c r="B136" s="47">
        <v>4</v>
      </c>
      <c r="C136" s="47">
        <v>15</v>
      </c>
      <c r="D136" s="25" t="s">
        <v>151</v>
      </c>
      <c r="E136" s="25" t="s">
        <v>152</v>
      </c>
      <c r="F136" s="25" t="s">
        <v>144</v>
      </c>
      <c r="G136" s="49">
        <v>50776</v>
      </c>
      <c r="H136" s="51">
        <v>28</v>
      </c>
      <c r="I136" s="62">
        <v>0.9</v>
      </c>
      <c r="J136" s="254"/>
      <c r="K136" s="254"/>
      <c r="L136" s="254"/>
      <c r="M136" s="254"/>
      <c r="N136" s="254"/>
      <c r="O136" s="254"/>
      <c r="P136" s="254"/>
      <c r="Q136" s="254"/>
      <c r="R136" s="254"/>
      <c r="S136" s="62">
        <f>AVERAGE(I136:R136)</f>
        <v>0.9</v>
      </c>
      <c r="T136" s="27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</row>
    <row r="137" spans="1:30" ht="15.75" customHeight="1">
      <c r="A137" s="63">
        <v>2</v>
      </c>
      <c r="B137" s="63">
        <v>4</v>
      </c>
      <c r="C137" s="63">
        <v>15</v>
      </c>
      <c r="D137" s="38" t="s">
        <v>151</v>
      </c>
      <c r="E137" s="38" t="s">
        <v>152</v>
      </c>
      <c r="F137" s="38" t="s">
        <v>31</v>
      </c>
      <c r="G137" s="64">
        <v>50811</v>
      </c>
      <c r="H137" s="65">
        <v>4</v>
      </c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2"/>
      <c r="T137" s="67" t="s">
        <v>43</v>
      </c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</row>
    <row r="138" spans="1:30" ht="15.75" customHeight="1">
      <c r="A138" s="47">
        <v>2</v>
      </c>
      <c r="B138" s="47">
        <v>4</v>
      </c>
      <c r="C138" s="47">
        <v>15</v>
      </c>
      <c r="D138" s="25" t="s">
        <v>153</v>
      </c>
      <c r="E138" s="25" t="s">
        <v>154</v>
      </c>
      <c r="F138" s="25" t="s">
        <v>155</v>
      </c>
      <c r="G138" s="49">
        <v>50851</v>
      </c>
      <c r="H138" s="51">
        <v>15</v>
      </c>
      <c r="I138" s="62">
        <v>0.75</v>
      </c>
      <c r="J138" s="254"/>
      <c r="K138" s="254"/>
      <c r="L138" s="254"/>
      <c r="M138" s="254"/>
      <c r="N138" s="254"/>
      <c r="O138" s="254"/>
      <c r="P138" s="254"/>
      <c r="Q138" s="254"/>
      <c r="R138" s="254"/>
      <c r="S138" s="62">
        <f>AVERAGE(I138:R138)</f>
        <v>0.75</v>
      </c>
      <c r="T138" s="27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</row>
    <row r="139" spans="1:30" ht="15.75" customHeight="1">
      <c r="A139" s="47">
        <v>2</v>
      </c>
      <c r="B139" s="47">
        <v>4</v>
      </c>
      <c r="C139" s="47">
        <v>15</v>
      </c>
      <c r="D139" s="25" t="s">
        <v>156</v>
      </c>
      <c r="E139" s="25" t="s">
        <v>157</v>
      </c>
      <c r="F139" s="25" t="s">
        <v>31</v>
      </c>
      <c r="G139" s="49">
        <v>50805</v>
      </c>
      <c r="H139" s="51">
        <v>15</v>
      </c>
      <c r="I139" s="62">
        <v>0.44</v>
      </c>
      <c r="J139" s="254"/>
      <c r="K139" s="254"/>
      <c r="L139" s="254"/>
      <c r="M139" s="254"/>
      <c r="N139" s="254"/>
      <c r="O139" s="254"/>
      <c r="P139" s="254"/>
      <c r="Q139" s="254"/>
      <c r="R139" s="254"/>
      <c r="S139" s="62">
        <f>AVERAGE(I139:R139)</f>
        <v>0.44</v>
      </c>
      <c r="T139" s="27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</row>
    <row r="140" spans="1:30" ht="15.75" customHeight="1">
      <c r="A140" s="47">
        <v>2</v>
      </c>
      <c r="B140" s="47">
        <v>4</v>
      </c>
      <c r="C140" s="47">
        <v>15</v>
      </c>
      <c r="D140" s="25" t="s">
        <v>158</v>
      </c>
      <c r="E140" s="25" t="s">
        <v>159</v>
      </c>
      <c r="F140" s="25" t="s">
        <v>31</v>
      </c>
      <c r="G140" s="49">
        <v>50849</v>
      </c>
      <c r="H140" s="51">
        <v>27</v>
      </c>
      <c r="I140" s="62">
        <v>0.67</v>
      </c>
      <c r="J140" s="254"/>
      <c r="K140" s="254"/>
      <c r="L140" s="254"/>
      <c r="M140" s="254"/>
      <c r="N140" s="254"/>
      <c r="O140" s="254"/>
      <c r="P140" s="254"/>
      <c r="Q140" s="254"/>
      <c r="R140" s="254"/>
      <c r="S140" s="62">
        <f>AVERAGE(I140:R140)</f>
        <v>0.67</v>
      </c>
      <c r="T140" s="27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</row>
    <row r="141" spans="1:30" ht="15.75" customHeight="1">
      <c r="A141" s="47">
        <v>2</v>
      </c>
      <c r="B141" s="47">
        <v>4</v>
      </c>
      <c r="C141" s="47">
        <v>15</v>
      </c>
      <c r="D141" s="25" t="s">
        <v>160</v>
      </c>
      <c r="E141" s="25" t="s">
        <v>161</v>
      </c>
      <c r="F141" s="25" t="s">
        <v>34</v>
      </c>
      <c r="G141" s="49">
        <v>50707</v>
      </c>
      <c r="H141" s="51">
        <v>30</v>
      </c>
      <c r="I141" s="62">
        <v>0.85</v>
      </c>
      <c r="J141" s="254"/>
      <c r="K141" s="254"/>
      <c r="L141" s="254"/>
      <c r="M141" s="254"/>
      <c r="N141" s="254"/>
      <c r="O141" s="254"/>
      <c r="P141" s="254"/>
      <c r="Q141" s="254"/>
      <c r="R141" s="254"/>
      <c r="S141" s="62">
        <f>AVERAGE(I141:R141)</f>
        <v>0.85</v>
      </c>
      <c r="T141" s="27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</row>
    <row r="142" spans="1:30" ht="15.75" customHeight="1">
      <c r="A142" s="47">
        <v>2</v>
      </c>
      <c r="B142" s="47">
        <v>4</v>
      </c>
      <c r="C142" s="47">
        <v>15</v>
      </c>
      <c r="D142" s="25" t="s">
        <v>162</v>
      </c>
      <c r="E142" s="25" t="s">
        <v>163</v>
      </c>
      <c r="F142" s="25" t="s">
        <v>34</v>
      </c>
      <c r="G142" s="49">
        <v>50840</v>
      </c>
      <c r="H142" s="51">
        <v>1</v>
      </c>
      <c r="I142" s="62">
        <v>0.44</v>
      </c>
      <c r="J142" s="254"/>
      <c r="K142" s="254"/>
      <c r="L142" s="254"/>
      <c r="M142" s="254"/>
      <c r="N142" s="254"/>
      <c r="O142" s="254"/>
      <c r="P142" s="254"/>
      <c r="Q142" s="254"/>
      <c r="R142" s="254"/>
      <c r="S142" s="62">
        <f>AVERAGE(I142:R142)</f>
        <v>0.44</v>
      </c>
      <c r="T142" s="27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</row>
    <row r="143" spans="1:30" ht="15.75" customHeight="1">
      <c r="A143" s="71">
        <v>2</v>
      </c>
      <c r="B143" s="71">
        <v>4</v>
      </c>
      <c r="C143" s="71">
        <v>15</v>
      </c>
      <c r="D143" s="53" t="s">
        <v>164</v>
      </c>
      <c r="E143" s="53" t="s">
        <v>165</v>
      </c>
      <c r="F143" s="53" t="s">
        <v>166</v>
      </c>
      <c r="G143" s="73">
        <v>50775</v>
      </c>
      <c r="H143" s="74">
        <v>1</v>
      </c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62"/>
      <c r="T143" s="79" t="s">
        <v>55</v>
      </c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</row>
    <row r="144" spans="1:30" ht="15.75" customHeight="1">
      <c r="A144" s="63">
        <v>2</v>
      </c>
      <c r="B144" s="63">
        <v>4</v>
      </c>
      <c r="C144" s="63">
        <v>15</v>
      </c>
      <c r="D144" s="38" t="s">
        <v>149</v>
      </c>
      <c r="E144" s="38" t="s">
        <v>150</v>
      </c>
      <c r="F144" s="38" t="s">
        <v>68</v>
      </c>
      <c r="G144" s="64">
        <v>50669</v>
      </c>
      <c r="H144" s="65">
        <v>4</v>
      </c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2"/>
      <c r="T144" s="67" t="s">
        <v>43</v>
      </c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</row>
    <row r="145" spans="1:30" ht="15.75" customHeight="1">
      <c r="A145" s="63">
        <v>2</v>
      </c>
      <c r="B145" s="63">
        <v>4</v>
      </c>
      <c r="C145" s="63">
        <v>15</v>
      </c>
      <c r="D145" s="38" t="s">
        <v>149</v>
      </c>
      <c r="E145" s="38" t="s">
        <v>150</v>
      </c>
      <c r="F145" s="38" t="s">
        <v>34</v>
      </c>
      <c r="G145" s="64">
        <v>50433</v>
      </c>
      <c r="H145" s="65">
        <v>3</v>
      </c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2"/>
      <c r="T145" s="67" t="s">
        <v>43</v>
      </c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</row>
    <row r="146" spans="1:30" ht="15.75" customHeight="1">
      <c r="A146" s="47">
        <v>2</v>
      </c>
      <c r="B146" s="47">
        <v>4</v>
      </c>
      <c r="C146" s="47">
        <v>16</v>
      </c>
      <c r="D146" s="25" t="s">
        <v>167</v>
      </c>
      <c r="E146" s="25" t="s">
        <v>168</v>
      </c>
      <c r="F146" s="25" t="s">
        <v>31</v>
      </c>
      <c r="G146" s="49">
        <v>50865</v>
      </c>
      <c r="H146" s="51">
        <v>628</v>
      </c>
      <c r="I146" s="62">
        <v>1.08</v>
      </c>
      <c r="J146" s="62">
        <v>1.37</v>
      </c>
      <c r="K146" s="62">
        <v>1</v>
      </c>
      <c r="L146" s="62">
        <v>0.97</v>
      </c>
      <c r="M146" s="62">
        <v>1.18</v>
      </c>
      <c r="N146" s="62">
        <v>1.04</v>
      </c>
      <c r="O146" s="62">
        <v>0.71</v>
      </c>
      <c r="P146" s="62">
        <v>0.95</v>
      </c>
      <c r="Q146" s="62">
        <v>1.4</v>
      </c>
      <c r="R146" s="62">
        <v>0.9</v>
      </c>
      <c r="S146" s="62">
        <f t="shared" ref="S146:S170" si="10">AVERAGE(I146:R146)</f>
        <v>1.06</v>
      </c>
      <c r="T146" s="27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</row>
    <row r="147" spans="1:30" ht="15.75" customHeight="1">
      <c r="A147" s="47">
        <v>2</v>
      </c>
      <c r="B147" s="47">
        <v>4</v>
      </c>
      <c r="C147" s="47">
        <v>16</v>
      </c>
      <c r="D147" s="25" t="s">
        <v>145</v>
      </c>
      <c r="E147" s="25" t="s">
        <v>146</v>
      </c>
      <c r="F147" s="25" t="s">
        <v>31</v>
      </c>
      <c r="G147" s="49">
        <v>50866</v>
      </c>
      <c r="H147" s="51">
        <v>86</v>
      </c>
      <c r="I147" s="62">
        <v>1.6</v>
      </c>
      <c r="J147" s="62">
        <v>1</v>
      </c>
      <c r="K147" s="62">
        <v>0.87</v>
      </c>
      <c r="L147" s="62">
        <v>0.83</v>
      </c>
      <c r="M147" s="306" t="s">
        <v>80</v>
      </c>
      <c r="N147" s="306" t="s">
        <v>80</v>
      </c>
      <c r="O147" s="254"/>
      <c r="P147" s="254"/>
      <c r="Q147" s="254"/>
      <c r="R147" s="254"/>
      <c r="S147" s="62">
        <f t="shared" si="10"/>
        <v>1.075</v>
      </c>
      <c r="T147" s="27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</row>
    <row r="148" spans="1:30" ht="15.75" customHeight="1">
      <c r="A148" s="33">
        <v>2</v>
      </c>
      <c r="B148" s="47">
        <v>4</v>
      </c>
      <c r="C148" s="47">
        <v>17</v>
      </c>
      <c r="D148" s="25" t="s">
        <v>169</v>
      </c>
      <c r="E148" s="25" t="s">
        <v>170</v>
      </c>
      <c r="F148" s="25" t="s">
        <v>34</v>
      </c>
      <c r="G148" s="49">
        <v>50596</v>
      </c>
      <c r="H148" s="51">
        <v>110</v>
      </c>
      <c r="I148" s="62">
        <v>1.67</v>
      </c>
      <c r="J148" s="62">
        <v>1.3</v>
      </c>
      <c r="K148" s="62">
        <v>1.56</v>
      </c>
      <c r="L148" s="62">
        <v>1.08</v>
      </c>
      <c r="M148" s="62">
        <v>1.43</v>
      </c>
      <c r="N148" s="62">
        <v>1.91</v>
      </c>
      <c r="O148" s="254"/>
      <c r="P148" s="254"/>
      <c r="Q148" s="254"/>
      <c r="R148" s="254"/>
      <c r="S148" s="62">
        <f t="shared" si="10"/>
        <v>1.4916666666666665</v>
      </c>
      <c r="T148" s="27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</row>
    <row r="149" spans="1:30" ht="15.75" customHeight="1">
      <c r="A149" s="47">
        <v>2</v>
      </c>
      <c r="B149" s="47">
        <v>4</v>
      </c>
      <c r="C149" s="47">
        <v>17</v>
      </c>
      <c r="D149" s="25" t="s">
        <v>169</v>
      </c>
      <c r="E149" s="25" t="s">
        <v>170</v>
      </c>
      <c r="F149" s="25" t="s">
        <v>34</v>
      </c>
      <c r="G149" s="49">
        <v>50571</v>
      </c>
      <c r="H149" s="51">
        <v>223</v>
      </c>
      <c r="I149" s="62">
        <v>0.82</v>
      </c>
      <c r="J149" s="62">
        <v>0.81</v>
      </c>
      <c r="K149" s="62">
        <v>1.1000000000000001</v>
      </c>
      <c r="L149" s="62">
        <v>1.24</v>
      </c>
      <c r="M149" s="62">
        <v>0.9</v>
      </c>
      <c r="N149" s="62">
        <v>1.1599999999999999</v>
      </c>
      <c r="O149" s="62">
        <v>0.75800000000000001</v>
      </c>
      <c r="P149" s="62">
        <v>1.5</v>
      </c>
      <c r="Q149" s="254"/>
      <c r="R149" s="254"/>
      <c r="S149" s="62">
        <f t="shared" si="10"/>
        <v>1.036</v>
      </c>
      <c r="T149" s="27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</row>
    <row r="150" spans="1:30" ht="15.75" customHeight="1">
      <c r="A150" s="47">
        <v>2</v>
      </c>
      <c r="B150" s="47">
        <v>4</v>
      </c>
      <c r="C150" s="47">
        <v>18</v>
      </c>
      <c r="D150" s="25" t="s">
        <v>171</v>
      </c>
      <c r="E150" s="25" t="s">
        <v>172</v>
      </c>
      <c r="F150" s="25" t="s">
        <v>25</v>
      </c>
      <c r="G150" s="49">
        <v>50831</v>
      </c>
      <c r="H150" s="51">
        <v>249</v>
      </c>
      <c r="I150" s="62">
        <v>1.2</v>
      </c>
      <c r="J150" s="62">
        <v>1.4</v>
      </c>
      <c r="K150" s="62">
        <v>1.246</v>
      </c>
      <c r="L150" s="62">
        <v>1.8</v>
      </c>
      <c r="M150" s="62">
        <v>1.51</v>
      </c>
      <c r="N150" s="62">
        <v>1.55</v>
      </c>
      <c r="O150" s="62">
        <v>1.64</v>
      </c>
      <c r="P150" s="62">
        <v>2.1</v>
      </c>
      <c r="Q150" s="62">
        <v>1.82</v>
      </c>
      <c r="R150" s="62">
        <v>1.8</v>
      </c>
      <c r="S150" s="62">
        <f t="shared" si="10"/>
        <v>1.6065999999999998</v>
      </c>
      <c r="T150" s="27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</row>
    <row r="151" spans="1:30" ht="15.75" customHeight="1">
      <c r="A151" s="47">
        <v>2</v>
      </c>
      <c r="B151" s="47">
        <v>4</v>
      </c>
      <c r="C151" s="47">
        <v>19</v>
      </c>
      <c r="D151" s="25" t="s">
        <v>107</v>
      </c>
      <c r="E151" s="25" t="s">
        <v>108</v>
      </c>
      <c r="F151" s="25" t="s">
        <v>31</v>
      </c>
      <c r="G151" s="49">
        <v>50862</v>
      </c>
      <c r="H151" s="51">
        <v>714</v>
      </c>
      <c r="I151" s="62">
        <v>0.91</v>
      </c>
      <c r="J151" s="62">
        <v>0.8</v>
      </c>
      <c r="K151" s="62">
        <v>0.96</v>
      </c>
      <c r="L151" s="62">
        <v>1.06</v>
      </c>
      <c r="M151" s="62">
        <v>1.56</v>
      </c>
      <c r="N151" s="62">
        <v>1.08</v>
      </c>
      <c r="O151" s="62">
        <v>0.74</v>
      </c>
      <c r="P151" s="62">
        <v>0.83</v>
      </c>
      <c r="Q151" s="62">
        <v>0.17299999999999999</v>
      </c>
      <c r="R151" s="62">
        <v>1.03</v>
      </c>
      <c r="S151" s="62">
        <f t="shared" si="10"/>
        <v>0.91429999999999989</v>
      </c>
      <c r="T151" s="27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</row>
    <row r="152" spans="1:30" ht="15.75" customHeight="1">
      <c r="A152" s="47">
        <v>2</v>
      </c>
      <c r="B152" s="47">
        <v>4</v>
      </c>
      <c r="C152" s="47">
        <v>20</v>
      </c>
      <c r="D152" s="25" t="s">
        <v>173</v>
      </c>
      <c r="E152" s="25" t="s">
        <v>174</v>
      </c>
      <c r="F152" s="25" t="s">
        <v>25</v>
      </c>
      <c r="G152" s="49">
        <v>50678</v>
      </c>
      <c r="H152" s="51">
        <v>4</v>
      </c>
      <c r="I152" s="62">
        <v>1.4</v>
      </c>
      <c r="J152" s="254"/>
      <c r="K152" s="254"/>
      <c r="L152" s="254"/>
      <c r="M152" s="254"/>
      <c r="N152" s="254"/>
      <c r="O152" s="254"/>
      <c r="P152" s="254"/>
      <c r="Q152" s="254"/>
      <c r="R152" s="254"/>
      <c r="S152" s="62">
        <f t="shared" si="10"/>
        <v>1.4</v>
      </c>
      <c r="T152" s="27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</row>
    <row r="153" spans="1:30" ht="15.75" customHeight="1">
      <c r="A153" s="47">
        <v>2</v>
      </c>
      <c r="B153" s="47">
        <v>4</v>
      </c>
      <c r="C153" s="47">
        <v>20</v>
      </c>
      <c r="D153" s="25" t="s">
        <v>175</v>
      </c>
      <c r="E153" s="25" t="s">
        <v>176</v>
      </c>
      <c r="F153" s="25" t="s">
        <v>31</v>
      </c>
      <c r="G153" s="49">
        <v>50867</v>
      </c>
      <c r="H153" s="51">
        <v>303</v>
      </c>
      <c r="I153" s="62">
        <v>0.54100000000000004</v>
      </c>
      <c r="J153" s="62">
        <v>0.9</v>
      </c>
      <c r="K153" s="62">
        <v>0.7</v>
      </c>
      <c r="L153" s="62">
        <v>0.77</v>
      </c>
      <c r="M153" s="62">
        <v>0.66</v>
      </c>
      <c r="N153" s="62">
        <v>0.95</v>
      </c>
      <c r="O153" s="62">
        <v>0.77</v>
      </c>
      <c r="P153" s="62">
        <v>0.8</v>
      </c>
      <c r="Q153" s="254"/>
      <c r="R153" s="254"/>
      <c r="S153" s="62">
        <f t="shared" si="10"/>
        <v>0.76137500000000002</v>
      </c>
      <c r="T153" s="27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</row>
    <row r="154" spans="1:30" ht="15.75" customHeight="1">
      <c r="A154" s="47">
        <v>2</v>
      </c>
      <c r="B154" s="47">
        <v>4</v>
      </c>
      <c r="C154" s="47">
        <v>21</v>
      </c>
      <c r="D154" s="25" t="s">
        <v>177</v>
      </c>
      <c r="E154" s="25" t="s">
        <v>178</v>
      </c>
      <c r="F154" s="25" t="s">
        <v>31</v>
      </c>
      <c r="G154" s="49">
        <v>50861</v>
      </c>
      <c r="H154" s="51">
        <v>714</v>
      </c>
      <c r="I154" s="62">
        <v>0.68</v>
      </c>
      <c r="J154" s="62">
        <v>0.81</v>
      </c>
      <c r="K154" s="62">
        <v>0.61</v>
      </c>
      <c r="L154" s="62">
        <v>0.44</v>
      </c>
      <c r="M154" s="62">
        <v>0.65</v>
      </c>
      <c r="N154" s="62">
        <v>0.69</v>
      </c>
      <c r="O154" s="62">
        <v>0.45</v>
      </c>
      <c r="P154" s="62">
        <v>0.75</v>
      </c>
      <c r="Q154" s="62">
        <v>0.64</v>
      </c>
      <c r="R154" s="62">
        <v>0.43</v>
      </c>
      <c r="S154" s="62">
        <f t="shared" si="10"/>
        <v>0.61499999999999999</v>
      </c>
      <c r="T154" s="27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</row>
    <row r="155" spans="1:30" ht="15.75" customHeight="1">
      <c r="A155" s="47">
        <v>2</v>
      </c>
      <c r="B155" s="47">
        <v>4</v>
      </c>
      <c r="C155" s="47">
        <v>22</v>
      </c>
      <c r="D155" s="25" t="s">
        <v>179</v>
      </c>
      <c r="E155" s="25" t="s">
        <v>180</v>
      </c>
      <c r="F155" s="25" t="s">
        <v>31</v>
      </c>
      <c r="G155" s="49">
        <v>50843</v>
      </c>
      <c r="H155" s="51">
        <v>330</v>
      </c>
      <c r="I155" s="62">
        <v>0.75</v>
      </c>
      <c r="J155" s="62">
        <v>1.21</v>
      </c>
      <c r="K155" s="62">
        <v>1.1000000000000001</v>
      </c>
      <c r="L155" s="62">
        <v>0.96</v>
      </c>
      <c r="M155" s="62">
        <v>1.01</v>
      </c>
      <c r="N155" s="62">
        <v>0.9</v>
      </c>
      <c r="O155" s="62">
        <v>1.01</v>
      </c>
      <c r="P155" s="62">
        <v>1.4</v>
      </c>
      <c r="Q155" s="62">
        <v>1.1200000000000001</v>
      </c>
      <c r="R155" s="62">
        <v>0.92</v>
      </c>
      <c r="S155" s="62">
        <f t="shared" si="10"/>
        <v>1.038</v>
      </c>
      <c r="T155" s="27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</row>
    <row r="156" spans="1:30" ht="15.75" customHeight="1">
      <c r="A156" s="47">
        <v>2</v>
      </c>
      <c r="B156" s="47">
        <v>5</v>
      </c>
      <c r="C156" s="47">
        <v>1</v>
      </c>
      <c r="D156" s="25" t="s">
        <v>95</v>
      </c>
      <c r="E156" s="25" t="s">
        <v>96</v>
      </c>
      <c r="F156" s="25" t="s">
        <v>68</v>
      </c>
      <c r="G156" s="49">
        <v>50620</v>
      </c>
      <c r="H156" s="51">
        <v>260</v>
      </c>
      <c r="I156" s="306">
        <v>1.6</v>
      </c>
      <c r="J156" s="306">
        <v>1.71</v>
      </c>
      <c r="K156" s="306">
        <v>1.85</v>
      </c>
      <c r="L156" s="306">
        <v>1.84</v>
      </c>
      <c r="M156" s="306">
        <v>1.96</v>
      </c>
      <c r="N156" s="306">
        <v>1.68</v>
      </c>
      <c r="O156" s="254"/>
      <c r="P156" s="254"/>
      <c r="Q156" s="254"/>
      <c r="R156" s="254"/>
      <c r="S156" s="62">
        <f t="shared" si="10"/>
        <v>1.7733333333333334</v>
      </c>
      <c r="T156" s="60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</row>
    <row r="157" spans="1:30" ht="15.75" customHeight="1">
      <c r="A157" s="47">
        <v>2</v>
      </c>
      <c r="B157" s="47">
        <v>5</v>
      </c>
      <c r="C157" s="47">
        <v>1</v>
      </c>
      <c r="D157" s="25" t="s">
        <v>181</v>
      </c>
      <c r="E157" s="25" t="s">
        <v>182</v>
      </c>
      <c r="F157" s="25" t="s">
        <v>31</v>
      </c>
      <c r="G157" s="49">
        <v>50782</v>
      </c>
      <c r="H157" s="51">
        <v>162</v>
      </c>
      <c r="I157" s="306">
        <v>0.87</v>
      </c>
      <c r="J157" s="306">
        <v>1.42</v>
      </c>
      <c r="K157" s="306">
        <v>1.72</v>
      </c>
      <c r="L157" s="306">
        <v>1.43</v>
      </c>
      <c r="M157" s="306">
        <v>1.26</v>
      </c>
      <c r="N157" s="254"/>
      <c r="O157" s="254"/>
      <c r="P157" s="254"/>
      <c r="Q157" s="254"/>
      <c r="R157" s="254"/>
      <c r="S157" s="62">
        <f t="shared" si="10"/>
        <v>1.3399999999999999</v>
      </c>
      <c r="T157" s="60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</row>
    <row r="158" spans="1:30" ht="15.75" customHeight="1">
      <c r="A158" s="47">
        <v>2</v>
      </c>
      <c r="B158" s="47">
        <v>5</v>
      </c>
      <c r="C158" s="47">
        <v>2</v>
      </c>
      <c r="D158" s="25" t="s">
        <v>56</v>
      </c>
      <c r="E158" s="25" t="s">
        <v>57</v>
      </c>
      <c r="F158" s="25" t="s">
        <v>68</v>
      </c>
      <c r="G158" s="49">
        <v>50664</v>
      </c>
      <c r="H158" s="51">
        <v>125</v>
      </c>
      <c r="I158" s="306">
        <v>0.88</v>
      </c>
      <c r="J158" s="306">
        <v>0.74</v>
      </c>
      <c r="K158" s="306">
        <v>1.1399999999999999</v>
      </c>
      <c r="L158" s="306">
        <v>0.59299999999999997</v>
      </c>
      <c r="M158" s="306">
        <v>1.1200000000000001</v>
      </c>
      <c r="N158" s="306">
        <v>0.873</v>
      </c>
      <c r="O158" s="254"/>
      <c r="P158" s="254"/>
      <c r="Q158" s="254"/>
      <c r="R158" s="254"/>
      <c r="S158" s="62">
        <f t="shared" si="10"/>
        <v>0.89100000000000001</v>
      </c>
      <c r="T158" s="60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</row>
    <row r="159" spans="1:30" ht="15.75" customHeight="1">
      <c r="A159" s="47">
        <v>2</v>
      </c>
      <c r="B159" s="47">
        <v>5</v>
      </c>
      <c r="C159" s="47">
        <v>3</v>
      </c>
      <c r="D159" s="25" t="s">
        <v>37</v>
      </c>
      <c r="E159" s="25" t="s">
        <v>38</v>
      </c>
      <c r="F159" s="25" t="s">
        <v>31</v>
      </c>
      <c r="G159" s="49">
        <v>50785</v>
      </c>
      <c r="H159" s="51">
        <v>128</v>
      </c>
      <c r="I159" s="306">
        <v>0.96</v>
      </c>
      <c r="J159" s="306">
        <v>1.1599999999999999</v>
      </c>
      <c r="K159" s="306">
        <v>1.51</v>
      </c>
      <c r="L159" s="306">
        <v>1.129</v>
      </c>
      <c r="M159" s="306">
        <v>1.1599999999999999</v>
      </c>
      <c r="N159" s="306">
        <v>1.21</v>
      </c>
      <c r="O159" s="306">
        <v>1</v>
      </c>
      <c r="P159" s="306">
        <v>1.17</v>
      </c>
      <c r="Q159" s="254"/>
      <c r="R159" s="254"/>
      <c r="S159" s="62">
        <f t="shared" si="10"/>
        <v>1.1623750000000002</v>
      </c>
      <c r="T159" s="60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</row>
    <row r="160" spans="1:30" ht="15.75" customHeight="1">
      <c r="A160" s="47">
        <v>2</v>
      </c>
      <c r="B160" s="47">
        <v>5</v>
      </c>
      <c r="C160" s="47">
        <v>4</v>
      </c>
      <c r="D160" s="25" t="s">
        <v>35</v>
      </c>
      <c r="E160" s="25" t="s">
        <v>36</v>
      </c>
      <c r="F160" s="25" t="s">
        <v>31</v>
      </c>
      <c r="G160" s="49">
        <v>50806</v>
      </c>
      <c r="H160" s="51">
        <v>284</v>
      </c>
      <c r="I160" s="306">
        <v>1.06</v>
      </c>
      <c r="J160" s="306">
        <v>1.1000000000000001</v>
      </c>
      <c r="K160" s="306">
        <v>1.73</v>
      </c>
      <c r="L160" s="306">
        <v>1.42</v>
      </c>
      <c r="M160" s="306">
        <v>1.55</v>
      </c>
      <c r="N160" s="306">
        <v>1.87</v>
      </c>
      <c r="O160" s="306">
        <v>1.34</v>
      </c>
      <c r="P160" s="306">
        <v>1.33</v>
      </c>
      <c r="Q160" s="306">
        <v>1.42</v>
      </c>
      <c r="R160" s="306">
        <v>1.86</v>
      </c>
      <c r="S160" s="62">
        <f t="shared" si="10"/>
        <v>1.468</v>
      </c>
      <c r="T160" s="60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</row>
    <row r="161" spans="1:30" ht="15.75" customHeight="1">
      <c r="A161" s="47">
        <v>2</v>
      </c>
      <c r="B161" s="47">
        <v>5</v>
      </c>
      <c r="C161" s="47">
        <v>4</v>
      </c>
      <c r="D161" s="25" t="s">
        <v>35</v>
      </c>
      <c r="E161" s="25" t="s">
        <v>36</v>
      </c>
      <c r="F161" s="25" t="s">
        <v>68</v>
      </c>
      <c r="G161" s="49">
        <v>50829</v>
      </c>
      <c r="H161" s="51">
        <v>418</v>
      </c>
      <c r="I161" s="306">
        <v>1.56</v>
      </c>
      <c r="J161" s="306">
        <v>1.05</v>
      </c>
      <c r="K161" s="306">
        <v>1.95</v>
      </c>
      <c r="L161" s="306">
        <v>1.6</v>
      </c>
      <c r="M161" s="306">
        <v>0.88</v>
      </c>
      <c r="N161" s="306">
        <v>1.36</v>
      </c>
      <c r="O161" s="306">
        <v>1.119</v>
      </c>
      <c r="P161" s="306">
        <v>0.75</v>
      </c>
      <c r="Q161" s="306" t="s">
        <v>80</v>
      </c>
      <c r="R161" s="306">
        <v>1.091</v>
      </c>
      <c r="S161" s="62">
        <f t="shared" si="10"/>
        <v>1.2622222222222221</v>
      </c>
      <c r="T161" s="60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</row>
    <row r="162" spans="1:30" ht="15.75" customHeight="1">
      <c r="A162" s="47">
        <v>2</v>
      </c>
      <c r="B162" s="47">
        <v>5</v>
      </c>
      <c r="C162" s="47">
        <v>5</v>
      </c>
      <c r="D162" s="25" t="s">
        <v>183</v>
      </c>
      <c r="E162" s="25" t="s">
        <v>184</v>
      </c>
      <c r="F162" s="25" t="s">
        <v>31</v>
      </c>
      <c r="G162" s="49">
        <v>50808</v>
      </c>
      <c r="H162" s="51">
        <v>363</v>
      </c>
      <c r="I162" s="306">
        <v>1.1719999999999999</v>
      </c>
      <c r="J162" s="306">
        <v>1.02</v>
      </c>
      <c r="K162" s="306">
        <v>1.07</v>
      </c>
      <c r="L162" s="306">
        <v>1.018</v>
      </c>
      <c r="M162" s="306">
        <v>1.3</v>
      </c>
      <c r="N162" s="306">
        <v>1.1200000000000001</v>
      </c>
      <c r="O162" s="306">
        <v>1.45</v>
      </c>
      <c r="P162" s="306">
        <v>1.1950000000000001</v>
      </c>
      <c r="Q162" s="306">
        <v>1.0509999999999999</v>
      </c>
      <c r="R162" s="306">
        <v>1.05</v>
      </c>
      <c r="S162" s="62">
        <f t="shared" si="10"/>
        <v>1.1446000000000001</v>
      </c>
      <c r="T162" s="60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</row>
    <row r="163" spans="1:30" ht="15.75" customHeight="1">
      <c r="A163" s="47">
        <v>2</v>
      </c>
      <c r="B163" s="47">
        <v>5</v>
      </c>
      <c r="C163" s="47">
        <v>5</v>
      </c>
      <c r="D163" s="25" t="s">
        <v>183</v>
      </c>
      <c r="E163" s="25" t="s">
        <v>184</v>
      </c>
      <c r="F163" s="25" t="s">
        <v>25</v>
      </c>
      <c r="G163" s="49">
        <v>50774</v>
      </c>
      <c r="H163" s="51">
        <v>2</v>
      </c>
      <c r="I163" s="306">
        <v>1.48</v>
      </c>
      <c r="J163" s="306">
        <v>1.1399999999999999</v>
      </c>
      <c r="K163" s="254"/>
      <c r="L163" s="254"/>
      <c r="M163" s="254"/>
      <c r="N163" s="254"/>
      <c r="O163" s="254"/>
      <c r="P163" s="254"/>
      <c r="Q163" s="254"/>
      <c r="R163" s="254"/>
      <c r="S163" s="62">
        <f t="shared" si="10"/>
        <v>1.31</v>
      </c>
      <c r="T163" s="60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</row>
    <row r="164" spans="1:30" ht="15.75" customHeight="1">
      <c r="A164" s="47">
        <v>2</v>
      </c>
      <c r="B164" s="47">
        <v>5</v>
      </c>
      <c r="C164" s="47">
        <v>6</v>
      </c>
      <c r="D164" s="25" t="s">
        <v>49</v>
      </c>
      <c r="E164" s="25" t="s">
        <v>50</v>
      </c>
      <c r="F164" s="25" t="s">
        <v>68</v>
      </c>
      <c r="G164" s="49">
        <v>50838</v>
      </c>
      <c r="H164" s="51">
        <v>1374</v>
      </c>
      <c r="I164" s="306">
        <v>0.55000000000000004</v>
      </c>
      <c r="J164" s="306">
        <v>0.53</v>
      </c>
      <c r="K164" s="306">
        <v>0.75</v>
      </c>
      <c r="L164" s="306">
        <v>0.74299999999999999</v>
      </c>
      <c r="M164" s="306">
        <v>0.57999999999999996</v>
      </c>
      <c r="N164" s="306">
        <v>0.87</v>
      </c>
      <c r="O164" s="306">
        <v>0.61</v>
      </c>
      <c r="P164" s="306">
        <v>0.83</v>
      </c>
      <c r="Q164" s="306">
        <v>0.4</v>
      </c>
      <c r="R164" s="306">
        <v>0.92400000000000004</v>
      </c>
      <c r="S164" s="62">
        <f t="shared" si="10"/>
        <v>0.67870000000000008</v>
      </c>
      <c r="T164" s="60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</row>
    <row r="165" spans="1:30" ht="15.75" customHeight="1">
      <c r="A165" s="47">
        <v>2</v>
      </c>
      <c r="B165" s="47">
        <v>5</v>
      </c>
      <c r="C165" s="47">
        <v>7</v>
      </c>
      <c r="D165" s="25" t="s">
        <v>185</v>
      </c>
      <c r="E165" s="25" t="s">
        <v>186</v>
      </c>
      <c r="F165" s="25" t="s">
        <v>31</v>
      </c>
      <c r="G165" s="49">
        <v>50844</v>
      </c>
      <c r="H165" s="51">
        <v>515</v>
      </c>
      <c r="I165" s="306">
        <v>0.6</v>
      </c>
      <c r="J165" s="306">
        <v>0.86</v>
      </c>
      <c r="K165" s="306">
        <v>1.25</v>
      </c>
      <c r="L165" s="306">
        <v>0.61</v>
      </c>
      <c r="M165" s="306">
        <v>1.18</v>
      </c>
      <c r="N165" s="306">
        <v>1.02</v>
      </c>
      <c r="O165" s="306">
        <v>1.22</v>
      </c>
      <c r="P165" s="306">
        <v>0.8</v>
      </c>
      <c r="Q165" s="306">
        <v>0.56999999999999995</v>
      </c>
      <c r="R165" s="306"/>
      <c r="S165" s="62">
        <f t="shared" si="10"/>
        <v>0.90111111111111108</v>
      </c>
      <c r="T165" s="60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</row>
    <row r="166" spans="1:30" ht="15.75" customHeight="1">
      <c r="A166" s="47">
        <v>2</v>
      </c>
      <c r="B166" s="47">
        <v>5</v>
      </c>
      <c r="C166" s="47">
        <v>8</v>
      </c>
      <c r="D166" s="25" t="s">
        <v>187</v>
      </c>
      <c r="E166" s="25" t="s">
        <v>188</v>
      </c>
      <c r="F166" s="25" t="s">
        <v>68</v>
      </c>
      <c r="G166" s="49">
        <v>50881</v>
      </c>
      <c r="H166" s="51">
        <v>738</v>
      </c>
      <c r="I166" s="306">
        <v>0.6</v>
      </c>
      <c r="J166" s="306">
        <v>0.36</v>
      </c>
      <c r="K166" s="306">
        <v>0.46</v>
      </c>
      <c r="L166" s="306">
        <v>0.48</v>
      </c>
      <c r="M166" s="306">
        <v>0.64</v>
      </c>
      <c r="N166" s="306">
        <v>0.46</v>
      </c>
      <c r="O166" s="306"/>
      <c r="P166" s="306">
        <v>0.37</v>
      </c>
      <c r="Q166" s="306">
        <v>0.3</v>
      </c>
      <c r="R166" s="306">
        <v>0.15</v>
      </c>
      <c r="S166" s="62">
        <f t="shared" si="10"/>
        <v>0.4244444444444444</v>
      </c>
      <c r="T166" s="60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</row>
    <row r="167" spans="1:30" ht="15.75" customHeight="1">
      <c r="A167" s="47">
        <v>2</v>
      </c>
      <c r="B167" s="47">
        <v>5</v>
      </c>
      <c r="C167" s="47">
        <v>8</v>
      </c>
      <c r="D167" s="25" t="s">
        <v>102</v>
      </c>
      <c r="E167" s="25" t="s">
        <v>103</v>
      </c>
      <c r="F167" s="25" t="s">
        <v>68</v>
      </c>
      <c r="G167" s="49">
        <v>50882</v>
      </c>
      <c r="H167" s="51">
        <v>549</v>
      </c>
      <c r="I167" s="306">
        <v>0.37</v>
      </c>
      <c r="J167" s="306">
        <v>0.2</v>
      </c>
      <c r="K167" s="306">
        <v>0.18</v>
      </c>
      <c r="L167" s="306">
        <v>0.28000000000000003</v>
      </c>
      <c r="M167" s="306">
        <v>0.42</v>
      </c>
      <c r="N167" s="306">
        <v>0.4</v>
      </c>
      <c r="O167" s="306">
        <v>0.24</v>
      </c>
      <c r="P167" s="306">
        <v>0.33</v>
      </c>
      <c r="Q167" s="306">
        <v>0.26</v>
      </c>
      <c r="R167" s="254"/>
      <c r="S167" s="62">
        <f t="shared" si="10"/>
        <v>0.29777777777777775</v>
      </c>
      <c r="T167" s="60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</row>
    <row r="168" spans="1:30" ht="15.75" customHeight="1">
      <c r="A168" s="47">
        <v>2</v>
      </c>
      <c r="B168" s="47">
        <v>5</v>
      </c>
      <c r="C168" s="47">
        <v>9</v>
      </c>
      <c r="D168" s="25" t="s">
        <v>189</v>
      </c>
      <c r="E168" s="25" t="s">
        <v>190</v>
      </c>
      <c r="F168" s="25" t="s">
        <v>31</v>
      </c>
      <c r="G168" s="49">
        <v>50798</v>
      </c>
      <c r="H168" s="51">
        <v>182</v>
      </c>
      <c r="I168" s="306">
        <v>0.85</v>
      </c>
      <c r="J168" s="306">
        <v>1.03</v>
      </c>
      <c r="K168" s="306">
        <v>0.87</v>
      </c>
      <c r="L168" s="306">
        <v>0.9</v>
      </c>
      <c r="M168" s="306">
        <v>0.94</v>
      </c>
      <c r="N168" s="306">
        <v>0.61</v>
      </c>
      <c r="O168" s="254"/>
      <c r="P168" s="254"/>
      <c r="Q168" s="254"/>
      <c r="R168" s="254"/>
      <c r="S168" s="62">
        <f t="shared" si="10"/>
        <v>0.8666666666666667</v>
      </c>
      <c r="T168" s="60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</row>
    <row r="169" spans="1:30" ht="15.75" customHeight="1">
      <c r="A169" s="47">
        <v>2</v>
      </c>
      <c r="B169" s="47">
        <v>5</v>
      </c>
      <c r="C169" s="47">
        <v>9</v>
      </c>
      <c r="D169" s="25" t="s">
        <v>189</v>
      </c>
      <c r="E169" s="25" t="s">
        <v>190</v>
      </c>
      <c r="F169" s="25" t="s">
        <v>31</v>
      </c>
      <c r="G169" s="49">
        <v>50856</v>
      </c>
      <c r="H169" s="51">
        <v>162</v>
      </c>
      <c r="I169" s="306">
        <v>0.93</v>
      </c>
      <c r="J169" s="306">
        <v>0.86</v>
      </c>
      <c r="K169" s="306">
        <v>0.83</v>
      </c>
      <c r="L169" s="306">
        <v>0.75</v>
      </c>
      <c r="M169" s="306">
        <v>0.65</v>
      </c>
      <c r="N169" s="306">
        <v>0.65</v>
      </c>
      <c r="O169" s="254"/>
      <c r="P169" s="254"/>
      <c r="Q169" s="254"/>
      <c r="R169" s="254"/>
      <c r="S169" s="62">
        <f t="shared" si="10"/>
        <v>0.77833333333333343</v>
      </c>
      <c r="T169" s="60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</row>
    <row r="170" spans="1:30" ht="15.75" customHeight="1">
      <c r="A170" s="47">
        <v>2</v>
      </c>
      <c r="B170" s="47">
        <v>5</v>
      </c>
      <c r="C170" s="47">
        <v>9</v>
      </c>
      <c r="D170" s="25" t="s">
        <v>189</v>
      </c>
      <c r="E170" s="25" t="s">
        <v>190</v>
      </c>
      <c r="F170" s="25" t="s">
        <v>68</v>
      </c>
      <c r="G170" s="49">
        <v>50698</v>
      </c>
      <c r="H170" s="51">
        <v>87</v>
      </c>
      <c r="I170" s="306">
        <v>0.8</v>
      </c>
      <c r="J170" s="306">
        <v>0.59</v>
      </c>
      <c r="K170" s="306">
        <v>1.05</v>
      </c>
      <c r="L170" s="306">
        <v>0.64</v>
      </c>
      <c r="M170" s="306">
        <v>0.67</v>
      </c>
      <c r="N170" s="254"/>
      <c r="O170" s="254"/>
      <c r="P170" s="254"/>
      <c r="Q170" s="254"/>
      <c r="R170" s="254"/>
      <c r="S170" s="62">
        <f t="shared" si="10"/>
        <v>0.75000000000000011</v>
      </c>
      <c r="T170" s="60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</row>
    <row r="171" spans="1:30" ht="15.75" customHeight="1">
      <c r="A171" s="63">
        <v>2</v>
      </c>
      <c r="B171" s="63">
        <v>5</v>
      </c>
      <c r="C171" s="63">
        <v>10</v>
      </c>
      <c r="D171" s="38" t="s">
        <v>112</v>
      </c>
      <c r="E171" s="38" t="s">
        <v>113</v>
      </c>
      <c r="F171" s="38" t="s">
        <v>31</v>
      </c>
      <c r="G171" s="64">
        <v>50538</v>
      </c>
      <c r="H171" s="173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2"/>
      <c r="T171" s="67" t="s">
        <v>43</v>
      </c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</row>
    <row r="172" spans="1:30" ht="15.75" customHeight="1">
      <c r="A172" s="47">
        <v>2</v>
      </c>
      <c r="B172" s="47">
        <v>5</v>
      </c>
      <c r="C172" s="47">
        <v>10</v>
      </c>
      <c r="D172" s="25" t="s">
        <v>191</v>
      </c>
      <c r="E172" s="25" t="s">
        <v>192</v>
      </c>
      <c r="F172" s="25" t="s">
        <v>68</v>
      </c>
      <c r="G172" s="49">
        <v>50837</v>
      </c>
      <c r="H172" s="51">
        <v>330</v>
      </c>
      <c r="I172" s="306">
        <v>0.57999999999999996</v>
      </c>
      <c r="J172" s="306">
        <v>0.59</v>
      </c>
      <c r="K172" s="306">
        <v>0.44</v>
      </c>
      <c r="L172" s="306">
        <v>0.62</v>
      </c>
      <c r="M172" s="306">
        <v>0.55000000000000004</v>
      </c>
      <c r="N172" s="306">
        <v>0.55000000000000004</v>
      </c>
      <c r="O172" s="306">
        <v>0.55000000000000004</v>
      </c>
      <c r="P172" s="306">
        <v>0.71</v>
      </c>
      <c r="Q172" s="306">
        <v>0.53</v>
      </c>
      <c r="R172" s="306">
        <v>0.64</v>
      </c>
      <c r="S172" s="62">
        <f t="shared" ref="S172:S185" si="11">AVERAGE(I172:R172)</f>
        <v>0.57599999999999996</v>
      </c>
      <c r="T172" s="60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</row>
    <row r="173" spans="1:30" ht="15.75" customHeight="1">
      <c r="A173" s="159">
        <v>2</v>
      </c>
      <c r="B173" s="159">
        <v>5</v>
      </c>
      <c r="C173" s="159">
        <v>12</v>
      </c>
      <c r="D173" s="153" t="s">
        <v>49</v>
      </c>
      <c r="E173" s="153" t="s">
        <v>50</v>
      </c>
      <c r="F173" s="153" t="s">
        <v>31</v>
      </c>
      <c r="G173" s="161">
        <v>50566</v>
      </c>
      <c r="H173" s="162">
        <v>90</v>
      </c>
      <c r="I173" s="319">
        <v>1.1599999999999999</v>
      </c>
      <c r="J173" s="320"/>
      <c r="K173" s="320"/>
      <c r="L173" s="320"/>
      <c r="M173" s="320"/>
      <c r="N173" s="320"/>
      <c r="O173" s="320"/>
      <c r="P173" s="320"/>
      <c r="Q173" s="320"/>
      <c r="R173" s="320"/>
      <c r="S173" s="62">
        <f t="shared" si="11"/>
        <v>1.1599999999999999</v>
      </c>
      <c r="T173" s="163" t="s">
        <v>193</v>
      </c>
      <c r="U173" s="271"/>
      <c r="V173" s="271"/>
      <c r="W173" s="271"/>
      <c r="X173" s="271"/>
      <c r="Y173" s="271"/>
      <c r="Z173" s="271"/>
      <c r="AA173" s="271"/>
      <c r="AB173" s="271"/>
      <c r="AC173" s="271"/>
      <c r="AD173" s="271"/>
    </row>
    <row r="174" spans="1:30" ht="15.75" customHeight="1">
      <c r="A174" s="47">
        <v>2</v>
      </c>
      <c r="B174" s="47">
        <v>5</v>
      </c>
      <c r="C174" s="47">
        <v>12</v>
      </c>
      <c r="D174" s="25" t="s">
        <v>49</v>
      </c>
      <c r="E174" s="25" t="s">
        <v>50</v>
      </c>
      <c r="F174" s="25" t="s">
        <v>34</v>
      </c>
      <c r="G174" s="49">
        <v>50476</v>
      </c>
      <c r="H174" s="51">
        <v>192</v>
      </c>
      <c r="I174" s="306">
        <v>1.81</v>
      </c>
      <c r="J174" s="306">
        <v>0.56999999999999995</v>
      </c>
      <c r="K174" s="306">
        <v>0.85</v>
      </c>
      <c r="L174" s="306">
        <v>1.1160000000000001</v>
      </c>
      <c r="M174" s="306">
        <v>1.198</v>
      </c>
      <c r="N174" s="306">
        <v>1.4</v>
      </c>
      <c r="O174" s="306">
        <v>0.64600000000000002</v>
      </c>
      <c r="P174" s="306">
        <v>0.54</v>
      </c>
      <c r="Q174" s="254"/>
      <c r="R174" s="254"/>
      <c r="S174" s="62">
        <f t="shared" si="11"/>
        <v>1.0162500000000001</v>
      </c>
      <c r="T174" s="60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</row>
    <row r="175" spans="1:30" ht="15.75" customHeight="1">
      <c r="A175" s="47">
        <v>2</v>
      </c>
      <c r="B175" s="47">
        <v>5</v>
      </c>
      <c r="C175" s="47">
        <v>12</v>
      </c>
      <c r="D175" s="25" t="s">
        <v>49</v>
      </c>
      <c r="E175" s="25" t="s">
        <v>194</v>
      </c>
      <c r="F175" s="25" t="s">
        <v>34</v>
      </c>
      <c r="G175" s="49">
        <v>50634</v>
      </c>
      <c r="H175" s="51">
        <v>74</v>
      </c>
      <c r="I175" s="306"/>
      <c r="J175" s="306">
        <v>0.6</v>
      </c>
      <c r="K175" s="254"/>
      <c r="L175" s="254"/>
      <c r="M175" s="254"/>
      <c r="N175" s="254"/>
      <c r="O175" s="254"/>
      <c r="P175" s="254"/>
      <c r="Q175" s="254"/>
      <c r="R175" s="254"/>
      <c r="S175" s="62">
        <f t="shared" si="11"/>
        <v>0.6</v>
      </c>
      <c r="T175" s="60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</row>
    <row r="176" spans="1:30" ht="15.75" customHeight="1">
      <c r="A176" s="47">
        <v>2</v>
      </c>
      <c r="B176" s="47">
        <v>5</v>
      </c>
      <c r="C176" s="47">
        <v>12</v>
      </c>
      <c r="D176" s="25" t="s">
        <v>49</v>
      </c>
      <c r="E176" s="25" t="s">
        <v>50</v>
      </c>
      <c r="F176" s="25" t="s">
        <v>68</v>
      </c>
      <c r="G176" s="49">
        <v>50633</v>
      </c>
      <c r="H176" s="51">
        <v>158</v>
      </c>
      <c r="I176" s="306">
        <v>0.6</v>
      </c>
      <c r="J176" s="306">
        <v>0.56000000000000005</v>
      </c>
      <c r="K176" s="306">
        <v>0.43</v>
      </c>
      <c r="L176" s="306">
        <v>0.8</v>
      </c>
      <c r="M176" s="306">
        <v>0.56000000000000005</v>
      </c>
      <c r="N176" s="306">
        <v>0.82</v>
      </c>
      <c r="O176" s="254"/>
      <c r="P176" s="254"/>
      <c r="Q176" s="254"/>
      <c r="R176" s="254"/>
      <c r="S176" s="62">
        <f t="shared" si="11"/>
        <v>0.6283333333333333</v>
      </c>
      <c r="T176" s="60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</row>
    <row r="177" spans="1:30" ht="15.75" customHeight="1">
      <c r="A177" s="47">
        <v>2</v>
      </c>
      <c r="B177" s="47">
        <v>5</v>
      </c>
      <c r="C177" s="47">
        <v>13</v>
      </c>
      <c r="D177" s="25" t="s">
        <v>37</v>
      </c>
      <c r="E177" s="25" t="s">
        <v>38</v>
      </c>
      <c r="F177" s="25" t="s">
        <v>25</v>
      </c>
      <c r="G177" s="49">
        <v>50342</v>
      </c>
      <c r="H177" s="51">
        <v>3</v>
      </c>
      <c r="I177" s="306">
        <v>1.34</v>
      </c>
      <c r="J177" s="254"/>
      <c r="K177" s="254"/>
      <c r="L177" s="254"/>
      <c r="M177" s="254"/>
      <c r="N177" s="254"/>
      <c r="O177" s="254"/>
      <c r="P177" s="254"/>
      <c r="Q177" s="254"/>
      <c r="R177" s="254"/>
      <c r="S177" s="62">
        <f t="shared" si="11"/>
        <v>1.34</v>
      </c>
      <c r="T177" s="60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</row>
    <row r="178" spans="1:30" ht="15.75" customHeight="1">
      <c r="A178" s="47">
        <v>2</v>
      </c>
      <c r="B178" s="47">
        <v>5</v>
      </c>
      <c r="C178" s="47">
        <v>13</v>
      </c>
      <c r="D178" s="25" t="s">
        <v>37</v>
      </c>
      <c r="E178" s="25" t="s">
        <v>38</v>
      </c>
      <c r="F178" s="25" t="s">
        <v>31</v>
      </c>
      <c r="G178" s="49">
        <v>50785</v>
      </c>
      <c r="H178" s="51">
        <v>131</v>
      </c>
      <c r="I178" s="306">
        <v>1.35</v>
      </c>
      <c r="J178" s="306">
        <v>0.95</v>
      </c>
      <c r="K178" s="306">
        <v>0.93</v>
      </c>
      <c r="L178" s="306">
        <v>1.1299999999999999</v>
      </c>
      <c r="M178" s="306">
        <v>0.95</v>
      </c>
      <c r="N178" s="254"/>
      <c r="O178" s="254"/>
      <c r="P178" s="254"/>
      <c r="Q178" s="254"/>
      <c r="R178" s="254"/>
      <c r="S178" s="62">
        <f t="shared" si="11"/>
        <v>1.0619999999999998</v>
      </c>
      <c r="T178" s="60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</row>
    <row r="179" spans="1:30" ht="15.75" customHeight="1">
      <c r="A179" s="47">
        <v>2</v>
      </c>
      <c r="B179" s="47">
        <v>5</v>
      </c>
      <c r="C179" s="47">
        <v>13</v>
      </c>
      <c r="D179" s="25" t="s">
        <v>37</v>
      </c>
      <c r="E179" s="25" t="s">
        <v>38</v>
      </c>
      <c r="F179" s="25" t="s">
        <v>25</v>
      </c>
      <c r="G179" s="49">
        <v>50694</v>
      </c>
      <c r="H179" s="51">
        <v>161</v>
      </c>
      <c r="I179" s="306">
        <v>1.34</v>
      </c>
      <c r="J179" s="306">
        <v>0.78</v>
      </c>
      <c r="K179" s="306">
        <v>1.39</v>
      </c>
      <c r="L179" s="254"/>
      <c r="M179" s="254"/>
      <c r="N179" s="254"/>
      <c r="O179" s="254"/>
      <c r="P179" s="254"/>
      <c r="Q179" s="254"/>
      <c r="R179" s="254"/>
      <c r="S179" s="62">
        <f t="shared" si="11"/>
        <v>1.17</v>
      </c>
      <c r="T179" s="60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</row>
    <row r="180" spans="1:30" ht="15.75" customHeight="1">
      <c r="A180" s="47">
        <v>2</v>
      </c>
      <c r="B180" s="47">
        <v>5</v>
      </c>
      <c r="C180" s="47">
        <v>13</v>
      </c>
      <c r="D180" s="25" t="s">
        <v>37</v>
      </c>
      <c r="E180" s="25" t="s">
        <v>38</v>
      </c>
      <c r="F180" s="25" t="s">
        <v>68</v>
      </c>
      <c r="G180" s="49">
        <v>50600</v>
      </c>
      <c r="H180" s="51">
        <v>36</v>
      </c>
      <c r="I180" s="306">
        <v>0.97</v>
      </c>
      <c r="J180" s="254"/>
      <c r="K180" s="254"/>
      <c r="L180" s="254"/>
      <c r="M180" s="254"/>
      <c r="N180" s="254"/>
      <c r="O180" s="254"/>
      <c r="P180" s="254"/>
      <c r="Q180" s="254"/>
      <c r="R180" s="254"/>
      <c r="S180" s="62">
        <f t="shared" si="11"/>
        <v>0.97</v>
      </c>
      <c r="T180" s="60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</row>
    <row r="181" spans="1:30" ht="15.75" customHeight="1">
      <c r="A181" s="47">
        <v>2</v>
      </c>
      <c r="B181" s="47">
        <v>5</v>
      </c>
      <c r="C181" s="47">
        <v>13</v>
      </c>
      <c r="D181" s="25" t="s">
        <v>37</v>
      </c>
      <c r="E181" s="25" t="s">
        <v>38</v>
      </c>
      <c r="F181" s="25" t="s">
        <v>34</v>
      </c>
      <c r="G181" s="49">
        <v>50663</v>
      </c>
      <c r="H181" s="51">
        <v>14</v>
      </c>
      <c r="I181" s="306">
        <v>0.64</v>
      </c>
      <c r="J181" s="254"/>
      <c r="K181" s="254"/>
      <c r="L181" s="254"/>
      <c r="M181" s="254"/>
      <c r="N181" s="254"/>
      <c r="O181" s="254"/>
      <c r="P181" s="254"/>
      <c r="Q181" s="254"/>
      <c r="R181" s="254"/>
      <c r="S181" s="62">
        <f t="shared" si="11"/>
        <v>0.64</v>
      </c>
      <c r="T181" s="60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</row>
    <row r="182" spans="1:30" ht="15.75" customHeight="1">
      <c r="A182" s="47">
        <v>2</v>
      </c>
      <c r="B182" s="47">
        <v>5</v>
      </c>
      <c r="C182" s="47">
        <v>13</v>
      </c>
      <c r="D182" s="25" t="s">
        <v>37</v>
      </c>
      <c r="E182" s="25" t="s">
        <v>38</v>
      </c>
      <c r="F182" s="25" t="s">
        <v>68</v>
      </c>
      <c r="G182" s="49">
        <v>50696</v>
      </c>
      <c r="H182" s="51">
        <v>45</v>
      </c>
      <c r="I182" s="306">
        <v>1.07</v>
      </c>
      <c r="J182" s="254"/>
      <c r="K182" s="254"/>
      <c r="L182" s="254"/>
      <c r="M182" s="254"/>
      <c r="N182" s="254"/>
      <c r="O182" s="254"/>
      <c r="P182" s="254"/>
      <c r="Q182" s="254"/>
      <c r="R182" s="254"/>
      <c r="S182" s="62">
        <f t="shared" si="11"/>
        <v>1.07</v>
      </c>
      <c r="T182" s="60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</row>
    <row r="183" spans="1:30" ht="15.75" customHeight="1">
      <c r="A183" s="47">
        <v>2</v>
      </c>
      <c r="B183" s="47">
        <v>6</v>
      </c>
      <c r="C183" s="47">
        <v>1</v>
      </c>
      <c r="D183" s="25" t="s">
        <v>195</v>
      </c>
      <c r="E183" s="25" t="s">
        <v>196</v>
      </c>
      <c r="F183" s="25" t="s">
        <v>34</v>
      </c>
      <c r="G183" s="49">
        <v>50703</v>
      </c>
      <c r="H183" s="51">
        <v>190</v>
      </c>
      <c r="I183" s="306">
        <v>1.2330000000000001</v>
      </c>
      <c r="J183" s="306">
        <v>1.22</v>
      </c>
      <c r="K183" s="306">
        <v>1.54</v>
      </c>
      <c r="L183" s="306">
        <v>1.64</v>
      </c>
      <c r="M183" s="306">
        <v>1.67</v>
      </c>
      <c r="N183" s="306">
        <v>1.54</v>
      </c>
      <c r="O183" s="306">
        <v>1.048</v>
      </c>
      <c r="P183" s="254"/>
      <c r="Q183" s="254"/>
      <c r="R183" s="254"/>
      <c r="S183" s="62">
        <f t="shared" si="11"/>
        <v>1.413</v>
      </c>
      <c r="T183" s="60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</row>
    <row r="184" spans="1:30" ht="15.75" customHeight="1">
      <c r="A184" s="47">
        <v>2</v>
      </c>
      <c r="B184" s="47">
        <v>6</v>
      </c>
      <c r="C184" s="47">
        <v>2</v>
      </c>
      <c r="D184" s="25" t="s">
        <v>197</v>
      </c>
      <c r="E184" s="25" t="s">
        <v>198</v>
      </c>
      <c r="F184" s="25" t="s">
        <v>25</v>
      </c>
      <c r="G184" s="49">
        <v>50771</v>
      </c>
      <c r="H184" s="51">
        <v>9</v>
      </c>
      <c r="I184" s="306">
        <v>1.27</v>
      </c>
      <c r="J184" s="254"/>
      <c r="K184" s="254"/>
      <c r="L184" s="254"/>
      <c r="M184" s="254"/>
      <c r="N184" s="254"/>
      <c r="O184" s="254"/>
      <c r="P184" s="254"/>
      <c r="Q184" s="254"/>
      <c r="R184" s="254"/>
      <c r="S184" s="62">
        <f t="shared" si="11"/>
        <v>1.27</v>
      </c>
      <c r="T184" s="60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</row>
    <row r="185" spans="1:30" ht="15.75" customHeight="1">
      <c r="A185" s="47">
        <v>2</v>
      </c>
      <c r="B185" s="47">
        <v>6</v>
      </c>
      <c r="C185" s="47">
        <v>2</v>
      </c>
      <c r="D185" s="25" t="s">
        <v>37</v>
      </c>
      <c r="E185" s="25" t="s">
        <v>38</v>
      </c>
      <c r="F185" s="25" t="s">
        <v>34</v>
      </c>
      <c r="G185" s="49">
        <v>50622</v>
      </c>
      <c r="H185" s="51">
        <v>47</v>
      </c>
      <c r="I185" s="306">
        <v>0.69</v>
      </c>
      <c r="J185" s="254"/>
      <c r="K185" s="254"/>
      <c r="L185" s="254"/>
      <c r="M185" s="254"/>
      <c r="N185" s="254"/>
      <c r="O185" s="254"/>
      <c r="P185" s="254"/>
      <c r="Q185" s="254"/>
      <c r="R185" s="254"/>
      <c r="S185" s="62">
        <f t="shared" si="11"/>
        <v>0.69</v>
      </c>
      <c r="T185" s="60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</row>
    <row r="186" spans="1:30" ht="15.75" customHeight="1">
      <c r="A186" s="71">
        <v>2</v>
      </c>
      <c r="B186" s="71">
        <v>6</v>
      </c>
      <c r="C186" s="71">
        <v>2</v>
      </c>
      <c r="D186" s="53" t="s">
        <v>37</v>
      </c>
      <c r="E186" s="53" t="s">
        <v>38</v>
      </c>
      <c r="F186" s="53" t="s">
        <v>25</v>
      </c>
      <c r="G186" s="73">
        <v>50694</v>
      </c>
      <c r="H186" s="74">
        <v>81</v>
      </c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62"/>
      <c r="T186" s="79" t="s">
        <v>55</v>
      </c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</row>
    <row r="187" spans="1:30" ht="15.75" customHeight="1">
      <c r="A187" s="71">
        <v>2</v>
      </c>
      <c r="B187" s="71">
        <v>6</v>
      </c>
      <c r="C187" s="71">
        <v>2</v>
      </c>
      <c r="D187" s="53" t="s">
        <v>199</v>
      </c>
      <c r="E187" s="53" t="s">
        <v>200</v>
      </c>
      <c r="F187" s="53" t="s">
        <v>34</v>
      </c>
      <c r="G187" s="73">
        <v>50603</v>
      </c>
      <c r="H187" s="74">
        <v>65</v>
      </c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62"/>
      <c r="T187" s="79" t="s">
        <v>55</v>
      </c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</row>
    <row r="188" spans="1:30" ht="15.75" customHeight="1">
      <c r="A188" s="71">
        <v>2</v>
      </c>
      <c r="B188" s="71">
        <v>6</v>
      </c>
      <c r="C188" s="71">
        <v>2</v>
      </c>
      <c r="D188" s="53" t="s">
        <v>199</v>
      </c>
      <c r="E188" s="53" t="s">
        <v>200</v>
      </c>
      <c r="F188" s="53" t="s">
        <v>34</v>
      </c>
      <c r="G188" s="73">
        <v>50656</v>
      </c>
      <c r="H188" s="74">
        <v>23</v>
      </c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62"/>
      <c r="T188" s="79" t="s">
        <v>55</v>
      </c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</row>
    <row r="189" spans="1:30" ht="15.75" customHeight="1">
      <c r="A189" s="47">
        <v>2</v>
      </c>
      <c r="B189" s="47">
        <v>6</v>
      </c>
      <c r="C189" s="47">
        <v>3</v>
      </c>
      <c r="D189" s="25" t="s">
        <v>201</v>
      </c>
      <c r="E189" s="25" t="s">
        <v>202</v>
      </c>
      <c r="F189" s="25" t="s">
        <v>34</v>
      </c>
      <c r="G189" s="49">
        <v>50601</v>
      </c>
      <c r="H189" s="51">
        <v>146</v>
      </c>
      <c r="I189" s="306">
        <v>0.97</v>
      </c>
      <c r="J189" s="306">
        <v>1.06</v>
      </c>
      <c r="K189" s="306">
        <v>1.43</v>
      </c>
      <c r="L189" s="306">
        <v>1.26</v>
      </c>
      <c r="M189" s="306">
        <v>1.34</v>
      </c>
      <c r="N189" s="306">
        <v>0.83</v>
      </c>
      <c r="O189" s="254"/>
      <c r="P189" s="254"/>
      <c r="Q189" s="254"/>
      <c r="R189" s="254"/>
      <c r="S189" s="62">
        <f t="shared" ref="S189:S199" si="12">AVERAGE(I189:R189)</f>
        <v>1.1483333333333332</v>
      </c>
      <c r="T189" s="60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</row>
    <row r="190" spans="1:30" ht="15.75" customHeight="1">
      <c r="A190" s="47">
        <v>2</v>
      </c>
      <c r="B190" s="47">
        <v>6</v>
      </c>
      <c r="C190" s="47">
        <v>3</v>
      </c>
      <c r="D190" s="25" t="s">
        <v>201</v>
      </c>
      <c r="E190" s="25" t="s">
        <v>202</v>
      </c>
      <c r="F190" s="25" t="s">
        <v>25</v>
      </c>
      <c r="G190" s="49">
        <v>50525</v>
      </c>
      <c r="H190" s="51">
        <v>42</v>
      </c>
      <c r="I190" s="306">
        <v>1.1100000000000001</v>
      </c>
      <c r="J190" s="306">
        <v>0.94</v>
      </c>
      <c r="K190" s="254"/>
      <c r="L190" s="254"/>
      <c r="M190" s="254"/>
      <c r="N190" s="254"/>
      <c r="O190" s="254"/>
      <c r="P190" s="254"/>
      <c r="Q190" s="254"/>
      <c r="R190" s="254"/>
      <c r="S190" s="62">
        <f t="shared" si="12"/>
        <v>1.0249999999999999</v>
      </c>
      <c r="T190" s="60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</row>
    <row r="191" spans="1:30" ht="15.75" customHeight="1">
      <c r="A191" s="47">
        <v>2</v>
      </c>
      <c r="B191" s="47">
        <v>6</v>
      </c>
      <c r="C191" s="47">
        <v>3</v>
      </c>
      <c r="D191" s="25" t="s">
        <v>199</v>
      </c>
      <c r="E191" s="25" t="s">
        <v>200</v>
      </c>
      <c r="F191" s="25" t="s">
        <v>34</v>
      </c>
      <c r="G191" s="49">
        <v>50603</v>
      </c>
      <c r="H191" s="51">
        <v>32</v>
      </c>
      <c r="I191" s="306">
        <v>1.83</v>
      </c>
      <c r="J191" s="306">
        <v>1.85</v>
      </c>
      <c r="K191" s="254"/>
      <c r="L191" s="254"/>
      <c r="M191" s="254"/>
      <c r="N191" s="254"/>
      <c r="O191" s="254"/>
      <c r="P191" s="254"/>
      <c r="Q191" s="254"/>
      <c r="R191" s="254"/>
      <c r="S191" s="62">
        <f t="shared" si="12"/>
        <v>1.84</v>
      </c>
      <c r="T191" s="60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</row>
    <row r="192" spans="1:30" ht="15.75" customHeight="1">
      <c r="A192" s="47">
        <v>2</v>
      </c>
      <c r="B192" s="47">
        <v>6</v>
      </c>
      <c r="C192" s="47">
        <v>4</v>
      </c>
      <c r="D192" s="25" t="s">
        <v>203</v>
      </c>
      <c r="E192" s="25" t="s">
        <v>204</v>
      </c>
      <c r="F192" s="25" t="s">
        <v>68</v>
      </c>
      <c r="G192" s="49">
        <v>50835</v>
      </c>
      <c r="H192" s="51">
        <v>580</v>
      </c>
      <c r="I192" s="306">
        <v>1.31</v>
      </c>
      <c r="J192" s="306">
        <v>0.98</v>
      </c>
      <c r="K192" s="306">
        <v>0.85</v>
      </c>
      <c r="L192" s="306">
        <v>0.94</v>
      </c>
      <c r="M192" s="306">
        <v>0.8</v>
      </c>
      <c r="N192" s="306">
        <v>0.94</v>
      </c>
      <c r="O192" s="306">
        <v>0.91500000000000004</v>
      </c>
      <c r="P192" s="306">
        <v>0.63</v>
      </c>
      <c r="Q192" s="306">
        <v>0.9</v>
      </c>
      <c r="R192" s="306">
        <v>0.85799999999999998</v>
      </c>
      <c r="S192" s="62">
        <f t="shared" si="12"/>
        <v>0.91230000000000011</v>
      </c>
      <c r="T192" s="60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</row>
    <row r="193" spans="1:30" ht="15.75" customHeight="1">
      <c r="A193" s="47">
        <v>2</v>
      </c>
      <c r="B193" s="47">
        <v>6</v>
      </c>
      <c r="C193" s="47">
        <v>5</v>
      </c>
      <c r="D193" s="25" t="s">
        <v>203</v>
      </c>
      <c r="E193" s="25" t="s">
        <v>204</v>
      </c>
      <c r="F193" s="25" t="s">
        <v>68</v>
      </c>
      <c r="G193" s="49">
        <v>50835</v>
      </c>
      <c r="H193" s="51">
        <v>308</v>
      </c>
      <c r="I193" s="306">
        <v>0.82</v>
      </c>
      <c r="J193" s="306">
        <v>0.98</v>
      </c>
      <c r="K193" s="306">
        <v>0.92</v>
      </c>
      <c r="L193" s="306">
        <v>0.8</v>
      </c>
      <c r="M193" s="306">
        <v>0.50600000000000001</v>
      </c>
      <c r="N193" s="306">
        <v>0.66</v>
      </c>
      <c r="O193" s="306">
        <v>0.66100000000000003</v>
      </c>
      <c r="P193" s="306">
        <v>0.81</v>
      </c>
      <c r="Q193" s="254"/>
      <c r="R193" s="254"/>
      <c r="S193" s="62">
        <f t="shared" si="12"/>
        <v>0.769625</v>
      </c>
      <c r="T193" s="60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</row>
    <row r="194" spans="1:30" ht="15.75" customHeight="1">
      <c r="A194" s="47">
        <v>2</v>
      </c>
      <c r="B194" s="47">
        <v>6</v>
      </c>
      <c r="C194" s="47">
        <v>5</v>
      </c>
      <c r="D194" s="25" t="s">
        <v>167</v>
      </c>
      <c r="E194" s="25" t="s">
        <v>168</v>
      </c>
      <c r="F194" s="25" t="s">
        <v>25</v>
      </c>
      <c r="G194" s="49">
        <v>50744</v>
      </c>
      <c r="H194" s="51">
        <v>1</v>
      </c>
      <c r="I194" s="62">
        <v>1.78</v>
      </c>
      <c r="J194" s="254"/>
      <c r="K194" s="254"/>
      <c r="L194" s="254"/>
      <c r="M194" s="254"/>
      <c r="N194" s="254"/>
      <c r="O194" s="254"/>
      <c r="P194" s="254"/>
      <c r="Q194" s="254"/>
      <c r="R194" s="254"/>
      <c r="S194" s="62">
        <f t="shared" si="12"/>
        <v>1.78</v>
      </c>
      <c r="T194" s="27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</row>
    <row r="195" spans="1:30" ht="15.75" customHeight="1">
      <c r="A195" s="47">
        <v>2</v>
      </c>
      <c r="B195" s="47">
        <v>7</v>
      </c>
      <c r="C195" s="47">
        <v>1</v>
      </c>
      <c r="D195" s="25" t="s">
        <v>177</v>
      </c>
      <c r="E195" s="25" t="s">
        <v>178</v>
      </c>
      <c r="F195" s="25" t="s">
        <v>68</v>
      </c>
      <c r="G195" s="49">
        <v>50852</v>
      </c>
      <c r="H195" s="51">
        <v>256</v>
      </c>
      <c r="I195" s="62">
        <v>1</v>
      </c>
      <c r="J195" s="62">
        <v>0.83</v>
      </c>
      <c r="K195" s="62">
        <v>0.82</v>
      </c>
      <c r="L195" s="62">
        <v>1.1399999999999999</v>
      </c>
      <c r="M195" s="62">
        <v>0.7</v>
      </c>
      <c r="N195" s="62">
        <v>0.82</v>
      </c>
      <c r="O195" s="62">
        <v>0.56000000000000005</v>
      </c>
      <c r="P195" s="62">
        <v>0.45</v>
      </c>
      <c r="Q195" s="254"/>
      <c r="R195" s="254"/>
      <c r="S195" s="62">
        <f t="shared" si="12"/>
        <v>0.79000000000000015</v>
      </c>
      <c r="T195" s="27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</row>
    <row r="196" spans="1:30" ht="15.75" customHeight="1">
      <c r="A196" s="33">
        <v>2</v>
      </c>
      <c r="B196" s="47">
        <v>7</v>
      </c>
      <c r="C196" s="47">
        <v>2</v>
      </c>
      <c r="D196" s="25" t="s">
        <v>205</v>
      </c>
      <c r="E196" s="25" t="s">
        <v>206</v>
      </c>
      <c r="F196" s="25" t="s">
        <v>34</v>
      </c>
      <c r="G196" s="49">
        <v>50853</v>
      </c>
      <c r="H196" s="51">
        <v>642</v>
      </c>
      <c r="I196" s="62">
        <v>1</v>
      </c>
      <c r="J196" s="62">
        <v>1.01</v>
      </c>
      <c r="K196" s="62">
        <v>1</v>
      </c>
      <c r="L196" s="62">
        <v>0.96</v>
      </c>
      <c r="M196" s="62">
        <v>0.81</v>
      </c>
      <c r="N196" s="62">
        <v>1.01</v>
      </c>
      <c r="O196" s="62">
        <v>0.85</v>
      </c>
      <c r="P196" s="62">
        <v>0.82</v>
      </c>
      <c r="Q196" s="62">
        <v>0.66</v>
      </c>
      <c r="R196" s="62">
        <v>0.49</v>
      </c>
      <c r="S196" s="62">
        <f t="shared" si="12"/>
        <v>0.86099999999999999</v>
      </c>
      <c r="T196" s="27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</row>
    <row r="197" spans="1:30" ht="15.75" customHeight="1">
      <c r="A197" s="47">
        <v>2</v>
      </c>
      <c r="B197" s="47">
        <v>7</v>
      </c>
      <c r="C197" s="47">
        <v>3</v>
      </c>
      <c r="D197" s="25" t="s">
        <v>208</v>
      </c>
      <c r="E197" s="25" t="s">
        <v>209</v>
      </c>
      <c r="F197" s="25" t="s">
        <v>68</v>
      </c>
      <c r="G197" s="49">
        <v>50635</v>
      </c>
      <c r="H197" s="51">
        <v>311</v>
      </c>
      <c r="I197" s="62">
        <v>1.51</v>
      </c>
      <c r="J197" s="62">
        <v>0.85</v>
      </c>
      <c r="K197" s="62">
        <v>1.1399999999999999</v>
      </c>
      <c r="L197" s="62">
        <v>0.92</v>
      </c>
      <c r="M197" s="62">
        <v>0.56399999999999995</v>
      </c>
      <c r="N197" s="62">
        <v>2.0099999999999998</v>
      </c>
      <c r="O197" s="62">
        <v>1.71</v>
      </c>
      <c r="P197" s="62">
        <v>1.46</v>
      </c>
      <c r="Q197" s="62">
        <v>1.07</v>
      </c>
      <c r="R197" s="62">
        <v>1.3</v>
      </c>
      <c r="S197" s="62">
        <f t="shared" si="12"/>
        <v>1.2534000000000003</v>
      </c>
      <c r="T197" s="27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</row>
    <row r="198" spans="1:30" ht="15.75" customHeight="1">
      <c r="A198" s="47">
        <v>2</v>
      </c>
      <c r="B198" s="47">
        <v>7</v>
      </c>
      <c r="C198" s="47">
        <v>3</v>
      </c>
      <c r="D198" s="25" t="s">
        <v>81</v>
      </c>
      <c r="E198" s="25" t="s">
        <v>82</v>
      </c>
      <c r="F198" s="25" t="s">
        <v>34</v>
      </c>
      <c r="G198" s="49">
        <v>50555</v>
      </c>
      <c r="H198" s="51">
        <v>5</v>
      </c>
      <c r="I198" s="62">
        <v>1.27</v>
      </c>
      <c r="J198" s="254"/>
      <c r="K198" s="254"/>
      <c r="L198" s="254"/>
      <c r="M198" s="254"/>
      <c r="N198" s="254"/>
      <c r="O198" s="254"/>
      <c r="P198" s="254"/>
      <c r="Q198" s="254"/>
      <c r="R198" s="254"/>
      <c r="S198" s="62">
        <f t="shared" si="12"/>
        <v>1.27</v>
      </c>
      <c r="T198" s="27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</row>
    <row r="199" spans="1:30" ht="15.75" customHeight="1">
      <c r="A199" s="47">
        <v>2</v>
      </c>
      <c r="B199" s="47">
        <v>7</v>
      </c>
      <c r="C199" s="47">
        <v>3</v>
      </c>
      <c r="D199" s="25" t="s">
        <v>208</v>
      </c>
      <c r="E199" s="25" t="s">
        <v>209</v>
      </c>
      <c r="F199" s="25" t="s">
        <v>34</v>
      </c>
      <c r="G199" s="49">
        <v>50617</v>
      </c>
      <c r="H199" s="51">
        <v>75</v>
      </c>
      <c r="I199" s="62">
        <v>2.3199999999999998</v>
      </c>
      <c r="J199" s="254"/>
      <c r="K199" s="254"/>
      <c r="L199" s="254"/>
      <c r="M199" s="254"/>
      <c r="N199" s="254"/>
      <c r="O199" s="254"/>
      <c r="P199" s="254"/>
      <c r="Q199" s="254"/>
      <c r="R199" s="254"/>
      <c r="S199" s="62">
        <f t="shared" si="12"/>
        <v>2.3199999999999998</v>
      </c>
      <c r="T199" s="27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</row>
    <row r="200" spans="1:30" ht="15.75" customHeight="1">
      <c r="A200" s="71">
        <v>2</v>
      </c>
      <c r="B200" s="71">
        <v>7</v>
      </c>
      <c r="C200" s="71">
        <v>4</v>
      </c>
      <c r="D200" s="53" t="s">
        <v>210</v>
      </c>
      <c r="E200" s="53" t="s">
        <v>211</v>
      </c>
      <c r="F200" s="53" t="s">
        <v>34</v>
      </c>
      <c r="G200" s="73">
        <v>50578</v>
      </c>
      <c r="H200" s="74">
        <v>4</v>
      </c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62"/>
      <c r="T200" s="79" t="s">
        <v>55</v>
      </c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</row>
    <row r="201" spans="1:30" ht="15.75" customHeight="1">
      <c r="A201" s="71">
        <v>2</v>
      </c>
      <c r="B201" s="71">
        <v>7</v>
      </c>
      <c r="C201" s="71">
        <v>4</v>
      </c>
      <c r="D201" s="53" t="s">
        <v>212</v>
      </c>
      <c r="E201" s="53" t="s">
        <v>213</v>
      </c>
      <c r="F201" s="53" t="s">
        <v>34</v>
      </c>
      <c r="G201" s="73">
        <v>50579</v>
      </c>
      <c r="H201" s="74">
        <v>1</v>
      </c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62"/>
      <c r="T201" s="79" t="s">
        <v>55</v>
      </c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</row>
    <row r="202" spans="1:30" ht="15.75" customHeight="1">
      <c r="A202" s="47">
        <v>2</v>
      </c>
      <c r="B202" s="47">
        <v>7</v>
      </c>
      <c r="C202" s="47">
        <v>4</v>
      </c>
      <c r="D202" s="25" t="s">
        <v>214</v>
      </c>
      <c r="E202" s="25" t="s">
        <v>215</v>
      </c>
      <c r="F202" s="25" t="s">
        <v>34</v>
      </c>
      <c r="G202" s="49">
        <v>50580</v>
      </c>
      <c r="H202" s="51">
        <v>25</v>
      </c>
      <c r="I202" s="62">
        <v>1.85</v>
      </c>
      <c r="J202" s="254"/>
      <c r="K202" s="254"/>
      <c r="L202" s="254"/>
      <c r="M202" s="254"/>
      <c r="N202" s="254"/>
      <c r="O202" s="254"/>
      <c r="P202" s="254"/>
      <c r="Q202" s="254"/>
      <c r="R202" s="254"/>
      <c r="S202" s="62">
        <f t="shared" ref="S202:S214" si="13">AVERAGE(I202:R202)</f>
        <v>1.85</v>
      </c>
      <c r="T202" s="27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</row>
    <row r="203" spans="1:30" ht="15.75" customHeight="1">
      <c r="A203" s="47">
        <v>2</v>
      </c>
      <c r="B203" s="47">
        <v>7</v>
      </c>
      <c r="C203" s="47">
        <v>4</v>
      </c>
      <c r="D203" s="25" t="s">
        <v>216</v>
      </c>
      <c r="E203" s="25" t="s">
        <v>217</v>
      </c>
      <c r="F203" s="25" t="s">
        <v>34</v>
      </c>
      <c r="G203" s="49">
        <v>50584</v>
      </c>
      <c r="H203" s="51">
        <v>92</v>
      </c>
      <c r="I203" s="62">
        <v>1.337</v>
      </c>
      <c r="J203" s="62">
        <v>1.2729999999999999</v>
      </c>
      <c r="K203" s="62">
        <v>1.05</v>
      </c>
      <c r="L203" s="62" t="s">
        <v>80</v>
      </c>
      <c r="M203" s="254"/>
      <c r="N203" s="254"/>
      <c r="O203" s="254"/>
      <c r="P203" s="254"/>
      <c r="Q203" s="254"/>
      <c r="R203" s="254"/>
      <c r="S203" s="62">
        <f t="shared" si="13"/>
        <v>1.22</v>
      </c>
      <c r="T203" s="27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</row>
    <row r="204" spans="1:30" ht="15.75" customHeight="1">
      <c r="A204" s="47">
        <v>2</v>
      </c>
      <c r="B204" s="47">
        <v>7</v>
      </c>
      <c r="C204" s="47">
        <v>4</v>
      </c>
      <c r="D204" s="25" t="s">
        <v>218</v>
      </c>
      <c r="E204" s="25" t="s">
        <v>219</v>
      </c>
      <c r="F204" s="25" t="s">
        <v>34</v>
      </c>
      <c r="G204" s="49">
        <v>50547</v>
      </c>
      <c r="H204" s="51">
        <v>73</v>
      </c>
      <c r="I204" s="62">
        <v>2.0299999999999998</v>
      </c>
      <c r="J204" s="62">
        <v>0.96</v>
      </c>
      <c r="K204" s="62">
        <v>1.05</v>
      </c>
      <c r="L204" s="254"/>
      <c r="M204" s="254"/>
      <c r="N204" s="254"/>
      <c r="O204" s="254"/>
      <c r="P204" s="254"/>
      <c r="Q204" s="254"/>
      <c r="R204" s="254"/>
      <c r="S204" s="62">
        <f t="shared" si="13"/>
        <v>1.3466666666666667</v>
      </c>
      <c r="T204" s="27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</row>
    <row r="205" spans="1:30" ht="15.75" customHeight="1">
      <c r="A205" s="47">
        <v>2</v>
      </c>
      <c r="B205" s="47">
        <v>7</v>
      </c>
      <c r="C205" s="47">
        <v>4</v>
      </c>
      <c r="D205" s="25" t="s">
        <v>218</v>
      </c>
      <c r="E205" s="25" t="s">
        <v>219</v>
      </c>
      <c r="F205" s="25" t="s">
        <v>25</v>
      </c>
      <c r="G205" s="49">
        <v>50389</v>
      </c>
      <c r="H205" s="51">
        <v>14</v>
      </c>
      <c r="I205" s="62">
        <v>1.655</v>
      </c>
      <c r="J205" s="254"/>
      <c r="K205" s="254"/>
      <c r="L205" s="254"/>
      <c r="M205" s="254"/>
      <c r="N205" s="254"/>
      <c r="O205" s="254"/>
      <c r="P205" s="254"/>
      <c r="Q205" s="254"/>
      <c r="R205" s="254"/>
      <c r="S205" s="62">
        <f t="shared" si="13"/>
        <v>1.655</v>
      </c>
      <c r="T205" s="27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</row>
    <row r="206" spans="1:30" ht="15.75" customHeight="1">
      <c r="A206" s="47">
        <v>2</v>
      </c>
      <c r="B206" s="47">
        <v>7</v>
      </c>
      <c r="C206" s="47">
        <v>4</v>
      </c>
      <c r="D206" s="25" t="s">
        <v>218</v>
      </c>
      <c r="E206" s="25" t="s">
        <v>219</v>
      </c>
      <c r="F206" s="25" t="s">
        <v>25</v>
      </c>
      <c r="G206" s="49">
        <v>50676</v>
      </c>
      <c r="H206" s="51">
        <v>3</v>
      </c>
      <c r="I206" s="62">
        <v>2.89</v>
      </c>
      <c r="J206" s="254"/>
      <c r="K206" s="254"/>
      <c r="L206" s="254"/>
      <c r="M206" s="254"/>
      <c r="N206" s="254"/>
      <c r="O206" s="254"/>
      <c r="P206" s="254"/>
      <c r="Q206" s="254"/>
      <c r="R206" s="254"/>
      <c r="S206" s="62">
        <f t="shared" si="13"/>
        <v>2.89</v>
      </c>
      <c r="T206" s="27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</row>
    <row r="207" spans="1:30" ht="15.75" customHeight="1">
      <c r="A207" s="47">
        <v>2</v>
      </c>
      <c r="B207" s="47">
        <v>7</v>
      </c>
      <c r="C207" s="47">
        <v>5</v>
      </c>
      <c r="D207" s="25" t="s">
        <v>160</v>
      </c>
      <c r="E207" s="25" t="s">
        <v>161</v>
      </c>
      <c r="F207" s="25" t="s">
        <v>25</v>
      </c>
      <c r="G207" s="49">
        <v>50863</v>
      </c>
      <c r="H207" s="51">
        <v>168</v>
      </c>
      <c r="I207" s="62">
        <v>0.63</v>
      </c>
      <c r="J207" s="62">
        <v>0.56999999999999995</v>
      </c>
      <c r="K207" s="62">
        <v>1.88</v>
      </c>
      <c r="L207" s="62">
        <v>1.3</v>
      </c>
      <c r="M207" s="62">
        <v>0.84</v>
      </c>
      <c r="N207" s="254"/>
      <c r="O207" s="254"/>
      <c r="P207" s="254"/>
      <c r="Q207" s="254"/>
      <c r="R207" s="254"/>
      <c r="S207" s="62">
        <f t="shared" si="13"/>
        <v>1.044</v>
      </c>
      <c r="T207" s="27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</row>
    <row r="208" spans="1:30" ht="15.75" customHeight="1">
      <c r="A208" s="47">
        <v>2</v>
      </c>
      <c r="B208" s="47">
        <v>7</v>
      </c>
      <c r="C208" s="47">
        <v>5</v>
      </c>
      <c r="D208" s="25" t="s">
        <v>189</v>
      </c>
      <c r="E208" s="25" t="s">
        <v>190</v>
      </c>
      <c r="F208" s="25" t="s">
        <v>25</v>
      </c>
      <c r="G208" s="49">
        <v>50864</v>
      </c>
      <c r="H208" s="51">
        <v>279</v>
      </c>
      <c r="I208" s="62">
        <v>0.86</v>
      </c>
      <c r="J208" s="62">
        <v>1.45</v>
      </c>
      <c r="K208" s="62">
        <v>1.24</v>
      </c>
      <c r="L208" s="62">
        <v>1.33</v>
      </c>
      <c r="M208" s="62">
        <v>0.92</v>
      </c>
      <c r="N208" s="62">
        <v>1.46</v>
      </c>
      <c r="O208" s="62">
        <v>1.52</v>
      </c>
      <c r="P208" s="62">
        <v>1.84</v>
      </c>
      <c r="Q208" s="254"/>
      <c r="R208" s="254"/>
      <c r="S208" s="62">
        <f t="shared" si="13"/>
        <v>1.3274999999999999</v>
      </c>
      <c r="T208" s="27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</row>
    <row r="209" spans="1:30" ht="15.75" customHeight="1">
      <c r="A209" s="47">
        <v>2</v>
      </c>
      <c r="B209" s="47">
        <v>7</v>
      </c>
      <c r="C209" s="47">
        <v>6</v>
      </c>
      <c r="D209" s="25" t="s">
        <v>100</v>
      </c>
      <c r="E209" s="25" t="s">
        <v>101</v>
      </c>
      <c r="F209" s="25" t="s">
        <v>31</v>
      </c>
      <c r="G209" s="49">
        <v>50692</v>
      </c>
      <c r="H209" s="51">
        <v>462</v>
      </c>
      <c r="I209" s="62">
        <v>0.53</v>
      </c>
      <c r="J209" s="62">
        <v>0.51</v>
      </c>
      <c r="K209" s="62">
        <v>0.251</v>
      </c>
      <c r="L209" s="62">
        <v>0.36</v>
      </c>
      <c r="M209" s="62">
        <v>0.34</v>
      </c>
      <c r="N209" s="62">
        <v>0.21</v>
      </c>
      <c r="O209" s="62">
        <v>0.28999999999999998</v>
      </c>
      <c r="P209" s="62">
        <v>0.49</v>
      </c>
      <c r="Q209" s="62">
        <v>0.15</v>
      </c>
      <c r="R209" s="62">
        <v>0.25</v>
      </c>
      <c r="S209" s="62">
        <f t="shared" si="13"/>
        <v>0.33809999999999996</v>
      </c>
      <c r="T209" s="27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</row>
    <row r="210" spans="1:30" ht="15.75" customHeight="1">
      <c r="A210" s="47">
        <v>2</v>
      </c>
      <c r="B210" s="47">
        <v>7</v>
      </c>
      <c r="C210" s="47">
        <v>7</v>
      </c>
      <c r="D210" s="25" t="s">
        <v>58</v>
      </c>
      <c r="E210" s="25" t="s">
        <v>59</v>
      </c>
      <c r="F210" s="25" t="s">
        <v>25</v>
      </c>
      <c r="G210" s="49">
        <v>50868</v>
      </c>
      <c r="H210" s="51">
        <v>416</v>
      </c>
      <c r="I210" s="62">
        <v>1.53</v>
      </c>
      <c r="J210" s="62">
        <v>1.72</v>
      </c>
      <c r="K210" s="62">
        <v>1.68</v>
      </c>
      <c r="L210" s="62">
        <v>1.21</v>
      </c>
      <c r="M210" s="62">
        <v>1.87</v>
      </c>
      <c r="N210" s="62">
        <v>1.42</v>
      </c>
      <c r="O210" s="62">
        <v>1.21</v>
      </c>
      <c r="P210" s="62">
        <v>1.52</v>
      </c>
      <c r="Q210" s="62">
        <v>1.82</v>
      </c>
      <c r="R210" s="62">
        <v>0.94</v>
      </c>
      <c r="S210" s="62">
        <f t="shared" si="13"/>
        <v>1.492</v>
      </c>
      <c r="T210" s="27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</row>
    <row r="211" spans="1:30" ht="15.75" customHeight="1">
      <c r="A211" s="159">
        <v>2</v>
      </c>
      <c r="B211" s="159">
        <v>7</v>
      </c>
      <c r="C211" s="159">
        <v>7</v>
      </c>
      <c r="D211" s="153" t="s">
        <v>97</v>
      </c>
      <c r="E211" s="153" t="s">
        <v>220</v>
      </c>
      <c r="F211" s="153" t="s">
        <v>25</v>
      </c>
      <c r="G211" s="161">
        <v>50869</v>
      </c>
      <c r="H211" s="162">
        <v>214</v>
      </c>
      <c r="I211" s="164">
        <v>0.97399999999999998</v>
      </c>
      <c r="J211" s="164">
        <v>0.36</v>
      </c>
      <c r="K211" s="164">
        <v>0.32</v>
      </c>
      <c r="L211" s="164">
        <v>0.31</v>
      </c>
      <c r="M211" s="320"/>
      <c r="N211" s="320"/>
      <c r="O211" s="320"/>
      <c r="P211" s="320"/>
      <c r="Q211" s="320"/>
      <c r="R211" s="320"/>
      <c r="S211" s="62">
        <f t="shared" si="13"/>
        <v>0.49100000000000005</v>
      </c>
      <c r="T211" s="163" t="s">
        <v>221</v>
      </c>
      <c r="U211" s="271"/>
      <c r="V211" s="271"/>
      <c r="W211" s="271"/>
      <c r="X211" s="271"/>
      <c r="Y211" s="271"/>
      <c r="Z211" s="271"/>
      <c r="AA211" s="271"/>
      <c r="AB211" s="271"/>
      <c r="AC211" s="271"/>
      <c r="AD211" s="271"/>
    </row>
    <row r="212" spans="1:30" ht="15.75" customHeight="1">
      <c r="A212" s="47">
        <v>2</v>
      </c>
      <c r="B212" s="47">
        <v>7</v>
      </c>
      <c r="C212" s="47">
        <v>9</v>
      </c>
      <c r="D212" s="25" t="s">
        <v>222</v>
      </c>
      <c r="E212" s="25" t="s">
        <v>223</v>
      </c>
      <c r="F212" s="25" t="s">
        <v>25</v>
      </c>
      <c r="G212" s="49">
        <v>50870</v>
      </c>
      <c r="H212" s="51">
        <v>93</v>
      </c>
      <c r="I212" s="62">
        <v>0.84799999999999998</v>
      </c>
      <c r="J212" s="62">
        <v>0.62</v>
      </c>
      <c r="K212" s="62">
        <v>0.32200000000000001</v>
      </c>
      <c r="L212" s="62">
        <v>0.71</v>
      </c>
      <c r="M212" s="254"/>
      <c r="N212" s="254"/>
      <c r="O212" s="254"/>
      <c r="P212" s="254"/>
      <c r="Q212" s="254"/>
      <c r="R212" s="254"/>
      <c r="S212" s="62">
        <f t="shared" si="13"/>
        <v>0.625</v>
      </c>
      <c r="T212" s="27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</row>
    <row r="213" spans="1:30" ht="15.75" customHeight="1">
      <c r="A213" s="47">
        <v>2</v>
      </c>
      <c r="B213" s="47">
        <v>7</v>
      </c>
      <c r="C213" s="47">
        <v>9</v>
      </c>
      <c r="D213" s="25" t="s">
        <v>138</v>
      </c>
      <c r="E213" s="25" t="s">
        <v>139</v>
      </c>
      <c r="F213" s="25" t="s">
        <v>25</v>
      </c>
      <c r="G213" s="49">
        <v>50871</v>
      </c>
      <c r="H213" s="51">
        <v>433</v>
      </c>
      <c r="I213" s="62">
        <v>0.56999999999999995</v>
      </c>
      <c r="J213" s="62">
        <v>0.66</v>
      </c>
      <c r="K213" s="62">
        <v>0.34699999999999998</v>
      </c>
      <c r="L213" s="62">
        <v>0.42</v>
      </c>
      <c r="M213" s="62">
        <v>0.91</v>
      </c>
      <c r="N213" s="62">
        <v>0.45</v>
      </c>
      <c r="O213" s="62">
        <v>0.41499999999999998</v>
      </c>
      <c r="P213" s="62">
        <v>0.221</v>
      </c>
      <c r="Q213" s="62">
        <v>0.28999999999999998</v>
      </c>
      <c r="R213" s="62">
        <v>0.27800000000000002</v>
      </c>
      <c r="S213" s="62">
        <f t="shared" si="13"/>
        <v>0.45610000000000001</v>
      </c>
      <c r="T213" s="27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</row>
    <row r="214" spans="1:30" ht="15.75" customHeight="1">
      <c r="A214" s="159">
        <v>2</v>
      </c>
      <c r="B214" s="159">
        <v>7</v>
      </c>
      <c r="C214" s="159">
        <v>11</v>
      </c>
      <c r="D214" s="153" t="s">
        <v>224</v>
      </c>
      <c r="E214" s="153" t="s">
        <v>225</v>
      </c>
      <c r="F214" s="153" t="s">
        <v>25</v>
      </c>
      <c r="G214" s="161">
        <v>50872</v>
      </c>
      <c r="H214" s="162">
        <v>200</v>
      </c>
      <c r="I214" s="164">
        <v>0.78</v>
      </c>
      <c r="J214" s="320"/>
      <c r="K214" s="320"/>
      <c r="L214" s="320"/>
      <c r="M214" s="320"/>
      <c r="N214" s="320"/>
      <c r="O214" s="320"/>
      <c r="P214" s="320"/>
      <c r="Q214" s="320"/>
      <c r="R214" s="320"/>
      <c r="S214" s="62">
        <f t="shared" si="13"/>
        <v>0.78</v>
      </c>
      <c r="T214" s="163" t="s">
        <v>221</v>
      </c>
      <c r="U214" s="271"/>
      <c r="V214" s="271"/>
      <c r="W214" s="271"/>
      <c r="X214" s="271"/>
      <c r="Y214" s="271"/>
      <c r="Z214" s="271"/>
      <c r="AA214" s="271"/>
      <c r="AB214" s="271"/>
      <c r="AC214" s="271"/>
      <c r="AD214" s="271"/>
    </row>
    <row r="215" spans="1:30" ht="15.75" customHeight="1">
      <c r="A215" s="71">
        <v>2</v>
      </c>
      <c r="B215" s="71">
        <v>7</v>
      </c>
      <c r="C215" s="71">
        <v>11</v>
      </c>
      <c r="D215" s="53" t="s">
        <v>212</v>
      </c>
      <c r="E215" s="53" t="s">
        <v>213</v>
      </c>
      <c r="F215" s="53" t="s">
        <v>25</v>
      </c>
      <c r="G215" s="73">
        <v>50873</v>
      </c>
      <c r="H215" s="74">
        <v>186</v>
      </c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62"/>
      <c r="T215" s="79" t="s">
        <v>55</v>
      </c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</row>
    <row r="216" spans="1:30" ht="15.75" customHeight="1">
      <c r="A216" s="47">
        <v>2</v>
      </c>
      <c r="B216" s="47">
        <v>7</v>
      </c>
      <c r="C216" s="47">
        <v>11</v>
      </c>
      <c r="D216" s="25" t="s">
        <v>74</v>
      </c>
      <c r="E216" s="25" t="s">
        <v>75</v>
      </c>
      <c r="F216" s="25" t="s">
        <v>25</v>
      </c>
      <c r="G216" s="49">
        <v>50885</v>
      </c>
      <c r="H216" s="51">
        <v>222</v>
      </c>
      <c r="I216" s="62">
        <v>0.27500000000000002</v>
      </c>
      <c r="J216" s="62">
        <v>0.17399999999999999</v>
      </c>
      <c r="K216" s="62">
        <v>0.28000000000000003</v>
      </c>
      <c r="L216" s="62">
        <v>0.2</v>
      </c>
      <c r="M216" s="62">
        <v>0.39</v>
      </c>
      <c r="N216" s="62">
        <v>0.22</v>
      </c>
      <c r="O216" s="62">
        <v>0.19</v>
      </c>
      <c r="P216" s="62">
        <v>0.16900000000000001</v>
      </c>
      <c r="Q216" s="62">
        <v>0.2</v>
      </c>
      <c r="R216" s="62">
        <v>0.14000000000000001</v>
      </c>
      <c r="S216" s="62">
        <f t="shared" ref="S216:S222" si="14">AVERAGE(I216:R216)</f>
        <v>0.2238</v>
      </c>
      <c r="T216" s="27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</row>
    <row r="217" spans="1:30" ht="15.75" customHeight="1">
      <c r="A217" s="47">
        <v>2</v>
      </c>
      <c r="B217" s="47">
        <v>7</v>
      </c>
      <c r="C217" s="47">
        <v>12</v>
      </c>
      <c r="D217" s="25" t="s">
        <v>226</v>
      </c>
      <c r="E217" s="25" t="s">
        <v>227</v>
      </c>
      <c r="F217" s="25" t="s">
        <v>34</v>
      </c>
      <c r="G217" s="49">
        <v>50662</v>
      </c>
      <c r="H217" s="51">
        <v>31</v>
      </c>
      <c r="I217" s="62">
        <v>0.66</v>
      </c>
      <c r="J217" s="254"/>
      <c r="K217" s="254"/>
      <c r="L217" s="254"/>
      <c r="M217" s="254"/>
      <c r="N217" s="254"/>
      <c r="O217" s="254"/>
      <c r="P217" s="254"/>
      <c r="Q217" s="254"/>
      <c r="R217" s="254"/>
      <c r="S217" s="62">
        <f t="shared" si="14"/>
        <v>0.66</v>
      </c>
      <c r="T217" s="27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</row>
    <row r="218" spans="1:30" ht="15.75" customHeight="1">
      <c r="A218" s="47">
        <v>2</v>
      </c>
      <c r="B218" s="47">
        <v>7</v>
      </c>
      <c r="C218" s="47">
        <v>12</v>
      </c>
      <c r="D218" s="25" t="s">
        <v>212</v>
      </c>
      <c r="E218" s="25" t="s">
        <v>213</v>
      </c>
      <c r="F218" s="25" t="s">
        <v>48</v>
      </c>
      <c r="G218" s="49">
        <v>10995</v>
      </c>
      <c r="H218" s="51">
        <v>170</v>
      </c>
      <c r="I218" s="62">
        <v>0.93</v>
      </c>
      <c r="J218" s="62">
        <v>1.91</v>
      </c>
      <c r="K218" s="62">
        <v>0.81</v>
      </c>
      <c r="L218" s="62">
        <v>0.84</v>
      </c>
      <c r="M218" s="62">
        <v>0.81</v>
      </c>
      <c r="N218" s="62">
        <v>1.41</v>
      </c>
      <c r="O218" s="254"/>
      <c r="P218" s="254"/>
      <c r="Q218" s="254"/>
      <c r="R218" s="254"/>
      <c r="S218" s="62">
        <f t="shared" si="14"/>
        <v>1.1183333333333334</v>
      </c>
      <c r="T218" s="27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</row>
    <row r="219" spans="1:30" ht="15.75" customHeight="1">
      <c r="A219" s="47">
        <v>2</v>
      </c>
      <c r="B219" s="47">
        <v>7</v>
      </c>
      <c r="C219" s="47">
        <v>13</v>
      </c>
      <c r="D219" s="25" t="s">
        <v>66</v>
      </c>
      <c r="E219" s="25" t="s">
        <v>67</v>
      </c>
      <c r="F219" s="25" t="s">
        <v>31</v>
      </c>
      <c r="G219" s="49">
        <v>50323</v>
      </c>
      <c r="H219" s="51">
        <v>143</v>
      </c>
      <c r="I219" s="62">
        <v>1.83</v>
      </c>
      <c r="J219" s="62">
        <v>0.81</v>
      </c>
      <c r="K219" s="62">
        <v>1.61</v>
      </c>
      <c r="L219" s="62">
        <v>2.06</v>
      </c>
      <c r="M219" s="62">
        <v>2</v>
      </c>
      <c r="N219" s="62">
        <v>1.74</v>
      </c>
      <c r="O219" s="254"/>
      <c r="P219" s="254"/>
      <c r="Q219" s="254"/>
      <c r="R219" s="254"/>
      <c r="S219" s="62">
        <f t="shared" si="14"/>
        <v>1.675</v>
      </c>
      <c r="T219" s="27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</row>
    <row r="220" spans="1:30" ht="15.75" customHeight="1">
      <c r="A220" s="47">
        <v>2</v>
      </c>
      <c r="B220" s="47">
        <v>7</v>
      </c>
      <c r="C220" s="47">
        <v>13</v>
      </c>
      <c r="D220" s="25" t="s">
        <v>66</v>
      </c>
      <c r="E220" s="25" t="s">
        <v>67</v>
      </c>
      <c r="F220" s="25" t="s">
        <v>31</v>
      </c>
      <c r="G220" s="49">
        <v>50726</v>
      </c>
      <c r="H220" s="51">
        <v>166</v>
      </c>
      <c r="I220" s="62">
        <v>1.85</v>
      </c>
      <c r="J220" s="62">
        <v>1.84</v>
      </c>
      <c r="K220" s="62">
        <v>2.44</v>
      </c>
      <c r="L220" s="62">
        <v>1.21</v>
      </c>
      <c r="M220" s="62">
        <v>1.27</v>
      </c>
      <c r="N220" s="62">
        <v>0.52200000000000002</v>
      </c>
      <c r="O220" s="62">
        <v>0.84</v>
      </c>
      <c r="P220" s="62">
        <v>2.5499999999999998</v>
      </c>
      <c r="Q220" s="254"/>
      <c r="R220" s="254"/>
      <c r="S220" s="62">
        <f t="shared" si="14"/>
        <v>1.5652500000000003</v>
      </c>
      <c r="T220" s="27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</row>
    <row r="221" spans="1:30" ht="15.75" customHeight="1">
      <c r="A221" s="47">
        <v>2</v>
      </c>
      <c r="B221" s="47">
        <v>7</v>
      </c>
      <c r="C221" s="47">
        <v>13</v>
      </c>
      <c r="D221" s="25" t="s">
        <v>66</v>
      </c>
      <c r="E221" s="25" t="s">
        <v>67</v>
      </c>
      <c r="F221" s="25" t="s">
        <v>34</v>
      </c>
      <c r="G221" s="49">
        <v>50087</v>
      </c>
      <c r="H221" s="51">
        <v>132</v>
      </c>
      <c r="I221" s="62">
        <v>2.72</v>
      </c>
      <c r="J221" s="62">
        <v>2.34</v>
      </c>
      <c r="K221" s="62">
        <v>0.71</v>
      </c>
      <c r="L221" s="62">
        <v>1.51</v>
      </c>
      <c r="M221" s="62">
        <v>1.54</v>
      </c>
      <c r="N221" s="62">
        <v>2.13</v>
      </c>
      <c r="O221" s="62">
        <v>1.85</v>
      </c>
      <c r="P221" s="62">
        <v>2</v>
      </c>
      <c r="Q221" s="254"/>
      <c r="R221" s="254"/>
      <c r="S221" s="62">
        <f t="shared" si="14"/>
        <v>1.8499999999999999</v>
      </c>
      <c r="T221" s="27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</row>
    <row r="222" spans="1:30" ht="15.75" customHeight="1">
      <c r="A222" s="47">
        <v>2</v>
      </c>
      <c r="B222" s="47">
        <v>7</v>
      </c>
      <c r="C222" s="47">
        <v>13</v>
      </c>
      <c r="D222" s="25" t="s">
        <v>66</v>
      </c>
      <c r="E222" s="25" t="s">
        <v>67</v>
      </c>
      <c r="F222" s="25" t="s">
        <v>31</v>
      </c>
      <c r="G222" s="49">
        <v>50724</v>
      </c>
      <c r="H222" s="51">
        <v>224</v>
      </c>
      <c r="I222" s="62">
        <v>1.4279999999999999</v>
      </c>
      <c r="J222" s="62">
        <v>1.84</v>
      </c>
      <c r="K222" s="62">
        <v>1.556</v>
      </c>
      <c r="L222" s="62">
        <v>1.74</v>
      </c>
      <c r="M222" s="62">
        <v>1.71</v>
      </c>
      <c r="N222" s="62">
        <v>1.61</v>
      </c>
      <c r="O222" s="62">
        <v>2.0099999999999998</v>
      </c>
      <c r="P222" s="62">
        <v>1.9</v>
      </c>
      <c r="Q222" s="62">
        <v>1.2</v>
      </c>
      <c r="R222" s="62">
        <v>1.07</v>
      </c>
      <c r="S222" s="62">
        <f t="shared" si="14"/>
        <v>1.6064000000000001</v>
      </c>
      <c r="T222" s="27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</row>
    <row r="223" spans="1:30" ht="15.75" customHeight="1">
      <c r="A223" s="71">
        <v>2</v>
      </c>
      <c r="B223" s="71">
        <v>7</v>
      </c>
      <c r="C223" s="71">
        <v>14</v>
      </c>
      <c r="D223" s="53" t="s">
        <v>228</v>
      </c>
      <c r="E223" s="53" t="s">
        <v>229</v>
      </c>
      <c r="F223" s="53" t="s">
        <v>25</v>
      </c>
      <c r="G223" s="73">
        <v>50855</v>
      </c>
      <c r="H223" s="74">
        <v>26</v>
      </c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62"/>
      <c r="T223" s="79" t="s">
        <v>55</v>
      </c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</row>
    <row r="224" spans="1:30" ht="15.75" customHeight="1">
      <c r="A224" s="47">
        <v>2</v>
      </c>
      <c r="B224" s="47">
        <v>7</v>
      </c>
      <c r="C224" s="47">
        <v>16</v>
      </c>
      <c r="D224" s="25" t="s">
        <v>138</v>
      </c>
      <c r="E224" s="25" t="s">
        <v>139</v>
      </c>
      <c r="F224" s="25" t="s">
        <v>25</v>
      </c>
      <c r="G224" s="49">
        <v>50879</v>
      </c>
      <c r="H224" s="51">
        <v>477</v>
      </c>
      <c r="I224" s="62">
        <v>0.113</v>
      </c>
      <c r="J224" s="62">
        <v>0.221</v>
      </c>
      <c r="K224" s="62">
        <v>0.14000000000000001</v>
      </c>
      <c r="L224" s="62">
        <v>0.21</v>
      </c>
      <c r="M224" s="62">
        <v>0.33</v>
      </c>
      <c r="N224" s="62">
        <v>0.48</v>
      </c>
      <c r="O224" s="62">
        <v>0.34</v>
      </c>
      <c r="P224" s="62">
        <v>0.52</v>
      </c>
      <c r="Q224" s="62">
        <v>0.65800000000000003</v>
      </c>
      <c r="R224" s="62">
        <v>0.33</v>
      </c>
      <c r="S224" s="62">
        <f>AVERAGE(I224:R224)</f>
        <v>0.3342</v>
      </c>
      <c r="T224" s="27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</row>
    <row r="225" spans="1:30" ht="15.75" customHeight="1">
      <c r="A225" s="47">
        <v>2</v>
      </c>
      <c r="B225" s="47">
        <v>7</v>
      </c>
      <c r="C225" s="47">
        <v>16</v>
      </c>
      <c r="D225" s="25" t="s">
        <v>122</v>
      </c>
      <c r="E225" s="25" t="s">
        <v>123</v>
      </c>
      <c r="F225" s="25" t="s">
        <v>25</v>
      </c>
      <c r="G225" s="49">
        <v>50888</v>
      </c>
      <c r="H225" s="51">
        <v>135</v>
      </c>
      <c r="I225" s="62">
        <v>0.42</v>
      </c>
      <c r="J225" s="62">
        <v>0.37</v>
      </c>
      <c r="K225" s="62">
        <v>0.37</v>
      </c>
      <c r="L225" s="62">
        <v>0.4</v>
      </c>
      <c r="M225" s="62">
        <v>0.4</v>
      </c>
      <c r="N225" s="62">
        <v>0.35</v>
      </c>
      <c r="O225" s="254"/>
      <c r="P225" s="254"/>
      <c r="Q225" s="254"/>
      <c r="R225" s="254"/>
      <c r="S225" s="62">
        <f>AVERAGE(I225:R225)</f>
        <v>0.38500000000000001</v>
      </c>
      <c r="T225" s="27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</row>
    <row r="226" spans="1:30" ht="15.75" customHeight="1">
      <c r="A226" s="47">
        <v>2</v>
      </c>
      <c r="B226" s="47">
        <v>7</v>
      </c>
      <c r="C226" s="47">
        <v>17</v>
      </c>
      <c r="D226" s="25" t="s">
        <v>66</v>
      </c>
      <c r="E226" s="25" t="s">
        <v>67</v>
      </c>
      <c r="F226" s="25" t="s">
        <v>34</v>
      </c>
      <c r="G226" s="49">
        <v>50459</v>
      </c>
      <c r="H226" s="51">
        <v>126</v>
      </c>
      <c r="I226" s="62">
        <v>2.06</v>
      </c>
      <c r="J226" s="62">
        <v>1.66</v>
      </c>
      <c r="K226" s="62">
        <v>2.11</v>
      </c>
      <c r="L226" s="62">
        <v>1.87</v>
      </c>
      <c r="M226" s="62">
        <v>2.4300000000000002</v>
      </c>
      <c r="N226" s="62">
        <v>2.1800000000000002</v>
      </c>
      <c r="O226" s="254"/>
      <c r="P226" s="254"/>
      <c r="Q226" s="254"/>
      <c r="R226" s="254"/>
      <c r="S226" s="62">
        <f>AVERAGE(I226:R226)</f>
        <v>2.0516666666666667</v>
      </c>
      <c r="T226" s="27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</row>
    <row r="227" spans="1:30" ht="15.75" customHeight="1">
      <c r="A227" s="47">
        <v>2</v>
      </c>
      <c r="B227" s="47">
        <v>7</v>
      </c>
      <c r="C227" s="47">
        <v>17</v>
      </c>
      <c r="D227" s="25" t="s">
        <v>66</v>
      </c>
      <c r="E227" s="25" t="s">
        <v>67</v>
      </c>
      <c r="F227" s="25" t="s">
        <v>34</v>
      </c>
      <c r="G227" s="49">
        <v>50602</v>
      </c>
      <c r="H227" s="51">
        <v>42</v>
      </c>
      <c r="I227" s="62">
        <v>2.0499999999999998</v>
      </c>
      <c r="J227" s="62">
        <v>0.81</v>
      </c>
      <c r="K227" s="254"/>
      <c r="L227" s="254"/>
      <c r="M227" s="254"/>
      <c r="N227" s="254"/>
      <c r="O227" s="254"/>
      <c r="P227" s="254"/>
      <c r="Q227" s="254"/>
      <c r="R227" s="254"/>
      <c r="S227" s="62">
        <f>AVERAGE(I227:R227)</f>
        <v>1.43</v>
      </c>
      <c r="T227" s="27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</row>
    <row r="228" spans="1:30" ht="15.75" customHeight="1">
      <c r="A228" s="47">
        <v>2</v>
      </c>
      <c r="B228" s="47">
        <v>7</v>
      </c>
      <c r="C228" s="47">
        <v>18</v>
      </c>
      <c r="D228" s="25" t="s">
        <v>230</v>
      </c>
      <c r="E228" s="25" t="s">
        <v>231</v>
      </c>
      <c r="F228" s="25" t="s">
        <v>48</v>
      </c>
      <c r="G228" s="49">
        <v>50206</v>
      </c>
      <c r="H228" s="51">
        <v>73</v>
      </c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62" t="s">
        <v>80</v>
      </c>
      <c r="T228" s="58" t="s">
        <v>255</v>
      </c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</row>
    <row r="229" spans="1:30" ht="15.75" customHeight="1">
      <c r="A229" s="47">
        <v>2</v>
      </c>
      <c r="B229" s="47">
        <v>7</v>
      </c>
      <c r="C229" s="47">
        <v>18</v>
      </c>
      <c r="D229" s="25" t="s">
        <v>232</v>
      </c>
      <c r="E229" s="114"/>
      <c r="F229" s="25" t="s">
        <v>68</v>
      </c>
      <c r="G229" s="49">
        <v>50779</v>
      </c>
      <c r="H229" s="51">
        <v>91</v>
      </c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62" t="s">
        <v>80</v>
      </c>
      <c r="T229" s="58" t="s">
        <v>255</v>
      </c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</row>
    <row r="230" spans="1:30" ht="15.75" customHeight="1">
      <c r="A230" s="47">
        <v>2</v>
      </c>
      <c r="B230" s="47">
        <v>8</v>
      </c>
      <c r="C230" s="47">
        <v>2</v>
      </c>
      <c r="D230" s="25" t="s">
        <v>233</v>
      </c>
      <c r="E230" s="25" t="s">
        <v>234</v>
      </c>
      <c r="F230" s="25" t="s">
        <v>48</v>
      </c>
      <c r="G230" s="49">
        <v>50778</v>
      </c>
      <c r="H230" s="51">
        <v>118</v>
      </c>
      <c r="I230" s="62">
        <v>0.97</v>
      </c>
      <c r="J230" s="62">
        <v>1.23</v>
      </c>
      <c r="K230" s="254"/>
      <c r="L230" s="254"/>
      <c r="M230" s="254"/>
      <c r="N230" s="254"/>
      <c r="O230" s="254"/>
      <c r="P230" s="254"/>
      <c r="Q230" s="254"/>
      <c r="R230" s="254"/>
      <c r="S230" s="62">
        <f t="shared" ref="S230:S259" si="15">AVERAGE(I230:R230)</f>
        <v>1.1000000000000001</v>
      </c>
      <c r="T230" s="27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</row>
    <row r="231" spans="1:30" ht="15.75" customHeight="1">
      <c r="A231" s="47">
        <v>2</v>
      </c>
      <c r="B231" s="47">
        <v>8</v>
      </c>
      <c r="C231" s="47">
        <v>2</v>
      </c>
      <c r="D231" s="25" t="s">
        <v>233</v>
      </c>
      <c r="E231" s="25" t="s">
        <v>234</v>
      </c>
      <c r="F231" s="25" t="s">
        <v>34</v>
      </c>
      <c r="G231" s="49">
        <v>50587</v>
      </c>
      <c r="H231" s="51">
        <v>47</v>
      </c>
      <c r="I231" s="62">
        <v>1.72</v>
      </c>
      <c r="J231" s="62">
        <v>0.7</v>
      </c>
      <c r="K231" s="254"/>
      <c r="L231" s="254"/>
      <c r="M231" s="254"/>
      <c r="N231" s="254"/>
      <c r="O231" s="254"/>
      <c r="P231" s="254"/>
      <c r="Q231" s="254"/>
      <c r="R231" s="254"/>
      <c r="S231" s="62">
        <f t="shared" si="15"/>
        <v>1.21</v>
      </c>
      <c r="T231" s="27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</row>
    <row r="232" spans="1:30" ht="15.75" customHeight="1">
      <c r="A232" s="47">
        <v>2</v>
      </c>
      <c r="B232" s="47">
        <v>8</v>
      </c>
      <c r="C232" s="47">
        <v>3</v>
      </c>
      <c r="D232" s="25" t="s">
        <v>134</v>
      </c>
      <c r="E232" s="25" t="s">
        <v>135</v>
      </c>
      <c r="F232" s="25" t="s">
        <v>25</v>
      </c>
      <c r="G232" s="49">
        <v>50268</v>
      </c>
      <c r="H232" s="51">
        <v>210</v>
      </c>
      <c r="I232" s="306">
        <v>0.44</v>
      </c>
      <c r="J232" s="306">
        <v>0.55600000000000005</v>
      </c>
      <c r="K232" s="306">
        <v>1.1299999999999999</v>
      </c>
      <c r="L232" s="306">
        <v>0.54</v>
      </c>
      <c r="M232" s="306">
        <v>1.51</v>
      </c>
      <c r="N232" s="306">
        <v>1.1100000000000001</v>
      </c>
      <c r="O232" s="306">
        <v>1.65</v>
      </c>
      <c r="P232" s="306">
        <v>0.64</v>
      </c>
      <c r="Q232" s="254"/>
      <c r="R232" s="254"/>
      <c r="S232" s="62">
        <f t="shared" si="15"/>
        <v>0.94699999999999995</v>
      </c>
      <c r="T232" s="60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</row>
    <row r="233" spans="1:30" ht="15.75" customHeight="1">
      <c r="A233" s="47">
        <v>2</v>
      </c>
      <c r="B233" s="47">
        <v>8</v>
      </c>
      <c r="C233" s="47">
        <v>4</v>
      </c>
      <c r="D233" s="25" t="s">
        <v>132</v>
      </c>
      <c r="E233" s="25" t="s">
        <v>133</v>
      </c>
      <c r="F233" s="25" t="s">
        <v>68</v>
      </c>
      <c r="G233" s="49">
        <v>50454</v>
      </c>
      <c r="H233" s="51">
        <v>273</v>
      </c>
      <c r="I233" s="306">
        <v>0.44</v>
      </c>
      <c r="J233" s="306">
        <v>0.67</v>
      </c>
      <c r="K233" s="306">
        <v>0.52</v>
      </c>
      <c r="L233" s="306">
        <v>0.55100000000000005</v>
      </c>
      <c r="M233" s="306">
        <v>0.72</v>
      </c>
      <c r="N233" s="306">
        <v>0.71</v>
      </c>
      <c r="O233" s="254"/>
      <c r="P233" s="254"/>
      <c r="Q233" s="254"/>
      <c r="R233" s="254"/>
      <c r="S233" s="62">
        <f t="shared" si="15"/>
        <v>0.60183333333333333</v>
      </c>
      <c r="T233" s="60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</row>
    <row r="234" spans="1:30" ht="15.75" customHeight="1">
      <c r="A234" s="47">
        <v>2</v>
      </c>
      <c r="B234" s="47">
        <v>8</v>
      </c>
      <c r="C234" s="47">
        <v>4</v>
      </c>
      <c r="D234" s="25" t="s">
        <v>132</v>
      </c>
      <c r="E234" s="25" t="s">
        <v>133</v>
      </c>
      <c r="F234" s="25" t="s">
        <v>34</v>
      </c>
      <c r="G234" s="49">
        <v>50570</v>
      </c>
      <c r="H234" s="51">
        <v>226</v>
      </c>
      <c r="I234" s="306">
        <v>0.51</v>
      </c>
      <c r="J234" s="306">
        <v>0.52</v>
      </c>
      <c r="K234" s="306">
        <v>0.39300000000000002</v>
      </c>
      <c r="L234" s="306">
        <v>0.39</v>
      </c>
      <c r="M234" s="306">
        <v>0.375</v>
      </c>
      <c r="N234" s="306">
        <v>0.51</v>
      </c>
      <c r="O234" s="306">
        <v>0.35899999999999999</v>
      </c>
      <c r="P234" s="306">
        <v>0.44</v>
      </c>
      <c r="Q234" s="254"/>
      <c r="R234" s="254"/>
      <c r="S234" s="62">
        <f t="shared" si="15"/>
        <v>0.43712500000000004</v>
      </c>
      <c r="T234" s="60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</row>
    <row r="235" spans="1:30" ht="15.75" customHeight="1">
      <c r="A235" s="47">
        <v>2</v>
      </c>
      <c r="B235" s="47">
        <v>8</v>
      </c>
      <c r="C235" s="47">
        <v>5</v>
      </c>
      <c r="D235" s="25" t="s">
        <v>142</v>
      </c>
      <c r="E235" s="25" t="s">
        <v>143</v>
      </c>
      <c r="F235" s="25" t="s">
        <v>31</v>
      </c>
      <c r="G235" s="49">
        <v>50824</v>
      </c>
      <c r="H235" s="51">
        <v>67</v>
      </c>
      <c r="I235" s="306">
        <v>0.85</v>
      </c>
      <c r="J235" s="254"/>
      <c r="K235" s="254"/>
      <c r="L235" s="254"/>
      <c r="M235" s="254"/>
      <c r="N235" s="254"/>
      <c r="O235" s="254"/>
      <c r="P235" s="254"/>
      <c r="Q235" s="254"/>
      <c r="R235" s="254"/>
      <c r="S235" s="62">
        <f t="shared" si="15"/>
        <v>0.85</v>
      </c>
      <c r="T235" s="60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</row>
    <row r="236" spans="1:30" ht="15.75" customHeight="1">
      <c r="A236" s="47">
        <v>2</v>
      </c>
      <c r="B236" s="47">
        <v>8</v>
      </c>
      <c r="C236" s="47">
        <v>5</v>
      </c>
      <c r="D236" s="25" t="s">
        <v>142</v>
      </c>
      <c r="E236" s="25" t="s">
        <v>143</v>
      </c>
      <c r="F236" s="25" t="s">
        <v>25</v>
      </c>
      <c r="G236" s="49">
        <v>50766</v>
      </c>
      <c r="H236" s="51">
        <v>26</v>
      </c>
      <c r="I236" s="306">
        <v>2.46</v>
      </c>
      <c r="J236" s="254"/>
      <c r="K236" s="254"/>
      <c r="L236" s="254"/>
      <c r="M236" s="254"/>
      <c r="N236" s="254"/>
      <c r="O236" s="254"/>
      <c r="P236" s="254"/>
      <c r="Q236" s="254"/>
      <c r="R236" s="254"/>
      <c r="S236" s="62">
        <f t="shared" si="15"/>
        <v>2.46</v>
      </c>
      <c r="T236" s="60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</row>
    <row r="237" spans="1:30" ht="15.75" customHeight="1">
      <c r="A237" s="47">
        <v>2</v>
      </c>
      <c r="B237" s="47">
        <v>8</v>
      </c>
      <c r="C237" s="47">
        <v>6</v>
      </c>
      <c r="D237" s="25" t="s">
        <v>37</v>
      </c>
      <c r="E237" s="25" t="s">
        <v>38</v>
      </c>
      <c r="F237" s="25" t="s">
        <v>31</v>
      </c>
      <c r="G237" s="49">
        <v>50826</v>
      </c>
      <c r="H237" s="51">
        <v>185</v>
      </c>
      <c r="I237" s="306">
        <v>0.66200000000000003</v>
      </c>
      <c r="J237" s="306">
        <v>0.75</v>
      </c>
      <c r="K237" s="306">
        <v>1.0900000000000001</v>
      </c>
      <c r="L237" s="306">
        <v>0.80400000000000005</v>
      </c>
      <c r="M237" s="306">
        <v>0.79300000000000004</v>
      </c>
      <c r="N237" s="306">
        <v>0.65</v>
      </c>
      <c r="O237" s="254"/>
      <c r="P237" s="254"/>
      <c r="Q237" s="254"/>
      <c r="R237" s="254"/>
      <c r="S237" s="62">
        <f t="shared" si="15"/>
        <v>0.79150000000000009</v>
      </c>
      <c r="T237" s="60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</row>
    <row r="238" spans="1:30" ht="15.75" customHeight="1">
      <c r="A238" s="47">
        <v>2</v>
      </c>
      <c r="B238" s="47">
        <v>8</v>
      </c>
      <c r="C238" s="47">
        <v>6</v>
      </c>
      <c r="D238" s="25" t="s">
        <v>58</v>
      </c>
      <c r="E238" s="25" t="s">
        <v>59</v>
      </c>
      <c r="F238" s="25" t="s">
        <v>31</v>
      </c>
      <c r="G238" s="49">
        <v>50839</v>
      </c>
      <c r="H238" s="51">
        <v>215</v>
      </c>
      <c r="I238" s="306">
        <v>2</v>
      </c>
      <c r="J238" s="306">
        <v>1.22</v>
      </c>
      <c r="K238" s="306">
        <v>1.2</v>
      </c>
      <c r="L238" s="306">
        <v>1.5</v>
      </c>
      <c r="M238" s="306">
        <v>0.94</v>
      </c>
      <c r="N238" s="306">
        <v>1.06</v>
      </c>
      <c r="O238" s="254"/>
      <c r="P238" s="254"/>
      <c r="Q238" s="254"/>
      <c r="R238" s="254"/>
      <c r="S238" s="62">
        <f t="shared" si="15"/>
        <v>1.32</v>
      </c>
      <c r="T238" s="60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</row>
    <row r="239" spans="1:30" ht="15.75" customHeight="1">
      <c r="A239" s="47">
        <v>2</v>
      </c>
      <c r="B239" s="47">
        <v>8</v>
      </c>
      <c r="C239" s="47">
        <v>6</v>
      </c>
      <c r="D239" s="25" t="s">
        <v>173</v>
      </c>
      <c r="E239" s="25" t="s">
        <v>174</v>
      </c>
      <c r="F239" s="25" t="s">
        <v>31</v>
      </c>
      <c r="G239" s="49">
        <v>50825</v>
      </c>
      <c r="H239" s="51">
        <v>132</v>
      </c>
      <c r="I239" s="306">
        <v>2.98</v>
      </c>
      <c r="J239" s="306">
        <v>2.82</v>
      </c>
      <c r="K239" s="306">
        <v>2.2400000000000002</v>
      </c>
      <c r="L239" s="306">
        <v>1.93</v>
      </c>
      <c r="M239" s="306">
        <v>1.74</v>
      </c>
      <c r="N239" s="306">
        <v>1.77</v>
      </c>
      <c r="O239" s="254"/>
      <c r="P239" s="254"/>
      <c r="Q239" s="254"/>
      <c r="R239" s="254"/>
      <c r="S239" s="62">
        <f t="shared" si="15"/>
        <v>2.2466666666666666</v>
      </c>
      <c r="T239" s="60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</row>
    <row r="240" spans="1:30" ht="15.75" customHeight="1">
      <c r="A240" s="47">
        <v>2</v>
      </c>
      <c r="B240" s="47">
        <v>8</v>
      </c>
      <c r="C240" s="47">
        <v>7</v>
      </c>
      <c r="D240" s="25" t="s">
        <v>171</v>
      </c>
      <c r="E240" s="25" t="s">
        <v>172</v>
      </c>
      <c r="F240" s="25" t="s">
        <v>25</v>
      </c>
      <c r="G240" s="49">
        <v>50878</v>
      </c>
      <c r="H240" s="51">
        <v>396</v>
      </c>
      <c r="I240" s="306">
        <v>0.73</v>
      </c>
      <c r="J240" s="306">
        <v>0.56000000000000005</v>
      </c>
      <c r="K240" s="306">
        <v>0.93</v>
      </c>
      <c r="L240" s="306">
        <v>1.0900000000000001</v>
      </c>
      <c r="M240" s="306">
        <v>0.75</v>
      </c>
      <c r="N240" s="306">
        <v>1.04</v>
      </c>
      <c r="O240" s="254"/>
      <c r="P240" s="254"/>
      <c r="Q240" s="254"/>
      <c r="R240" s="254"/>
      <c r="S240" s="62">
        <f t="shared" si="15"/>
        <v>0.85000000000000009</v>
      </c>
      <c r="T240" s="60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</row>
    <row r="241" spans="1:30" ht="15.75" customHeight="1">
      <c r="A241" s="63">
        <v>2</v>
      </c>
      <c r="B241" s="63">
        <v>8</v>
      </c>
      <c r="C241" s="63">
        <v>8</v>
      </c>
      <c r="D241" s="38" t="s">
        <v>235</v>
      </c>
      <c r="E241" s="38" t="s">
        <v>236</v>
      </c>
      <c r="F241" s="38" t="s">
        <v>34</v>
      </c>
      <c r="G241" s="64">
        <v>50569</v>
      </c>
      <c r="H241" s="65">
        <v>7</v>
      </c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2" t="e">
        <f t="shared" si="15"/>
        <v>#DIV/0!</v>
      </c>
      <c r="T241" s="67" t="s">
        <v>43</v>
      </c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</row>
    <row r="242" spans="1:30" ht="15.75" customHeight="1">
      <c r="A242" s="47">
        <v>2</v>
      </c>
      <c r="B242" s="47">
        <v>8</v>
      </c>
      <c r="C242" s="47">
        <v>8</v>
      </c>
      <c r="D242" s="25" t="s">
        <v>85</v>
      </c>
      <c r="E242" s="25" t="s">
        <v>86</v>
      </c>
      <c r="F242" s="25" t="s">
        <v>31</v>
      </c>
      <c r="G242" s="49">
        <v>50796</v>
      </c>
      <c r="H242" s="51">
        <v>256</v>
      </c>
      <c r="I242" s="306">
        <v>0.83</v>
      </c>
      <c r="J242" s="306">
        <v>0.77</v>
      </c>
      <c r="K242" s="254"/>
      <c r="L242" s="254"/>
      <c r="M242" s="254"/>
      <c r="N242" s="254"/>
      <c r="O242" s="254"/>
      <c r="P242" s="254"/>
      <c r="Q242" s="254"/>
      <c r="R242" s="254"/>
      <c r="S242" s="62">
        <f t="shared" si="15"/>
        <v>0.8</v>
      </c>
      <c r="T242" s="60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</row>
    <row r="243" spans="1:30" ht="15.75" customHeight="1">
      <c r="A243" s="47">
        <v>2</v>
      </c>
      <c r="B243" s="47">
        <v>8</v>
      </c>
      <c r="C243" s="47">
        <v>10</v>
      </c>
      <c r="D243" s="25" t="s">
        <v>169</v>
      </c>
      <c r="E243" s="25" t="s">
        <v>170</v>
      </c>
      <c r="F243" s="25" t="s">
        <v>25</v>
      </c>
      <c r="G243" s="49">
        <v>50883</v>
      </c>
      <c r="H243" s="51">
        <v>158</v>
      </c>
      <c r="I243" s="306">
        <v>0.35</v>
      </c>
      <c r="J243" s="306">
        <v>0.32</v>
      </c>
      <c r="K243" s="306">
        <v>0.52</v>
      </c>
      <c r="L243" s="306">
        <v>0.28000000000000003</v>
      </c>
      <c r="M243" s="306">
        <v>0.31</v>
      </c>
      <c r="N243" s="306">
        <v>0.5</v>
      </c>
      <c r="O243" s="306">
        <v>0.61</v>
      </c>
      <c r="P243" s="306">
        <v>0.53</v>
      </c>
      <c r="Q243" s="254"/>
      <c r="R243" s="254"/>
      <c r="S243" s="62">
        <f t="shared" si="15"/>
        <v>0.42749999999999999</v>
      </c>
      <c r="T243" s="60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</row>
    <row r="244" spans="1:30" ht="15.75" customHeight="1">
      <c r="A244" s="33">
        <v>2</v>
      </c>
      <c r="B244" s="47">
        <v>8</v>
      </c>
      <c r="C244" s="47">
        <v>10</v>
      </c>
      <c r="D244" s="25" t="s">
        <v>218</v>
      </c>
      <c r="E244" s="25" t="s">
        <v>219</v>
      </c>
      <c r="F244" s="25" t="s">
        <v>25</v>
      </c>
      <c r="G244" s="49">
        <v>50884</v>
      </c>
      <c r="H244" s="51">
        <v>262</v>
      </c>
      <c r="I244" s="306">
        <v>0.42</v>
      </c>
      <c r="J244" s="306">
        <v>0.41</v>
      </c>
      <c r="K244" s="306">
        <v>0.41</v>
      </c>
      <c r="L244" s="306">
        <v>0.34</v>
      </c>
      <c r="M244" s="306">
        <v>0.44</v>
      </c>
      <c r="N244" s="306">
        <v>0.45</v>
      </c>
      <c r="O244" s="306">
        <v>0.4</v>
      </c>
      <c r="P244" s="306">
        <v>0.5</v>
      </c>
      <c r="Q244" s="254"/>
      <c r="R244" s="254"/>
      <c r="S244" s="62">
        <f t="shared" si="15"/>
        <v>0.42125000000000001</v>
      </c>
      <c r="T244" s="60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</row>
    <row r="245" spans="1:30" ht="15.75" customHeight="1">
      <c r="A245" s="47">
        <v>2</v>
      </c>
      <c r="B245" s="47">
        <v>8</v>
      </c>
      <c r="C245" s="47">
        <v>11</v>
      </c>
      <c r="D245" s="25" t="s">
        <v>237</v>
      </c>
      <c r="E245" s="25" t="s">
        <v>238</v>
      </c>
      <c r="F245" s="25" t="s">
        <v>25</v>
      </c>
      <c r="G245" s="49">
        <v>50751</v>
      </c>
      <c r="H245" s="51">
        <v>239</v>
      </c>
      <c r="I245" s="306">
        <v>1.42</v>
      </c>
      <c r="J245" s="306">
        <v>1.3</v>
      </c>
      <c r="K245" s="306">
        <v>1.1579999999999999</v>
      </c>
      <c r="L245" s="254"/>
      <c r="M245" s="306">
        <v>1.51</v>
      </c>
      <c r="N245" s="306"/>
      <c r="O245" s="306">
        <v>0.7</v>
      </c>
      <c r="P245" s="306">
        <v>1.1200000000000001</v>
      </c>
      <c r="Q245" s="254"/>
      <c r="R245" s="254"/>
      <c r="S245" s="62">
        <f t="shared" si="15"/>
        <v>1.2013333333333334</v>
      </c>
      <c r="T245" s="60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</row>
    <row r="246" spans="1:30" ht="15.75" customHeight="1">
      <c r="A246" s="47">
        <v>2</v>
      </c>
      <c r="B246" s="47">
        <v>8</v>
      </c>
      <c r="C246" s="47">
        <v>11</v>
      </c>
      <c r="D246" s="25" t="s">
        <v>237</v>
      </c>
      <c r="E246" s="25" t="s">
        <v>238</v>
      </c>
      <c r="F246" s="25" t="s">
        <v>68</v>
      </c>
      <c r="G246" s="49">
        <v>50737</v>
      </c>
      <c r="H246" s="51">
        <v>31</v>
      </c>
      <c r="I246" s="306">
        <v>1.71</v>
      </c>
      <c r="J246" s="254"/>
      <c r="K246" s="254"/>
      <c r="L246" s="254"/>
      <c r="M246" s="254"/>
      <c r="N246" s="254"/>
      <c r="O246" s="254"/>
      <c r="P246" s="254"/>
      <c r="Q246" s="254"/>
      <c r="R246" s="254"/>
      <c r="S246" s="62">
        <f t="shared" si="15"/>
        <v>1.71</v>
      </c>
      <c r="T246" s="60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</row>
    <row r="247" spans="1:30" ht="15.75" customHeight="1">
      <c r="A247" s="71">
        <v>2</v>
      </c>
      <c r="B247" s="71">
        <v>8</v>
      </c>
      <c r="C247" s="71">
        <v>11</v>
      </c>
      <c r="D247" s="53" t="s">
        <v>237</v>
      </c>
      <c r="E247" s="53" t="s">
        <v>238</v>
      </c>
      <c r="F247" s="53" t="s">
        <v>34</v>
      </c>
      <c r="G247" s="73">
        <v>50543</v>
      </c>
      <c r="H247" s="74">
        <v>38</v>
      </c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62" t="e">
        <f t="shared" si="15"/>
        <v>#DIV/0!</v>
      </c>
      <c r="T247" s="79" t="s">
        <v>55</v>
      </c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</row>
    <row r="248" spans="1:30" ht="15.75" customHeight="1">
      <c r="A248" s="47">
        <v>2</v>
      </c>
      <c r="B248" s="47">
        <v>8</v>
      </c>
      <c r="C248" s="47">
        <v>11</v>
      </c>
      <c r="D248" s="25" t="s">
        <v>237</v>
      </c>
      <c r="E248" s="25" t="s">
        <v>238</v>
      </c>
      <c r="F248" s="25" t="s">
        <v>34</v>
      </c>
      <c r="G248" s="49">
        <v>50738</v>
      </c>
      <c r="H248" s="51">
        <v>54</v>
      </c>
      <c r="I248" s="306">
        <v>0.52</v>
      </c>
      <c r="J248" s="306"/>
      <c r="K248" s="254"/>
      <c r="L248" s="254"/>
      <c r="M248" s="254"/>
      <c r="N248" s="254"/>
      <c r="O248" s="254"/>
      <c r="P248" s="254"/>
      <c r="Q248" s="254"/>
      <c r="R248" s="254"/>
      <c r="S248" s="62">
        <f t="shared" si="15"/>
        <v>0.52</v>
      </c>
      <c r="T248" s="60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</row>
    <row r="249" spans="1:30" ht="15.75" customHeight="1">
      <c r="A249" s="47">
        <v>2</v>
      </c>
      <c r="B249" s="47">
        <v>8</v>
      </c>
      <c r="C249" s="47">
        <v>11</v>
      </c>
      <c r="D249" s="25" t="s">
        <v>237</v>
      </c>
      <c r="E249" s="25" t="s">
        <v>238</v>
      </c>
      <c r="F249" s="25" t="s">
        <v>68</v>
      </c>
      <c r="G249" s="49">
        <v>50644</v>
      </c>
      <c r="H249" s="51">
        <v>14</v>
      </c>
      <c r="I249" s="306">
        <v>1.77</v>
      </c>
      <c r="J249" s="254"/>
      <c r="K249" s="254"/>
      <c r="L249" s="254"/>
      <c r="M249" s="254"/>
      <c r="N249" s="254"/>
      <c r="O249" s="254"/>
      <c r="P249" s="254"/>
      <c r="Q249" s="254"/>
      <c r="R249" s="254"/>
      <c r="S249" s="62">
        <f t="shared" si="15"/>
        <v>1.77</v>
      </c>
      <c r="T249" s="60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</row>
    <row r="250" spans="1:30" ht="15.75" customHeight="1">
      <c r="A250" s="63">
        <v>2</v>
      </c>
      <c r="B250" s="63">
        <v>8</v>
      </c>
      <c r="C250" s="63">
        <v>11</v>
      </c>
      <c r="D250" s="38" t="s">
        <v>237</v>
      </c>
      <c r="E250" s="38" t="s">
        <v>238</v>
      </c>
      <c r="F250" s="38" t="s">
        <v>25</v>
      </c>
      <c r="G250" s="64">
        <v>50275</v>
      </c>
      <c r="H250" s="65">
        <v>24</v>
      </c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2" t="e">
        <f t="shared" si="15"/>
        <v>#DIV/0!</v>
      </c>
      <c r="T250" s="67" t="s">
        <v>43</v>
      </c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</row>
    <row r="251" spans="1:30" ht="15.75" customHeight="1">
      <c r="A251" s="63">
        <v>2</v>
      </c>
      <c r="B251" s="63">
        <v>8</v>
      </c>
      <c r="C251" s="63">
        <v>11</v>
      </c>
      <c r="D251" s="38" t="s">
        <v>237</v>
      </c>
      <c r="E251" s="38" t="s">
        <v>238</v>
      </c>
      <c r="F251" s="38" t="s">
        <v>34</v>
      </c>
      <c r="G251" s="64">
        <v>50709</v>
      </c>
      <c r="H251" s="65">
        <v>31</v>
      </c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2" t="e">
        <f t="shared" si="15"/>
        <v>#DIV/0!</v>
      </c>
      <c r="T251" s="67" t="s">
        <v>43</v>
      </c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</row>
    <row r="252" spans="1:30" ht="15.75" customHeight="1">
      <c r="A252" s="35">
        <v>2</v>
      </c>
      <c r="B252" s="35">
        <v>8</v>
      </c>
      <c r="C252" s="35">
        <v>12</v>
      </c>
      <c r="D252" s="16" t="s">
        <v>239</v>
      </c>
      <c r="E252" s="16" t="s">
        <v>240</v>
      </c>
      <c r="F252" s="16" t="s">
        <v>25</v>
      </c>
      <c r="G252" s="37">
        <v>30885</v>
      </c>
      <c r="H252" s="39">
        <v>408</v>
      </c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62" t="e">
        <f t="shared" si="15"/>
        <v>#DIV/0!</v>
      </c>
      <c r="T252" s="45" t="s">
        <v>26</v>
      </c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</row>
    <row r="253" spans="1:30" ht="15.75" customHeight="1">
      <c r="A253" s="47">
        <v>2</v>
      </c>
      <c r="B253" s="47">
        <v>8</v>
      </c>
      <c r="C253" s="47">
        <v>13</v>
      </c>
      <c r="D253" s="25" t="s">
        <v>134</v>
      </c>
      <c r="E253" s="25" t="s">
        <v>135</v>
      </c>
      <c r="F253" s="25" t="s">
        <v>25</v>
      </c>
      <c r="G253" s="49">
        <v>50142</v>
      </c>
      <c r="H253" s="51">
        <v>224</v>
      </c>
      <c r="I253" s="306"/>
      <c r="J253" s="306">
        <v>1.2</v>
      </c>
      <c r="K253" s="306"/>
      <c r="L253" s="306">
        <v>1.5</v>
      </c>
      <c r="M253" s="306">
        <v>0.8</v>
      </c>
      <c r="N253" s="306">
        <v>1.76</v>
      </c>
      <c r="O253" s="306">
        <v>1.55</v>
      </c>
      <c r="P253" s="306">
        <v>0.89</v>
      </c>
      <c r="Q253" s="254"/>
      <c r="R253" s="254"/>
      <c r="S253" s="62">
        <f t="shared" si="15"/>
        <v>1.2833333333333332</v>
      </c>
      <c r="T253" s="60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</row>
    <row r="254" spans="1:30" ht="15.75" customHeight="1">
      <c r="A254" s="47">
        <v>2</v>
      </c>
      <c r="B254" s="47">
        <v>8</v>
      </c>
      <c r="C254" s="47">
        <v>13</v>
      </c>
      <c r="D254" s="25" t="s">
        <v>136</v>
      </c>
      <c r="E254" s="25" t="s">
        <v>137</v>
      </c>
      <c r="F254" s="25" t="s">
        <v>25</v>
      </c>
      <c r="G254" s="49">
        <v>50857</v>
      </c>
      <c r="H254" s="51">
        <v>106</v>
      </c>
      <c r="I254" s="306">
        <v>1.67</v>
      </c>
      <c r="J254" s="306">
        <v>2.2200000000000002</v>
      </c>
      <c r="K254" s="306">
        <v>1.4</v>
      </c>
      <c r="L254" s="306">
        <v>1.3</v>
      </c>
      <c r="M254" s="254"/>
      <c r="N254" s="254"/>
      <c r="O254" s="254"/>
      <c r="P254" s="254"/>
      <c r="Q254" s="254"/>
      <c r="R254" s="254"/>
      <c r="S254" s="62">
        <f t="shared" si="15"/>
        <v>1.6475</v>
      </c>
      <c r="T254" s="60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</row>
    <row r="255" spans="1:30" ht="15.75" customHeight="1">
      <c r="A255" s="47">
        <v>2</v>
      </c>
      <c r="B255" s="47">
        <v>8</v>
      </c>
      <c r="C255" s="47">
        <v>14</v>
      </c>
      <c r="D255" s="25" t="s">
        <v>241</v>
      </c>
      <c r="E255" s="25" t="s">
        <v>242</v>
      </c>
      <c r="F255" s="25" t="s">
        <v>25</v>
      </c>
      <c r="G255" s="49">
        <v>50876</v>
      </c>
      <c r="H255" s="51">
        <v>420</v>
      </c>
      <c r="I255" s="306">
        <v>0.42</v>
      </c>
      <c r="J255" s="306">
        <v>0.76</v>
      </c>
      <c r="K255" s="306">
        <v>0.66</v>
      </c>
      <c r="L255" s="306">
        <v>0.55000000000000004</v>
      </c>
      <c r="M255" s="306">
        <v>0.6</v>
      </c>
      <c r="N255" s="306">
        <v>0.72</v>
      </c>
      <c r="O255" s="306">
        <v>0.56999999999999995</v>
      </c>
      <c r="P255" s="306">
        <v>0.66</v>
      </c>
      <c r="Q255" s="306">
        <v>0.66</v>
      </c>
      <c r="R255" s="306">
        <v>0.66</v>
      </c>
      <c r="S255" s="62">
        <f t="shared" si="15"/>
        <v>0.62600000000000011</v>
      </c>
      <c r="T255" s="60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</row>
    <row r="256" spans="1:30" ht="15.75" customHeight="1">
      <c r="A256" s="47">
        <v>2</v>
      </c>
      <c r="B256" s="47">
        <v>8</v>
      </c>
      <c r="C256" s="47">
        <v>15</v>
      </c>
      <c r="D256" s="25" t="s">
        <v>203</v>
      </c>
      <c r="E256" s="25" t="s">
        <v>204</v>
      </c>
      <c r="F256" s="25" t="s">
        <v>31</v>
      </c>
      <c r="G256" s="49">
        <v>50841</v>
      </c>
      <c r="H256" s="51">
        <v>390</v>
      </c>
      <c r="I256" s="306">
        <v>0.75</v>
      </c>
      <c r="J256" s="306">
        <v>0.94</v>
      </c>
      <c r="K256" s="306">
        <v>1.37</v>
      </c>
      <c r="L256" s="306">
        <v>1.05</v>
      </c>
      <c r="M256" s="306">
        <v>0.91</v>
      </c>
      <c r="N256" s="306">
        <v>0.96</v>
      </c>
      <c r="O256" s="306">
        <v>1.04</v>
      </c>
      <c r="P256" s="306">
        <v>0.66</v>
      </c>
      <c r="Q256" s="306">
        <v>0.86</v>
      </c>
      <c r="R256" s="306">
        <v>0.63200000000000001</v>
      </c>
      <c r="S256" s="62">
        <f t="shared" si="15"/>
        <v>0.91720000000000002</v>
      </c>
      <c r="T256" s="60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</row>
    <row r="257" spans="1:30" ht="15.75" customHeight="1">
      <c r="A257" s="47">
        <v>2</v>
      </c>
      <c r="B257" s="47">
        <v>8</v>
      </c>
      <c r="C257" s="47">
        <v>15</v>
      </c>
      <c r="D257" s="25" t="s">
        <v>203</v>
      </c>
      <c r="E257" s="25" t="s">
        <v>204</v>
      </c>
      <c r="F257" s="25" t="s">
        <v>25</v>
      </c>
      <c r="G257" s="49">
        <v>50657</v>
      </c>
      <c r="H257" s="51">
        <v>8</v>
      </c>
      <c r="I257" s="306">
        <v>1.2</v>
      </c>
      <c r="J257" s="254"/>
      <c r="K257" s="254"/>
      <c r="L257" s="254"/>
      <c r="M257" s="254"/>
      <c r="N257" s="254"/>
      <c r="O257" s="254"/>
      <c r="P257" s="254"/>
      <c r="Q257" s="254"/>
      <c r="R257" s="254"/>
      <c r="S257" s="62">
        <f t="shared" si="15"/>
        <v>1.2</v>
      </c>
      <c r="T257" s="60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</row>
    <row r="258" spans="1:30" ht="15.75" customHeight="1">
      <c r="A258" s="47">
        <v>2</v>
      </c>
      <c r="B258" s="47">
        <v>8</v>
      </c>
      <c r="C258" s="47">
        <v>15</v>
      </c>
      <c r="D258" s="25" t="s">
        <v>203</v>
      </c>
      <c r="E258" s="25" t="s">
        <v>204</v>
      </c>
      <c r="F258" s="25" t="s">
        <v>31</v>
      </c>
      <c r="G258" s="49">
        <v>50777</v>
      </c>
      <c r="H258" s="51">
        <v>9</v>
      </c>
      <c r="I258" s="306">
        <v>0.95</v>
      </c>
      <c r="J258" s="254"/>
      <c r="K258" s="254"/>
      <c r="L258" s="254"/>
      <c r="M258" s="254"/>
      <c r="N258" s="254"/>
      <c r="O258" s="254"/>
      <c r="P258" s="254"/>
      <c r="Q258" s="254"/>
      <c r="R258" s="254"/>
      <c r="S258" s="62">
        <f t="shared" si="15"/>
        <v>0.95</v>
      </c>
      <c r="T258" s="60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</row>
    <row r="259" spans="1:30" ht="15.75" customHeight="1">
      <c r="A259" s="47">
        <v>2</v>
      </c>
      <c r="B259" s="47">
        <v>8</v>
      </c>
      <c r="C259" s="47">
        <v>15</v>
      </c>
      <c r="D259" s="25" t="s">
        <v>203</v>
      </c>
      <c r="E259" s="25" t="s">
        <v>204</v>
      </c>
      <c r="F259" s="25" t="s">
        <v>31</v>
      </c>
      <c r="G259" s="49">
        <v>50799</v>
      </c>
      <c r="H259" s="51">
        <v>7</v>
      </c>
      <c r="I259" s="306">
        <v>0.97</v>
      </c>
      <c r="J259" s="254"/>
      <c r="K259" s="254"/>
      <c r="L259" s="254"/>
      <c r="M259" s="254"/>
      <c r="N259" s="254"/>
      <c r="O259" s="254"/>
      <c r="P259" s="254"/>
      <c r="Q259" s="254"/>
      <c r="R259" s="254"/>
      <c r="S259" s="62">
        <f t="shared" si="15"/>
        <v>0.97</v>
      </c>
      <c r="T259" s="60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</row>
    <row r="260" spans="1:30" ht="15.75" customHeight="1">
      <c r="A260" s="63">
        <v>2</v>
      </c>
      <c r="B260" s="63">
        <v>12</v>
      </c>
      <c r="C260" s="63">
        <v>22</v>
      </c>
      <c r="D260" s="38" t="s">
        <v>243</v>
      </c>
      <c r="E260" s="38" t="s">
        <v>244</v>
      </c>
      <c r="F260" s="38" t="s">
        <v>109</v>
      </c>
      <c r="G260" s="64">
        <v>30655</v>
      </c>
      <c r="H260" s="65">
        <v>6</v>
      </c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40"/>
      <c r="T260" s="67" t="s">
        <v>43</v>
      </c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</row>
    <row r="261" spans="1:30" ht="15.75" customHeight="1">
      <c r="A261" s="36"/>
      <c r="B261" s="36"/>
      <c r="C261" s="36"/>
      <c r="D261" s="36"/>
      <c r="E261" s="36"/>
      <c r="F261" s="36"/>
      <c r="G261" s="36"/>
      <c r="H261" s="36"/>
      <c r="I261" s="336"/>
      <c r="J261" s="336"/>
      <c r="K261" s="336"/>
      <c r="L261" s="336"/>
      <c r="M261" s="336"/>
      <c r="N261" s="336"/>
      <c r="O261" s="336"/>
      <c r="P261" s="336"/>
      <c r="Q261" s="336"/>
      <c r="R261" s="336"/>
      <c r="S261" s="62"/>
      <c r="T261" s="60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</row>
    <row r="262" spans="1:30" ht="15.75" customHeight="1">
      <c r="A262" s="36"/>
      <c r="B262" s="36"/>
      <c r="C262" s="36"/>
      <c r="D262" s="36"/>
      <c r="E262" s="36"/>
      <c r="F262" s="36"/>
      <c r="G262" s="36"/>
      <c r="H262" s="36"/>
      <c r="I262" s="336"/>
      <c r="J262" s="336"/>
      <c r="K262" s="336"/>
      <c r="L262" s="336"/>
      <c r="M262" s="336"/>
      <c r="N262" s="336"/>
      <c r="O262" s="336"/>
      <c r="P262" s="336"/>
      <c r="Q262" s="336"/>
      <c r="R262" s="336"/>
      <c r="S262" s="62"/>
      <c r="T262" s="60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</row>
    <row r="263" spans="1:30" ht="15.75" customHeight="1">
      <c r="A263" s="672" t="s">
        <v>245</v>
      </c>
      <c r="B263" s="672"/>
      <c r="C263" s="672"/>
      <c r="D263" s="672"/>
      <c r="E263" s="672"/>
      <c r="F263" s="672"/>
      <c r="G263" s="672"/>
      <c r="H263" s="672"/>
      <c r="I263" s="672"/>
      <c r="J263" s="672"/>
      <c r="K263" s="672"/>
      <c r="L263" s="672"/>
      <c r="M263" s="337"/>
      <c r="N263" s="337"/>
      <c r="O263" s="337"/>
      <c r="P263" s="337"/>
      <c r="Q263" s="337"/>
      <c r="R263" s="337"/>
      <c r="S263" s="337"/>
      <c r="T263" s="293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</row>
    <row r="264" spans="1:30" ht="15.75" customHeight="1">
      <c r="A264" s="189"/>
      <c r="B264" s="189"/>
      <c r="C264" s="189"/>
      <c r="D264" s="189"/>
      <c r="E264" s="189"/>
      <c r="F264" s="189"/>
      <c r="G264" s="189"/>
      <c r="H264" s="189"/>
      <c r="I264" s="338"/>
      <c r="J264" s="338"/>
      <c r="K264" s="338"/>
      <c r="L264" s="338"/>
      <c r="M264" s="337"/>
      <c r="N264" s="337"/>
      <c r="O264" s="337"/>
      <c r="P264" s="337"/>
      <c r="Q264" s="337"/>
      <c r="R264" s="337"/>
      <c r="S264" s="337"/>
      <c r="T264" s="293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</row>
    <row r="265" spans="1:30">
      <c r="A265" s="189"/>
      <c r="B265" s="189"/>
      <c r="C265" s="189"/>
      <c r="D265" s="189"/>
      <c r="E265" s="189"/>
      <c r="F265" s="189"/>
      <c r="G265" s="189"/>
      <c r="H265" s="189"/>
      <c r="I265" s="338"/>
      <c r="J265" s="338"/>
      <c r="K265" s="338"/>
      <c r="L265" s="338"/>
      <c r="M265" s="337"/>
      <c r="N265" s="337"/>
      <c r="O265" s="337"/>
      <c r="P265" s="337"/>
      <c r="Q265" s="337"/>
      <c r="R265" s="337"/>
      <c r="S265" s="337"/>
      <c r="T265" s="293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</row>
    <row r="266" spans="1:30">
      <c r="A266" s="189"/>
      <c r="B266" s="189"/>
      <c r="C266" s="189"/>
      <c r="D266" s="189"/>
      <c r="E266" s="189"/>
      <c r="F266" s="189"/>
      <c r="G266" s="189"/>
      <c r="H266" s="189"/>
      <c r="I266" s="338"/>
      <c r="J266" s="338"/>
      <c r="K266" s="338"/>
      <c r="L266" s="338"/>
      <c r="M266" s="338"/>
      <c r="N266" s="338"/>
      <c r="O266" s="338"/>
      <c r="P266" s="338"/>
      <c r="Q266" s="338"/>
      <c r="R266" s="338"/>
      <c r="S266" s="338"/>
      <c r="T266" s="230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</row>
    <row r="267" spans="1:30">
      <c r="A267" s="189"/>
      <c r="B267" s="189"/>
      <c r="C267" s="189"/>
      <c r="D267" s="189"/>
      <c r="E267" s="189"/>
      <c r="F267" s="189"/>
      <c r="G267" s="189"/>
      <c r="H267" s="189"/>
      <c r="I267" s="338"/>
      <c r="J267" s="338"/>
      <c r="K267" s="338"/>
      <c r="L267" s="338"/>
      <c r="M267" s="338"/>
      <c r="N267" s="338"/>
      <c r="O267" s="338"/>
      <c r="P267" s="338"/>
      <c r="Q267" s="338"/>
      <c r="R267" s="338"/>
      <c r="S267" s="338"/>
      <c r="T267" s="230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</row>
    <row r="268" spans="1:30">
      <c r="A268" s="189"/>
      <c r="B268" s="189"/>
      <c r="C268" s="189"/>
      <c r="D268" s="189"/>
      <c r="E268" s="189"/>
      <c r="F268" s="189"/>
      <c r="G268" s="189"/>
      <c r="H268" s="189"/>
      <c r="I268" s="338"/>
      <c r="J268" s="338"/>
      <c r="K268" s="338"/>
      <c r="L268" s="338"/>
      <c r="M268" s="338"/>
      <c r="N268" s="338"/>
      <c r="O268" s="338"/>
      <c r="P268" s="338"/>
      <c r="Q268" s="338"/>
      <c r="R268" s="338"/>
      <c r="S268" s="338"/>
      <c r="T268" s="230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</row>
    <row r="269" spans="1:30">
      <c r="A269" s="189"/>
      <c r="B269" s="189"/>
      <c r="C269" s="189"/>
      <c r="D269" s="189"/>
      <c r="E269" s="189"/>
      <c r="F269" s="189"/>
      <c r="G269" s="189"/>
      <c r="H269" s="189"/>
      <c r="I269" s="338"/>
      <c r="J269" s="338"/>
      <c r="K269" s="338"/>
      <c r="L269" s="338"/>
      <c r="M269" s="338"/>
      <c r="N269" s="338"/>
      <c r="O269" s="338"/>
      <c r="P269" s="338"/>
      <c r="Q269" s="338"/>
      <c r="R269" s="338"/>
      <c r="S269" s="338"/>
      <c r="T269" s="230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</row>
    <row r="270" spans="1:30">
      <c r="A270" s="189"/>
      <c r="B270" s="189"/>
      <c r="C270" s="189"/>
      <c r="D270" s="189"/>
      <c r="E270" s="189"/>
      <c r="F270" s="189"/>
      <c r="G270" s="189"/>
      <c r="H270" s="189"/>
      <c r="I270" s="338"/>
      <c r="J270" s="338"/>
      <c r="K270" s="338"/>
      <c r="L270" s="338"/>
      <c r="M270" s="338"/>
      <c r="N270" s="338"/>
      <c r="O270" s="338"/>
      <c r="P270" s="338"/>
      <c r="Q270" s="338"/>
      <c r="R270" s="338"/>
      <c r="S270" s="338"/>
      <c r="T270" s="230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</row>
    <row r="271" spans="1:30">
      <c r="A271" s="189"/>
      <c r="B271" s="189"/>
      <c r="C271" s="189"/>
      <c r="D271" s="189"/>
      <c r="E271" s="189"/>
      <c r="F271" s="189"/>
      <c r="G271" s="189"/>
      <c r="H271" s="189"/>
      <c r="I271" s="338"/>
      <c r="J271" s="338"/>
      <c r="K271" s="338"/>
      <c r="L271" s="338"/>
      <c r="M271" s="338"/>
      <c r="N271" s="338"/>
      <c r="O271" s="338"/>
      <c r="P271" s="338"/>
      <c r="Q271" s="338"/>
      <c r="R271" s="338"/>
      <c r="S271" s="338"/>
      <c r="T271" s="230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</row>
    <row r="272" spans="1:30">
      <c r="A272" s="189"/>
      <c r="B272" s="189"/>
      <c r="C272" s="189"/>
      <c r="D272" s="189"/>
      <c r="E272" s="189"/>
      <c r="F272" s="189"/>
      <c r="G272" s="189"/>
      <c r="H272" s="189"/>
      <c r="I272" s="338"/>
      <c r="J272" s="338"/>
      <c r="K272" s="338"/>
      <c r="L272" s="338"/>
      <c r="M272" s="338"/>
      <c r="N272" s="338"/>
      <c r="O272" s="338"/>
      <c r="P272" s="338"/>
      <c r="Q272" s="338"/>
      <c r="R272" s="338"/>
      <c r="S272" s="338"/>
      <c r="T272" s="230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</row>
    <row r="273" spans="1:30">
      <c r="A273" s="189"/>
      <c r="B273" s="189"/>
      <c r="C273" s="189"/>
      <c r="D273" s="189"/>
      <c r="E273" s="189"/>
      <c r="F273" s="189"/>
      <c r="G273" s="189"/>
      <c r="H273" s="189"/>
      <c r="I273" s="338"/>
      <c r="J273" s="338"/>
      <c r="K273" s="338"/>
      <c r="L273" s="338"/>
      <c r="M273" s="338"/>
      <c r="N273" s="338"/>
      <c r="O273" s="338"/>
      <c r="P273" s="338"/>
      <c r="Q273" s="338"/>
      <c r="R273" s="338"/>
      <c r="S273" s="338"/>
      <c r="T273" s="230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</row>
    <row r="274" spans="1:30">
      <c r="A274" s="189"/>
      <c r="B274" s="189"/>
      <c r="C274" s="189"/>
      <c r="D274" s="189"/>
      <c r="E274" s="189"/>
      <c r="F274" s="189"/>
      <c r="G274" s="189"/>
      <c r="H274" s="189"/>
      <c r="I274" s="338"/>
      <c r="J274" s="338"/>
      <c r="K274" s="338"/>
      <c r="L274" s="338"/>
      <c r="M274" s="338"/>
      <c r="N274" s="338"/>
      <c r="O274" s="338"/>
      <c r="P274" s="338"/>
      <c r="Q274" s="338"/>
      <c r="R274" s="338"/>
      <c r="S274" s="338"/>
      <c r="T274" s="230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</row>
    <row r="275" spans="1:30">
      <c r="A275" s="189"/>
      <c r="B275" s="189"/>
      <c r="C275" s="189"/>
      <c r="D275" s="189"/>
      <c r="E275" s="189"/>
      <c r="F275" s="189"/>
      <c r="G275" s="189"/>
      <c r="H275" s="189"/>
      <c r="I275" s="338"/>
      <c r="J275" s="338"/>
      <c r="K275" s="338"/>
      <c r="L275" s="338"/>
      <c r="M275" s="338"/>
      <c r="N275" s="338"/>
      <c r="O275" s="338"/>
      <c r="P275" s="338"/>
      <c r="Q275" s="338"/>
      <c r="R275" s="338"/>
      <c r="S275" s="338"/>
      <c r="T275" s="230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</row>
    <row r="276" spans="1:30">
      <c r="A276" s="189"/>
      <c r="B276" s="189"/>
      <c r="C276" s="189"/>
      <c r="D276" s="189"/>
      <c r="E276" s="189"/>
      <c r="F276" s="189"/>
      <c r="G276" s="189"/>
      <c r="H276" s="189"/>
      <c r="I276" s="338"/>
      <c r="J276" s="338"/>
      <c r="K276" s="338"/>
      <c r="L276" s="338"/>
      <c r="M276" s="338"/>
      <c r="N276" s="338"/>
      <c r="O276" s="338"/>
      <c r="P276" s="338"/>
      <c r="Q276" s="338"/>
      <c r="R276" s="338"/>
      <c r="S276" s="338"/>
      <c r="T276" s="230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</row>
    <row r="277" spans="1:30">
      <c r="A277" s="189"/>
      <c r="B277" s="189"/>
      <c r="C277" s="189"/>
      <c r="D277" s="189"/>
      <c r="E277" s="189"/>
      <c r="F277" s="189"/>
      <c r="G277" s="189"/>
      <c r="H277" s="189"/>
      <c r="I277" s="338"/>
      <c r="J277" s="338"/>
      <c r="K277" s="338"/>
      <c r="L277" s="338"/>
      <c r="M277" s="338"/>
      <c r="N277" s="338"/>
      <c r="O277" s="338"/>
      <c r="P277" s="338"/>
      <c r="Q277" s="338"/>
      <c r="R277" s="338"/>
      <c r="S277" s="338"/>
      <c r="T277" s="230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</row>
    <row r="278" spans="1:30">
      <c r="A278" s="189"/>
      <c r="B278" s="189"/>
      <c r="C278" s="189"/>
      <c r="D278" s="189"/>
      <c r="E278" s="189"/>
      <c r="F278" s="189"/>
      <c r="G278" s="189"/>
      <c r="H278" s="189"/>
      <c r="I278" s="338"/>
      <c r="J278" s="338"/>
      <c r="K278" s="338"/>
      <c r="L278" s="338"/>
      <c r="M278" s="338"/>
      <c r="N278" s="338"/>
      <c r="O278" s="338"/>
      <c r="P278" s="338"/>
      <c r="Q278" s="338"/>
      <c r="R278" s="338"/>
      <c r="S278" s="338"/>
      <c r="T278" s="230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</row>
    <row r="279" spans="1:30">
      <c r="A279" s="189"/>
      <c r="B279" s="189"/>
      <c r="C279" s="189"/>
      <c r="D279" s="189"/>
      <c r="E279" s="189"/>
      <c r="F279" s="189"/>
      <c r="G279" s="189"/>
      <c r="H279" s="189"/>
      <c r="I279" s="338"/>
      <c r="J279" s="338"/>
      <c r="K279" s="338"/>
      <c r="L279" s="338"/>
      <c r="M279" s="338"/>
      <c r="N279" s="338"/>
      <c r="O279" s="338"/>
      <c r="P279" s="338"/>
      <c r="Q279" s="338"/>
      <c r="R279" s="338"/>
      <c r="S279" s="338"/>
      <c r="T279" s="230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</row>
    <row r="280" spans="1:30">
      <c r="A280" s="189"/>
      <c r="B280" s="189"/>
      <c r="C280" s="189"/>
      <c r="D280" s="189"/>
      <c r="E280" s="189"/>
      <c r="F280" s="189"/>
      <c r="G280" s="189"/>
      <c r="H280" s="189"/>
      <c r="I280" s="338"/>
      <c r="J280" s="338"/>
      <c r="K280" s="338"/>
      <c r="L280" s="338"/>
      <c r="M280" s="338"/>
      <c r="N280" s="338"/>
      <c r="O280" s="338"/>
      <c r="P280" s="338"/>
      <c r="Q280" s="338"/>
      <c r="R280" s="338"/>
      <c r="S280" s="338"/>
      <c r="T280" s="230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</row>
    <row r="281" spans="1:30">
      <c r="A281" s="189"/>
      <c r="B281" s="189"/>
      <c r="C281" s="189"/>
      <c r="D281" s="189"/>
      <c r="E281" s="189"/>
      <c r="F281" s="189"/>
      <c r="G281" s="189"/>
      <c r="H281" s="189"/>
      <c r="I281" s="338"/>
      <c r="J281" s="338"/>
      <c r="K281" s="338"/>
      <c r="L281" s="338"/>
      <c r="M281" s="338"/>
      <c r="N281" s="338"/>
      <c r="O281" s="338"/>
      <c r="P281" s="338"/>
      <c r="Q281" s="338"/>
      <c r="R281" s="338"/>
      <c r="S281" s="338"/>
      <c r="T281" s="230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</row>
    <row r="282" spans="1:30">
      <c r="A282" s="189"/>
      <c r="B282" s="189"/>
      <c r="C282" s="189"/>
      <c r="D282" s="189"/>
      <c r="E282" s="189"/>
      <c r="F282" s="189"/>
      <c r="G282" s="189"/>
      <c r="H282" s="189"/>
      <c r="I282" s="338"/>
      <c r="J282" s="338"/>
      <c r="K282" s="338"/>
      <c r="L282" s="338"/>
      <c r="M282" s="338"/>
      <c r="N282" s="338"/>
      <c r="O282" s="338"/>
      <c r="P282" s="338"/>
      <c r="Q282" s="338"/>
      <c r="R282" s="338"/>
      <c r="S282" s="338"/>
      <c r="T282" s="230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</row>
    <row r="283" spans="1:30">
      <c r="A283" s="189"/>
      <c r="B283" s="189"/>
      <c r="C283" s="189"/>
      <c r="D283" s="189"/>
      <c r="E283" s="189"/>
      <c r="F283" s="189"/>
      <c r="G283" s="189"/>
      <c r="H283" s="189"/>
      <c r="I283" s="338"/>
      <c r="J283" s="338"/>
      <c r="K283" s="338"/>
      <c r="L283" s="338"/>
      <c r="M283" s="338"/>
      <c r="N283" s="338"/>
      <c r="O283" s="338"/>
      <c r="P283" s="338"/>
      <c r="Q283" s="338"/>
      <c r="R283" s="338"/>
      <c r="S283" s="338"/>
      <c r="T283" s="230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</row>
    <row r="284" spans="1:30">
      <c r="A284" s="189"/>
      <c r="B284" s="189"/>
      <c r="C284" s="189"/>
      <c r="D284" s="189"/>
      <c r="E284" s="189"/>
      <c r="F284" s="189"/>
      <c r="G284" s="189"/>
      <c r="H284" s="189"/>
      <c r="I284" s="338"/>
      <c r="J284" s="338"/>
      <c r="K284" s="338"/>
      <c r="L284" s="338"/>
      <c r="M284" s="338"/>
      <c r="N284" s="338"/>
      <c r="O284" s="338"/>
      <c r="P284" s="338"/>
      <c r="Q284" s="338"/>
      <c r="R284" s="338"/>
      <c r="S284" s="338"/>
      <c r="T284" s="230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</row>
    <row r="285" spans="1:30">
      <c r="A285" s="189"/>
      <c r="B285" s="189"/>
      <c r="C285" s="189"/>
      <c r="D285" s="189"/>
      <c r="E285" s="189"/>
      <c r="F285" s="189"/>
      <c r="G285" s="189"/>
      <c r="H285" s="189"/>
      <c r="I285" s="338"/>
      <c r="J285" s="338"/>
      <c r="K285" s="338"/>
      <c r="L285" s="338"/>
      <c r="M285" s="338"/>
      <c r="N285" s="338"/>
      <c r="O285" s="338"/>
      <c r="P285" s="338"/>
      <c r="Q285" s="338"/>
      <c r="R285" s="338"/>
      <c r="S285" s="338"/>
      <c r="T285" s="230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</row>
    <row r="286" spans="1:30">
      <c r="A286" s="189"/>
      <c r="B286" s="189"/>
      <c r="C286" s="189"/>
      <c r="D286" s="189"/>
      <c r="E286" s="189"/>
      <c r="F286" s="189"/>
      <c r="G286" s="189"/>
      <c r="H286" s="189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230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</row>
    <row r="287" spans="1:30">
      <c r="A287" s="189"/>
      <c r="B287" s="189"/>
      <c r="C287" s="189"/>
      <c r="D287" s="189"/>
      <c r="E287" s="189"/>
      <c r="F287" s="189"/>
      <c r="G287" s="189"/>
      <c r="H287" s="189"/>
      <c r="I287" s="338"/>
      <c r="J287" s="338"/>
      <c r="K287" s="338"/>
      <c r="L287" s="338"/>
      <c r="M287" s="338"/>
      <c r="N287" s="338"/>
      <c r="O287" s="338"/>
      <c r="P287" s="338"/>
      <c r="Q287" s="338"/>
      <c r="R287" s="338"/>
      <c r="S287" s="338"/>
      <c r="T287" s="230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</row>
    <row r="288" spans="1:30">
      <c r="A288" s="189"/>
      <c r="B288" s="189"/>
      <c r="C288" s="189"/>
      <c r="D288" s="189"/>
      <c r="E288" s="189"/>
      <c r="F288" s="189"/>
      <c r="G288" s="189"/>
      <c r="H288" s="189"/>
      <c r="I288" s="338"/>
      <c r="J288" s="338"/>
      <c r="K288" s="338"/>
      <c r="L288" s="338"/>
      <c r="M288" s="338"/>
      <c r="N288" s="338"/>
      <c r="O288" s="338"/>
      <c r="P288" s="338"/>
      <c r="Q288" s="338"/>
      <c r="R288" s="338"/>
      <c r="S288" s="338"/>
      <c r="T288" s="230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</row>
    <row r="289" spans="1:30">
      <c r="A289" s="189"/>
      <c r="B289" s="189"/>
      <c r="C289" s="189"/>
      <c r="D289" s="189"/>
      <c r="E289" s="189"/>
      <c r="F289" s="189"/>
      <c r="G289" s="189"/>
      <c r="H289" s="189"/>
      <c r="I289" s="338"/>
      <c r="J289" s="338"/>
      <c r="K289" s="338"/>
      <c r="L289" s="338"/>
      <c r="M289" s="338"/>
      <c r="N289" s="338"/>
      <c r="O289" s="338"/>
      <c r="P289" s="338"/>
      <c r="Q289" s="338"/>
      <c r="R289" s="338"/>
      <c r="S289" s="338"/>
      <c r="T289" s="230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</row>
    <row r="290" spans="1:30">
      <c r="A290" s="189"/>
      <c r="B290" s="189"/>
      <c r="C290" s="189"/>
      <c r="D290" s="189"/>
      <c r="E290" s="189"/>
      <c r="F290" s="189"/>
      <c r="G290" s="189"/>
      <c r="H290" s="189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230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</row>
    <row r="291" spans="1:30">
      <c r="A291" s="189"/>
      <c r="B291" s="189"/>
      <c r="C291" s="189"/>
      <c r="D291" s="189"/>
      <c r="E291" s="189"/>
      <c r="F291" s="189"/>
      <c r="G291" s="189"/>
      <c r="H291" s="189"/>
      <c r="I291" s="338"/>
      <c r="J291" s="338"/>
      <c r="K291" s="338"/>
      <c r="L291" s="338"/>
      <c r="M291" s="338"/>
      <c r="N291" s="338"/>
      <c r="O291" s="338"/>
      <c r="P291" s="338"/>
      <c r="Q291" s="338"/>
      <c r="R291" s="338"/>
      <c r="S291" s="338"/>
      <c r="T291" s="230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</row>
    <row r="292" spans="1:30">
      <c r="A292" s="189"/>
      <c r="B292" s="189"/>
      <c r="C292" s="189"/>
      <c r="D292" s="189"/>
      <c r="E292" s="189"/>
      <c r="F292" s="189"/>
      <c r="G292" s="189"/>
      <c r="H292" s="189"/>
      <c r="I292" s="338"/>
      <c r="J292" s="338"/>
      <c r="K292" s="338"/>
      <c r="L292" s="338"/>
      <c r="M292" s="338"/>
      <c r="N292" s="338"/>
      <c r="O292" s="338"/>
      <c r="P292" s="338"/>
      <c r="Q292" s="338"/>
      <c r="R292" s="338"/>
      <c r="S292" s="338"/>
      <c r="T292" s="230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</row>
    <row r="293" spans="1:30">
      <c r="A293" s="189"/>
      <c r="B293" s="189"/>
      <c r="C293" s="189"/>
      <c r="D293" s="189"/>
      <c r="E293" s="189"/>
      <c r="F293" s="189"/>
      <c r="G293" s="189"/>
      <c r="H293" s="189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230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</row>
    <row r="294" spans="1:30">
      <c r="A294" s="189"/>
      <c r="B294" s="189"/>
      <c r="C294" s="189"/>
      <c r="D294" s="189"/>
      <c r="E294" s="189"/>
      <c r="F294" s="189"/>
      <c r="G294" s="189"/>
      <c r="H294" s="189"/>
      <c r="I294" s="338"/>
      <c r="J294" s="338"/>
      <c r="K294" s="338"/>
      <c r="L294" s="338"/>
      <c r="M294" s="338"/>
      <c r="N294" s="338"/>
      <c r="O294" s="338"/>
      <c r="P294" s="338"/>
      <c r="Q294" s="338"/>
      <c r="R294" s="338"/>
      <c r="S294" s="338"/>
      <c r="T294" s="230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</row>
    <row r="295" spans="1:30">
      <c r="A295" s="189"/>
      <c r="B295" s="189"/>
      <c r="C295" s="189"/>
      <c r="D295" s="189"/>
      <c r="E295" s="189"/>
      <c r="F295" s="189"/>
      <c r="G295" s="189"/>
      <c r="H295" s="189"/>
      <c r="I295" s="338"/>
      <c r="J295" s="338"/>
      <c r="K295" s="338"/>
      <c r="L295" s="338"/>
      <c r="M295" s="338"/>
      <c r="N295" s="338"/>
      <c r="O295" s="338"/>
      <c r="P295" s="338"/>
      <c r="Q295" s="338"/>
      <c r="R295" s="338"/>
      <c r="S295" s="338"/>
      <c r="T295" s="230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</row>
    <row r="296" spans="1:30">
      <c r="A296" s="189"/>
      <c r="B296" s="189"/>
      <c r="C296" s="189"/>
      <c r="D296" s="189"/>
      <c r="E296" s="189"/>
      <c r="F296" s="189"/>
      <c r="G296" s="189"/>
      <c r="H296" s="189"/>
      <c r="I296" s="338"/>
      <c r="J296" s="338"/>
      <c r="K296" s="338"/>
      <c r="L296" s="338"/>
      <c r="M296" s="338"/>
      <c r="N296" s="338"/>
      <c r="O296" s="338"/>
      <c r="P296" s="338"/>
      <c r="Q296" s="338"/>
      <c r="R296" s="338"/>
      <c r="S296" s="338"/>
      <c r="T296" s="230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</row>
    <row r="297" spans="1:30">
      <c r="A297" s="189"/>
      <c r="B297" s="189"/>
      <c r="C297" s="189"/>
      <c r="D297" s="189"/>
      <c r="E297" s="189"/>
      <c r="F297" s="189"/>
      <c r="G297" s="189"/>
      <c r="H297" s="189"/>
      <c r="I297" s="338"/>
      <c r="J297" s="338"/>
      <c r="K297" s="338"/>
      <c r="L297" s="338"/>
      <c r="M297" s="338"/>
      <c r="N297" s="338"/>
      <c r="O297" s="338"/>
      <c r="P297" s="338"/>
      <c r="Q297" s="338"/>
      <c r="R297" s="338"/>
      <c r="S297" s="338"/>
      <c r="T297" s="230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</row>
    <row r="298" spans="1:30">
      <c r="A298" s="189"/>
      <c r="B298" s="189"/>
      <c r="C298" s="189"/>
      <c r="D298" s="189"/>
      <c r="E298" s="189"/>
      <c r="F298" s="189"/>
      <c r="G298" s="189"/>
      <c r="H298" s="189"/>
      <c r="I298" s="338"/>
      <c r="J298" s="338"/>
      <c r="K298" s="338"/>
      <c r="L298" s="338"/>
      <c r="M298" s="338"/>
      <c r="N298" s="338"/>
      <c r="O298" s="338"/>
      <c r="P298" s="338"/>
      <c r="Q298" s="338"/>
      <c r="R298" s="338"/>
      <c r="S298" s="338"/>
      <c r="T298" s="230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</row>
    <row r="299" spans="1:30">
      <c r="A299" s="189"/>
      <c r="B299" s="189"/>
      <c r="C299" s="189"/>
      <c r="D299" s="189"/>
      <c r="E299" s="189"/>
      <c r="F299" s="189"/>
      <c r="G299" s="189"/>
      <c r="H299" s="189"/>
      <c r="I299" s="338"/>
      <c r="J299" s="338"/>
      <c r="K299" s="338"/>
      <c r="L299" s="338"/>
      <c r="M299" s="338"/>
      <c r="N299" s="338"/>
      <c r="O299" s="338"/>
      <c r="P299" s="338"/>
      <c r="Q299" s="338"/>
      <c r="R299" s="338"/>
      <c r="S299" s="338"/>
      <c r="T299" s="230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</row>
    <row r="300" spans="1:30">
      <c r="A300" s="189"/>
      <c r="B300" s="189"/>
      <c r="C300" s="189"/>
      <c r="D300" s="189"/>
      <c r="E300" s="189"/>
      <c r="F300" s="189"/>
      <c r="G300" s="189"/>
      <c r="H300" s="189"/>
      <c r="I300" s="338"/>
      <c r="J300" s="338"/>
      <c r="K300" s="338"/>
      <c r="L300" s="338"/>
      <c r="M300" s="338"/>
      <c r="N300" s="338"/>
      <c r="O300" s="338"/>
      <c r="P300" s="338"/>
      <c r="Q300" s="338"/>
      <c r="R300" s="338"/>
      <c r="S300" s="338"/>
      <c r="T300" s="230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</row>
    <row r="301" spans="1:30">
      <c r="A301" s="189"/>
      <c r="B301" s="189"/>
      <c r="C301" s="189"/>
      <c r="D301" s="189"/>
      <c r="E301" s="189"/>
      <c r="F301" s="189"/>
      <c r="G301" s="189"/>
      <c r="H301" s="189"/>
      <c r="I301" s="338"/>
      <c r="J301" s="338"/>
      <c r="K301" s="338"/>
      <c r="L301" s="338"/>
      <c r="M301" s="338"/>
      <c r="N301" s="338"/>
      <c r="O301" s="338"/>
      <c r="P301" s="338"/>
      <c r="Q301" s="338"/>
      <c r="R301" s="338"/>
      <c r="S301" s="338"/>
      <c r="T301" s="230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</row>
    <row r="302" spans="1:30">
      <c r="A302" s="189"/>
      <c r="B302" s="189"/>
      <c r="C302" s="189"/>
      <c r="D302" s="189"/>
      <c r="E302" s="189"/>
      <c r="F302" s="189"/>
      <c r="G302" s="189"/>
      <c r="H302" s="189"/>
      <c r="I302" s="338"/>
      <c r="J302" s="338"/>
      <c r="K302" s="338"/>
      <c r="L302" s="338"/>
      <c r="M302" s="338"/>
      <c r="N302" s="338"/>
      <c r="O302" s="338"/>
      <c r="P302" s="338"/>
      <c r="Q302" s="338"/>
      <c r="R302" s="338"/>
      <c r="S302" s="338"/>
      <c r="T302" s="230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</row>
    <row r="303" spans="1:30">
      <c r="A303" s="189"/>
      <c r="B303" s="189"/>
      <c r="C303" s="189"/>
      <c r="D303" s="189"/>
      <c r="E303" s="189"/>
      <c r="F303" s="189"/>
      <c r="G303" s="189"/>
      <c r="H303" s="189"/>
      <c r="I303" s="338"/>
      <c r="J303" s="338"/>
      <c r="K303" s="338"/>
      <c r="L303" s="338"/>
      <c r="M303" s="338"/>
      <c r="N303" s="338"/>
      <c r="O303" s="338"/>
      <c r="P303" s="338"/>
      <c r="Q303" s="338"/>
      <c r="R303" s="338"/>
      <c r="S303" s="338"/>
      <c r="T303" s="230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</row>
    <row r="304" spans="1:30">
      <c r="A304" s="189"/>
      <c r="B304" s="189"/>
      <c r="C304" s="189"/>
      <c r="D304" s="189"/>
      <c r="E304" s="189"/>
      <c r="F304" s="189"/>
      <c r="G304" s="189"/>
      <c r="H304" s="189"/>
      <c r="I304" s="338"/>
      <c r="J304" s="338"/>
      <c r="K304" s="338"/>
      <c r="L304" s="338"/>
      <c r="M304" s="338"/>
      <c r="N304" s="338"/>
      <c r="O304" s="338"/>
      <c r="P304" s="338"/>
      <c r="Q304" s="338"/>
      <c r="R304" s="338"/>
      <c r="S304" s="338"/>
      <c r="T304" s="230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</row>
    <row r="305" spans="1:30">
      <c r="A305" s="189"/>
      <c r="B305" s="189"/>
      <c r="C305" s="189"/>
      <c r="D305" s="189"/>
      <c r="E305" s="189"/>
      <c r="F305" s="189"/>
      <c r="G305" s="189"/>
      <c r="H305" s="189"/>
      <c r="I305" s="338"/>
      <c r="J305" s="338"/>
      <c r="K305" s="338"/>
      <c r="L305" s="338"/>
      <c r="M305" s="338"/>
      <c r="N305" s="338"/>
      <c r="O305" s="338"/>
      <c r="P305" s="338"/>
      <c r="Q305" s="338"/>
      <c r="R305" s="338"/>
      <c r="S305" s="338"/>
      <c r="T305" s="230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</row>
    <row r="306" spans="1:30">
      <c r="A306" s="189"/>
      <c r="B306" s="189"/>
      <c r="C306" s="189"/>
      <c r="D306" s="189"/>
      <c r="E306" s="189"/>
      <c r="F306" s="189"/>
      <c r="G306" s="189"/>
      <c r="H306" s="189"/>
      <c r="I306" s="338"/>
      <c r="J306" s="338"/>
      <c r="K306" s="338"/>
      <c r="L306" s="338"/>
      <c r="M306" s="338"/>
      <c r="N306" s="338"/>
      <c r="O306" s="338"/>
      <c r="P306" s="338"/>
      <c r="Q306" s="338"/>
      <c r="R306" s="338"/>
      <c r="S306" s="338"/>
      <c r="T306" s="230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</row>
    <row r="307" spans="1:30">
      <c r="A307" s="189"/>
      <c r="B307" s="189"/>
      <c r="C307" s="189"/>
      <c r="D307" s="189"/>
      <c r="E307" s="189"/>
      <c r="F307" s="189"/>
      <c r="G307" s="189"/>
      <c r="H307" s="189"/>
      <c r="I307" s="338"/>
      <c r="J307" s="338"/>
      <c r="K307" s="338"/>
      <c r="L307" s="338"/>
      <c r="M307" s="338"/>
      <c r="N307" s="338"/>
      <c r="O307" s="338"/>
      <c r="P307" s="338"/>
      <c r="Q307" s="338"/>
      <c r="R307" s="338"/>
      <c r="S307" s="338"/>
      <c r="T307" s="230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</row>
    <row r="308" spans="1:30">
      <c r="A308" s="189"/>
      <c r="B308" s="189"/>
      <c r="C308" s="189"/>
      <c r="D308" s="189"/>
      <c r="E308" s="189"/>
      <c r="F308" s="189"/>
      <c r="G308" s="189"/>
      <c r="H308" s="189"/>
      <c r="I308" s="338"/>
      <c r="J308" s="338"/>
      <c r="K308" s="338"/>
      <c r="L308" s="338"/>
      <c r="M308" s="338"/>
      <c r="N308" s="338"/>
      <c r="O308" s="338"/>
      <c r="P308" s="338"/>
      <c r="Q308" s="338"/>
      <c r="R308" s="338"/>
      <c r="S308" s="338"/>
      <c r="T308" s="230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</row>
    <row r="309" spans="1:30">
      <c r="A309" s="189"/>
      <c r="B309" s="189"/>
      <c r="C309" s="189"/>
      <c r="D309" s="189"/>
      <c r="E309" s="189"/>
      <c r="F309" s="189"/>
      <c r="G309" s="189"/>
      <c r="H309" s="189"/>
      <c r="I309" s="338"/>
      <c r="J309" s="338"/>
      <c r="K309" s="338"/>
      <c r="L309" s="338"/>
      <c r="M309" s="338"/>
      <c r="N309" s="338"/>
      <c r="O309" s="338"/>
      <c r="P309" s="338"/>
      <c r="Q309" s="338"/>
      <c r="R309" s="338"/>
      <c r="S309" s="338"/>
      <c r="T309" s="230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</row>
    <row r="310" spans="1:30">
      <c r="A310" s="189"/>
      <c r="B310" s="189"/>
      <c r="C310" s="189"/>
      <c r="D310" s="189"/>
      <c r="E310" s="189"/>
      <c r="F310" s="189"/>
      <c r="G310" s="189"/>
      <c r="H310" s="189"/>
      <c r="I310" s="338"/>
      <c r="J310" s="338"/>
      <c r="K310" s="338"/>
      <c r="L310" s="338"/>
      <c r="M310" s="338"/>
      <c r="N310" s="338"/>
      <c r="O310" s="338"/>
      <c r="P310" s="338"/>
      <c r="Q310" s="338"/>
      <c r="R310" s="338"/>
      <c r="S310" s="338"/>
      <c r="T310" s="230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</row>
    <row r="311" spans="1:30">
      <c r="A311" s="189"/>
      <c r="B311" s="189"/>
      <c r="C311" s="189"/>
      <c r="D311" s="189"/>
      <c r="E311" s="189"/>
      <c r="F311" s="189"/>
      <c r="G311" s="189"/>
      <c r="H311" s="189"/>
      <c r="I311" s="338"/>
      <c r="J311" s="338"/>
      <c r="K311" s="338"/>
      <c r="L311" s="338"/>
      <c r="M311" s="338"/>
      <c r="N311" s="338"/>
      <c r="O311" s="338"/>
      <c r="P311" s="338"/>
      <c r="Q311" s="338"/>
      <c r="R311" s="338"/>
      <c r="S311" s="338"/>
      <c r="T311" s="230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</row>
    <row r="312" spans="1:30">
      <c r="A312" s="189"/>
      <c r="B312" s="189"/>
      <c r="C312" s="189"/>
      <c r="D312" s="189"/>
      <c r="E312" s="189"/>
      <c r="F312" s="189"/>
      <c r="G312" s="189"/>
      <c r="H312" s="189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230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</row>
    <row r="313" spans="1:30">
      <c r="A313" s="189"/>
      <c r="B313" s="189"/>
      <c r="C313" s="189"/>
      <c r="D313" s="189"/>
      <c r="E313" s="189"/>
      <c r="F313" s="189"/>
      <c r="G313" s="189"/>
      <c r="H313" s="189"/>
      <c r="I313" s="338"/>
      <c r="J313" s="338"/>
      <c r="K313" s="338"/>
      <c r="L313" s="338"/>
      <c r="M313" s="338"/>
      <c r="N313" s="338"/>
      <c r="O313" s="338"/>
      <c r="P313" s="338"/>
      <c r="Q313" s="338"/>
      <c r="R313" s="338"/>
      <c r="S313" s="338"/>
      <c r="T313" s="230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</row>
    <row r="314" spans="1:30">
      <c r="A314" s="189"/>
      <c r="B314" s="189"/>
      <c r="C314" s="189"/>
      <c r="D314" s="189"/>
      <c r="E314" s="189"/>
      <c r="F314" s="189"/>
      <c r="G314" s="189"/>
      <c r="H314" s="189"/>
      <c r="I314" s="338"/>
      <c r="J314" s="338"/>
      <c r="K314" s="338"/>
      <c r="L314" s="338"/>
      <c r="M314" s="338"/>
      <c r="N314" s="338"/>
      <c r="O314" s="338"/>
      <c r="P314" s="338"/>
      <c r="Q314" s="338"/>
      <c r="R314" s="338"/>
      <c r="S314" s="338"/>
      <c r="T314" s="230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</row>
    <row r="315" spans="1:30">
      <c r="A315" s="189"/>
      <c r="B315" s="189"/>
      <c r="C315" s="189"/>
      <c r="D315" s="189"/>
      <c r="E315" s="189"/>
      <c r="F315" s="189"/>
      <c r="G315" s="189"/>
      <c r="H315" s="189"/>
      <c r="I315" s="338"/>
      <c r="J315" s="338"/>
      <c r="K315" s="338"/>
      <c r="L315" s="338"/>
      <c r="M315" s="338"/>
      <c r="N315" s="338"/>
      <c r="O315" s="338"/>
      <c r="P315" s="338"/>
      <c r="Q315" s="338"/>
      <c r="R315" s="338"/>
      <c r="S315" s="338"/>
      <c r="T315" s="230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</row>
    <row r="316" spans="1:30">
      <c r="A316" s="189"/>
      <c r="B316" s="189"/>
      <c r="C316" s="189"/>
      <c r="D316" s="189"/>
      <c r="E316" s="189"/>
      <c r="F316" s="189"/>
      <c r="G316" s="189"/>
      <c r="H316" s="189"/>
      <c r="I316" s="338"/>
      <c r="J316" s="338"/>
      <c r="K316" s="338"/>
      <c r="L316" s="338"/>
      <c r="M316" s="338"/>
      <c r="N316" s="338"/>
      <c r="O316" s="338"/>
      <c r="P316" s="338"/>
      <c r="Q316" s="338"/>
      <c r="R316" s="338"/>
      <c r="S316" s="338"/>
      <c r="T316" s="230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</row>
    <row r="317" spans="1:30">
      <c r="A317" s="189"/>
      <c r="B317" s="189"/>
      <c r="C317" s="189"/>
      <c r="D317" s="189"/>
      <c r="E317" s="189"/>
      <c r="F317" s="189"/>
      <c r="G317" s="189"/>
      <c r="H317" s="189"/>
      <c r="I317" s="338"/>
      <c r="J317" s="338"/>
      <c r="K317" s="338"/>
      <c r="L317" s="338"/>
      <c r="M317" s="338"/>
      <c r="N317" s="338"/>
      <c r="O317" s="338"/>
      <c r="P317" s="338"/>
      <c r="Q317" s="338"/>
      <c r="R317" s="338"/>
      <c r="S317" s="338"/>
      <c r="T317" s="230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</row>
    <row r="318" spans="1:30">
      <c r="A318" s="189"/>
      <c r="B318" s="189"/>
      <c r="C318" s="189"/>
      <c r="D318" s="189"/>
      <c r="E318" s="189"/>
      <c r="F318" s="189"/>
      <c r="G318" s="189"/>
      <c r="H318" s="189"/>
      <c r="I318" s="338"/>
      <c r="J318" s="338"/>
      <c r="K318" s="338"/>
      <c r="L318" s="338"/>
      <c r="M318" s="338"/>
      <c r="N318" s="338"/>
      <c r="O318" s="338"/>
      <c r="P318" s="338"/>
      <c r="Q318" s="338"/>
      <c r="R318" s="338"/>
      <c r="S318" s="338"/>
      <c r="T318" s="230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</row>
    <row r="319" spans="1:30">
      <c r="A319" s="189"/>
      <c r="B319" s="189"/>
      <c r="C319" s="189"/>
      <c r="D319" s="189"/>
      <c r="E319" s="189"/>
      <c r="F319" s="189"/>
      <c r="G319" s="189"/>
      <c r="H319" s="189"/>
      <c r="I319" s="338"/>
      <c r="J319" s="338"/>
      <c r="K319" s="338"/>
      <c r="L319" s="338"/>
      <c r="M319" s="338"/>
      <c r="N319" s="338"/>
      <c r="O319" s="338"/>
      <c r="P319" s="338"/>
      <c r="Q319" s="338"/>
      <c r="R319" s="338"/>
      <c r="S319" s="338"/>
      <c r="T319" s="230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</row>
    <row r="320" spans="1:30">
      <c r="A320" s="189"/>
      <c r="B320" s="189"/>
      <c r="C320" s="189"/>
      <c r="D320" s="189"/>
      <c r="E320" s="189"/>
      <c r="F320" s="189"/>
      <c r="G320" s="189"/>
      <c r="H320" s="189"/>
      <c r="I320" s="338"/>
      <c r="J320" s="338"/>
      <c r="K320" s="338"/>
      <c r="L320" s="338"/>
      <c r="M320" s="338"/>
      <c r="N320" s="338"/>
      <c r="O320" s="338"/>
      <c r="P320" s="338"/>
      <c r="Q320" s="338"/>
      <c r="R320" s="338"/>
      <c r="S320" s="338"/>
      <c r="T320" s="230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</row>
    <row r="321" spans="1:30">
      <c r="A321" s="189"/>
      <c r="B321" s="189"/>
      <c r="C321" s="189"/>
      <c r="D321" s="189"/>
      <c r="E321" s="189"/>
      <c r="F321" s="189"/>
      <c r="G321" s="189"/>
      <c r="H321" s="189"/>
      <c r="I321" s="338"/>
      <c r="J321" s="338"/>
      <c r="K321" s="338"/>
      <c r="L321" s="338"/>
      <c r="M321" s="338"/>
      <c r="N321" s="338"/>
      <c r="O321" s="338"/>
      <c r="P321" s="338"/>
      <c r="Q321" s="338"/>
      <c r="R321" s="338"/>
      <c r="S321" s="338"/>
      <c r="T321" s="230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</row>
    <row r="322" spans="1:30">
      <c r="A322" s="189"/>
      <c r="B322" s="189"/>
      <c r="C322" s="189"/>
      <c r="D322" s="189"/>
      <c r="E322" s="189"/>
      <c r="F322" s="189"/>
      <c r="G322" s="189"/>
      <c r="H322" s="189"/>
      <c r="I322" s="338"/>
      <c r="J322" s="338"/>
      <c r="K322" s="338"/>
      <c r="L322" s="338"/>
      <c r="M322" s="338"/>
      <c r="N322" s="338"/>
      <c r="O322" s="338"/>
      <c r="P322" s="338"/>
      <c r="Q322" s="338"/>
      <c r="R322" s="338"/>
      <c r="S322" s="338"/>
      <c r="T322" s="230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</row>
    <row r="323" spans="1:30">
      <c r="A323" s="189"/>
      <c r="B323" s="189"/>
      <c r="C323" s="189"/>
      <c r="D323" s="189"/>
      <c r="E323" s="189"/>
      <c r="F323" s="189"/>
      <c r="G323" s="189"/>
      <c r="H323" s="189"/>
      <c r="I323" s="338"/>
      <c r="J323" s="338"/>
      <c r="K323" s="338"/>
      <c r="L323" s="338"/>
      <c r="M323" s="338"/>
      <c r="N323" s="338"/>
      <c r="O323" s="338"/>
      <c r="P323" s="338"/>
      <c r="Q323" s="338"/>
      <c r="R323" s="338"/>
      <c r="S323" s="338"/>
      <c r="T323" s="230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</row>
    <row r="324" spans="1:30">
      <c r="A324" s="189"/>
      <c r="B324" s="189"/>
      <c r="C324" s="189"/>
      <c r="D324" s="189"/>
      <c r="E324" s="189"/>
      <c r="F324" s="189"/>
      <c r="G324" s="189"/>
      <c r="H324" s="189"/>
      <c r="I324" s="338"/>
      <c r="J324" s="338"/>
      <c r="K324" s="338"/>
      <c r="L324" s="338"/>
      <c r="M324" s="338"/>
      <c r="N324" s="338"/>
      <c r="O324" s="338"/>
      <c r="P324" s="338"/>
      <c r="Q324" s="338"/>
      <c r="R324" s="338"/>
      <c r="S324" s="338"/>
      <c r="T324" s="230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</row>
    <row r="325" spans="1:30">
      <c r="A325" s="189"/>
      <c r="B325" s="189"/>
      <c r="C325" s="189"/>
      <c r="D325" s="189"/>
      <c r="E325" s="189"/>
      <c r="F325" s="189"/>
      <c r="G325" s="189"/>
      <c r="H325" s="189"/>
      <c r="I325" s="338"/>
      <c r="J325" s="338"/>
      <c r="K325" s="338"/>
      <c r="L325" s="338"/>
      <c r="M325" s="338"/>
      <c r="N325" s="338"/>
      <c r="O325" s="338"/>
      <c r="P325" s="338"/>
      <c r="Q325" s="338"/>
      <c r="R325" s="338"/>
      <c r="S325" s="338"/>
      <c r="T325" s="230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</row>
    <row r="326" spans="1:30">
      <c r="A326" s="189"/>
      <c r="B326" s="189"/>
      <c r="C326" s="189"/>
      <c r="D326" s="189"/>
      <c r="E326" s="189"/>
      <c r="F326" s="189"/>
      <c r="G326" s="189"/>
      <c r="H326" s="189"/>
      <c r="I326" s="338"/>
      <c r="J326" s="338"/>
      <c r="K326" s="338"/>
      <c r="L326" s="338"/>
      <c r="M326" s="338"/>
      <c r="N326" s="338"/>
      <c r="O326" s="338"/>
      <c r="P326" s="338"/>
      <c r="Q326" s="338"/>
      <c r="R326" s="338"/>
      <c r="S326" s="338"/>
      <c r="T326" s="230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</row>
    <row r="327" spans="1:30">
      <c r="A327" s="189"/>
      <c r="B327" s="189"/>
      <c r="C327" s="189"/>
      <c r="D327" s="189"/>
      <c r="E327" s="189"/>
      <c r="F327" s="189"/>
      <c r="G327" s="189"/>
      <c r="H327" s="189"/>
      <c r="I327" s="338"/>
      <c r="J327" s="338"/>
      <c r="K327" s="338"/>
      <c r="L327" s="338"/>
      <c r="M327" s="338"/>
      <c r="N327" s="338"/>
      <c r="O327" s="338"/>
      <c r="P327" s="338"/>
      <c r="Q327" s="338"/>
      <c r="R327" s="338"/>
      <c r="S327" s="338"/>
      <c r="T327" s="230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</row>
    <row r="328" spans="1:30">
      <c r="A328" s="189"/>
      <c r="B328" s="189"/>
      <c r="C328" s="189"/>
      <c r="D328" s="189"/>
      <c r="E328" s="189"/>
      <c r="F328" s="189"/>
      <c r="G328" s="189"/>
      <c r="H328" s="189"/>
      <c r="I328" s="338"/>
      <c r="J328" s="338"/>
      <c r="K328" s="338"/>
      <c r="L328" s="338"/>
      <c r="M328" s="338"/>
      <c r="N328" s="338"/>
      <c r="O328" s="338"/>
      <c r="P328" s="338"/>
      <c r="Q328" s="338"/>
      <c r="R328" s="338"/>
      <c r="S328" s="338"/>
      <c r="T328" s="230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</row>
    <row r="329" spans="1:30">
      <c r="A329" s="189"/>
      <c r="B329" s="189"/>
      <c r="C329" s="189"/>
      <c r="D329" s="189"/>
      <c r="E329" s="189"/>
      <c r="F329" s="189"/>
      <c r="G329" s="189"/>
      <c r="H329" s="189"/>
      <c r="I329" s="338"/>
      <c r="J329" s="338"/>
      <c r="K329" s="338"/>
      <c r="L329" s="338"/>
      <c r="M329" s="338"/>
      <c r="N329" s="338"/>
      <c r="O329" s="338"/>
      <c r="P329" s="338"/>
      <c r="Q329" s="338"/>
      <c r="R329" s="338"/>
      <c r="S329" s="338"/>
      <c r="T329" s="230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</row>
    <row r="330" spans="1:30">
      <c r="A330" s="189"/>
      <c r="B330" s="189"/>
      <c r="C330" s="189"/>
      <c r="D330" s="189"/>
      <c r="E330" s="189"/>
      <c r="F330" s="189"/>
      <c r="G330" s="189"/>
      <c r="H330" s="189"/>
      <c r="I330" s="338"/>
      <c r="J330" s="338"/>
      <c r="K330" s="338"/>
      <c r="L330" s="338"/>
      <c r="M330" s="338"/>
      <c r="N330" s="338"/>
      <c r="O330" s="338"/>
      <c r="P330" s="338"/>
      <c r="Q330" s="338"/>
      <c r="R330" s="338"/>
      <c r="S330" s="338"/>
      <c r="T330" s="230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</row>
    <row r="331" spans="1:30">
      <c r="A331" s="189"/>
      <c r="B331" s="189"/>
      <c r="C331" s="189"/>
      <c r="D331" s="189"/>
      <c r="E331" s="189"/>
      <c r="F331" s="189"/>
      <c r="G331" s="189"/>
      <c r="H331" s="189"/>
      <c r="I331" s="338"/>
      <c r="J331" s="338"/>
      <c r="K331" s="338"/>
      <c r="L331" s="338"/>
      <c r="M331" s="338"/>
      <c r="N331" s="338"/>
      <c r="O331" s="338"/>
      <c r="P331" s="338"/>
      <c r="Q331" s="338"/>
      <c r="R331" s="338"/>
      <c r="S331" s="338"/>
      <c r="T331" s="230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</row>
    <row r="332" spans="1:30">
      <c r="A332" s="189"/>
      <c r="B332" s="189"/>
      <c r="C332" s="189"/>
      <c r="D332" s="189"/>
      <c r="E332" s="189"/>
      <c r="F332" s="189"/>
      <c r="G332" s="189"/>
      <c r="H332" s="189"/>
      <c r="I332" s="338"/>
      <c r="J332" s="338"/>
      <c r="K332" s="338"/>
      <c r="L332" s="338"/>
      <c r="M332" s="338"/>
      <c r="N332" s="338"/>
      <c r="O332" s="338"/>
      <c r="P332" s="338"/>
      <c r="Q332" s="338"/>
      <c r="R332" s="338"/>
      <c r="S332" s="338"/>
      <c r="T332" s="230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</row>
    <row r="333" spans="1:30">
      <c r="A333" s="189"/>
      <c r="B333" s="189"/>
      <c r="C333" s="189"/>
      <c r="D333" s="189"/>
      <c r="E333" s="189"/>
      <c r="F333" s="189"/>
      <c r="G333" s="189"/>
      <c r="H333" s="189"/>
      <c r="I333" s="338"/>
      <c r="J333" s="338"/>
      <c r="K333" s="338"/>
      <c r="L333" s="338"/>
      <c r="M333" s="338"/>
      <c r="N333" s="338"/>
      <c r="O333" s="338"/>
      <c r="P333" s="338"/>
      <c r="Q333" s="338"/>
      <c r="R333" s="338"/>
      <c r="S333" s="338"/>
      <c r="T333" s="230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</row>
    <row r="334" spans="1:30">
      <c r="A334" s="189"/>
      <c r="B334" s="189"/>
      <c r="C334" s="189"/>
      <c r="D334" s="189"/>
      <c r="E334" s="189"/>
      <c r="F334" s="189"/>
      <c r="G334" s="189"/>
      <c r="H334" s="189"/>
      <c r="I334" s="338"/>
      <c r="J334" s="338"/>
      <c r="K334" s="338"/>
      <c r="L334" s="338"/>
      <c r="M334" s="338"/>
      <c r="N334" s="338"/>
      <c r="O334" s="338"/>
      <c r="P334" s="338"/>
      <c r="Q334" s="338"/>
      <c r="R334" s="338"/>
      <c r="S334" s="338"/>
      <c r="T334" s="230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</row>
    <row r="335" spans="1:30">
      <c r="A335" s="189"/>
      <c r="B335" s="189"/>
      <c r="C335" s="189"/>
      <c r="D335" s="189"/>
      <c r="E335" s="189"/>
      <c r="F335" s="189"/>
      <c r="G335" s="189"/>
      <c r="H335" s="189"/>
      <c r="I335" s="338"/>
      <c r="J335" s="338"/>
      <c r="K335" s="338"/>
      <c r="L335" s="338"/>
      <c r="M335" s="338"/>
      <c r="N335" s="338"/>
      <c r="O335" s="338"/>
      <c r="P335" s="338"/>
      <c r="Q335" s="338"/>
      <c r="R335" s="338"/>
      <c r="S335" s="338"/>
      <c r="T335" s="230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</row>
    <row r="336" spans="1:30">
      <c r="A336" s="189"/>
      <c r="B336" s="189"/>
      <c r="C336" s="189"/>
      <c r="D336" s="189"/>
      <c r="E336" s="189"/>
      <c r="F336" s="189"/>
      <c r="G336" s="189"/>
      <c r="H336" s="189"/>
      <c r="I336" s="338"/>
      <c r="J336" s="338"/>
      <c r="K336" s="338"/>
      <c r="L336" s="338"/>
      <c r="M336" s="338"/>
      <c r="N336" s="338"/>
      <c r="O336" s="338"/>
      <c r="P336" s="338"/>
      <c r="Q336" s="338"/>
      <c r="R336" s="338"/>
      <c r="S336" s="338"/>
      <c r="T336" s="230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</row>
    <row r="337" spans="1:30">
      <c r="A337" s="189"/>
      <c r="B337" s="189"/>
      <c r="C337" s="189"/>
      <c r="D337" s="189"/>
      <c r="E337" s="189"/>
      <c r="F337" s="189"/>
      <c r="G337" s="189"/>
      <c r="H337" s="189"/>
      <c r="I337" s="338"/>
      <c r="J337" s="338"/>
      <c r="K337" s="338"/>
      <c r="L337" s="338"/>
      <c r="M337" s="338"/>
      <c r="N337" s="338"/>
      <c r="O337" s="338"/>
      <c r="P337" s="338"/>
      <c r="Q337" s="338"/>
      <c r="R337" s="338"/>
      <c r="S337" s="338"/>
      <c r="T337" s="230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</row>
    <row r="338" spans="1:30">
      <c r="A338" s="189"/>
      <c r="B338" s="189"/>
      <c r="C338" s="189"/>
      <c r="D338" s="189"/>
      <c r="E338" s="189"/>
      <c r="F338" s="189"/>
      <c r="G338" s="189"/>
      <c r="H338" s="189"/>
      <c r="I338" s="338"/>
      <c r="J338" s="338"/>
      <c r="K338" s="338"/>
      <c r="L338" s="338"/>
      <c r="M338" s="338"/>
      <c r="N338" s="338"/>
      <c r="O338" s="338"/>
      <c r="P338" s="338"/>
      <c r="Q338" s="338"/>
      <c r="R338" s="338"/>
      <c r="S338" s="338"/>
      <c r="T338" s="230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</row>
    <row r="339" spans="1:30">
      <c r="A339" s="189"/>
      <c r="B339" s="189"/>
      <c r="C339" s="189"/>
      <c r="D339" s="189"/>
      <c r="E339" s="189"/>
      <c r="F339" s="189"/>
      <c r="G339" s="189"/>
      <c r="H339" s="189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230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</row>
    <row r="340" spans="1:30">
      <c r="A340" s="189"/>
      <c r="B340" s="189"/>
      <c r="C340" s="189"/>
      <c r="D340" s="189"/>
      <c r="E340" s="189"/>
      <c r="F340" s="189"/>
      <c r="G340" s="189"/>
      <c r="H340" s="189"/>
      <c r="I340" s="338"/>
      <c r="J340" s="338"/>
      <c r="K340" s="338"/>
      <c r="L340" s="338"/>
      <c r="M340" s="338"/>
      <c r="N340" s="338"/>
      <c r="O340" s="338"/>
      <c r="P340" s="338"/>
      <c r="Q340" s="338"/>
      <c r="R340" s="338"/>
      <c r="S340" s="338"/>
      <c r="T340" s="230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</row>
    <row r="341" spans="1:30">
      <c r="A341" s="189"/>
      <c r="B341" s="189"/>
      <c r="C341" s="189"/>
      <c r="D341" s="189"/>
      <c r="E341" s="189"/>
      <c r="F341" s="189"/>
      <c r="G341" s="189"/>
      <c r="H341" s="189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230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</row>
    <row r="342" spans="1:30">
      <c r="A342" s="189"/>
      <c r="B342" s="189"/>
      <c r="C342" s="189"/>
      <c r="D342" s="189"/>
      <c r="E342" s="189"/>
      <c r="F342" s="189"/>
      <c r="G342" s="189"/>
      <c r="H342" s="189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230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</row>
    <row r="343" spans="1:30">
      <c r="A343" s="189"/>
      <c r="B343" s="189"/>
      <c r="C343" s="189"/>
      <c r="D343" s="189"/>
      <c r="E343" s="189"/>
      <c r="F343" s="189"/>
      <c r="G343" s="189"/>
      <c r="H343" s="189"/>
      <c r="I343" s="338"/>
      <c r="J343" s="338"/>
      <c r="K343" s="338"/>
      <c r="L343" s="338"/>
      <c r="M343" s="338"/>
      <c r="N343" s="338"/>
      <c r="O343" s="338"/>
      <c r="P343" s="338"/>
      <c r="Q343" s="338"/>
      <c r="R343" s="338"/>
      <c r="S343" s="338"/>
      <c r="T343" s="230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</row>
    <row r="344" spans="1:30">
      <c r="A344" s="189"/>
      <c r="B344" s="189"/>
      <c r="C344" s="189"/>
      <c r="D344" s="189"/>
      <c r="E344" s="189"/>
      <c r="F344" s="189"/>
      <c r="G344" s="189"/>
      <c r="H344" s="189"/>
      <c r="I344" s="338"/>
      <c r="J344" s="338"/>
      <c r="K344" s="338"/>
      <c r="L344" s="338"/>
      <c r="M344" s="338"/>
      <c r="N344" s="338"/>
      <c r="O344" s="338"/>
      <c r="P344" s="338"/>
      <c r="Q344" s="338"/>
      <c r="R344" s="338"/>
      <c r="S344" s="338"/>
      <c r="T344" s="230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</row>
    <row r="345" spans="1:30">
      <c r="A345" s="189"/>
      <c r="B345" s="189"/>
      <c r="C345" s="189"/>
      <c r="D345" s="189"/>
      <c r="E345" s="189"/>
      <c r="F345" s="189"/>
      <c r="G345" s="189"/>
      <c r="H345" s="189"/>
      <c r="I345" s="338"/>
      <c r="J345" s="338"/>
      <c r="K345" s="338"/>
      <c r="L345" s="338"/>
      <c r="M345" s="338"/>
      <c r="N345" s="338"/>
      <c r="O345" s="338"/>
      <c r="P345" s="338"/>
      <c r="Q345" s="338"/>
      <c r="R345" s="338"/>
      <c r="S345" s="338"/>
      <c r="T345" s="230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</row>
    <row r="346" spans="1:30">
      <c r="A346" s="189"/>
      <c r="B346" s="189"/>
      <c r="C346" s="189"/>
      <c r="D346" s="189"/>
      <c r="E346" s="189"/>
      <c r="F346" s="189"/>
      <c r="G346" s="189"/>
      <c r="H346" s="189"/>
      <c r="I346" s="338"/>
      <c r="J346" s="338"/>
      <c r="K346" s="338"/>
      <c r="L346" s="338"/>
      <c r="M346" s="338"/>
      <c r="N346" s="338"/>
      <c r="O346" s="338"/>
      <c r="P346" s="338"/>
      <c r="Q346" s="338"/>
      <c r="R346" s="338"/>
      <c r="S346" s="338"/>
      <c r="T346" s="230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</row>
    <row r="347" spans="1:30">
      <c r="A347" s="189"/>
      <c r="B347" s="189"/>
      <c r="C347" s="189"/>
      <c r="D347" s="189"/>
      <c r="E347" s="189"/>
      <c r="F347" s="189"/>
      <c r="G347" s="189"/>
      <c r="H347" s="189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230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</row>
    <row r="348" spans="1:30">
      <c r="A348" s="189"/>
      <c r="B348" s="189"/>
      <c r="C348" s="189"/>
      <c r="D348" s="189"/>
      <c r="E348" s="189"/>
      <c r="F348" s="189"/>
      <c r="G348" s="189"/>
      <c r="H348" s="189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230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</row>
    <row r="349" spans="1:30">
      <c r="A349" s="189"/>
      <c r="B349" s="189"/>
      <c r="C349" s="189"/>
      <c r="D349" s="189"/>
      <c r="E349" s="189"/>
      <c r="F349" s="189"/>
      <c r="G349" s="189"/>
      <c r="H349" s="189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230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</row>
    <row r="350" spans="1:30">
      <c r="A350" s="189"/>
      <c r="B350" s="189"/>
      <c r="C350" s="189"/>
      <c r="D350" s="189"/>
      <c r="E350" s="189"/>
      <c r="F350" s="189"/>
      <c r="G350" s="189"/>
      <c r="H350" s="189"/>
      <c r="I350" s="338"/>
      <c r="J350" s="338"/>
      <c r="K350" s="338"/>
      <c r="L350" s="338"/>
      <c r="M350" s="338"/>
      <c r="N350" s="338"/>
      <c r="O350" s="338"/>
      <c r="P350" s="338"/>
      <c r="Q350" s="338"/>
      <c r="R350" s="338"/>
      <c r="S350" s="338"/>
      <c r="T350" s="230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</row>
    <row r="351" spans="1:30">
      <c r="A351" s="189"/>
      <c r="B351" s="189"/>
      <c r="C351" s="189"/>
      <c r="D351" s="189"/>
      <c r="E351" s="189"/>
      <c r="F351" s="189"/>
      <c r="G351" s="189"/>
      <c r="H351" s="189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230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</row>
    <row r="352" spans="1:30">
      <c r="A352" s="189"/>
      <c r="B352" s="189"/>
      <c r="C352" s="189"/>
      <c r="D352" s="189"/>
      <c r="E352" s="189"/>
      <c r="F352" s="189"/>
      <c r="G352" s="189"/>
      <c r="H352" s="189"/>
      <c r="I352" s="338"/>
      <c r="J352" s="338"/>
      <c r="K352" s="338"/>
      <c r="L352" s="338"/>
      <c r="M352" s="338"/>
      <c r="N352" s="338"/>
      <c r="O352" s="338"/>
      <c r="P352" s="338"/>
      <c r="Q352" s="338"/>
      <c r="R352" s="338"/>
      <c r="S352" s="338"/>
      <c r="T352" s="230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</row>
    <row r="353" spans="1:30">
      <c r="A353" s="189"/>
      <c r="B353" s="189"/>
      <c r="C353" s="189"/>
      <c r="D353" s="189"/>
      <c r="E353" s="189"/>
      <c r="F353" s="189"/>
      <c r="G353" s="189"/>
      <c r="H353" s="189"/>
      <c r="I353" s="338"/>
      <c r="J353" s="338"/>
      <c r="K353" s="338"/>
      <c r="L353" s="338"/>
      <c r="M353" s="338"/>
      <c r="N353" s="338"/>
      <c r="O353" s="338"/>
      <c r="P353" s="338"/>
      <c r="Q353" s="338"/>
      <c r="R353" s="338"/>
      <c r="S353" s="338"/>
      <c r="T353" s="230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</row>
    <row r="354" spans="1:30">
      <c r="A354" s="189"/>
      <c r="B354" s="189"/>
      <c r="C354" s="189"/>
      <c r="D354" s="189"/>
      <c r="E354" s="189"/>
      <c r="F354" s="189"/>
      <c r="G354" s="189"/>
      <c r="H354" s="189"/>
      <c r="I354" s="338"/>
      <c r="J354" s="338"/>
      <c r="K354" s="338"/>
      <c r="L354" s="338"/>
      <c r="M354" s="338"/>
      <c r="N354" s="338"/>
      <c r="O354" s="338"/>
      <c r="P354" s="338"/>
      <c r="Q354" s="338"/>
      <c r="R354" s="338"/>
      <c r="S354" s="338"/>
      <c r="T354" s="230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</row>
    <row r="355" spans="1:30">
      <c r="A355" s="189"/>
      <c r="B355" s="189"/>
      <c r="C355" s="189"/>
      <c r="D355" s="189"/>
      <c r="E355" s="189"/>
      <c r="F355" s="189"/>
      <c r="G355" s="189"/>
      <c r="H355" s="189"/>
      <c r="I355" s="338"/>
      <c r="J355" s="338"/>
      <c r="K355" s="338"/>
      <c r="L355" s="338"/>
      <c r="M355" s="338"/>
      <c r="N355" s="338"/>
      <c r="O355" s="338"/>
      <c r="P355" s="338"/>
      <c r="Q355" s="338"/>
      <c r="R355" s="338"/>
      <c r="S355" s="338"/>
      <c r="T355" s="230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</row>
    <row r="356" spans="1:30">
      <c r="A356" s="189"/>
      <c r="B356" s="189"/>
      <c r="C356" s="189"/>
      <c r="D356" s="189"/>
      <c r="E356" s="189"/>
      <c r="F356" s="189"/>
      <c r="G356" s="189"/>
      <c r="H356" s="189"/>
      <c r="I356" s="338"/>
      <c r="J356" s="338"/>
      <c r="K356" s="338"/>
      <c r="L356" s="338"/>
      <c r="M356" s="338"/>
      <c r="N356" s="338"/>
      <c r="O356" s="338"/>
      <c r="P356" s="338"/>
      <c r="Q356" s="338"/>
      <c r="R356" s="338"/>
      <c r="S356" s="338"/>
      <c r="T356" s="230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</row>
    <row r="357" spans="1:30">
      <c r="A357" s="189"/>
      <c r="B357" s="189"/>
      <c r="C357" s="189"/>
      <c r="D357" s="189"/>
      <c r="E357" s="189"/>
      <c r="F357" s="189"/>
      <c r="G357" s="189"/>
      <c r="H357" s="189"/>
      <c r="I357" s="338"/>
      <c r="J357" s="338"/>
      <c r="K357" s="338"/>
      <c r="L357" s="338"/>
      <c r="M357" s="338"/>
      <c r="N357" s="338"/>
      <c r="O357" s="338"/>
      <c r="P357" s="338"/>
      <c r="Q357" s="338"/>
      <c r="R357" s="338"/>
      <c r="S357" s="338"/>
      <c r="T357" s="230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</row>
    <row r="358" spans="1:30">
      <c r="A358" s="189"/>
      <c r="B358" s="189"/>
      <c r="C358" s="189"/>
      <c r="D358" s="189"/>
      <c r="E358" s="189"/>
      <c r="F358" s="189"/>
      <c r="G358" s="189"/>
      <c r="H358" s="189"/>
      <c r="I358" s="338"/>
      <c r="J358" s="338"/>
      <c r="K358" s="338"/>
      <c r="L358" s="338"/>
      <c r="M358" s="338"/>
      <c r="N358" s="338"/>
      <c r="O358" s="338"/>
      <c r="P358" s="338"/>
      <c r="Q358" s="338"/>
      <c r="R358" s="338"/>
      <c r="S358" s="338"/>
      <c r="T358" s="230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</row>
    <row r="359" spans="1:30">
      <c r="A359" s="189"/>
      <c r="B359" s="189"/>
      <c r="C359" s="189"/>
      <c r="D359" s="189"/>
      <c r="E359" s="189"/>
      <c r="F359" s="189"/>
      <c r="G359" s="189"/>
      <c r="H359" s="189"/>
      <c r="I359" s="338"/>
      <c r="J359" s="338"/>
      <c r="K359" s="338"/>
      <c r="L359" s="338"/>
      <c r="M359" s="338"/>
      <c r="N359" s="338"/>
      <c r="O359" s="338"/>
      <c r="P359" s="338"/>
      <c r="Q359" s="338"/>
      <c r="R359" s="338"/>
      <c r="S359" s="338"/>
      <c r="T359" s="230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</row>
    <row r="360" spans="1:30">
      <c r="A360" s="189"/>
      <c r="B360" s="189"/>
      <c r="C360" s="189"/>
      <c r="D360" s="189"/>
      <c r="E360" s="189"/>
      <c r="F360" s="189"/>
      <c r="G360" s="189"/>
      <c r="H360" s="189"/>
      <c r="I360" s="338"/>
      <c r="J360" s="338"/>
      <c r="K360" s="338"/>
      <c r="L360" s="338"/>
      <c r="M360" s="338"/>
      <c r="N360" s="338"/>
      <c r="O360" s="338"/>
      <c r="P360" s="338"/>
      <c r="Q360" s="338"/>
      <c r="R360" s="338"/>
      <c r="S360" s="338"/>
      <c r="T360" s="230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</row>
    <row r="361" spans="1:30">
      <c r="A361" s="189"/>
      <c r="B361" s="189"/>
      <c r="C361" s="189"/>
      <c r="D361" s="189"/>
      <c r="E361" s="189"/>
      <c r="F361" s="189"/>
      <c r="G361" s="189"/>
      <c r="H361" s="189"/>
      <c r="I361" s="338"/>
      <c r="J361" s="338"/>
      <c r="K361" s="338"/>
      <c r="L361" s="338"/>
      <c r="M361" s="338"/>
      <c r="N361" s="338"/>
      <c r="O361" s="338"/>
      <c r="P361" s="338"/>
      <c r="Q361" s="338"/>
      <c r="R361" s="338"/>
      <c r="S361" s="338"/>
      <c r="T361" s="230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</row>
    <row r="362" spans="1:30">
      <c r="A362" s="189"/>
      <c r="B362" s="189"/>
      <c r="C362" s="189"/>
      <c r="D362" s="189"/>
      <c r="E362" s="189"/>
      <c r="F362" s="189"/>
      <c r="G362" s="189"/>
      <c r="H362" s="189"/>
      <c r="I362" s="338"/>
      <c r="J362" s="338"/>
      <c r="K362" s="338"/>
      <c r="L362" s="338"/>
      <c r="M362" s="338"/>
      <c r="N362" s="338"/>
      <c r="O362" s="338"/>
      <c r="P362" s="338"/>
      <c r="Q362" s="338"/>
      <c r="R362" s="338"/>
      <c r="S362" s="338"/>
      <c r="T362" s="230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</row>
    <row r="363" spans="1:30">
      <c r="A363" s="189"/>
      <c r="B363" s="189"/>
      <c r="C363" s="189"/>
      <c r="D363" s="189"/>
      <c r="E363" s="189"/>
      <c r="F363" s="189"/>
      <c r="G363" s="189"/>
      <c r="H363" s="189"/>
      <c r="I363" s="338"/>
      <c r="J363" s="338"/>
      <c r="K363" s="338"/>
      <c r="L363" s="338"/>
      <c r="M363" s="338"/>
      <c r="N363" s="338"/>
      <c r="O363" s="338"/>
      <c r="P363" s="338"/>
      <c r="Q363" s="338"/>
      <c r="R363" s="338"/>
      <c r="S363" s="338"/>
      <c r="T363" s="230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</row>
    <row r="364" spans="1:30">
      <c r="A364" s="189"/>
      <c r="B364" s="189"/>
      <c r="C364" s="189"/>
      <c r="D364" s="189"/>
      <c r="E364" s="189"/>
      <c r="F364" s="189"/>
      <c r="G364" s="189"/>
      <c r="H364" s="189"/>
      <c r="I364" s="338"/>
      <c r="J364" s="338"/>
      <c r="K364" s="338"/>
      <c r="L364" s="338"/>
      <c r="M364" s="338"/>
      <c r="N364" s="338"/>
      <c r="O364" s="338"/>
      <c r="P364" s="338"/>
      <c r="Q364" s="338"/>
      <c r="R364" s="338"/>
      <c r="S364" s="338"/>
      <c r="T364" s="230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</row>
    <row r="365" spans="1:30">
      <c r="A365" s="189"/>
      <c r="B365" s="189"/>
      <c r="C365" s="189"/>
      <c r="D365" s="189"/>
      <c r="E365" s="189"/>
      <c r="F365" s="189"/>
      <c r="G365" s="189"/>
      <c r="H365" s="189"/>
      <c r="I365" s="338"/>
      <c r="J365" s="338"/>
      <c r="K365" s="338"/>
      <c r="L365" s="338"/>
      <c r="M365" s="338"/>
      <c r="N365" s="338"/>
      <c r="O365" s="338"/>
      <c r="P365" s="338"/>
      <c r="Q365" s="338"/>
      <c r="R365" s="338"/>
      <c r="S365" s="338"/>
      <c r="T365" s="230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</row>
    <row r="366" spans="1:30">
      <c r="A366" s="189"/>
      <c r="B366" s="189"/>
      <c r="C366" s="189"/>
      <c r="D366" s="189"/>
      <c r="E366" s="189"/>
      <c r="F366" s="189"/>
      <c r="G366" s="189"/>
      <c r="H366" s="189"/>
      <c r="I366" s="338"/>
      <c r="J366" s="338"/>
      <c r="K366" s="338"/>
      <c r="L366" s="338"/>
      <c r="M366" s="338"/>
      <c r="N366" s="338"/>
      <c r="O366" s="338"/>
      <c r="P366" s="338"/>
      <c r="Q366" s="338"/>
      <c r="R366" s="338"/>
      <c r="S366" s="338"/>
      <c r="T366" s="230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</row>
    <row r="367" spans="1:30">
      <c r="A367" s="189"/>
      <c r="B367" s="189"/>
      <c r="C367" s="189"/>
      <c r="D367" s="189"/>
      <c r="E367" s="189"/>
      <c r="F367" s="189"/>
      <c r="G367" s="189"/>
      <c r="H367" s="189"/>
      <c r="I367" s="338"/>
      <c r="J367" s="338"/>
      <c r="K367" s="338"/>
      <c r="L367" s="338"/>
      <c r="M367" s="338"/>
      <c r="N367" s="338"/>
      <c r="O367" s="338"/>
      <c r="P367" s="338"/>
      <c r="Q367" s="338"/>
      <c r="R367" s="338"/>
      <c r="S367" s="338"/>
      <c r="T367" s="230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</row>
    <row r="368" spans="1:30">
      <c r="A368" s="189"/>
      <c r="B368" s="189"/>
      <c r="C368" s="189"/>
      <c r="D368" s="189"/>
      <c r="E368" s="189"/>
      <c r="F368" s="189"/>
      <c r="G368" s="189"/>
      <c r="H368" s="189"/>
      <c r="I368" s="338"/>
      <c r="J368" s="338"/>
      <c r="K368" s="338"/>
      <c r="L368" s="338"/>
      <c r="M368" s="338"/>
      <c r="N368" s="338"/>
      <c r="O368" s="338"/>
      <c r="P368" s="338"/>
      <c r="Q368" s="338"/>
      <c r="R368" s="338"/>
      <c r="S368" s="338"/>
      <c r="T368" s="230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</row>
    <row r="369" spans="1:30">
      <c r="A369" s="189"/>
      <c r="B369" s="189"/>
      <c r="C369" s="189"/>
      <c r="D369" s="189"/>
      <c r="E369" s="189"/>
      <c r="F369" s="189"/>
      <c r="G369" s="189"/>
      <c r="H369" s="189"/>
      <c r="I369" s="338"/>
      <c r="J369" s="338"/>
      <c r="K369" s="338"/>
      <c r="L369" s="338"/>
      <c r="M369" s="338"/>
      <c r="N369" s="338"/>
      <c r="O369" s="338"/>
      <c r="P369" s="338"/>
      <c r="Q369" s="338"/>
      <c r="R369" s="338"/>
      <c r="S369" s="338"/>
      <c r="T369" s="230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</row>
    <row r="370" spans="1:30">
      <c r="A370" s="189"/>
      <c r="B370" s="189"/>
      <c r="C370" s="189"/>
      <c r="D370" s="189"/>
      <c r="E370" s="189"/>
      <c r="F370" s="189"/>
      <c r="G370" s="189"/>
      <c r="H370" s="189"/>
      <c r="I370" s="338"/>
      <c r="J370" s="338"/>
      <c r="K370" s="338"/>
      <c r="L370" s="338"/>
      <c r="M370" s="338"/>
      <c r="N370" s="338"/>
      <c r="O370" s="338"/>
      <c r="P370" s="338"/>
      <c r="Q370" s="338"/>
      <c r="R370" s="338"/>
      <c r="S370" s="338"/>
      <c r="T370" s="230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</row>
    <row r="371" spans="1:30">
      <c r="A371" s="189"/>
      <c r="B371" s="189"/>
      <c r="C371" s="189"/>
      <c r="D371" s="189"/>
      <c r="E371" s="189"/>
      <c r="F371" s="189"/>
      <c r="G371" s="189"/>
      <c r="H371" s="189"/>
      <c r="I371" s="338"/>
      <c r="J371" s="338"/>
      <c r="K371" s="338"/>
      <c r="L371" s="338"/>
      <c r="M371" s="338"/>
      <c r="N371" s="338"/>
      <c r="O371" s="338"/>
      <c r="P371" s="338"/>
      <c r="Q371" s="338"/>
      <c r="R371" s="338"/>
      <c r="S371" s="338"/>
      <c r="T371" s="230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</row>
    <row r="372" spans="1:30">
      <c r="A372" s="189"/>
      <c r="B372" s="189"/>
      <c r="C372" s="189"/>
      <c r="D372" s="189"/>
      <c r="E372" s="189"/>
      <c r="F372" s="189"/>
      <c r="G372" s="189"/>
      <c r="H372" s="189"/>
      <c r="I372" s="338"/>
      <c r="J372" s="338"/>
      <c r="K372" s="338"/>
      <c r="L372" s="338"/>
      <c r="M372" s="338"/>
      <c r="N372" s="338"/>
      <c r="O372" s="338"/>
      <c r="P372" s="338"/>
      <c r="Q372" s="338"/>
      <c r="R372" s="338"/>
      <c r="S372" s="338"/>
      <c r="T372" s="230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</row>
    <row r="373" spans="1:30">
      <c r="A373" s="189"/>
      <c r="B373" s="189"/>
      <c r="C373" s="189"/>
      <c r="D373" s="189"/>
      <c r="E373" s="189"/>
      <c r="F373" s="189"/>
      <c r="G373" s="189"/>
      <c r="H373" s="189"/>
      <c r="I373" s="338"/>
      <c r="J373" s="338"/>
      <c r="K373" s="338"/>
      <c r="L373" s="338"/>
      <c r="M373" s="338"/>
      <c r="N373" s="338"/>
      <c r="O373" s="338"/>
      <c r="P373" s="338"/>
      <c r="Q373" s="338"/>
      <c r="R373" s="338"/>
      <c r="S373" s="338"/>
      <c r="T373" s="230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</row>
    <row r="374" spans="1:30">
      <c r="A374" s="189"/>
      <c r="B374" s="189"/>
      <c r="C374" s="189"/>
      <c r="D374" s="189"/>
      <c r="E374" s="189"/>
      <c r="F374" s="189"/>
      <c r="G374" s="189"/>
      <c r="H374" s="189"/>
      <c r="I374" s="338"/>
      <c r="J374" s="338"/>
      <c r="K374" s="338"/>
      <c r="L374" s="338"/>
      <c r="M374" s="338"/>
      <c r="N374" s="338"/>
      <c r="O374" s="338"/>
      <c r="P374" s="338"/>
      <c r="Q374" s="338"/>
      <c r="R374" s="338"/>
      <c r="S374" s="338"/>
      <c r="T374" s="230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</row>
    <row r="375" spans="1:30">
      <c r="A375" s="189"/>
      <c r="B375" s="189"/>
      <c r="C375" s="189"/>
      <c r="D375" s="189"/>
      <c r="E375" s="189"/>
      <c r="F375" s="189"/>
      <c r="G375" s="189"/>
      <c r="H375" s="189"/>
      <c r="I375" s="338"/>
      <c r="J375" s="338"/>
      <c r="K375" s="338"/>
      <c r="L375" s="338"/>
      <c r="M375" s="338"/>
      <c r="N375" s="338"/>
      <c r="O375" s="338"/>
      <c r="P375" s="338"/>
      <c r="Q375" s="338"/>
      <c r="R375" s="338"/>
      <c r="S375" s="338"/>
      <c r="T375" s="230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</row>
    <row r="376" spans="1:30">
      <c r="A376" s="189"/>
      <c r="B376" s="189"/>
      <c r="C376" s="189"/>
      <c r="D376" s="189"/>
      <c r="E376" s="189"/>
      <c r="F376" s="189"/>
      <c r="G376" s="189"/>
      <c r="H376" s="189"/>
      <c r="I376" s="338"/>
      <c r="J376" s="338"/>
      <c r="K376" s="338"/>
      <c r="L376" s="338"/>
      <c r="M376" s="338"/>
      <c r="N376" s="338"/>
      <c r="O376" s="338"/>
      <c r="P376" s="338"/>
      <c r="Q376" s="338"/>
      <c r="R376" s="338"/>
      <c r="S376" s="338"/>
      <c r="T376" s="230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</row>
    <row r="377" spans="1:30">
      <c r="A377" s="189"/>
      <c r="B377" s="189"/>
      <c r="C377" s="189"/>
      <c r="D377" s="189"/>
      <c r="E377" s="189"/>
      <c r="F377" s="189"/>
      <c r="G377" s="189"/>
      <c r="H377" s="189"/>
      <c r="I377" s="338"/>
      <c r="J377" s="338"/>
      <c r="K377" s="338"/>
      <c r="L377" s="338"/>
      <c r="M377" s="338"/>
      <c r="N377" s="338"/>
      <c r="O377" s="338"/>
      <c r="P377" s="338"/>
      <c r="Q377" s="338"/>
      <c r="R377" s="338"/>
      <c r="S377" s="338"/>
      <c r="T377" s="230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</row>
    <row r="378" spans="1:30">
      <c r="A378" s="189"/>
      <c r="B378" s="189"/>
      <c r="C378" s="189"/>
      <c r="D378" s="189"/>
      <c r="E378" s="189"/>
      <c r="F378" s="189"/>
      <c r="G378" s="189"/>
      <c r="H378" s="189"/>
      <c r="I378" s="338"/>
      <c r="J378" s="338"/>
      <c r="K378" s="338"/>
      <c r="L378" s="338"/>
      <c r="M378" s="338"/>
      <c r="N378" s="338"/>
      <c r="O378" s="338"/>
      <c r="P378" s="338"/>
      <c r="Q378" s="338"/>
      <c r="R378" s="338"/>
      <c r="S378" s="338"/>
      <c r="T378" s="230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</row>
    <row r="379" spans="1:30">
      <c r="A379" s="189"/>
      <c r="B379" s="189"/>
      <c r="C379" s="189"/>
      <c r="D379" s="189"/>
      <c r="E379" s="189"/>
      <c r="F379" s="189"/>
      <c r="G379" s="189"/>
      <c r="H379" s="189"/>
      <c r="I379" s="338"/>
      <c r="J379" s="338"/>
      <c r="K379" s="338"/>
      <c r="L379" s="338"/>
      <c r="M379" s="338"/>
      <c r="N379" s="338"/>
      <c r="O379" s="338"/>
      <c r="P379" s="338"/>
      <c r="Q379" s="338"/>
      <c r="R379" s="338"/>
      <c r="S379" s="338"/>
      <c r="T379" s="230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</row>
    <row r="380" spans="1:30">
      <c r="A380" s="189"/>
      <c r="B380" s="189"/>
      <c r="C380" s="189"/>
      <c r="D380" s="189"/>
      <c r="E380" s="189"/>
      <c r="F380" s="189"/>
      <c r="G380" s="189"/>
      <c r="H380" s="189"/>
      <c r="I380" s="338"/>
      <c r="J380" s="338"/>
      <c r="K380" s="338"/>
      <c r="L380" s="338"/>
      <c r="M380" s="338"/>
      <c r="N380" s="338"/>
      <c r="O380" s="338"/>
      <c r="P380" s="338"/>
      <c r="Q380" s="338"/>
      <c r="R380" s="338"/>
      <c r="S380" s="338"/>
      <c r="T380" s="230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</row>
    <row r="381" spans="1:30">
      <c r="A381" s="189"/>
      <c r="B381" s="189"/>
      <c r="C381" s="189"/>
      <c r="D381" s="189"/>
      <c r="E381" s="189"/>
      <c r="F381" s="189"/>
      <c r="G381" s="189"/>
      <c r="H381" s="189"/>
      <c r="I381" s="338"/>
      <c r="J381" s="338"/>
      <c r="K381" s="338"/>
      <c r="L381" s="338"/>
      <c r="M381" s="338"/>
      <c r="N381" s="338"/>
      <c r="O381" s="338"/>
      <c r="P381" s="338"/>
      <c r="Q381" s="338"/>
      <c r="R381" s="338"/>
      <c r="S381" s="338"/>
      <c r="T381" s="230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</row>
    <row r="382" spans="1:30">
      <c r="A382" s="189"/>
      <c r="B382" s="189"/>
      <c r="C382" s="189"/>
      <c r="D382" s="189"/>
      <c r="E382" s="189"/>
      <c r="F382" s="189"/>
      <c r="G382" s="189"/>
      <c r="H382" s="189"/>
      <c r="I382" s="338"/>
      <c r="J382" s="338"/>
      <c r="K382" s="338"/>
      <c r="L382" s="338"/>
      <c r="M382" s="338"/>
      <c r="N382" s="338"/>
      <c r="O382" s="338"/>
      <c r="P382" s="338"/>
      <c r="Q382" s="338"/>
      <c r="R382" s="338"/>
      <c r="S382" s="338"/>
      <c r="T382" s="230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</row>
    <row r="383" spans="1:30">
      <c r="A383" s="189"/>
      <c r="B383" s="189"/>
      <c r="C383" s="189"/>
      <c r="D383" s="189"/>
      <c r="E383" s="189"/>
      <c r="F383" s="189"/>
      <c r="G383" s="189"/>
      <c r="H383" s="189"/>
      <c r="I383" s="338"/>
      <c r="J383" s="338"/>
      <c r="K383" s="338"/>
      <c r="L383" s="338"/>
      <c r="M383" s="338"/>
      <c r="N383" s="338"/>
      <c r="O383" s="338"/>
      <c r="P383" s="338"/>
      <c r="Q383" s="338"/>
      <c r="R383" s="338"/>
      <c r="S383" s="338"/>
      <c r="T383" s="230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</row>
    <row r="384" spans="1:30">
      <c r="A384" s="189"/>
      <c r="B384" s="189"/>
      <c r="C384" s="189"/>
      <c r="D384" s="189"/>
      <c r="E384" s="189"/>
      <c r="F384" s="189"/>
      <c r="G384" s="189"/>
      <c r="H384" s="189"/>
      <c r="I384" s="338"/>
      <c r="J384" s="338"/>
      <c r="K384" s="338"/>
      <c r="L384" s="338"/>
      <c r="M384" s="338"/>
      <c r="N384" s="338"/>
      <c r="O384" s="338"/>
      <c r="P384" s="338"/>
      <c r="Q384" s="338"/>
      <c r="R384" s="338"/>
      <c r="S384" s="338"/>
      <c r="T384" s="230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</row>
    <row r="385" spans="1:30">
      <c r="A385" s="189"/>
      <c r="B385" s="189"/>
      <c r="C385" s="189"/>
      <c r="D385" s="189"/>
      <c r="E385" s="189"/>
      <c r="F385" s="189"/>
      <c r="G385" s="189"/>
      <c r="H385" s="189"/>
      <c r="I385" s="338"/>
      <c r="J385" s="338"/>
      <c r="K385" s="338"/>
      <c r="L385" s="338"/>
      <c r="M385" s="338"/>
      <c r="N385" s="338"/>
      <c r="O385" s="338"/>
      <c r="P385" s="338"/>
      <c r="Q385" s="338"/>
      <c r="R385" s="338"/>
      <c r="S385" s="338"/>
      <c r="T385" s="230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</row>
    <row r="386" spans="1:30">
      <c r="A386" s="189"/>
      <c r="B386" s="189"/>
      <c r="C386" s="189"/>
      <c r="D386" s="189"/>
      <c r="E386" s="189"/>
      <c r="F386" s="189"/>
      <c r="G386" s="189"/>
      <c r="H386" s="189"/>
      <c r="I386" s="338"/>
      <c r="J386" s="338"/>
      <c r="K386" s="338"/>
      <c r="L386" s="338"/>
      <c r="M386" s="338"/>
      <c r="N386" s="338"/>
      <c r="O386" s="338"/>
      <c r="P386" s="338"/>
      <c r="Q386" s="338"/>
      <c r="R386" s="338"/>
      <c r="S386" s="338"/>
      <c r="T386" s="230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</row>
    <row r="387" spans="1:30">
      <c r="A387" s="189"/>
      <c r="B387" s="189"/>
      <c r="C387" s="189"/>
      <c r="D387" s="189"/>
      <c r="E387" s="189"/>
      <c r="F387" s="189"/>
      <c r="G387" s="189"/>
      <c r="H387" s="189"/>
      <c r="I387" s="338"/>
      <c r="J387" s="338"/>
      <c r="K387" s="338"/>
      <c r="L387" s="338"/>
      <c r="M387" s="338"/>
      <c r="N387" s="338"/>
      <c r="O387" s="338"/>
      <c r="P387" s="338"/>
      <c r="Q387" s="338"/>
      <c r="R387" s="338"/>
      <c r="S387" s="338"/>
      <c r="T387" s="230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</row>
    <row r="388" spans="1:30">
      <c r="A388" s="189"/>
      <c r="B388" s="189"/>
      <c r="C388" s="189"/>
      <c r="D388" s="189"/>
      <c r="E388" s="189"/>
      <c r="F388" s="189"/>
      <c r="G388" s="189"/>
      <c r="H388" s="189"/>
      <c r="I388" s="338"/>
      <c r="J388" s="338"/>
      <c r="K388" s="338"/>
      <c r="L388" s="338"/>
      <c r="M388" s="338"/>
      <c r="N388" s="338"/>
      <c r="O388" s="338"/>
      <c r="P388" s="338"/>
      <c r="Q388" s="338"/>
      <c r="R388" s="338"/>
      <c r="S388" s="338"/>
      <c r="T388" s="230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</row>
    <row r="389" spans="1:30">
      <c r="A389" s="189"/>
      <c r="B389" s="189"/>
      <c r="C389" s="189"/>
      <c r="D389" s="189"/>
      <c r="E389" s="189"/>
      <c r="F389" s="189"/>
      <c r="G389" s="189"/>
      <c r="H389" s="189"/>
      <c r="I389" s="338"/>
      <c r="J389" s="338"/>
      <c r="K389" s="338"/>
      <c r="L389" s="338"/>
      <c r="M389" s="338"/>
      <c r="N389" s="338"/>
      <c r="O389" s="338"/>
      <c r="P389" s="338"/>
      <c r="Q389" s="338"/>
      <c r="R389" s="338"/>
      <c r="S389" s="338"/>
      <c r="T389" s="230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</row>
    <row r="390" spans="1:30">
      <c r="A390" s="189"/>
      <c r="B390" s="189"/>
      <c r="C390" s="189"/>
      <c r="D390" s="189"/>
      <c r="E390" s="189"/>
      <c r="F390" s="189"/>
      <c r="G390" s="189"/>
      <c r="H390" s="189"/>
      <c r="I390" s="338"/>
      <c r="J390" s="338"/>
      <c r="K390" s="338"/>
      <c r="L390" s="338"/>
      <c r="M390" s="338"/>
      <c r="N390" s="338"/>
      <c r="O390" s="338"/>
      <c r="P390" s="338"/>
      <c r="Q390" s="338"/>
      <c r="R390" s="338"/>
      <c r="S390" s="338"/>
      <c r="T390" s="230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</row>
    <row r="391" spans="1:30">
      <c r="A391" s="189"/>
      <c r="B391" s="189"/>
      <c r="C391" s="189"/>
      <c r="D391" s="189"/>
      <c r="E391" s="189"/>
      <c r="F391" s="189"/>
      <c r="G391" s="189"/>
      <c r="H391" s="189"/>
      <c r="I391" s="338"/>
      <c r="J391" s="338"/>
      <c r="K391" s="338"/>
      <c r="L391" s="338"/>
      <c r="M391" s="338"/>
      <c r="N391" s="338"/>
      <c r="O391" s="338"/>
      <c r="P391" s="338"/>
      <c r="Q391" s="338"/>
      <c r="R391" s="338"/>
      <c r="S391" s="338"/>
      <c r="T391" s="230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</row>
    <row r="392" spans="1:30">
      <c r="A392" s="189"/>
      <c r="B392" s="189"/>
      <c r="C392" s="189"/>
      <c r="D392" s="189"/>
      <c r="E392" s="189"/>
      <c r="F392" s="189"/>
      <c r="G392" s="189"/>
      <c r="H392" s="189"/>
      <c r="I392" s="338"/>
      <c r="J392" s="338"/>
      <c r="K392" s="338"/>
      <c r="L392" s="338"/>
      <c r="M392" s="338"/>
      <c r="N392" s="338"/>
      <c r="O392" s="338"/>
      <c r="P392" s="338"/>
      <c r="Q392" s="338"/>
      <c r="R392" s="338"/>
      <c r="S392" s="338"/>
      <c r="T392" s="230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</row>
    <row r="393" spans="1:30">
      <c r="A393" s="189"/>
      <c r="B393" s="189"/>
      <c r="C393" s="189"/>
      <c r="D393" s="189"/>
      <c r="E393" s="189"/>
      <c r="F393" s="189"/>
      <c r="G393" s="189"/>
      <c r="H393" s="189"/>
      <c r="I393" s="338"/>
      <c r="J393" s="338"/>
      <c r="K393" s="338"/>
      <c r="L393" s="338"/>
      <c r="M393" s="338"/>
      <c r="N393" s="338"/>
      <c r="O393" s="338"/>
      <c r="P393" s="338"/>
      <c r="Q393" s="338"/>
      <c r="R393" s="338"/>
      <c r="S393" s="338"/>
      <c r="T393" s="230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</row>
    <row r="394" spans="1:30">
      <c r="A394" s="189"/>
      <c r="B394" s="189"/>
      <c r="C394" s="189"/>
      <c r="D394" s="189"/>
      <c r="E394" s="189"/>
      <c r="F394" s="189"/>
      <c r="G394" s="189"/>
      <c r="H394" s="189"/>
      <c r="I394" s="338"/>
      <c r="J394" s="338"/>
      <c r="K394" s="338"/>
      <c r="L394" s="338"/>
      <c r="M394" s="338"/>
      <c r="N394" s="338"/>
      <c r="O394" s="338"/>
      <c r="P394" s="338"/>
      <c r="Q394" s="338"/>
      <c r="R394" s="338"/>
      <c r="S394" s="338"/>
      <c r="T394" s="230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</row>
    <row r="395" spans="1:30">
      <c r="A395" s="189"/>
      <c r="B395" s="189"/>
      <c r="C395" s="189"/>
      <c r="D395" s="189"/>
      <c r="E395" s="189"/>
      <c r="F395" s="189"/>
      <c r="G395" s="189"/>
      <c r="H395" s="189"/>
      <c r="I395" s="338"/>
      <c r="J395" s="338"/>
      <c r="K395" s="338"/>
      <c r="L395" s="338"/>
      <c r="M395" s="338"/>
      <c r="N395" s="338"/>
      <c r="O395" s="338"/>
      <c r="P395" s="338"/>
      <c r="Q395" s="338"/>
      <c r="R395" s="338"/>
      <c r="S395" s="338"/>
      <c r="T395" s="230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</row>
    <row r="396" spans="1:30">
      <c r="A396" s="189"/>
      <c r="B396" s="189"/>
      <c r="C396" s="189"/>
      <c r="D396" s="189"/>
      <c r="E396" s="189"/>
      <c r="F396" s="189"/>
      <c r="G396" s="189"/>
      <c r="H396" s="189"/>
      <c r="I396" s="338"/>
      <c r="J396" s="338"/>
      <c r="K396" s="338"/>
      <c r="L396" s="338"/>
      <c r="M396" s="338"/>
      <c r="N396" s="338"/>
      <c r="O396" s="338"/>
      <c r="P396" s="338"/>
      <c r="Q396" s="338"/>
      <c r="R396" s="338"/>
      <c r="S396" s="338"/>
      <c r="T396" s="230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</row>
    <row r="397" spans="1:30">
      <c r="A397" s="189"/>
      <c r="B397" s="189"/>
      <c r="C397" s="189"/>
      <c r="D397" s="189"/>
      <c r="E397" s="189"/>
      <c r="F397" s="189"/>
      <c r="G397" s="189"/>
      <c r="H397" s="189"/>
      <c r="I397" s="338"/>
      <c r="J397" s="338"/>
      <c r="K397" s="338"/>
      <c r="L397" s="338"/>
      <c r="M397" s="338"/>
      <c r="N397" s="338"/>
      <c r="O397" s="338"/>
      <c r="P397" s="338"/>
      <c r="Q397" s="338"/>
      <c r="R397" s="338"/>
      <c r="S397" s="338"/>
      <c r="T397" s="230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</row>
    <row r="398" spans="1:30">
      <c r="A398" s="189"/>
      <c r="B398" s="189"/>
      <c r="C398" s="189"/>
      <c r="D398" s="189"/>
      <c r="E398" s="189"/>
      <c r="F398" s="189"/>
      <c r="G398" s="189"/>
      <c r="H398" s="189"/>
      <c r="I398" s="338"/>
      <c r="J398" s="338"/>
      <c r="K398" s="338"/>
      <c r="L398" s="338"/>
      <c r="M398" s="338"/>
      <c r="N398" s="338"/>
      <c r="O398" s="338"/>
      <c r="P398" s="338"/>
      <c r="Q398" s="338"/>
      <c r="R398" s="338"/>
      <c r="S398" s="338"/>
      <c r="T398" s="230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</row>
    <row r="399" spans="1:30">
      <c r="A399" s="189"/>
      <c r="B399" s="189"/>
      <c r="C399" s="189"/>
      <c r="D399" s="189"/>
      <c r="E399" s="189"/>
      <c r="F399" s="189"/>
      <c r="G399" s="189"/>
      <c r="H399" s="189"/>
      <c r="I399" s="338"/>
      <c r="J399" s="338"/>
      <c r="K399" s="338"/>
      <c r="L399" s="338"/>
      <c r="M399" s="338"/>
      <c r="N399" s="338"/>
      <c r="O399" s="338"/>
      <c r="P399" s="338"/>
      <c r="Q399" s="338"/>
      <c r="R399" s="338"/>
      <c r="S399" s="338"/>
      <c r="T399" s="230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</row>
    <row r="400" spans="1:30">
      <c r="A400" s="189"/>
      <c r="B400" s="189"/>
      <c r="C400" s="189"/>
      <c r="D400" s="189"/>
      <c r="E400" s="189"/>
      <c r="F400" s="189"/>
      <c r="G400" s="189"/>
      <c r="H400" s="189"/>
      <c r="I400" s="338"/>
      <c r="J400" s="338"/>
      <c r="K400" s="338"/>
      <c r="L400" s="338"/>
      <c r="M400" s="338"/>
      <c r="N400" s="338"/>
      <c r="O400" s="338"/>
      <c r="P400" s="338"/>
      <c r="Q400" s="338"/>
      <c r="R400" s="338"/>
      <c r="S400" s="338"/>
      <c r="T400" s="230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</row>
    <row r="401" spans="1:30">
      <c r="A401" s="189"/>
      <c r="B401" s="189"/>
      <c r="C401" s="189"/>
      <c r="D401" s="189"/>
      <c r="E401" s="189"/>
      <c r="F401" s="189"/>
      <c r="G401" s="189"/>
      <c r="H401" s="189"/>
      <c r="I401" s="338"/>
      <c r="J401" s="338"/>
      <c r="K401" s="338"/>
      <c r="L401" s="338"/>
      <c r="M401" s="338"/>
      <c r="N401" s="338"/>
      <c r="O401" s="338"/>
      <c r="P401" s="338"/>
      <c r="Q401" s="338"/>
      <c r="R401" s="338"/>
      <c r="S401" s="338"/>
      <c r="T401" s="230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</row>
    <row r="402" spans="1:30">
      <c r="A402" s="189"/>
      <c r="B402" s="189"/>
      <c r="C402" s="189"/>
      <c r="D402" s="189"/>
      <c r="E402" s="189"/>
      <c r="F402" s="189"/>
      <c r="G402" s="189"/>
      <c r="H402" s="189"/>
      <c r="I402" s="338"/>
      <c r="J402" s="338"/>
      <c r="K402" s="338"/>
      <c r="L402" s="338"/>
      <c r="M402" s="338"/>
      <c r="N402" s="338"/>
      <c r="O402" s="338"/>
      <c r="P402" s="338"/>
      <c r="Q402" s="338"/>
      <c r="R402" s="338"/>
      <c r="S402" s="338"/>
      <c r="T402" s="230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</row>
    <row r="403" spans="1:30">
      <c r="A403" s="189"/>
      <c r="B403" s="189"/>
      <c r="C403" s="189"/>
      <c r="D403" s="189"/>
      <c r="E403" s="189"/>
      <c r="F403" s="189"/>
      <c r="G403" s="189"/>
      <c r="H403" s="189"/>
      <c r="I403" s="338"/>
      <c r="J403" s="338"/>
      <c r="K403" s="338"/>
      <c r="L403" s="338"/>
      <c r="M403" s="338"/>
      <c r="N403" s="338"/>
      <c r="O403" s="338"/>
      <c r="P403" s="338"/>
      <c r="Q403" s="338"/>
      <c r="R403" s="338"/>
      <c r="S403" s="338"/>
      <c r="T403" s="230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</row>
    <row r="404" spans="1:30">
      <c r="A404" s="189"/>
      <c r="B404" s="189"/>
      <c r="C404" s="189"/>
      <c r="D404" s="189"/>
      <c r="E404" s="189"/>
      <c r="F404" s="189"/>
      <c r="G404" s="189"/>
      <c r="H404" s="189"/>
      <c r="I404" s="338"/>
      <c r="J404" s="338"/>
      <c r="K404" s="338"/>
      <c r="L404" s="338"/>
      <c r="M404" s="338"/>
      <c r="N404" s="338"/>
      <c r="O404" s="338"/>
      <c r="P404" s="338"/>
      <c r="Q404" s="338"/>
      <c r="R404" s="338"/>
      <c r="S404" s="338"/>
      <c r="T404" s="230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</row>
    <row r="405" spans="1:30">
      <c r="A405" s="189"/>
      <c r="B405" s="189"/>
      <c r="C405" s="189"/>
      <c r="D405" s="189"/>
      <c r="E405" s="189"/>
      <c r="F405" s="189"/>
      <c r="G405" s="189"/>
      <c r="H405" s="189"/>
      <c r="I405" s="338"/>
      <c r="J405" s="338"/>
      <c r="K405" s="338"/>
      <c r="L405" s="338"/>
      <c r="M405" s="338"/>
      <c r="N405" s="338"/>
      <c r="O405" s="338"/>
      <c r="P405" s="338"/>
      <c r="Q405" s="338"/>
      <c r="R405" s="338"/>
      <c r="S405" s="338"/>
      <c r="T405" s="230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</row>
    <row r="406" spans="1:30">
      <c r="A406" s="189"/>
      <c r="B406" s="189"/>
      <c r="C406" s="189"/>
      <c r="D406" s="189"/>
      <c r="E406" s="189"/>
      <c r="F406" s="189"/>
      <c r="G406" s="189"/>
      <c r="H406" s="189"/>
      <c r="I406" s="338"/>
      <c r="J406" s="338"/>
      <c r="K406" s="338"/>
      <c r="L406" s="338"/>
      <c r="M406" s="338"/>
      <c r="N406" s="338"/>
      <c r="O406" s="338"/>
      <c r="P406" s="338"/>
      <c r="Q406" s="338"/>
      <c r="R406" s="338"/>
      <c r="S406" s="338"/>
      <c r="T406" s="230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</row>
    <row r="407" spans="1:30">
      <c r="A407" s="189"/>
      <c r="B407" s="189"/>
      <c r="C407" s="189"/>
      <c r="D407" s="189"/>
      <c r="E407" s="189"/>
      <c r="F407" s="189"/>
      <c r="G407" s="189"/>
      <c r="H407" s="189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230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</row>
    <row r="408" spans="1:30">
      <c r="A408" s="189"/>
      <c r="B408" s="189"/>
      <c r="C408" s="189"/>
      <c r="D408" s="189"/>
      <c r="E408" s="189"/>
      <c r="F408" s="189"/>
      <c r="G408" s="189"/>
      <c r="H408" s="189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230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</row>
    <row r="409" spans="1:30">
      <c r="A409" s="189"/>
      <c r="B409" s="189"/>
      <c r="C409" s="189"/>
      <c r="D409" s="189"/>
      <c r="E409" s="189"/>
      <c r="F409" s="189"/>
      <c r="G409" s="189"/>
      <c r="H409" s="189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230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</row>
    <row r="410" spans="1:30">
      <c r="A410" s="189"/>
      <c r="B410" s="189"/>
      <c r="C410" s="189"/>
      <c r="D410" s="189"/>
      <c r="E410" s="189"/>
      <c r="F410" s="189"/>
      <c r="G410" s="189"/>
      <c r="H410" s="189"/>
      <c r="I410" s="338"/>
      <c r="J410" s="338"/>
      <c r="K410" s="338"/>
      <c r="L410" s="338"/>
      <c r="M410" s="338"/>
      <c r="N410" s="338"/>
      <c r="O410" s="338"/>
      <c r="P410" s="338"/>
      <c r="Q410" s="338"/>
      <c r="R410" s="338"/>
      <c r="S410" s="338"/>
      <c r="T410" s="230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</row>
    <row r="411" spans="1:30">
      <c r="A411" s="189"/>
      <c r="B411" s="189"/>
      <c r="C411" s="189"/>
      <c r="D411" s="189"/>
      <c r="E411" s="189"/>
      <c r="F411" s="189"/>
      <c r="G411" s="189"/>
      <c r="H411" s="189"/>
      <c r="I411" s="338"/>
      <c r="J411" s="338"/>
      <c r="K411" s="338"/>
      <c r="L411" s="338"/>
      <c r="M411" s="338"/>
      <c r="N411" s="338"/>
      <c r="O411" s="338"/>
      <c r="P411" s="338"/>
      <c r="Q411" s="338"/>
      <c r="R411" s="338"/>
      <c r="S411" s="338"/>
      <c r="T411" s="230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</row>
    <row r="412" spans="1:30">
      <c r="A412" s="189"/>
      <c r="B412" s="189"/>
      <c r="C412" s="189"/>
      <c r="D412" s="189"/>
      <c r="E412" s="189"/>
      <c r="F412" s="189"/>
      <c r="G412" s="189"/>
      <c r="H412" s="189"/>
      <c r="I412" s="338"/>
      <c r="J412" s="338"/>
      <c r="K412" s="338"/>
      <c r="L412" s="338"/>
      <c r="M412" s="338"/>
      <c r="N412" s="338"/>
      <c r="O412" s="338"/>
      <c r="P412" s="338"/>
      <c r="Q412" s="338"/>
      <c r="R412" s="338"/>
      <c r="S412" s="338"/>
      <c r="T412" s="230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</row>
    <row r="413" spans="1:30">
      <c r="A413" s="189"/>
      <c r="B413" s="189"/>
      <c r="C413" s="189"/>
      <c r="D413" s="189"/>
      <c r="E413" s="189"/>
      <c r="F413" s="189"/>
      <c r="G413" s="189"/>
      <c r="H413" s="189"/>
      <c r="I413" s="338"/>
      <c r="J413" s="338"/>
      <c r="K413" s="338"/>
      <c r="L413" s="338"/>
      <c r="M413" s="338"/>
      <c r="N413" s="338"/>
      <c r="O413" s="338"/>
      <c r="P413" s="338"/>
      <c r="Q413" s="338"/>
      <c r="R413" s="338"/>
      <c r="S413" s="338"/>
      <c r="T413" s="230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</row>
    <row r="414" spans="1:30">
      <c r="A414" s="189"/>
      <c r="B414" s="189"/>
      <c r="C414" s="189"/>
      <c r="D414" s="189"/>
      <c r="E414" s="189"/>
      <c r="F414" s="189"/>
      <c r="G414" s="189"/>
      <c r="H414" s="189"/>
      <c r="I414" s="338"/>
      <c r="J414" s="338"/>
      <c r="K414" s="338"/>
      <c r="L414" s="338"/>
      <c r="M414" s="338"/>
      <c r="N414" s="338"/>
      <c r="O414" s="338"/>
      <c r="P414" s="338"/>
      <c r="Q414" s="338"/>
      <c r="R414" s="338"/>
      <c r="S414" s="338"/>
      <c r="T414" s="230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</row>
    <row r="415" spans="1:30">
      <c r="A415" s="189"/>
      <c r="B415" s="189"/>
      <c r="C415" s="189"/>
      <c r="D415" s="189"/>
      <c r="E415" s="189"/>
      <c r="F415" s="189"/>
      <c r="G415" s="189"/>
      <c r="H415" s="189"/>
      <c r="I415" s="338"/>
      <c r="J415" s="338"/>
      <c r="K415" s="338"/>
      <c r="L415" s="338"/>
      <c r="M415" s="338"/>
      <c r="N415" s="338"/>
      <c r="O415" s="338"/>
      <c r="P415" s="338"/>
      <c r="Q415" s="338"/>
      <c r="R415" s="338"/>
      <c r="S415" s="338"/>
      <c r="T415" s="230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</row>
    <row r="416" spans="1:30">
      <c r="A416" s="189"/>
      <c r="B416" s="189"/>
      <c r="C416" s="189"/>
      <c r="D416" s="189"/>
      <c r="E416" s="189"/>
      <c r="F416" s="189"/>
      <c r="G416" s="189"/>
      <c r="H416" s="189"/>
      <c r="I416" s="338"/>
      <c r="J416" s="338"/>
      <c r="K416" s="338"/>
      <c r="L416" s="338"/>
      <c r="M416" s="338"/>
      <c r="N416" s="338"/>
      <c r="O416" s="338"/>
      <c r="P416" s="338"/>
      <c r="Q416" s="338"/>
      <c r="R416" s="338"/>
      <c r="S416" s="338"/>
      <c r="T416" s="230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</row>
    <row r="417" spans="1:30">
      <c r="A417" s="189"/>
      <c r="B417" s="189"/>
      <c r="C417" s="189"/>
      <c r="D417" s="189"/>
      <c r="E417" s="189"/>
      <c r="F417" s="189"/>
      <c r="G417" s="189"/>
      <c r="H417" s="189"/>
      <c r="I417" s="338"/>
      <c r="J417" s="338"/>
      <c r="K417" s="338"/>
      <c r="L417" s="338"/>
      <c r="M417" s="338"/>
      <c r="N417" s="338"/>
      <c r="O417" s="338"/>
      <c r="P417" s="338"/>
      <c r="Q417" s="338"/>
      <c r="R417" s="338"/>
      <c r="S417" s="338"/>
      <c r="T417" s="230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</row>
    <row r="418" spans="1:30">
      <c r="A418" s="189"/>
      <c r="B418" s="189"/>
      <c r="C418" s="189"/>
      <c r="D418" s="189"/>
      <c r="E418" s="189"/>
      <c r="F418" s="189"/>
      <c r="G418" s="189"/>
      <c r="H418" s="189"/>
      <c r="I418" s="338"/>
      <c r="J418" s="338"/>
      <c r="K418" s="338"/>
      <c r="L418" s="338"/>
      <c r="M418" s="338"/>
      <c r="N418" s="338"/>
      <c r="O418" s="338"/>
      <c r="P418" s="338"/>
      <c r="Q418" s="338"/>
      <c r="R418" s="338"/>
      <c r="S418" s="338"/>
      <c r="T418" s="230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</row>
    <row r="419" spans="1:30">
      <c r="A419" s="189"/>
      <c r="B419" s="189"/>
      <c r="C419" s="189"/>
      <c r="D419" s="189"/>
      <c r="E419" s="189"/>
      <c r="F419" s="189"/>
      <c r="G419" s="189"/>
      <c r="H419" s="189"/>
      <c r="I419" s="338"/>
      <c r="J419" s="338"/>
      <c r="K419" s="338"/>
      <c r="L419" s="338"/>
      <c r="M419" s="338"/>
      <c r="N419" s="338"/>
      <c r="O419" s="338"/>
      <c r="P419" s="338"/>
      <c r="Q419" s="338"/>
      <c r="R419" s="338"/>
      <c r="S419" s="338"/>
      <c r="T419" s="230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</row>
    <row r="420" spans="1:30">
      <c r="A420" s="189"/>
      <c r="B420" s="189"/>
      <c r="C420" s="189"/>
      <c r="D420" s="189"/>
      <c r="E420" s="189"/>
      <c r="F420" s="189"/>
      <c r="G420" s="189"/>
      <c r="H420" s="189"/>
      <c r="I420" s="338"/>
      <c r="J420" s="338"/>
      <c r="K420" s="338"/>
      <c r="L420" s="338"/>
      <c r="M420" s="338"/>
      <c r="N420" s="338"/>
      <c r="O420" s="338"/>
      <c r="P420" s="338"/>
      <c r="Q420" s="338"/>
      <c r="R420" s="338"/>
      <c r="S420" s="338"/>
      <c r="T420" s="230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</row>
    <row r="421" spans="1:30">
      <c r="A421" s="189"/>
      <c r="B421" s="189"/>
      <c r="C421" s="189"/>
      <c r="D421" s="189"/>
      <c r="E421" s="189"/>
      <c r="F421" s="189"/>
      <c r="G421" s="189"/>
      <c r="H421" s="189"/>
      <c r="I421" s="338"/>
      <c r="J421" s="338"/>
      <c r="K421" s="338"/>
      <c r="L421" s="338"/>
      <c r="M421" s="338"/>
      <c r="N421" s="338"/>
      <c r="O421" s="338"/>
      <c r="P421" s="338"/>
      <c r="Q421" s="338"/>
      <c r="R421" s="338"/>
      <c r="S421" s="338"/>
      <c r="T421" s="230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</row>
    <row r="422" spans="1:30">
      <c r="A422" s="189"/>
      <c r="B422" s="189"/>
      <c r="C422" s="189"/>
      <c r="D422" s="189"/>
      <c r="E422" s="189"/>
      <c r="F422" s="189"/>
      <c r="G422" s="189"/>
      <c r="H422" s="189"/>
      <c r="I422" s="338"/>
      <c r="J422" s="338"/>
      <c r="K422" s="338"/>
      <c r="L422" s="338"/>
      <c r="M422" s="338"/>
      <c r="N422" s="338"/>
      <c r="O422" s="338"/>
      <c r="P422" s="338"/>
      <c r="Q422" s="338"/>
      <c r="R422" s="338"/>
      <c r="S422" s="338"/>
      <c r="T422" s="230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</row>
    <row r="423" spans="1:30">
      <c r="A423" s="189"/>
      <c r="B423" s="189"/>
      <c r="C423" s="189"/>
      <c r="D423" s="189"/>
      <c r="E423" s="189"/>
      <c r="F423" s="189"/>
      <c r="G423" s="189"/>
      <c r="H423" s="189"/>
      <c r="I423" s="338"/>
      <c r="J423" s="338"/>
      <c r="K423" s="338"/>
      <c r="L423" s="338"/>
      <c r="M423" s="338"/>
      <c r="N423" s="338"/>
      <c r="O423" s="338"/>
      <c r="P423" s="338"/>
      <c r="Q423" s="338"/>
      <c r="R423" s="338"/>
      <c r="S423" s="338"/>
      <c r="T423" s="230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</row>
    <row r="424" spans="1:30">
      <c r="A424" s="189"/>
      <c r="B424" s="189"/>
      <c r="C424" s="189"/>
      <c r="D424" s="189"/>
      <c r="E424" s="189"/>
      <c r="F424" s="189"/>
      <c r="G424" s="189"/>
      <c r="H424" s="189"/>
      <c r="I424" s="338"/>
      <c r="J424" s="338"/>
      <c r="K424" s="338"/>
      <c r="L424" s="338"/>
      <c r="M424" s="338"/>
      <c r="N424" s="338"/>
      <c r="O424" s="338"/>
      <c r="P424" s="338"/>
      <c r="Q424" s="338"/>
      <c r="R424" s="338"/>
      <c r="S424" s="338"/>
      <c r="T424" s="230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</row>
    <row r="425" spans="1:30">
      <c r="A425" s="189"/>
      <c r="B425" s="189"/>
      <c r="C425" s="189"/>
      <c r="D425" s="189"/>
      <c r="E425" s="189"/>
      <c r="F425" s="189"/>
      <c r="G425" s="189"/>
      <c r="H425" s="189"/>
      <c r="I425" s="338"/>
      <c r="J425" s="338"/>
      <c r="K425" s="338"/>
      <c r="L425" s="338"/>
      <c r="M425" s="338"/>
      <c r="N425" s="338"/>
      <c r="O425" s="338"/>
      <c r="P425" s="338"/>
      <c r="Q425" s="338"/>
      <c r="R425" s="338"/>
      <c r="S425" s="338"/>
      <c r="T425" s="230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</row>
    <row r="426" spans="1:30">
      <c r="A426" s="189"/>
      <c r="B426" s="189"/>
      <c r="C426" s="189"/>
      <c r="D426" s="189"/>
      <c r="E426" s="189"/>
      <c r="F426" s="189"/>
      <c r="G426" s="189"/>
      <c r="H426" s="189"/>
      <c r="I426" s="338"/>
      <c r="J426" s="338"/>
      <c r="K426" s="338"/>
      <c r="L426" s="338"/>
      <c r="M426" s="338"/>
      <c r="N426" s="338"/>
      <c r="O426" s="338"/>
      <c r="P426" s="338"/>
      <c r="Q426" s="338"/>
      <c r="R426" s="338"/>
      <c r="S426" s="338"/>
      <c r="T426" s="230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</row>
    <row r="427" spans="1:30">
      <c r="A427" s="189"/>
      <c r="B427" s="189"/>
      <c r="C427" s="189"/>
      <c r="D427" s="189"/>
      <c r="E427" s="189"/>
      <c r="F427" s="189"/>
      <c r="G427" s="189"/>
      <c r="H427" s="189"/>
      <c r="I427" s="338"/>
      <c r="J427" s="338"/>
      <c r="K427" s="338"/>
      <c r="L427" s="338"/>
      <c r="M427" s="338"/>
      <c r="N427" s="338"/>
      <c r="O427" s="338"/>
      <c r="P427" s="338"/>
      <c r="Q427" s="338"/>
      <c r="R427" s="338"/>
      <c r="S427" s="338"/>
      <c r="T427" s="230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</row>
    <row r="428" spans="1:30">
      <c r="A428" s="189"/>
      <c r="B428" s="189"/>
      <c r="C428" s="189"/>
      <c r="D428" s="189"/>
      <c r="E428" s="189"/>
      <c r="F428" s="189"/>
      <c r="G428" s="189"/>
      <c r="H428" s="189"/>
      <c r="I428" s="338"/>
      <c r="J428" s="338"/>
      <c r="K428" s="338"/>
      <c r="L428" s="338"/>
      <c r="M428" s="338"/>
      <c r="N428" s="338"/>
      <c r="O428" s="338"/>
      <c r="P428" s="338"/>
      <c r="Q428" s="338"/>
      <c r="R428" s="338"/>
      <c r="S428" s="338"/>
      <c r="T428" s="230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</row>
    <row r="429" spans="1:30">
      <c r="A429" s="189"/>
      <c r="B429" s="189"/>
      <c r="C429" s="189"/>
      <c r="D429" s="189"/>
      <c r="E429" s="189"/>
      <c r="F429" s="189"/>
      <c r="G429" s="189"/>
      <c r="H429" s="189"/>
      <c r="I429" s="338"/>
      <c r="J429" s="338"/>
      <c r="K429" s="338"/>
      <c r="L429" s="338"/>
      <c r="M429" s="338"/>
      <c r="N429" s="338"/>
      <c r="O429" s="338"/>
      <c r="P429" s="338"/>
      <c r="Q429" s="338"/>
      <c r="R429" s="338"/>
      <c r="S429" s="338"/>
      <c r="T429" s="230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</row>
    <row r="430" spans="1:30">
      <c r="A430" s="189"/>
      <c r="B430" s="189"/>
      <c r="C430" s="189"/>
      <c r="D430" s="189"/>
      <c r="E430" s="189"/>
      <c r="F430" s="189"/>
      <c r="G430" s="189"/>
      <c r="H430" s="189"/>
      <c r="I430" s="338"/>
      <c r="J430" s="338"/>
      <c r="K430" s="338"/>
      <c r="L430" s="338"/>
      <c r="M430" s="338"/>
      <c r="N430" s="338"/>
      <c r="O430" s="338"/>
      <c r="P430" s="338"/>
      <c r="Q430" s="338"/>
      <c r="R430" s="338"/>
      <c r="S430" s="338"/>
      <c r="T430" s="230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</row>
    <row r="431" spans="1:30">
      <c r="A431" s="189"/>
      <c r="B431" s="189"/>
      <c r="C431" s="189"/>
      <c r="D431" s="189"/>
      <c r="E431" s="189"/>
      <c r="F431" s="189"/>
      <c r="G431" s="189"/>
      <c r="H431" s="189"/>
      <c r="I431" s="338"/>
      <c r="J431" s="338"/>
      <c r="K431" s="338"/>
      <c r="L431" s="338"/>
      <c r="M431" s="338"/>
      <c r="N431" s="338"/>
      <c r="O431" s="338"/>
      <c r="P431" s="338"/>
      <c r="Q431" s="338"/>
      <c r="R431" s="338"/>
      <c r="S431" s="338"/>
      <c r="T431" s="230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</row>
    <row r="432" spans="1:30">
      <c r="A432" s="189"/>
      <c r="B432" s="189"/>
      <c r="C432" s="189"/>
      <c r="D432" s="189"/>
      <c r="E432" s="189"/>
      <c r="F432" s="189"/>
      <c r="G432" s="189"/>
      <c r="H432" s="189"/>
      <c r="I432" s="338"/>
      <c r="J432" s="338"/>
      <c r="K432" s="338"/>
      <c r="L432" s="338"/>
      <c r="M432" s="338"/>
      <c r="N432" s="338"/>
      <c r="O432" s="338"/>
      <c r="P432" s="338"/>
      <c r="Q432" s="338"/>
      <c r="R432" s="338"/>
      <c r="S432" s="338"/>
      <c r="T432" s="230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</row>
    <row r="433" spans="1:30">
      <c r="A433" s="189"/>
      <c r="B433" s="189"/>
      <c r="C433" s="189"/>
      <c r="D433" s="189"/>
      <c r="E433" s="189"/>
      <c r="F433" s="189"/>
      <c r="G433" s="189"/>
      <c r="H433" s="189"/>
      <c r="I433" s="338"/>
      <c r="J433" s="338"/>
      <c r="K433" s="338"/>
      <c r="L433" s="338"/>
      <c r="M433" s="338"/>
      <c r="N433" s="338"/>
      <c r="O433" s="338"/>
      <c r="P433" s="338"/>
      <c r="Q433" s="338"/>
      <c r="R433" s="338"/>
      <c r="S433" s="338"/>
      <c r="T433" s="230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</row>
    <row r="434" spans="1:30">
      <c r="A434" s="189"/>
      <c r="B434" s="189"/>
      <c r="C434" s="189"/>
      <c r="D434" s="189"/>
      <c r="E434" s="189"/>
      <c r="F434" s="189"/>
      <c r="G434" s="189"/>
      <c r="H434" s="189"/>
      <c r="I434" s="338"/>
      <c r="J434" s="338"/>
      <c r="K434" s="338"/>
      <c r="L434" s="338"/>
      <c r="M434" s="338"/>
      <c r="N434" s="338"/>
      <c r="O434" s="338"/>
      <c r="P434" s="338"/>
      <c r="Q434" s="338"/>
      <c r="R434" s="338"/>
      <c r="S434" s="338"/>
      <c r="T434" s="230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</row>
    <row r="435" spans="1:30">
      <c r="A435" s="189"/>
      <c r="B435" s="189"/>
      <c r="C435" s="189"/>
      <c r="D435" s="189"/>
      <c r="E435" s="189"/>
      <c r="F435" s="189"/>
      <c r="G435" s="189"/>
      <c r="H435" s="189"/>
      <c r="I435" s="338"/>
      <c r="J435" s="338"/>
      <c r="K435" s="338"/>
      <c r="L435" s="338"/>
      <c r="M435" s="338"/>
      <c r="N435" s="338"/>
      <c r="O435" s="338"/>
      <c r="P435" s="338"/>
      <c r="Q435" s="338"/>
      <c r="R435" s="338"/>
      <c r="S435" s="338"/>
      <c r="T435" s="230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</row>
    <row r="436" spans="1:30">
      <c r="A436" s="189"/>
      <c r="B436" s="189"/>
      <c r="C436" s="189"/>
      <c r="D436" s="189"/>
      <c r="E436" s="189"/>
      <c r="F436" s="189"/>
      <c r="G436" s="189"/>
      <c r="H436" s="189"/>
      <c r="I436" s="338"/>
      <c r="J436" s="338"/>
      <c r="K436" s="338"/>
      <c r="L436" s="338"/>
      <c r="M436" s="338"/>
      <c r="N436" s="338"/>
      <c r="O436" s="338"/>
      <c r="P436" s="338"/>
      <c r="Q436" s="338"/>
      <c r="R436" s="338"/>
      <c r="S436" s="338"/>
      <c r="T436" s="230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</row>
    <row r="437" spans="1:30">
      <c r="A437" s="189"/>
      <c r="B437" s="189"/>
      <c r="C437" s="189"/>
      <c r="D437" s="189"/>
      <c r="E437" s="189"/>
      <c r="F437" s="189"/>
      <c r="G437" s="189"/>
      <c r="H437" s="189"/>
      <c r="I437" s="338"/>
      <c r="J437" s="338"/>
      <c r="K437" s="338"/>
      <c r="L437" s="338"/>
      <c r="M437" s="338"/>
      <c r="N437" s="338"/>
      <c r="O437" s="338"/>
      <c r="P437" s="338"/>
      <c r="Q437" s="338"/>
      <c r="R437" s="338"/>
      <c r="S437" s="338"/>
      <c r="T437" s="230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</row>
    <row r="438" spans="1:30">
      <c r="A438" s="189"/>
      <c r="B438" s="189"/>
      <c r="C438" s="189"/>
      <c r="D438" s="189"/>
      <c r="E438" s="189"/>
      <c r="F438" s="189"/>
      <c r="G438" s="189"/>
      <c r="H438" s="189"/>
      <c r="I438" s="338"/>
      <c r="J438" s="338"/>
      <c r="K438" s="338"/>
      <c r="L438" s="338"/>
      <c r="M438" s="338"/>
      <c r="N438" s="338"/>
      <c r="O438" s="338"/>
      <c r="P438" s="338"/>
      <c r="Q438" s="338"/>
      <c r="R438" s="338"/>
      <c r="S438" s="338"/>
      <c r="T438" s="230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</row>
    <row r="439" spans="1:30">
      <c r="A439" s="189"/>
      <c r="B439" s="189"/>
      <c r="C439" s="189"/>
      <c r="D439" s="189"/>
      <c r="E439" s="189"/>
      <c r="F439" s="189"/>
      <c r="G439" s="189"/>
      <c r="H439" s="189"/>
      <c r="I439" s="338"/>
      <c r="J439" s="338"/>
      <c r="K439" s="338"/>
      <c r="L439" s="338"/>
      <c r="M439" s="338"/>
      <c r="N439" s="338"/>
      <c r="O439" s="338"/>
      <c r="P439" s="338"/>
      <c r="Q439" s="338"/>
      <c r="R439" s="338"/>
      <c r="S439" s="338"/>
      <c r="T439" s="230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</row>
    <row r="440" spans="1:30">
      <c r="A440" s="189"/>
      <c r="B440" s="189"/>
      <c r="C440" s="189"/>
      <c r="D440" s="189"/>
      <c r="E440" s="189"/>
      <c r="F440" s="189"/>
      <c r="G440" s="189"/>
      <c r="H440" s="189"/>
      <c r="I440" s="338"/>
      <c r="J440" s="338"/>
      <c r="K440" s="338"/>
      <c r="L440" s="338"/>
      <c r="M440" s="338"/>
      <c r="N440" s="338"/>
      <c r="O440" s="338"/>
      <c r="P440" s="338"/>
      <c r="Q440" s="338"/>
      <c r="R440" s="338"/>
      <c r="S440" s="338"/>
      <c r="T440" s="230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</row>
    <row r="441" spans="1:30">
      <c r="A441" s="189"/>
      <c r="B441" s="189"/>
      <c r="C441" s="189"/>
      <c r="D441" s="189"/>
      <c r="E441" s="189"/>
      <c r="F441" s="189"/>
      <c r="G441" s="189"/>
      <c r="H441" s="189"/>
      <c r="I441" s="338"/>
      <c r="J441" s="338"/>
      <c r="K441" s="338"/>
      <c r="L441" s="338"/>
      <c r="M441" s="338"/>
      <c r="N441" s="338"/>
      <c r="O441" s="338"/>
      <c r="P441" s="338"/>
      <c r="Q441" s="338"/>
      <c r="R441" s="338"/>
      <c r="S441" s="338"/>
      <c r="T441" s="230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</row>
    <row r="442" spans="1:30">
      <c r="A442" s="189"/>
      <c r="B442" s="189"/>
      <c r="C442" s="189"/>
      <c r="D442" s="189"/>
      <c r="E442" s="189"/>
      <c r="F442" s="189"/>
      <c r="G442" s="189"/>
      <c r="H442" s="189"/>
      <c r="I442" s="338"/>
      <c r="J442" s="338"/>
      <c r="K442" s="338"/>
      <c r="L442" s="338"/>
      <c r="M442" s="338"/>
      <c r="N442" s="338"/>
      <c r="O442" s="338"/>
      <c r="P442" s="338"/>
      <c r="Q442" s="338"/>
      <c r="R442" s="338"/>
      <c r="S442" s="338"/>
      <c r="T442" s="230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</row>
    <row r="443" spans="1:30">
      <c r="A443" s="189"/>
      <c r="B443" s="189"/>
      <c r="C443" s="189"/>
      <c r="D443" s="189"/>
      <c r="E443" s="189"/>
      <c r="F443" s="189"/>
      <c r="G443" s="189"/>
      <c r="H443" s="189"/>
      <c r="I443" s="338"/>
      <c r="J443" s="338"/>
      <c r="K443" s="338"/>
      <c r="L443" s="338"/>
      <c r="M443" s="338"/>
      <c r="N443" s="338"/>
      <c r="O443" s="338"/>
      <c r="P443" s="338"/>
      <c r="Q443" s="338"/>
      <c r="R443" s="338"/>
      <c r="S443" s="338"/>
      <c r="T443" s="230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</row>
    <row r="444" spans="1:30">
      <c r="A444" s="189"/>
      <c r="B444" s="189"/>
      <c r="C444" s="189"/>
      <c r="D444" s="189"/>
      <c r="E444" s="189"/>
      <c r="F444" s="189"/>
      <c r="G444" s="189"/>
      <c r="H444" s="189"/>
      <c r="I444" s="338"/>
      <c r="J444" s="338"/>
      <c r="K444" s="338"/>
      <c r="L444" s="338"/>
      <c r="M444" s="338"/>
      <c r="N444" s="338"/>
      <c r="O444" s="338"/>
      <c r="P444" s="338"/>
      <c r="Q444" s="338"/>
      <c r="R444" s="338"/>
      <c r="S444" s="338"/>
      <c r="T444" s="230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</row>
    <row r="445" spans="1:30">
      <c r="A445" s="189"/>
      <c r="B445" s="189"/>
      <c r="C445" s="189"/>
      <c r="D445" s="189"/>
      <c r="E445" s="189"/>
      <c r="F445" s="189"/>
      <c r="G445" s="189"/>
      <c r="H445" s="189"/>
      <c r="I445" s="338"/>
      <c r="J445" s="338"/>
      <c r="K445" s="338"/>
      <c r="L445" s="338"/>
      <c r="M445" s="338"/>
      <c r="N445" s="338"/>
      <c r="O445" s="338"/>
      <c r="P445" s="338"/>
      <c r="Q445" s="338"/>
      <c r="R445" s="338"/>
      <c r="S445" s="338"/>
      <c r="T445" s="230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</row>
    <row r="446" spans="1:30">
      <c r="A446" s="189"/>
      <c r="B446" s="189"/>
      <c r="C446" s="189"/>
      <c r="D446" s="189"/>
      <c r="E446" s="189"/>
      <c r="F446" s="189"/>
      <c r="G446" s="189"/>
      <c r="H446" s="189"/>
      <c r="I446" s="338"/>
      <c r="J446" s="338"/>
      <c r="K446" s="338"/>
      <c r="L446" s="338"/>
      <c r="M446" s="338"/>
      <c r="N446" s="338"/>
      <c r="O446" s="338"/>
      <c r="P446" s="338"/>
      <c r="Q446" s="338"/>
      <c r="R446" s="338"/>
      <c r="S446" s="338"/>
      <c r="T446" s="230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</row>
    <row r="447" spans="1:30">
      <c r="A447" s="189"/>
      <c r="B447" s="189"/>
      <c r="C447" s="189"/>
      <c r="D447" s="189"/>
      <c r="E447" s="189"/>
      <c r="F447" s="189"/>
      <c r="G447" s="189"/>
      <c r="H447" s="189"/>
      <c r="I447" s="338"/>
      <c r="J447" s="338"/>
      <c r="K447" s="338"/>
      <c r="L447" s="338"/>
      <c r="M447" s="338"/>
      <c r="N447" s="338"/>
      <c r="O447" s="338"/>
      <c r="P447" s="338"/>
      <c r="Q447" s="338"/>
      <c r="R447" s="338"/>
      <c r="S447" s="338"/>
      <c r="T447" s="230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</row>
    <row r="448" spans="1:30">
      <c r="A448" s="189"/>
      <c r="B448" s="189"/>
      <c r="C448" s="189"/>
      <c r="D448" s="189"/>
      <c r="E448" s="189"/>
      <c r="F448" s="189"/>
      <c r="G448" s="189"/>
      <c r="H448" s="189"/>
      <c r="I448" s="338"/>
      <c r="J448" s="338"/>
      <c r="K448" s="338"/>
      <c r="L448" s="338"/>
      <c r="M448" s="338"/>
      <c r="N448" s="338"/>
      <c r="O448" s="338"/>
      <c r="P448" s="338"/>
      <c r="Q448" s="338"/>
      <c r="R448" s="338"/>
      <c r="S448" s="338"/>
      <c r="T448" s="230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</row>
    <row r="449" spans="1:30">
      <c r="A449" s="189"/>
      <c r="B449" s="189"/>
      <c r="C449" s="189"/>
      <c r="D449" s="189"/>
      <c r="E449" s="189"/>
      <c r="F449" s="189"/>
      <c r="G449" s="189"/>
      <c r="H449" s="189"/>
      <c r="I449" s="338"/>
      <c r="J449" s="338"/>
      <c r="K449" s="338"/>
      <c r="L449" s="338"/>
      <c r="M449" s="338"/>
      <c r="N449" s="338"/>
      <c r="O449" s="338"/>
      <c r="P449" s="338"/>
      <c r="Q449" s="338"/>
      <c r="R449" s="338"/>
      <c r="S449" s="338"/>
      <c r="T449" s="230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</row>
    <row r="450" spans="1:30">
      <c r="A450" s="189"/>
      <c r="B450" s="189"/>
      <c r="C450" s="189"/>
      <c r="D450" s="189"/>
      <c r="E450" s="189"/>
      <c r="F450" s="189"/>
      <c r="G450" s="189"/>
      <c r="H450" s="189"/>
      <c r="I450" s="338"/>
      <c r="J450" s="338"/>
      <c r="K450" s="338"/>
      <c r="L450" s="338"/>
      <c r="M450" s="338"/>
      <c r="N450" s="338"/>
      <c r="O450" s="338"/>
      <c r="P450" s="338"/>
      <c r="Q450" s="338"/>
      <c r="R450" s="338"/>
      <c r="S450" s="338"/>
      <c r="T450" s="230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</row>
    <row r="451" spans="1:30">
      <c r="A451" s="189"/>
      <c r="B451" s="189"/>
      <c r="C451" s="189"/>
      <c r="D451" s="189"/>
      <c r="E451" s="189"/>
      <c r="F451" s="189"/>
      <c r="G451" s="189"/>
      <c r="H451" s="189"/>
      <c r="I451" s="338"/>
      <c r="J451" s="338"/>
      <c r="K451" s="338"/>
      <c r="L451" s="338"/>
      <c r="M451" s="338"/>
      <c r="N451" s="338"/>
      <c r="O451" s="338"/>
      <c r="P451" s="338"/>
      <c r="Q451" s="338"/>
      <c r="R451" s="338"/>
      <c r="S451" s="338"/>
      <c r="T451" s="230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</row>
    <row r="452" spans="1:30">
      <c r="A452" s="189"/>
      <c r="B452" s="189"/>
      <c r="C452" s="189"/>
      <c r="D452" s="189"/>
      <c r="E452" s="189"/>
      <c r="F452" s="189"/>
      <c r="G452" s="189"/>
      <c r="H452" s="189"/>
      <c r="I452" s="338"/>
      <c r="J452" s="338"/>
      <c r="K452" s="338"/>
      <c r="L452" s="338"/>
      <c r="M452" s="338"/>
      <c r="N452" s="338"/>
      <c r="O452" s="338"/>
      <c r="P452" s="338"/>
      <c r="Q452" s="338"/>
      <c r="R452" s="338"/>
      <c r="S452" s="338"/>
      <c r="T452" s="230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</row>
    <row r="453" spans="1:30">
      <c r="A453" s="189"/>
      <c r="B453" s="189"/>
      <c r="C453" s="189"/>
      <c r="D453" s="189"/>
      <c r="E453" s="189"/>
      <c r="F453" s="189"/>
      <c r="G453" s="189"/>
      <c r="H453" s="189"/>
      <c r="I453" s="338"/>
      <c r="J453" s="338"/>
      <c r="K453" s="338"/>
      <c r="L453" s="338"/>
      <c r="M453" s="338"/>
      <c r="N453" s="338"/>
      <c r="O453" s="338"/>
      <c r="P453" s="338"/>
      <c r="Q453" s="338"/>
      <c r="R453" s="338"/>
      <c r="S453" s="338"/>
      <c r="T453" s="230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</row>
    <row r="454" spans="1:30">
      <c r="A454" s="189"/>
      <c r="B454" s="189"/>
      <c r="C454" s="189"/>
      <c r="D454" s="189"/>
      <c r="E454" s="189"/>
      <c r="F454" s="189"/>
      <c r="G454" s="189"/>
      <c r="H454" s="189"/>
      <c r="I454" s="338"/>
      <c r="J454" s="338"/>
      <c r="K454" s="338"/>
      <c r="L454" s="338"/>
      <c r="M454" s="338"/>
      <c r="N454" s="338"/>
      <c r="O454" s="338"/>
      <c r="P454" s="338"/>
      <c r="Q454" s="338"/>
      <c r="R454" s="338"/>
      <c r="S454" s="338"/>
      <c r="T454" s="230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</row>
    <row r="455" spans="1:30">
      <c r="A455" s="189"/>
      <c r="B455" s="189"/>
      <c r="C455" s="189"/>
      <c r="D455" s="189"/>
      <c r="E455" s="189"/>
      <c r="F455" s="189"/>
      <c r="G455" s="189"/>
      <c r="H455" s="189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230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</row>
    <row r="456" spans="1:30">
      <c r="A456" s="189"/>
      <c r="B456" s="189"/>
      <c r="C456" s="189"/>
      <c r="D456" s="189"/>
      <c r="E456" s="189"/>
      <c r="F456" s="189"/>
      <c r="G456" s="189"/>
      <c r="H456" s="189"/>
      <c r="I456" s="338"/>
      <c r="J456" s="338"/>
      <c r="K456" s="338"/>
      <c r="L456" s="338"/>
      <c r="M456" s="338"/>
      <c r="N456" s="338"/>
      <c r="O456" s="338"/>
      <c r="P456" s="338"/>
      <c r="Q456" s="338"/>
      <c r="R456" s="338"/>
      <c r="S456" s="338"/>
      <c r="T456" s="230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</row>
    <row r="457" spans="1:30">
      <c r="A457" s="189"/>
      <c r="B457" s="189"/>
      <c r="C457" s="189"/>
      <c r="D457" s="189"/>
      <c r="E457" s="189"/>
      <c r="F457" s="189"/>
      <c r="G457" s="189"/>
      <c r="H457" s="189"/>
      <c r="I457" s="338"/>
      <c r="J457" s="338"/>
      <c r="K457" s="338"/>
      <c r="L457" s="338"/>
      <c r="M457" s="338"/>
      <c r="N457" s="338"/>
      <c r="O457" s="338"/>
      <c r="P457" s="338"/>
      <c r="Q457" s="338"/>
      <c r="R457" s="338"/>
      <c r="S457" s="338"/>
      <c r="T457" s="230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</row>
    <row r="458" spans="1:30">
      <c r="A458" s="189"/>
      <c r="B458" s="189"/>
      <c r="C458" s="189"/>
      <c r="D458" s="189"/>
      <c r="E458" s="189"/>
      <c r="F458" s="189"/>
      <c r="G458" s="189"/>
      <c r="H458" s="189"/>
      <c r="I458" s="338"/>
      <c r="J458" s="338"/>
      <c r="K458" s="338"/>
      <c r="L458" s="338"/>
      <c r="M458" s="338"/>
      <c r="N458" s="338"/>
      <c r="O458" s="338"/>
      <c r="P458" s="338"/>
      <c r="Q458" s="338"/>
      <c r="R458" s="338"/>
      <c r="S458" s="338"/>
      <c r="T458" s="230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</row>
    <row r="459" spans="1:30">
      <c r="A459" s="189"/>
      <c r="B459" s="189"/>
      <c r="C459" s="189"/>
      <c r="D459" s="189"/>
      <c r="E459" s="189"/>
      <c r="F459" s="189"/>
      <c r="G459" s="189"/>
      <c r="H459" s="189"/>
      <c r="I459" s="338"/>
      <c r="J459" s="338"/>
      <c r="K459" s="338"/>
      <c r="L459" s="338"/>
      <c r="M459" s="338"/>
      <c r="N459" s="338"/>
      <c r="O459" s="338"/>
      <c r="P459" s="338"/>
      <c r="Q459" s="338"/>
      <c r="R459" s="338"/>
      <c r="S459" s="338"/>
      <c r="T459" s="230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</row>
    <row r="460" spans="1:30">
      <c r="A460" s="189"/>
      <c r="B460" s="189"/>
      <c r="C460" s="189"/>
      <c r="D460" s="189"/>
      <c r="E460" s="189"/>
      <c r="F460" s="189"/>
      <c r="G460" s="189"/>
      <c r="H460" s="189"/>
      <c r="I460" s="338"/>
      <c r="J460" s="338"/>
      <c r="K460" s="338"/>
      <c r="L460" s="338"/>
      <c r="M460" s="338"/>
      <c r="N460" s="338"/>
      <c r="O460" s="338"/>
      <c r="P460" s="338"/>
      <c r="Q460" s="338"/>
      <c r="R460" s="338"/>
      <c r="S460" s="338"/>
      <c r="T460" s="230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</row>
    <row r="461" spans="1:30">
      <c r="A461" s="189"/>
      <c r="B461" s="189"/>
      <c r="C461" s="189"/>
      <c r="D461" s="189"/>
      <c r="E461" s="189"/>
      <c r="F461" s="189"/>
      <c r="G461" s="189"/>
      <c r="H461" s="189"/>
      <c r="I461" s="338"/>
      <c r="J461" s="338"/>
      <c r="K461" s="338"/>
      <c r="L461" s="338"/>
      <c r="M461" s="338"/>
      <c r="N461" s="338"/>
      <c r="O461" s="338"/>
      <c r="P461" s="338"/>
      <c r="Q461" s="338"/>
      <c r="R461" s="338"/>
      <c r="S461" s="338"/>
      <c r="T461" s="230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</row>
    <row r="462" spans="1:30">
      <c r="A462" s="189"/>
      <c r="B462" s="189"/>
      <c r="C462" s="189"/>
      <c r="D462" s="189"/>
      <c r="E462" s="189"/>
      <c r="F462" s="189"/>
      <c r="G462" s="189"/>
      <c r="H462" s="189"/>
      <c r="I462" s="338"/>
      <c r="J462" s="338"/>
      <c r="K462" s="338"/>
      <c r="L462" s="338"/>
      <c r="M462" s="338"/>
      <c r="N462" s="338"/>
      <c r="O462" s="338"/>
      <c r="P462" s="338"/>
      <c r="Q462" s="338"/>
      <c r="R462" s="338"/>
      <c r="S462" s="338"/>
      <c r="T462" s="230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</row>
    <row r="463" spans="1:30">
      <c r="A463" s="189"/>
      <c r="B463" s="189"/>
      <c r="C463" s="189"/>
      <c r="D463" s="189"/>
      <c r="E463" s="189"/>
      <c r="F463" s="189"/>
      <c r="G463" s="189"/>
      <c r="H463" s="189"/>
      <c r="I463" s="338"/>
      <c r="J463" s="338"/>
      <c r="K463" s="338"/>
      <c r="L463" s="338"/>
      <c r="M463" s="338"/>
      <c r="N463" s="338"/>
      <c r="O463" s="338"/>
      <c r="P463" s="338"/>
      <c r="Q463" s="338"/>
      <c r="R463" s="338"/>
      <c r="S463" s="338"/>
      <c r="T463" s="230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</row>
    <row r="464" spans="1:30">
      <c r="A464" s="189"/>
      <c r="B464" s="189"/>
      <c r="C464" s="189"/>
      <c r="D464" s="189"/>
      <c r="E464" s="189"/>
      <c r="F464" s="189"/>
      <c r="G464" s="189"/>
      <c r="H464" s="189"/>
      <c r="I464" s="338"/>
      <c r="J464" s="338"/>
      <c r="K464" s="338"/>
      <c r="L464" s="338"/>
      <c r="M464" s="338"/>
      <c r="N464" s="338"/>
      <c r="O464" s="338"/>
      <c r="P464" s="338"/>
      <c r="Q464" s="338"/>
      <c r="R464" s="338"/>
      <c r="S464" s="338"/>
      <c r="T464" s="230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</row>
    <row r="465" spans="1:30">
      <c r="A465" s="189"/>
      <c r="B465" s="189"/>
      <c r="C465" s="189"/>
      <c r="D465" s="189"/>
      <c r="E465" s="189"/>
      <c r="F465" s="189"/>
      <c r="G465" s="189"/>
      <c r="H465" s="189"/>
      <c r="I465" s="338"/>
      <c r="J465" s="338"/>
      <c r="K465" s="338"/>
      <c r="L465" s="338"/>
      <c r="M465" s="338"/>
      <c r="N465" s="338"/>
      <c r="O465" s="338"/>
      <c r="P465" s="338"/>
      <c r="Q465" s="338"/>
      <c r="R465" s="338"/>
      <c r="S465" s="338"/>
      <c r="T465" s="230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</row>
    <row r="466" spans="1:30">
      <c r="A466" s="189"/>
      <c r="B466" s="189"/>
      <c r="C466" s="189"/>
      <c r="D466" s="189"/>
      <c r="E466" s="189"/>
      <c r="F466" s="189"/>
      <c r="G466" s="189"/>
      <c r="H466" s="189"/>
      <c r="I466" s="338"/>
      <c r="J466" s="338"/>
      <c r="K466" s="338"/>
      <c r="L466" s="338"/>
      <c r="M466" s="338"/>
      <c r="N466" s="338"/>
      <c r="O466" s="338"/>
      <c r="P466" s="338"/>
      <c r="Q466" s="338"/>
      <c r="R466" s="338"/>
      <c r="S466" s="338"/>
      <c r="T466" s="230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</row>
    <row r="467" spans="1:30">
      <c r="A467" s="189"/>
      <c r="B467" s="189"/>
      <c r="C467" s="189"/>
      <c r="D467" s="189"/>
      <c r="E467" s="189"/>
      <c r="F467" s="189"/>
      <c r="G467" s="189"/>
      <c r="H467" s="189"/>
      <c r="I467" s="338"/>
      <c r="J467" s="338"/>
      <c r="K467" s="338"/>
      <c r="L467" s="338"/>
      <c r="M467" s="338"/>
      <c r="N467" s="338"/>
      <c r="O467" s="338"/>
      <c r="P467" s="338"/>
      <c r="Q467" s="338"/>
      <c r="R467" s="338"/>
      <c r="S467" s="338"/>
      <c r="T467" s="230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</row>
    <row r="468" spans="1:30">
      <c r="A468" s="189"/>
      <c r="B468" s="189"/>
      <c r="C468" s="189"/>
      <c r="D468" s="189"/>
      <c r="E468" s="189"/>
      <c r="F468" s="189"/>
      <c r="G468" s="189"/>
      <c r="H468" s="189"/>
      <c r="I468" s="338"/>
      <c r="J468" s="338"/>
      <c r="K468" s="338"/>
      <c r="L468" s="338"/>
      <c r="M468" s="338"/>
      <c r="N468" s="338"/>
      <c r="O468" s="338"/>
      <c r="P468" s="338"/>
      <c r="Q468" s="338"/>
      <c r="R468" s="338"/>
      <c r="S468" s="338"/>
      <c r="T468" s="230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</row>
    <row r="469" spans="1:30">
      <c r="A469" s="189"/>
      <c r="B469" s="189"/>
      <c r="C469" s="189"/>
      <c r="D469" s="189"/>
      <c r="E469" s="189"/>
      <c r="F469" s="189"/>
      <c r="G469" s="189"/>
      <c r="H469" s="189"/>
      <c r="I469" s="338"/>
      <c r="J469" s="338"/>
      <c r="K469" s="338"/>
      <c r="L469" s="338"/>
      <c r="M469" s="338"/>
      <c r="N469" s="338"/>
      <c r="O469" s="338"/>
      <c r="P469" s="338"/>
      <c r="Q469" s="338"/>
      <c r="R469" s="338"/>
      <c r="S469" s="338"/>
      <c r="T469" s="230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</row>
    <row r="470" spans="1:30">
      <c r="A470" s="189"/>
      <c r="B470" s="189"/>
      <c r="C470" s="189"/>
      <c r="D470" s="189"/>
      <c r="E470" s="189"/>
      <c r="F470" s="189"/>
      <c r="G470" s="189"/>
      <c r="H470" s="189"/>
      <c r="I470" s="338"/>
      <c r="J470" s="338"/>
      <c r="K470" s="338"/>
      <c r="L470" s="338"/>
      <c r="M470" s="338"/>
      <c r="N470" s="338"/>
      <c r="O470" s="338"/>
      <c r="P470" s="338"/>
      <c r="Q470" s="338"/>
      <c r="R470" s="338"/>
      <c r="S470" s="338"/>
      <c r="T470" s="230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</row>
    <row r="471" spans="1:30">
      <c r="A471" s="189"/>
      <c r="B471" s="189"/>
      <c r="C471" s="189"/>
      <c r="D471" s="189"/>
      <c r="E471" s="189"/>
      <c r="F471" s="189"/>
      <c r="G471" s="189"/>
      <c r="H471" s="189"/>
      <c r="I471" s="338"/>
      <c r="J471" s="338"/>
      <c r="K471" s="338"/>
      <c r="L471" s="338"/>
      <c r="M471" s="338"/>
      <c r="N471" s="338"/>
      <c r="O471" s="338"/>
      <c r="P471" s="338"/>
      <c r="Q471" s="338"/>
      <c r="R471" s="338"/>
      <c r="S471" s="338"/>
      <c r="T471" s="230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</row>
    <row r="472" spans="1:30">
      <c r="A472" s="189"/>
      <c r="B472" s="189"/>
      <c r="C472" s="189"/>
      <c r="D472" s="189"/>
      <c r="E472" s="189"/>
      <c r="F472" s="189"/>
      <c r="G472" s="189"/>
      <c r="H472" s="189"/>
      <c r="I472" s="338"/>
      <c r="J472" s="338"/>
      <c r="K472" s="338"/>
      <c r="L472" s="338"/>
      <c r="M472" s="338"/>
      <c r="N472" s="338"/>
      <c r="O472" s="338"/>
      <c r="P472" s="338"/>
      <c r="Q472" s="338"/>
      <c r="R472" s="338"/>
      <c r="S472" s="338"/>
      <c r="T472" s="230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</row>
    <row r="473" spans="1:30">
      <c r="A473" s="189"/>
      <c r="B473" s="189"/>
      <c r="C473" s="189"/>
      <c r="D473" s="189"/>
      <c r="E473" s="189"/>
      <c r="F473" s="189"/>
      <c r="G473" s="189"/>
      <c r="H473" s="189"/>
      <c r="I473" s="338"/>
      <c r="J473" s="338"/>
      <c r="K473" s="338"/>
      <c r="L473" s="338"/>
      <c r="M473" s="338"/>
      <c r="N473" s="338"/>
      <c r="O473" s="338"/>
      <c r="P473" s="338"/>
      <c r="Q473" s="338"/>
      <c r="R473" s="338"/>
      <c r="S473" s="338"/>
      <c r="T473" s="230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</row>
    <row r="474" spans="1:30">
      <c r="A474" s="189"/>
      <c r="B474" s="189"/>
      <c r="C474" s="189"/>
      <c r="D474" s="189"/>
      <c r="E474" s="189"/>
      <c r="F474" s="189"/>
      <c r="G474" s="189"/>
      <c r="H474" s="189"/>
      <c r="I474" s="338"/>
      <c r="J474" s="338"/>
      <c r="K474" s="338"/>
      <c r="L474" s="338"/>
      <c r="M474" s="338"/>
      <c r="N474" s="338"/>
      <c r="O474" s="338"/>
      <c r="P474" s="338"/>
      <c r="Q474" s="338"/>
      <c r="R474" s="338"/>
      <c r="S474" s="338"/>
      <c r="T474" s="230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</row>
    <row r="475" spans="1:30">
      <c r="A475" s="189"/>
      <c r="B475" s="189"/>
      <c r="C475" s="189"/>
      <c r="D475" s="189"/>
      <c r="E475" s="189"/>
      <c r="F475" s="189"/>
      <c r="G475" s="189"/>
      <c r="H475" s="189"/>
      <c r="I475" s="338"/>
      <c r="J475" s="338"/>
      <c r="K475" s="338"/>
      <c r="L475" s="338"/>
      <c r="M475" s="338"/>
      <c r="N475" s="338"/>
      <c r="O475" s="338"/>
      <c r="P475" s="338"/>
      <c r="Q475" s="338"/>
      <c r="R475" s="338"/>
      <c r="S475" s="338"/>
      <c r="T475" s="230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</row>
    <row r="476" spans="1:30">
      <c r="A476" s="189"/>
      <c r="B476" s="189"/>
      <c r="C476" s="189"/>
      <c r="D476" s="189"/>
      <c r="E476" s="189"/>
      <c r="F476" s="189"/>
      <c r="G476" s="189"/>
      <c r="H476" s="189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230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</row>
    <row r="477" spans="1:30">
      <c r="A477" s="189"/>
      <c r="B477" s="189"/>
      <c r="C477" s="189"/>
      <c r="D477" s="189"/>
      <c r="E477" s="189"/>
      <c r="F477" s="189"/>
      <c r="G477" s="189"/>
      <c r="H477" s="189"/>
      <c r="I477" s="338"/>
      <c r="J477" s="338"/>
      <c r="K477" s="338"/>
      <c r="L477" s="338"/>
      <c r="M477" s="338"/>
      <c r="N477" s="338"/>
      <c r="O477" s="338"/>
      <c r="P477" s="338"/>
      <c r="Q477" s="338"/>
      <c r="R477" s="338"/>
      <c r="S477" s="338"/>
      <c r="T477" s="230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</row>
    <row r="478" spans="1:30">
      <c r="A478" s="189"/>
      <c r="B478" s="189"/>
      <c r="C478" s="189"/>
      <c r="D478" s="189"/>
      <c r="E478" s="189"/>
      <c r="F478" s="189"/>
      <c r="G478" s="189"/>
      <c r="H478" s="189"/>
      <c r="I478" s="338"/>
      <c r="J478" s="338"/>
      <c r="K478" s="338"/>
      <c r="L478" s="338"/>
      <c r="M478" s="338"/>
      <c r="N478" s="338"/>
      <c r="O478" s="338"/>
      <c r="P478" s="338"/>
      <c r="Q478" s="338"/>
      <c r="R478" s="338"/>
      <c r="S478" s="338"/>
      <c r="T478" s="230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</row>
    <row r="479" spans="1:30">
      <c r="A479" s="189"/>
      <c r="B479" s="189"/>
      <c r="C479" s="189"/>
      <c r="D479" s="189"/>
      <c r="E479" s="189"/>
      <c r="F479" s="189"/>
      <c r="G479" s="189"/>
      <c r="H479" s="189"/>
      <c r="I479" s="338"/>
      <c r="J479" s="338"/>
      <c r="K479" s="338"/>
      <c r="L479" s="338"/>
      <c r="M479" s="338"/>
      <c r="N479" s="338"/>
      <c r="O479" s="338"/>
      <c r="P479" s="338"/>
      <c r="Q479" s="338"/>
      <c r="R479" s="338"/>
      <c r="S479" s="338"/>
      <c r="T479" s="230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</row>
    <row r="480" spans="1:30">
      <c r="A480" s="189"/>
      <c r="B480" s="189"/>
      <c r="C480" s="189"/>
      <c r="D480" s="189"/>
      <c r="E480" s="189"/>
      <c r="F480" s="189"/>
      <c r="G480" s="189"/>
      <c r="H480" s="189"/>
      <c r="I480" s="338"/>
      <c r="J480" s="338"/>
      <c r="K480" s="338"/>
      <c r="L480" s="338"/>
      <c r="M480" s="338"/>
      <c r="N480" s="338"/>
      <c r="O480" s="338"/>
      <c r="P480" s="338"/>
      <c r="Q480" s="338"/>
      <c r="R480" s="338"/>
      <c r="S480" s="338"/>
      <c r="T480" s="230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</row>
    <row r="481" spans="1:30">
      <c r="A481" s="189"/>
      <c r="B481" s="189"/>
      <c r="C481" s="189"/>
      <c r="D481" s="189"/>
      <c r="E481" s="189"/>
      <c r="F481" s="189"/>
      <c r="G481" s="189"/>
      <c r="H481" s="189"/>
      <c r="I481" s="338"/>
      <c r="J481" s="338"/>
      <c r="K481" s="338"/>
      <c r="L481" s="338"/>
      <c r="M481" s="338"/>
      <c r="N481" s="338"/>
      <c r="O481" s="338"/>
      <c r="P481" s="338"/>
      <c r="Q481" s="338"/>
      <c r="R481" s="338"/>
      <c r="S481" s="338"/>
      <c r="T481" s="230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</row>
    <row r="482" spans="1:30">
      <c r="A482" s="189"/>
      <c r="B482" s="189"/>
      <c r="C482" s="189"/>
      <c r="D482" s="189"/>
      <c r="E482" s="189"/>
      <c r="F482" s="189"/>
      <c r="G482" s="189"/>
      <c r="H482" s="189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230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</row>
    <row r="483" spans="1:30">
      <c r="A483" s="189"/>
      <c r="B483" s="189"/>
      <c r="C483" s="189"/>
      <c r="D483" s="189"/>
      <c r="E483" s="189"/>
      <c r="F483" s="189"/>
      <c r="G483" s="189"/>
      <c r="H483" s="189"/>
      <c r="I483" s="338"/>
      <c r="J483" s="338"/>
      <c r="K483" s="338"/>
      <c r="L483" s="338"/>
      <c r="M483" s="338"/>
      <c r="N483" s="338"/>
      <c r="O483" s="338"/>
      <c r="P483" s="338"/>
      <c r="Q483" s="338"/>
      <c r="R483" s="338"/>
      <c r="S483" s="338"/>
      <c r="T483" s="230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</row>
    <row r="484" spans="1:30">
      <c r="A484" s="189"/>
      <c r="B484" s="189"/>
      <c r="C484" s="189"/>
      <c r="D484" s="189"/>
      <c r="E484" s="189"/>
      <c r="F484" s="189"/>
      <c r="G484" s="189"/>
      <c r="H484" s="189"/>
      <c r="I484" s="338"/>
      <c r="J484" s="338"/>
      <c r="K484" s="338"/>
      <c r="L484" s="338"/>
      <c r="M484" s="338"/>
      <c r="N484" s="338"/>
      <c r="O484" s="338"/>
      <c r="P484" s="338"/>
      <c r="Q484" s="338"/>
      <c r="R484" s="338"/>
      <c r="S484" s="338"/>
      <c r="T484" s="230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</row>
    <row r="485" spans="1:30">
      <c r="A485" s="189"/>
      <c r="B485" s="189"/>
      <c r="C485" s="189"/>
      <c r="D485" s="189"/>
      <c r="E485" s="189"/>
      <c r="F485" s="189"/>
      <c r="G485" s="189"/>
      <c r="H485" s="189"/>
      <c r="I485" s="338"/>
      <c r="J485" s="338"/>
      <c r="K485" s="338"/>
      <c r="L485" s="338"/>
      <c r="M485" s="338"/>
      <c r="N485" s="338"/>
      <c r="O485" s="338"/>
      <c r="P485" s="338"/>
      <c r="Q485" s="338"/>
      <c r="R485" s="338"/>
      <c r="S485" s="338"/>
      <c r="T485" s="230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</row>
    <row r="486" spans="1:30">
      <c r="A486" s="189"/>
      <c r="B486" s="189"/>
      <c r="C486" s="189"/>
      <c r="D486" s="189"/>
      <c r="E486" s="189"/>
      <c r="F486" s="189"/>
      <c r="G486" s="189"/>
      <c r="H486" s="189"/>
      <c r="I486" s="338"/>
      <c r="J486" s="338"/>
      <c r="K486" s="338"/>
      <c r="L486" s="338"/>
      <c r="M486" s="338"/>
      <c r="N486" s="338"/>
      <c r="O486" s="338"/>
      <c r="P486" s="338"/>
      <c r="Q486" s="338"/>
      <c r="R486" s="338"/>
      <c r="S486" s="338"/>
      <c r="T486" s="230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</row>
    <row r="487" spans="1:30">
      <c r="A487" s="189"/>
      <c r="B487" s="189"/>
      <c r="C487" s="189"/>
      <c r="D487" s="189"/>
      <c r="E487" s="189"/>
      <c r="F487" s="189"/>
      <c r="G487" s="189"/>
      <c r="H487" s="189"/>
      <c r="I487" s="338"/>
      <c r="J487" s="338"/>
      <c r="K487" s="338"/>
      <c r="L487" s="338"/>
      <c r="M487" s="338"/>
      <c r="N487" s="338"/>
      <c r="O487" s="338"/>
      <c r="P487" s="338"/>
      <c r="Q487" s="338"/>
      <c r="R487" s="338"/>
      <c r="S487" s="338"/>
      <c r="T487" s="230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</row>
    <row r="488" spans="1:30">
      <c r="A488" s="189"/>
      <c r="B488" s="189"/>
      <c r="C488" s="189"/>
      <c r="D488" s="189"/>
      <c r="E488" s="189"/>
      <c r="F488" s="189"/>
      <c r="G488" s="189"/>
      <c r="H488" s="189"/>
      <c r="I488" s="338"/>
      <c r="J488" s="338"/>
      <c r="K488" s="338"/>
      <c r="L488" s="338"/>
      <c r="M488" s="338"/>
      <c r="N488" s="338"/>
      <c r="O488" s="338"/>
      <c r="P488" s="338"/>
      <c r="Q488" s="338"/>
      <c r="R488" s="338"/>
      <c r="S488" s="338"/>
      <c r="T488" s="230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</row>
    <row r="489" spans="1:30">
      <c r="A489" s="189"/>
      <c r="B489" s="189"/>
      <c r="C489" s="189"/>
      <c r="D489" s="189"/>
      <c r="E489" s="189"/>
      <c r="F489" s="189"/>
      <c r="G489" s="189"/>
      <c r="H489" s="189"/>
      <c r="I489" s="338"/>
      <c r="J489" s="338"/>
      <c r="K489" s="338"/>
      <c r="L489" s="338"/>
      <c r="M489" s="338"/>
      <c r="N489" s="338"/>
      <c r="O489" s="338"/>
      <c r="P489" s="338"/>
      <c r="Q489" s="338"/>
      <c r="R489" s="338"/>
      <c r="S489" s="338"/>
      <c r="T489" s="230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</row>
    <row r="490" spans="1:30">
      <c r="A490" s="189"/>
      <c r="B490" s="189"/>
      <c r="C490" s="189"/>
      <c r="D490" s="189"/>
      <c r="E490" s="189"/>
      <c r="F490" s="189"/>
      <c r="G490" s="189"/>
      <c r="H490" s="189"/>
      <c r="I490" s="338"/>
      <c r="J490" s="338"/>
      <c r="K490" s="338"/>
      <c r="L490" s="338"/>
      <c r="M490" s="338"/>
      <c r="N490" s="338"/>
      <c r="O490" s="338"/>
      <c r="P490" s="338"/>
      <c r="Q490" s="338"/>
      <c r="R490" s="338"/>
      <c r="S490" s="338"/>
      <c r="T490" s="230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</row>
    <row r="491" spans="1:30">
      <c r="A491" s="189"/>
      <c r="B491" s="189"/>
      <c r="C491" s="189"/>
      <c r="D491" s="189"/>
      <c r="E491" s="189"/>
      <c r="F491" s="189"/>
      <c r="G491" s="189"/>
      <c r="H491" s="189"/>
      <c r="I491" s="338"/>
      <c r="J491" s="338"/>
      <c r="K491" s="338"/>
      <c r="L491" s="338"/>
      <c r="M491" s="338"/>
      <c r="N491" s="338"/>
      <c r="O491" s="338"/>
      <c r="P491" s="338"/>
      <c r="Q491" s="338"/>
      <c r="R491" s="338"/>
      <c r="S491" s="338"/>
      <c r="T491" s="230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</row>
    <row r="492" spans="1:30">
      <c r="A492" s="189"/>
      <c r="B492" s="189"/>
      <c r="C492" s="189"/>
      <c r="D492" s="189"/>
      <c r="E492" s="189"/>
      <c r="F492" s="189"/>
      <c r="G492" s="189"/>
      <c r="H492" s="189"/>
      <c r="I492" s="338"/>
      <c r="J492" s="338"/>
      <c r="K492" s="338"/>
      <c r="L492" s="338"/>
      <c r="M492" s="338"/>
      <c r="N492" s="338"/>
      <c r="O492" s="338"/>
      <c r="P492" s="338"/>
      <c r="Q492" s="338"/>
      <c r="R492" s="338"/>
      <c r="S492" s="338"/>
      <c r="T492" s="230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</row>
    <row r="493" spans="1:30">
      <c r="A493" s="189"/>
      <c r="B493" s="189"/>
      <c r="C493" s="189"/>
      <c r="D493" s="189"/>
      <c r="E493" s="189"/>
      <c r="F493" s="189"/>
      <c r="G493" s="189"/>
      <c r="H493" s="189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230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</row>
    <row r="494" spans="1:30">
      <c r="A494" s="189"/>
      <c r="B494" s="189"/>
      <c r="C494" s="189"/>
      <c r="D494" s="189"/>
      <c r="E494" s="189"/>
      <c r="F494" s="189"/>
      <c r="G494" s="189"/>
      <c r="H494" s="189"/>
      <c r="I494" s="338"/>
      <c r="J494" s="338"/>
      <c r="K494" s="338"/>
      <c r="L494" s="338"/>
      <c r="M494" s="338"/>
      <c r="N494" s="338"/>
      <c r="O494" s="338"/>
      <c r="P494" s="338"/>
      <c r="Q494" s="338"/>
      <c r="R494" s="338"/>
      <c r="S494" s="338"/>
      <c r="T494" s="230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</row>
    <row r="495" spans="1:30">
      <c r="A495" s="189"/>
      <c r="B495" s="189"/>
      <c r="C495" s="189"/>
      <c r="D495" s="189"/>
      <c r="E495" s="189"/>
      <c r="F495" s="189"/>
      <c r="G495" s="189"/>
      <c r="H495" s="189"/>
      <c r="I495" s="338"/>
      <c r="J495" s="338"/>
      <c r="K495" s="338"/>
      <c r="L495" s="338"/>
      <c r="M495" s="338"/>
      <c r="N495" s="338"/>
      <c r="O495" s="338"/>
      <c r="P495" s="338"/>
      <c r="Q495" s="338"/>
      <c r="R495" s="338"/>
      <c r="S495" s="338"/>
      <c r="T495" s="230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</row>
    <row r="496" spans="1:30">
      <c r="A496" s="189"/>
      <c r="B496" s="189"/>
      <c r="C496" s="189"/>
      <c r="D496" s="189"/>
      <c r="E496" s="189"/>
      <c r="F496" s="189"/>
      <c r="G496" s="189"/>
      <c r="H496" s="189"/>
      <c r="I496" s="338"/>
      <c r="J496" s="338"/>
      <c r="K496" s="338"/>
      <c r="L496" s="338"/>
      <c r="M496" s="338"/>
      <c r="N496" s="338"/>
      <c r="O496" s="338"/>
      <c r="P496" s="338"/>
      <c r="Q496" s="338"/>
      <c r="R496" s="338"/>
      <c r="S496" s="338"/>
      <c r="T496" s="230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</row>
    <row r="497" spans="1:30">
      <c r="A497" s="189"/>
      <c r="B497" s="189"/>
      <c r="C497" s="189"/>
      <c r="D497" s="189"/>
      <c r="E497" s="189"/>
      <c r="F497" s="189"/>
      <c r="G497" s="189"/>
      <c r="H497" s="189"/>
      <c r="I497" s="338"/>
      <c r="J497" s="338"/>
      <c r="K497" s="338"/>
      <c r="L497" s="338"/>
      <c r="M497" s="338"/>
      <c r="N497" s="338"/>
      <c r="O497" s="338"/>
      <c r="P497" s="338"/>
      <c r="Q497" s="338"/>
      <c r="R497" s="338"/>
      <c r="S497" s="338"/>
      <c r="T497" s="230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</row>
    <row r="498" spans="1:30">
      <c r="A498" s="189"/>
      <c r="B498" s="189"/>
      <c r="C498" s="189"/>
      <c r="D498" s="189"/>
      <c r="E498" s="189"/>
      <c r="F498" s="189"/>
      <c r="G498" s="189"/>
      <c r="H498" s="189"/>
      <c r="I498" s="338"/>
      <c r="J498" s="338"/>
      <c r="K498" s="338"/>
      <c r="L498" s="338"/>
      <c r="M498" s="338"/>
      <c r="N498" s="338"/>
      <c r="O498" s="338"/>
      <c r="P498" s="338"/>
      <c r="Q498" s="338"/>
      <c r="R498" s="338"/>
      <c r="S498" s="338"/>
      <c r="T498" s="230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</row>
    <row r="499" spans="1:30">
      <c r="A499" s="189"/>
      <c r="B499" s="189"/>
      <c r="C499" s="189"/>
      <c r="D499" s="189"/>
      <c r="E499" s="189"/>
      <c r="F499" s="189"/>
      <c r="G499" s="189"/>
      <c r="H499" s="189"/>
      <c r="I499" s="338"/>
      <c r="J499" s="338"/>
      <c r="K499" s="338"/>
      <c r="L499" s="338"/>
      <c r="M499" s="338"/>
      <c r="N499" s="338"/>
      <c r="O499" s="338"/>
      <c r="P499" s="338"/>
      <c r="Q499" s="338"/>
      <c r="R499" s="338"/>
      <c r="S499" s="338"/>
      <c r="T499" s="230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</row>
    <row r="500" spans="1:30">
      <c r="A500" s="189"/>
      <c r="B500" s="189"/>
      <c r="C500" s="189"/>
      <c r="D500" s="189"/>
      <c r="E500" s="189"/>
      <c r="F500" s="189"/>
      <c r="G500" s="189"/>
      <c r="H500" s="189"/>
      <c r="I500" s="338"/>
      <c r="J500" s="338"/>
      <c r="K500" s="338"/>
      <c r="L500" s="338"/>
      <c r="M500" s="338"/>
      <c r="N500" s="338"/>
      <c r="O500" s="338"/>
      <c r="P500" s="338"/>
      <c r="Q500" s="338"/>
      <c r="R500" s="338"/>
      <c r="S500" s="338"/>
      <c r="T500" s="230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</row>
    <row r="501" spans="1:30">
      <c r="A501" s="189"/>
      <c r="B501" s="189"/>
      <c r="C501" s="189"/>
      <c r="D501" s="189"/>
      <c r="E501" s="189"/>
      <c r="F501" s="189"/>
      <c r="G501" s="189"/>
      <c r="H501" s="189"/>
      <c r="I501" s="338"/>
      <c r="J501" s="338"/>
      <c r="K501" s="338"/>
      <c r="L501" s="338"/>
      <c r="M501" s="338"/>
      <c r="N501" s="338"/>
      <c r="O501" s="338"/>
      <c r="P501" s="338"/>
      <c r="Q501" s="338"/>
      <c r="R501" s="338"/>
      <c r="S501" s="338"/>
      <c r="T501" s="230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</row>
    <row r="502" spans="1:30">
      <c r="A502" s="189"/>
      <c r="B502" s="189"/>
      <c r="C502" s="189"/>
      <c r="D502" s="189"/>
      <c r="E502" s="189"/>
      <c r="F502" s="189"/>
      <c r="G502" s="189"/>
      <c r="H502" s="189"/>
      <c r="I502" s="338"/>
      <c r="J502" s="338"/>
      <c r="K502" s="338"/>
      <c r="L502" s="338"/>
      <c r="M502" s="338"/>
      <c r="N502" s="338"/>
      <c r="O502" s="338"/>
      <c r="P502" s="338"/>
      <c r="Q502" s="338"/>
      <c r="R502" s="338"/>
      <c r="S502" s="338"/>
      <c r="T502" s="230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</row>
    <row r="503" spans="1:30">
      <c r="A503" s="189"/>
      <c r="B503" s="189"/>
      <c r="C503" s="189"/>
      <c r="D503" s="189"/>
      <c r="E503" s="189"/>
      <c r="F503" s="189"/>
      <c r="G503" s="189"/>
      <c r="H503" s="189"/>
      <c r="I503" s="338"/>
      <c r="J503" s="338"/>
      <c r="K503" s="338"/>
      <c r="L503" s="338"/>
      <c r="M503" s="338"/>
      <c r="N503" s="338"/>
      <c r="O503" s="338"/>
      <c r="P503" s="338"/>
      <c r="Q503" s="338"/>
      <c r="R503" s="338"/>
      <c r="S503" s="338"/>
      <c r="T503" s="230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</row>
    <row r="504" spans="1:30">
      <c r="A504" s="189"/>
      <c r="B504" s="189"/>
      <c r="C504" s="189"/>
      <c r="D504" s="189"/>
      <c r="E504" s="189"/>
      <c r="F504" s="189"/>
      <c r="G504" s="189"/>
      <c r="H504" s="189"/>
      <c r="I504" s="338"/>
      <c r="J504" s="338"/>
      <c r="K504" s="338"/>
      <c r="L504" s="338"/>
      <c r="M504" s="338"/>
      <c r="N504" s="338"/>
      <c r="O504" s="338"/>
      <c r="P504" s="338"/>
      <c r="Q504" s="338"/>
      <c r="R504" s="338"/>
      <c r="S504" s="338"/>
      <c r="T504" s="230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</row>
    <row r="505" spans="1:30">
      <c r="A505" s="189"/>
      <c r="B505" s="189"/>
      <c r="C505" s="189"/>
      <c r="D505" s="189"/>
      <c r="E505" s="189"/>
      <c r="F505" s="189"/>
      <c r="G505" s="189"/>
      <c r="H505" s="189"/>
      <c r="I505" s="338"/>
      <c r="J505" s="338"/>
      <c r="K505" s="338"/>
      <c r="L505" s="338"/>
      <c r="M505" s="338"/>
      <c r="N505" s="338"/>
      <c r="O505" s="338"/>
      <c r="P505" s="338"/>
      <c r="Q505" s="338"/>
      <c r="R505" s="338"/>
      <c r="S505" s="338"/>
      <c r="T505" s="230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</row>
    <row r="506" spans="1:30">
      <c r="A506" s="189"/>
      <c r="B506" s="189"/>
      <c r="C506" s="189"/>
      <c r="D506" s="189"/>
      <c r="E506" s="189"/>
      <c r="F506" s="189"/>
      <c r="G506" s="189"/>
      <c r="H506" s="189"/>
      <c r="I506" s="338"/>
      <c r="J506" s="338"/>
      <c r="K506" s="338"/>
      <c r="L506" s="338"/>
      <c r="M506" s="338"/>
      <c r="N506" s="338"/>
      <c r="O506" s="338"/>
      <c r="P506" s="338"/>
      <c r="Q506" s="338"/>
      <c r="R506" s="338"/>
      <c r="S506" s="338"/>
      <c r="T506" s="230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</row>
    <row r="507" spans="1:30">
      <c r="A507" s="189"/>
      <c r="B507" s="189"/>
      <c r="C507" s="189"/>
      <c r="D507" s="189"/>
      <c r="E507" s="189"/>
      <c r="F507" s="189"/>
      <c r="G507" s="189"/>
      <c r="H507" s="189"/>
      <c r="I507" s="338"/>
      <c r="J507" s="338"/>
      <c r="K507" s="338"/>
      <c r="L507" s="338"/>
      <c r="M507" s="338"/>
      <c r="N507" s="338"/>
      <c r="O507" s="338"/>
      <c r="P507" s="338"/>
      <c r="Q507" s="338"/>
      <c r="R507" s="338"/>
      <c r="S507" s="338"/>
      <c r="T507" s="230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</row>
    <row r="508" spans="1:30">
      <c r="A508" s="189"/>
      <c r="B508" s="189"/>
      <c r="C508" s="189"/>
      <c r="D508" s="189"/>
      <c r="E508" s="189"/>
      <c r="F508" s="189"/>
      <c r="G508" s="189"/>
      <c r="H508" s="189"/>
      <c r="I508" s="338"/>
      <c r="J508" s="338"/>
      <c r="K508" s="338"/>
      <c r="L508" s="338"/>
      <c r="M508" s="338"/>
      <c r="N508" s="338"/>
      <c r="O508" s="338"/>
      <c r="P508" s="338"/>
      <c r="Q508" s="338"/>
      <c r="R508" s="338"/>
      <c r="S508" s="338"/>
      <c r="T508" s="230"/>
      <c r="U508" s="189"/>
      <c r="V508" s="189"/>
      <c r="W508" s="189"/>
      <c r="X508" s="189"/>
      <c r="Y508" s="189"/>
      <c r="Z508" s="189"/>
      <c r="AA508" s="189"/>
      <c r="AB508" s="189"/>
      <c r="AC508" s="189"/>
      <c r="AD508" s="189"/>
    </row>
    <row r="509" spans="1:30">
      <c r="A509" s="189"/>
      <c r="B509" s="189"/>
      <c r="C509" s="189"/>
      <c r="D509" s="189"/>
      <c r="E509" s="189"/>
      <c r="F509" s="189"/>
      <c r="G509" s="189"/>
      <c r="H509" s="189"/>
      <c r="I509" s="338"/>
      <c r="J509" s="338"/>
      <c r="K509" s="338"/>
      <c r="L509" s="338"/>
      <c r="M509" s="338"/>
      <c r="N509" s="338"/>
      <c r="O509" s="338"/>
      <c r="P509" s="338"/>
      <c r="Q509" s="338"/>
      <c r="R509" s="338"/>
      <c r="S509" s="338"/>
      <c r="T509" s="230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</row>
    <row r="510" spans="1:30">
      <c r="A510" s="189"/>
      <c r="B510" s="189"/>
      <c r="C510" s="189"/>
      <c r="D510" s="189"/>
      <c r="E510" s="189"/>
      <c r="F510" s="189"/>
      <c r="G510" s="189"/>
      <c r="H510" s="189"/>
      <c r="I510" s="338"/>
      <c r="J510" s="338"/>
      <c r="K510" s="338"/>
      <c r="L510" s="338"/>
      <c r="M510" s="338"/>
      <c r="N510" s="338"/>
      <c r="O510" s="338"/>
      <c r="P510" s="338"/>
      <c r="Q510" s="338"/>
      <c r="R510" s="338"/>
      <c r="S510" s="338"/>
      <c r="T510" s="230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</row>
    <row r="511" spans="1:30">
      <c r="A511" s="189"/>
      <c r="B511" s="189"/>
      <c r="C511" s="189"/>
      <c r="D511" s="189"/>
      <c r="E511" s="189"/>
      <c r="F511" s="189"/>
      <c r="G511" s="189"/>
      <c r="H511" s="189"/>
      <c r="I511" s="338"/>
      <c r="J511" s="338"/>
      <c r="K511" s="338"/>
      <c r="L511" s="338"/>
      <c r="M511" s="338"/>
      <c r="N511" s="338"/>
      <c r="O511" s="338"/>
      <c r="P511" s="338"/>
      <c r="Q511" s="338"/>
      <c r="R511" s="338"/>
      <c r="S511" s="338"/>
      <c r="T511" s="230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</row>
    <row r="512" spans="1:30">
      <c r="A512" s="189"/>
      <c r="B512" s="189"/>
      <c r="C512" s="189"/>
      <c r="D512" s="189"/>
      <c r="E512" s="189"/>
      <c r="F512" s="189"/>
      <c r="G512" s="189"/>
      <c r="H512" s="189"/>
      <c r="I512" s="338"/>
      <c r="J512" s="338"/>
      <c r="K512" s="338"/>
      <c r="L512" s="338"/>
      <c r="M512" s="338"/>
      <c r="N512" s="338"/>
      <c r="O512" s="338"/>
      <c r="P512" s="338"/>
      <c r="Q512" s="338"/>
      <c r="R512" s="338"/>
      <c r="S512" s="338"/>
      <c r="T512" s="230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</row>
    <row r="513" spans="1:30">
      <c r="A513" s="189"/>
      <c r="B513" s="189"/>
      <c r="C513" s="189"/>
      <c r="D513" s="189"/>
      <c r="E513" s="189"/>
      <c r="F513" s="189"/>
      <c r="G513" s="189"/>
      <c r="H513" s="189"/>
      <c r="I513" s="338"/>
      <c r="J513" s="338"/>
      <c r="K513" s="338"/>
      <c r="L513" s="338"/>
      <c r="M513" s="338"/>
      <c r="N513" s="338"/>
      <c r="O513" s="338"/>
      <c r="P513" s="338"/>
      <c r="Q513" s="338"/>
      <c r="R513" s="338"/>
      <c r="S513" s="338"/>
      <c r="T513" s="230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</row>
    <row r="514" spans="1:30">
      <c r="A514" s="189"/>
      <c r="B514" s="189"/>
      <c r="C514" s="189"/>
      <c r="D514" s="189"/>
      <c r="E514" s="189"/>
      <c r="F514" s="189"/>
      <c r="G514" s="189"/>
      <c r="H514" s="189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  <c r="S514" s="338"/>
      <c r="T514" s="230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</row>
    <row r="515" spans="1:30">
      <c r="A515" s="189"/>
      <c r="B515" s="189"/>
      <c r="C515" s="189"/>
      <c r="D515" s="189"/>
      <c r="E515" s="189"/>
      <c r="F515" s="189"/>
      <c r="G515" s="189"/>
      <c r="H515" s="189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230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</row>
    <row r="516" spans="1:30">
      <c r="A516" s="189"/>
      <c r="B516" s="189"/>
      <c r="C516" s="189"/>
      <c r="D516" s="189"/>
      <c r="E516" s="189"/>
      <c r="F516" s="189"/>
      <c r="G516" s="189"/>
      <c r="H516" s="189"/>
      <c r="I516" s="338"/>
      <c r="J516" s="338"/>
      <c r="K516" s="338"/>
      <c r="L516" s="338"/>
      <c r="M516" s="338"/>
      <c r="N516" s="338"/>
      <c r="O516" s="338"/>
      <c r="P516" s="338"/>
      <c r="Q516" s="338"/>
      <c r="R516" s="338"/>
      <c r="S516" s="338"/>
      <c r="T516" s="230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</row>
    <row r="517" spans="1:30">
      <c r="A517" s="189"/>
      <c r="B517" s="189"/>
      <c r="C517" s="189"/>
      <c r="D517" s="189"/>
      <c r="E517" s="189"/>
      <c r="F517" s="189"/>
      <c r="G517" s="189"/>
      <c r="H517" s="189"/>
      <c r="I517" s="338"/>
      <c r="J517" s="338"/>
      <c r="K517" s="338"/>
      <c r="L517" s="338"/>
      <c r="M517" s="338"/>
      <c r="N517" s="338"/>
      <c r="O517" s="338"/>
      <c r="P517" s="338"/>
      <c r="Q517" s="338"/>
      <c r="R517" s="338"/>
      <c r="S517" s="338"/>
      <c r="T517" s="230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</row>
    <row r="518" spans="1:30">
      <c r="A518" s="189"/>
      <c r="B518" s="189"/>
      <c r="C518" s="189"/>
      <c r="D518" s="189"/>
      <c r="E518" s="189"/>
      <c r="F518" s="189"/>
      <c r="G518" s="189"/>
      <c r="H518" s="189"/>
      <c r="I518" s="338"/>
      <c r="J518" s="338"/>
      <c r="K518" s="338"/>
      <c r="L518" s="338"/>
      <c r="M518" s="338"/>
      <c r="N518" s="338"/>
      <c r="O518" s="338"/>
      <c r="P518" s="338"/>
      <c r="Q518" s="338"/>
      <c r="R518" s="338"/>
      <c r="S518" s="338"/>
      <c r="T518" s="230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</row>
    <row r="519" spans="1:30">
      <c r="A519" s="189"/>
      <c r="B519" s="189"/>
      <c r="C519" s="189"/>
      <c r="D519" s="189"/>
      <c r="E519" s="189"/>
      <c r="F519" s="189"/>
      <c r="G519" s="189"/>
      <c r="H519" s="189"/>
      <c r="I519" s="338"/>
      <c r="J519" s="338"/>
      <c r="K519" s="338"/>
      <c r="L519" s="338"/>
      <c r="M519" s="338"/>
      <c r="N519" s="338"/>
      <c r="O519" s="338"/>
      <c r="P519" s="338"/>
      <c r="Q519" s="338"/>
      <c r="R519" s="338"/>
      <c r="S519" s="338"/>
      <c r="T519" s="230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</row>
    <row r="520" spans="1:30">
      <c r="A520" s="189"/>
      <c r="B520" s="189"/>
      <c r="C520" s="189"/>
      <c r="D520" s="189"/>
      <c r="E520" s="189"/>
      <c r="F520" s="189"/>
      <c r="G520" s="189"/>
      <c r="H520" s="189"/>
      <c r="I520" s="338"/>
      <c r="J520" s="338"/>
      <c r="K520" s="338"/>
      <c r="L520" s="338"/>
      <c r="M520" s="338"/>
      <c r="N520" s="338"/>
      <c r="O520" s="338"/>
      <c r="P520" s="338"/>
      <c r="Q520" s="338"/>
      <c r="R520" s="338"/>
      <c r="S520" s="338"/>
      <c r="T520" s="230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</row>
    <row r="521" spans="1:30">
      <c r="A521" s="189"/>
      <c r="B521" s="189"/>
      <c r="C521" s="189"/>
      <c r="D521" s="189"/>
      <c r="E521" s="189"/>
      <c r="F521" s="189"/>
      <c r="G521" s="189"/>
      <c r="H521" s="189"/>
      <c r="I521" s="338"/>
      <c r="J521" s="338"/>
      <c r="K521" s="338"/>
      <c r="L521" s="338"/>
      <c r="M521" s="338"/>
      <c r="N521" s="338"/>
      <c r="O521" s="338"/>
      <c r="P521" s="338"/>
      <c r="Q521" s="338"/>
      <c r="R521" s="338"/>
      <c r="S521" s="338"/>
      <c r="T521" s="230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</row>
    <row r="522" spans="1:30">
      <c r="A522" s="189"/>
      <c r="B522" s="189"/>
      <c r="C522" s="189"/>
      <c r="D522" s="189"/>
      <c r="E522" s="189"/>
      <c r="F522" s="189"/>
      <c r="G522" s="189"/>
      <c r="H522" s="189"/>
      <c r="I522" s="338"/>
      <c r="J522" s="338"/>
      <c r="K522" s="338"/>
      <c r="L522" s="338"/>
      <c r="M522" s="338"/>
      <c r="N522" s="338"/>
      <c r="O522" s="338"/>
      <c r="P522" s="338"/>
      <c r="Q522" s="338"/>
      <c r="R522" s="338"/>
      <c r="S522" s="338"/>
      <c r="T522" s="230"/>
      <c r="U522" s="189"/>
      <c r="V522" s="189"/>
      <c r="W522" s="189"/>
      <c r="X522" s="189"/>
      <c r="Y522" s="189"/>
      <c r="Z522" s="189"/>
      <c r="AA522" s="189"/>
      <c r="AB522" s="189"/>
      <c r="AC522" s="189"/>
      <c r="AD522" s="189"/>
    </row>
    <row r="523" spans="1:30">
      <c r="A523" s="189"/>
      <c r="B523" s="189"/>
      <c r="C523" s="189"/>
      <c r="D523" s="189"/>
      <c r="E523" s="189"/>
      <c r="F523" s="189"/>
      <c r="G523" s="189"/>
      <c r="H523" s="189"/>
      <c r="I523" s="338"/>
      <c r="J523" s="338"/>
      <c r="K523" s="338"/>
      <c r="L523" s="338"/>
      <c r="M523" s="338"/>
      <c r="N523" s="338"/>
      <c r="O523" s="338"/>
      <c r="P523" s="338"/>
      <c r="Q523" s="338"/>
      <c r="R523" s="338"/>
      <c r="S523" s="338"/>
      <c r="T523" s="230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</row>
    <row r="524" spans="1:30">
      <c r="A524" s="189"/>
      <c r="B524" s="189"/>
      <c r="C524" s="189"/>
      <c r="D524" s="189"/>
      <c r="E524" s="189"/>
      <c r="F524" s="189"/>
      <c r="G524" s="189"/>
      <c r="H524" s="189"/>
      <c r="I524" s="338"/>
      <c r="J524" s="338"/>
      <c r="K524" s="338"/>
      <c r="L524" s="338"/>
      <c r="M524" s="338"/>
      <c r="N524" s="338"/>
      <c r="O524" s="338"/>
      <c r="P524" s="338"/>
      <c r="Q524" s="338"/>
      <c r="R524" s="338"/>
      <c r="S524" s="338"/>
      <c r="T524" s="230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</row>
    <row r="525" spans="1:30">
      <c r="A525" s="189"/>
      <c r="B525" s="189"/>
      <c r="C525" s="189"/>
      <c r="D525" s="189"/>
      <c r="E525" s="189"/>
      <c r="F525" s="189"/>
      <c r="G525" s="189"/>
      <c r="H525" s="189"/>
      <c r="I525" s="338"/>
      <c r="J525" s="338"/>
      <c r="K525" s="338"/>
      <c r="L525" s="338"/>
      <c r="M525" s="338"/>
      <c r="N525" s="338"/>
      <c r="O525" s="338"/>
      <c r="P525" s="338"/>
      <c r="Q525" s="338"/>
      <c r="R525" s="338"/>
      <c r="S525" s="338"/>
      <c r="T525" s="230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</row>
    <row r="526" spans="1:30">
      <c r="A526" s="189"/>
      <c r="B526" s="189"/>
      <c r="C526" s="189"/>
      <c r="D526" s="189"/>
      <c r="E526" s="189"/>
      <c r="F526" s="189"/>
      <c r="G526" s="189"/>
      <c r="H526" s="189"/>
      <c r="I526" s="338"/>
      <c r="J526" s="338"/>
      <c r="K526" s="338"/>
      <c r="L526" s="338"/>
      <c r="M526" s="338"/>
      <c r="N526" s="338"/>
      <c r="O526" s="338"/>
      <c r="P526" s="338"/>
      <c r="Q526" s="338"/>
      <c r="R526" s="338"/>
      <c r="S526" s="338"/>
      <c r="T526" s="230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</row>
    <row r="527" spans="1:30">
      <c r="A527" s="189"/>
      <c r="B527" s="189"/>
      <c r="C527" s="189"/>
      <c r="D527" s="189"/>
      <c r="E527" s="189"/>
      <c r="F527" s="189"/>
      <c r="G527" s="189"/>
      <c r="H527" s="189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  <c r="S527" s="338"/>
      <c r="T527" s="230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</row>
    <row r="528" spans="1:30">
      <c r="A528" s="189"/>
      <c r="B528" s="189"/>
      <c r="C528" s="189"/>
      <c r="D528" s="189"/>
      <c r="E528" s="189"/>
      <c r="F528" s="189"/>
      <c r="G528" s="189"/>
      <c r="H528" s="189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230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</row>
    <row r="529" spans="1:30">
      <c r="A529" s="189"/>
      <c r="B529" s="189"/>
      <c r="C529" s="189"/>
      <c r="D529" s="189"/>
      <c r="E529" s="189"/>
      <c r="F529" s="189"/>
      <c r="G529" s="189"/>
      <c r="H529" s="189"/>
      <c r="I529" s="338"/>
      <c r="J529" s="338"/>
      <c r="K529" s="338"/>
      <c r="L529" s="338"/>
      <c r="M529" s="338"/>
      <c r="N529" s="338"/>
      <c r="O529" s="338"/>
      <c r="P529" s="338"/>
      <c r="Q529" s="338"/>
      <c r="R529" s="338"/>
      <c r="S529" s="338"/>
      <c r="T529" s="230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</row>
    <row r="530" spans="1:30">
      <c r="A530" s="189"/>
      <c r="B530" s="189"/>
      <c r="C530" s="189"/>
      <c r="D530" s="189"/>
      <c r="E530" s="189"/>
      <c r="F530" s="189"/>
      <c r="G530" s="189"/>
      <c r="H530" s="189"/>
      <c r="I530" s="338"/>
      <c r="J530" s="338"/>
      <c r="K530" s="338"/>
      <c r="L530" s="338"/>
      <c r="M530" s="338"/>
      <c r="N530" s="338"/>
      <c r="O530" s="338"/>
      <c r="P530" s="338"/>
      <c r="Q530" s="338"/>
      <c r="R530" s="338"/>
      <c r="S530" s="338"/>
      <c r="T530" s="230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</row>
    <row r="531" spans="1:30">
      <c r="A531" s="189"/>
      <c r="B531" s="189"/>
      <c r="C531" s="189"/>
      <c r="D531" s="189"/>
      <c r="E531" s="189"/>
      <c r="F531" s="189"/>
      <c r="G531" s="189"/>
      <c r="H531" s="189"/>
      <c r="I531" s="338"/>
      <c r="J531" s="338"/>
      <c r="K531" s="338"/>
      <c r="L531" s="338"/>
      <c r="M531" s="338"/>
      <c r="N531" s="338"/>
      <c r="O531" s="338"/>
      <c r="P531" s="338"/>
      <c r="Q531" s="338"/>
      <c r="R531" s="338"/>
      <c r="S531" s="338"/>
      <c r="T531" s="230"/>
      <c r="U531" s="189"/>
      <c r="V531" s="189"/>
      <c r="W531" s="189"/>
      <c r="X531" s="189"/>
      <c r="Y531" s="189"/>
      <c r="Z531" s="189"/>
      <c r="AA531" s="189"/>
      <c r="AB531" s="189"/>
      <c r="AC531" s="189"/>
      <c r="AD531" s="189"/>
    </row>
    <row r="532" spans="1:30">
      <c r="A532" s="189"/>
      <c r="B532" s="189"/>
      <c r="C532" s="189"/>
      <c r="D532" s="189"/>
      <c r="E532" s="189"/>
      <c r="F532" s="189"/>
      <c r="G532" s="189"/>
      <c r="H532" s="189"/>
      <c r="I532" s="338"/>
      <c r="J532" s="338"/>
      <c r="K532" s="338"/>
      <c r="L532" s="338"/>
      <c r="M532" s="338"/>
      <c r="N532" s="338"/>
      <c r="O532" s="338"/>
      <c r="P532" s="338"/>
      <c r="Q532" s="338"/>
      <c r="R532" s="338"/>
      <c r="S532" s="338"/>
      <c r="T532" s="230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</row>
    <row r="533" spans="1:30">
      <c r="A533" s="189"/>
      <c r="B533" s="189"/>
      <c r="C533" s="189"/>
      <c r="D533" s="189"/>
      <c r="E533" s="189"/>
      <c r="F533" s="189"/>
      <c r="G533" s="189"/>
      <c r="H533" s="189"/>
      <c r="I533" s="338"/>
      <c r="J533" s="338"/>
      <c r="K533" s="338"/>
      <c r="L533" s="338"/>
      <c r="M533" s="338"/>
      <c r="N533" s="338"/>
      <c r="O533" s="338"/>
      <c r="P533" s="338"/>
      <c r="Q533" s="338"/>
      <c r="R533" s="338"/>
      <c r="S533" s="338"/>
      <c r="T533" s="230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</row>
    <row r="534" spans="1:30">
      <c r="A534" s="189"/>
      <c r="B534" s="189"/>
      <c r="C534" s="189"/>
      <c r="D534" s="189"/>
      <c r="E534" s="189"/>
      <c r="F534" s="189"/>
      <c r="G534" s="189"/>
      <c r="H534" s="189"/>
      <c r="I534" s="338"/>
      <c r="J534" s="338"/>
      <c r="K534" s="338"/>
      <c r="L534" s="338"/>
      <c r="M534" s="338"/>
      <c r="N534" s="338"/>
      <c r="O534" s="338"/>
      <c r="P534" s="338"/>
      <c r="Q534" s="338"/>
      <c r="R534" s="338"/>
      <c r="S534" s="338"/>
      <c r="T534" s="230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</row>
    <row r="535" spans="1:30">
      <c r="A535" s="189"/>
      <c r="B535" s="189"/>
      <c r="C535" s="189"/>
      <c r="D535" s="189"/>
      <c r="E535" s="189"/>
      <c r="F535" s="189"/>
      <c r="G535" s="189"/>
      <c r="H535" s="189"/>
      <c r="I535" s="338"/>
      <c r="J535" s="338"/>
      <c r="K535" s="338"/>
      <c r="L535" s="338"/>
      <c r="M535" s="338"/>
      <c r="N535" s="338"/>
      <c r="O535" s="338"/>
      <c r="P535" s="338"/>
      <c r="Q535" s="338"/>
      <c r="R535" s="338"/>
      <c r="S535" s="338"/>
      <c r="T535" s="230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</row>
    <row r="536" spans="1:30">
      <c r="A536" s="189"/>
      <c r="B536" s="189"/>
      <c r="C536" s="189"/>
      <c r="D536" s="189"/>
      <c r="E536" s="189"/>
      <c r="F536" s="189"/>
      <c r="G536" s="189"/>
      <c r="H536" s="189"/>
      <c r="I536" s="338"/>
      <c r="J536" s="338"/>
      <c r="K536" s="338"/>
      <c r="L536" s="338"/>
      <c r="M536" s="338"/>
      <c r="N536" s="338"/>
      <c r="O536" s="338"/>
      <c r="P536" s="338"/>
      <c r="Q536" s="338"/>
      <c r="R536" s="338"/>
      <c r="S536" s="338"/>
      <c r="T536" s="230"/>
      <c r="U536" s="189"/>
      <c r="V536" s="189"/>
      <c r="W536" s="189"/>
      <c r="X536" s="189"/>
      <c r="Y536" s="189"/>
      <c r="Z536" s="189"/>
      <c r="AA536" s="189"/>
      <c r="AB536" s="189"/>
      <c r="AC536" s="189"/>
      <c r="AD536" s="189"/>
    </row>
    <row r="537" spans="1:30">
      <c r="A537" s="189"/>
      <c r="B537" s="189"/>
      <c r="C537" s="189"/>
      <c r="D537" s="189"/>
      <c r="E537" s="189"/>
      <c r="F537" s="189"/>
      <c r="G537" s="189"/>
      <c r="H537" s="189"/>
      <c r="I537" s="338"/>
      <c r="J537" s="338"/>
      <c r="K537" s="338"/>
      <c r="L537" s="338"/>
      <c r="M537" s="338"/>
      <c r="N537" s="338"/>
      <c r="O537" s="338"/>
      <c r="P537" s="338"/>
      <c r="Q537" s="338"/>
      <c r="R537" s="338"/>
      <c r="S537" s="338"/>
      <c r="T537" s="230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</row>
    <row r="538" spans="1:30">
      <c r="A538" s="189"/>
      <c r="B538" s="189"/>
      <c r="C538" s="189"/>
      <c r="D538" s="189"/>
      <c r="E538" s="189"/>
      <c r="F538" s="189"/>
      <c r="G538" s="189"/>
      <c r="H538" s="189"/>
      <c r="I538" s="338"/>
      <c r="J538" s="338"/>
      <c r="K538" s="338"/>
      <c r="L538" s="338"/>
      <c r="M538" s="338"/>
      <c r="N538" s="338"/>
      <c r="O538" s="338"/>
      <c r="P538" s="338"/>
      <c r="Q538" s="338"/>
      <c r="R538" s="338"/>
      <c r="S538" s="338"/>
      <c r="T538" s="230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</row>
    <row r="539" spans="1:30">
      <c r="A539" s="189"/>
      <c r="B539" s="189"/>
      <c r="C539" s="189"/>
      <c r="D539" s="189"/>
      <c r="E539" s="189"/>
      <c r="F539" s="189"/>
      <c r="G539" s="189"/>
      <c r="H539" s="189"/>
      <c r="I539" s="338"/>
      <c r="J539" s="338"/>
      <c r="K539" s="338"/>
      <c r="L539" s="338"/>
      <c r="M539" s="338"/>
      <c r="N539" s="338"/>
      <c r="O539" s="338"/>
      <c r="P539" s="338"/>
      <c r="Q539" s="338"/>
      <c r="R539" s="338"/>
      <c r="S539" s="338"/>
      <c r="T539" s="230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</row>
    <row r="540" spans="1:30">
      <c r="A540" s="189"/>
      <c r="B540" s="189"/>
      <c r="C540" s="189"/>
      <c r="D540" s="189"/>
      <c r="E540" s="189"/>
      <c r="F540" s="189"/>
      <c r="G540" s="189"/>
      <c r="H540" s="189"/>
      <c r="I540" s="338"/>
      <c r="J540" s="338"/>
      <c r="K540" s="338"/>
      <c r="L540" s="338"/>
      <c r="M540" s="338"/>
      <c r="N540" s="338"/>
      <c r="O540" s="338"/>
      <c r="P540" s="338"/>
      <c r="Q540" s="338"/>
      <c r="R540" s="338"/>
      <c r="S540" s="338"/>
      <c r="T540" s="230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</row>
    <row r="541" spans="1:30">
      <c r="A541" s="189"/>
      <c r="B541" s="189"/>
      <c r="C541" s="189"/>
      <c r="D541" s="189"/>
      <c r="E541" s="189"/>
      <c r="F541" s="189"/>
      <c r="G541" s="189"/>
      <c r="H541" s="189"/>
      <c r="I541" s="338"/>
      <c r="J541" s="338"/>
      <c r="K541" s="338"/>
      <c r="L541" s="338"/>
      <c r="M541" s="338"/>
      <c r="N541" s="338"/>
      <c r="O541" s="338"/>
      <c r="P541" s="338"/>
      <c r="Q541" s="338"/>
      <c r="R541" s="338"/>
      <c r="S541" s="338"/>
      <c r="T541" s="230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</row>
    <row r="542" spans="1:30">
      <c r="A542" s="189"/>
      <c r="B542" s="189"/>
      <c r="C542" s="189"/>
      <c r="D542" s="189"/>
      <c r="E542" s="189"/>
      <c r="F542" s="189"/>
      <c r="G542" s="189"/>
      <c r="H542" s="189"/>
      <c r="I542" s="338"/>
      <c r="J542" s="338"/>
      <c r="K542" s="338"/>
      <c r="L542" s="338"/>
      <c r="M542" s="338"/>
      <c r="N542" s="338"/>
      <c r="O542" s="338"/>
      <c r="P542" s="338"/>
      <c r="Q542" s="338"/>
      <c r="R542" s="338"/>
      <c r="S542" s="338"/>
      <c r="T542" s="230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</row>
    <row r="543" spans="1:30">
      <c r="A543" s="189"/>
      <c r="B543" s="189"/>
      <c r="C543" s="189"/>
      <c r="D543" s="189"/>
      <c r="E543" s="189"/>
      <c r="F543" s="189"/>
      <c r="G543" s="189"/>
      <c r="H543" s="189"/>
      <c r="I543" s="338"/>
      <c r="J543" s="338"/>
      <c r="K543" s="338"/>
      <c r="L543" s="338"/>
      <c r="M543" s="338"/>
      <c r="N543" s="338"/>
      <c r="O543" s="338"/>
      <c r="P543" s="338"/>
      <c r="Q543" s="338"/>
      <c r="R543" s="338"/>
      <c r="S543" s="338"/>
      <c r="T543" s="230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</row>
    <row r="544" spans="1:30">
      <c r="A544" s="189"/>
      <c r="B544" s="189"/>
      <c r="C544" s="189"/>
      <c r="D544" s="189"/>
      <c r="E544" s="189"/>
      <c r="F544" s="189"/>
      <c r="G544" s="189"/>
      <c r="H544" s="189"/>
      <c r="I544" s="338"/>
      <c r="J544" s="338"/>
      <c r="K544" s="338"/>
      <c r="L544" s="338"/>
      <c r="M544" s="338"/>
      <c r="N544" s="338"/>
      <c r="O544" s="338"/>
      <c r="P544" s="338"/>
      <c r="Q544" s="338"/>
      <c r="R544" s="338"/>
      <c r="S544" s="338"/>
      <c r="T544" s="230"/>
      <c r="U544" s="189"/>
      <c r="V544" s="189"/>
      <c r="W544" s="189"/>
      <c r="X544" s="189"/>
      <c r="Y544" s="189"/>
      <c r="Z544" s="189"/>
      <c r="AA544" s="189"/>
      <c r="AB544" s="189"/>
      <c r="AC544" s="189"/>
      <c r="AD544" s="189"/>
    </row>
    <row r="545" spans="1:30">
      <c r="A545" s="189"/>
      <c r="B545" s="189"/>
      <c r="C545" s="189"/>
      <c r="D545" s="189"/>
      <c r="E545" s="189"/>
      <c r="F545" s="189"/>
      <c r="G545" s="189"/>
      <c r="H545" s="189"/>
      <c r="I545" s="338"/>
      <c r="J545" s="338"/>
      <c r="K545" s="338"/>
      <c r="L545" s="338"/>
      <c r="M545" s="338"/>
      <c r="N545" s="338"/>
      <c r="O545" s="338"/>
      <c r="P545" s="338"/>
      <c r="Q545" s="338"/>
      <c r="R545" s="338"/>
      <c r="S545" s="338"/>
      <c r="T545" s="230"/>
      <c r="U545" s="189"/>
      <c r="V545" s="189"/>
      <c r="W545" s="189"/>
      <c r="X545" s="189"/>
      <c r="Y545" s="189"/>
      <c r="Z545" s="189"/>
      <c r="AA545" s="189"/>
      <c r="AB545" s="189"/>
      <c r="AC545" s="189"/>
      <c r="AD545" s="189"/>
    </row>
    <row r="546" spans="1:30">
      <c r="A546" s="189"/>
      <c r="B546" s="189"/>
      <c r="C546" s="189"/>
      <c r="D546" s="189"/>
      <c r="E546" s="189"/>
      <c r="F546" s="189"/>
      <c r="G546" s="189"/>
      <c r="H546" s="189"/>
      <c r="I546" s="338"/>
      <c r="J546" s="338"/>
      <c r="K546" s="338"/>
      <c r="L546" s="338"/>
      <c r="M546" s="338"/>
      <c r="N546" s="338"/>
      <c r="O546" s="338"/>
      <c r="P546" s="338"/>
      <c r="Q546" s="338"/>
      <c r="R546" s="338"/>
      <c r="S546" s="338"/>
      <c r="T546" s="230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</row>
    <row r="547" spans="1:30">
      <c r="A547" s="189"/>
      <c r="B547" s="189"/>
      <c r="C547" s="189"/>
      <c r="D547" s="189"/>
      <c r="E547" s="189"/>
      <c r="F547" s="189"/>
      <c r="G547" s="189"/>
      <c r="H547" s="189"/>
      <c r="I547" s="338"/>
      <c r="J547" s="338"/>
      <c r="K547" s="338"/>
      <c r="L547" s="338"/>
      <c r="M547" s="338"/>
      <c r="N547" s="338"/>
      <c r="O547" s="338"/>
      <c r="P547" s="338"/>
      <c r="Q547" s="338"/>
      <c r="R547" s="338"/>
      <c r="S547" s="338"/>
      <c r="T547" s="230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</row>
    <row r="548" spans="1:30">
      <c r="A548" s="189"/>
      <c r="B548" s="189"/>
      <c r="C548" s="189"/>
      <c r="D548" s="189"/>
      <c r="E548" s="189"/>
      <c r="F548" s="189"/>
      <c r="G548" s="189"/>
      <c r="H548" s="189"/>
      <c r="I548" s="338"/>
      <c r="J548" s="338"/>
      <c r="K548" s="338"/>
      <c r="L548" s="338"/>
      <c r="M548" s="338"/>
      <c r="N548" s="338"/>
      <c r="O548" s="338"/>
      <c r="P548" s="338"/>
      <c r="Q548" s="338"/>
      <c r="R548" s="338"/>
      <c r="S548" s="338"/>
      <c r="T548" s="230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</row>
    <row r="549" spans="1:30">
      <c r="A549" s="189"/>
      <c r="B549" s="189"/>
      <c r="C549" s="189"/>
      <c r="D549" s="189"/>
      <c r="E549" s="189"/>
      <c r="F549" s="189"/>
      <c r="G549" s="189"/>
      <c r="H549" s="189"/>
      <c r="I549" s="338"/>
      <c r="J549" s="338"/>
      <c r="K549" s="338"/>
      <c r="L549" s="338"/>
      <c r="M549" s="338"/>
      <c r="N549" s="338"/>
      <c r="O549" s="338"/>
      <c r="P549" s="338"/>
      <c r="Q549" s="338"/>
      <c r="R549" s="338"/>
      <c r="S549" s="338"/>
      <c r="T549" s="230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</row>
    <row r="550" spans="1:30">
      <c r="A550" s="189"/>
      <c r="B550" s="189"/>
      <c r="C550" s="189"/>
      <c r="D550" s="189"/>
      <c r="E550" s="189"/>
      <c r="F550" s="189"/>
      <c r="G550" s="189"/>
      <c r="H550" s="189"/>
      <c r="I550" s="338"/>
      <c r="J550" s="338"/>
      <c r="K550" s="338"/>
      <c r="L550" s="338"/>
      <c r="M550" s="338"/>
      <c r="N550" s="338"/>
      <c r="O550" s="338"/>
      <c r="P550" s="338"/>
      <c r="Q550" s="338"/>
      <c r="R550" s="338"/>
      <c r="S550" s="338"/>
      <c r="T550" s="230"/>
      <c r="U550" s="189"/>
      <c r="V550" s="189"/>
      <c r="W550" s="189"/>
      <c r="X550" s="189"/>
      <c r="Y550" s="189"/>
      <c r="Z550" s="189"/>
      <c r="AA550" s="189"/>
      <c r="AB550" s="189"/>
      <c r="AC550" s="189"/>
      <c r="AD550" s="189"/>
    </row>
    <row r="551" spans="1:30">
      <c r="A551" s="189"/>
      <c r="B551" s="189"/>
      <c r="C551" s="189"/>
      <c r="D551" s="189"/>
      <c r="E551" s="189"/>
      <c r="F551" s="189"/>
      <c r="G551" s="189"/>
      <c r="H551" s="189"/>
      <c r="I551" s="338"/>
      <c r="J551" s="338"/>
      <c r="K551" s="338"/>
      <c r="L551" s="338"/>
      <c r="M551" s="338"/>
      <c r="N551" s="338"/>
      <c r="O551" s="338"/>
      <c r="P551" s="338"/>
      <c r="Q551" s="338"/>
      <c r="R551" s="338"/>
      <c r="S551" s="338"/>
      <c r="T551" s="230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</row>
    <row r="552" spans="1:30">
      <c r="A552" s="189"/>
      <c r="B552" s="189"/>
      <c r="C552" s="189"/>
      <c r="D552" s="189"/>
      <c r="E552" s="189"/>
      <c r="F552" s="189"/>
      <c r="G552" s="189"/>
      <c r="H552" s="189"/>
      <c r="I552" s="338"/>
      <c r="J552" s="338"/>
      <c r="K552" s="338"/>
      <c r="L552" s="338"/>
      <c r="M552" s="338"/>
      <c r="N552" s="338"/>
      <c r="O552" s="338"/>
      <c r="P552" s="338"/>
      <c r="Q552" s="338"/>
      <c r="R552" s="338"/>
      <c r="S552" s="338"/>
      <c r="T552" s="230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</row>
    <row r="553" spans="1:30">
      <c r="A553" s="189"/>
      <c r="B553" s="189"/>
      <c r="C553" s="189"/>
      <c r="D553" s="189"/>
      <c r="E553" s="189"/>
      <c r="F553" s="189"/>
      <c r="G553" s="189"/>
      <c r="H553" s="189"/>
      <c r="I553" s="338"/>
      <c r="J553" s="338"/>
      <c r="K553" s="338"/>
      <c r="L553" s="338"/>
      <c r="M553" s="338"/>
      <c r="N553" s="338"/>
      <c r="O553" s="338"/>
      <c r="P553" s="338"/>
      <c r="Q553" s="338"/>
      <c r="R553" s="338"/>
      <c r="S553" s="338"/>
      <c r="T553" s="230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</row>
    <row r="554" spans="1:30">
      <c r="A554" s="189"/>
      <c r="B554" s="189"/>
      <c r="C554" s="189"/>
      <c r="D554" s="189"/>
      <c r="E554" s="189"/>
      <c r="F554" s="189"/>
      <c r="G554" s="189"/>
      <c r="H554" s="189"/>
      <c r="I554" s="338"/>
      <c r="J554" s="338"/>
      <c r="K554" s="338"/>
      <c r="L554" s="338"/>
      <c r="M554" s="338"/>
      <c r="N554" s="338"/>
      <c r="O554" s="338"/>
      <c r="P554" s="338"/>
      <c r="Q554" s="338"/>
      <c r="R554" s="338"/>
      <c r="S554" s="338"/>
      <c r="T554" s="230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</row>
    <row r="555" spans="1:30">
      <c r="A555" s="189"/>
      <c r="B555" s="189"/>
      <c r="C555" s="189"/>
      <c r="D555" s="189"/>
      <c r="E555" s="189"/>
      <c r="F555" s="189"/>
      <c r="G555" s="189"/>
      <c r="H555" s="189"/>
      <c r="I555" s="338"/>
      <c r="J555" s="338"/>
      <c r="K555" s="338"/>
      <c r="L555" s="338"/>
      <c r="M555" s="338"/>
      <c r="N555" s="338"/>
      <c r="O555" s="338"/>
      <c r="P555" s="338"/>
      <c r="Q555" s="338"/>
      <c r="R555" s="338"/>
      <c r="S555" s="338"/>
      <c r="T555" s="230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</row>
    <row r="556" spans="1:30">
      <c r="A556" s="189"/>
      <c r="B556" s="189"/>
      <c r="C556" s="189"/>
      <c r="D556" s="189"/>
      <c r="E556" s="189"/>
      <c r="F556" s="189"/>
      <c r="G556" s="189"/>
      <c r="H556" s="189"/>
      <c r="I556" s="338"/>
      <c r="J556" s="338"/>
      <c r="K556" s="338"/>
      <c r="L556" s="338"/>
      <c r="M556" s="338"/>
      <c r="N556" s="338"/>
      <c r="O556" s="338"/>
      <c r="P556" s="338"/>
      <c r="Q556" s="338"/>
      <c r="R556" s="338"/>
      <c r="S556" s="338"/>
      <c r="T556" s="230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</row>
    <row r="557" spans="1:30">
      <c r="A557" s="189"/>
      <c r="B557" s="189"/>
      <c r="C557" s="189"/>
      <c r="D557" s="189"/>
      <c r="E557" s="189"/>
      <c r="F557" s="189"/>
      <c r="G557" s="189"/>
      <c r="H557" s="189"/>
      <c r="I557" s="338"/>
      <c r="J557" s="338"/>
      <c r="K557" s="338"/>
      <c r="L557" s="338"/>
      <c r="M557" s="338"/>
      <c r="N557" s="338"/>
      <c r="O557" s="338"/>
      <c r="P557" s="338"/>
      <c r="Q557" s="338"/>
      <c r="R557" s="338"/>
      <c r="S557" s="338"/>
      <c r="T557" s="230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</row>
    <row r="558" spans="1:30">
      <c r="A558" s="189"/>
      <c r="B558" s="189"/>
      <c r="C558" s="189"/>
      <c r="D558" s="189"/>
      <c r="E558" s="189"/>
      <c r="F558" s="189"/>
      <c r="G558" s="189"/>
      <c r="H558" s="189"/>
      <c r="I558" s="338"/>
      <c r="J558" s="338"/>
      <c r="K558" s="338"/>
      <c r="L558" s="338"/>
      <c r="M558" s="338"/>
      <c r="N558" s="338"/>
      <c r="O558" s="338"/>
      <c r="P558" s="338"/>
      <c r="Q558" s="338"/>
      <c r="R558" s="338"/>
      <c r="S558" s="338"/>
      <c r="T558" s="230"/>
      <c r="U558" s="189"/>
      <c r="V558" s="189"/>
      <c r="W558" s="189"/>
      <c r="X558" s="189"/>
      <c r="Y558" s="189"/>
      <c r="Z558" s="189"/>
      <c r="AA558" s="189"/>
      <c r="AB558" s="189"/>
      <c r="AC558" s="189"/>
      <c r="AD558" s="189"/>
    </row>
    <row r="559" spans="1:30">
      <c r="A559" s="189"/>
      <c r="B559" s="189"/>
      <c r="C559" s="189"/>
      <c r="D559" s="189"/>
      <c r="E559" s="189"/>
      <c r="F559" s="189"/>
      <c r="G559" s="189"/>
      <c r="H559" s="189"/>
      <c r="I559" s="338"/>
      <c r="J559" s="338"/>
      <c r="K559" s="338"/>
      <c r="L559" s="338"/>
      <c r="M559" s="338"/>
      <c r="N559" s="338"/>
      <c r="O559" s="338"/>
      <c r="P559" s="338"/>
      <c r="Q559" s="338"/>
      <c r="R559" s="338"/>
      <c r="S559" s="338"/>
      <c r="T559" s="230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</row>
    <row r="560" spans="1:30">
      <c r="A560" s="189"/>
      <c r="B560" s="189"/>
      <c r="C560" s="189"/>
      <c r="D560" s="189"/>
      <c r="E560" s="189"/>
      <c r="F560" s="189"/>
      <c r="G560" s="189"/>
      <c r="H560" s="189"/>
      <c r="I560" s="338"/>
      <c r="J560" s="338"/>
      <c r="K560" s="338"/>
      <c r="L560" s="338"/>
      <c r="M560" s="338"/>
      <c r="N560" s="338"/>
      <c r="O560" s="338"/>
      <c r="P560" s="338"/>
      <c r="Q560" s="338"/>
      <c r="R560" s="338"/>
      <c r="S560" s="338"/>
      <c r="T560" s="230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</row>
    <row r="561" spans="1:30">
      <c r="A561" s="189"/>
      <c r="B561" s="189"/>
      <c r="C561" s="189"/>
      <c r="D561" s="189"/>
      <c r="E561" s="189"/>
      <c r="F561" s="189"/>
      <c r="G561" s="189"/>
      <c r="H561" s="189"/>
      <c r="I561" s="338"/>
      <c r="J561" s="338"/>
      <c r="K561" s="338"/>
      <c r="L561" s="338"/>
      <c r="M561" s="338"/>
      <c r="N561" s="338"/>
      <c r="O561" s="338"/>
      <c r="P561" s="338"/>
      <c r="Q561" s="338"/>
      <c r="R561" s="338"/>
      <c r="S561" s="338"/>
      <c r="T561" s="230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</row>
    <row r="562" spans="1:30">
      <c r="A562" s="189"/>
      <c r="B562" s="189"/>
      <c r="C562" s="189"/>
      <c r="D562" s="189"/>
      <c r="E562" s="189"/>
      <c r="F562" s="189"/>
      <c r="G562" s="189"/>
      <c r="H562" s="189"/>
      <c r="I562" s="338"/>
      <c r="J562" s="338"/>
      <c r="K562" s="338"/>
      <c r="L562" s="338"/>
      <c r="M562" s="338"/>
      <c r="N562" s="338"/>
      <c r="O562" s="338"/>
      <c r="P562" s="338"/>
      <c r="Q562" s="338"/>
      <c r="R562" s="338"/>
      <c r="S562" s="338"/>
      <c r="T562" s="230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</row>
    <row r="563" spans="1:30">
      <c r="A563" s="189"/>
      <c r="B563" s="189"/>
      <c r="C563" s="189"/>
      <c r="D563" s="189"/>
      <c r="E563" s="189"/>
      <c r="F563" s="189"/>
      <c r="G563" s="189"/>
      <c r="H563" s="189"/>
      <c r="I563" s="338"/>
      <c r="J563" s="338"/>
      <c r="K563" s="338"/>
      <c r="L563" s="338"/>
      <c r="M563" s="338"/>
      <c r="N563" s="338"/>
      <c r="O563" s="338"/>
      <c r="P563" s="338"/>
      <c r="Q563" s="338"/>
      <c r="R563" s="338"/>
      <c r="S563" s="338"/>
      <c r="T563" s="230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</row>
    <row r="564" spans="1:30">
      <c r="A564" s="189"/>
      <c r="B564" s="189"/>
      <c r="C564" s="189"/>
      <c r="D564" s="189"/>
      <c r="E564" s="189"/>
      <c r="F564" s="189"/>
      <c r="G564" s="189"/>
      <c r="H564" s="189"/>
      <c r="I564" s="338"/>
      <c r="J564" s="338"/>
      <c r="K564" s="338"/>
      <c r="L564" s="338"/>
      <c r="M564" s="338"/>
      <c r="N564" s="338"/>
      <c r="O564" s="338"/>
      <c r="P564" s="338"/>
      <c r="Q564" s="338"/>
      <c r="R564" s="338"/>
      <c r="S564" s="338"/>
      <c r="T564" s="230"/>
      <c r="U564" s="189"/>
      <c r="V564" s="189"/>
      <c r="W564" s="189"/>
      <c r="X564" s="189"/>
      <c r="Y564" s="189"/>
      <c r="Z564" s="189"/>
      <c r="AA564" s="189"/>
      <c r="AB564" s="189"/>
      <c r="AC564" s="189"/>
      <c r="AD564" s="189"/>
    </row>
    <row r="565" spans="1:30">
      <c r="A565" s="189"/>
      <c r="B565" s="189"/>
      <c r="C565" s="189"/>
      <c r="D565" s="189"/>
      <c r="E565" s="189"/>
      <c r="F565" s="189"/>
      <c r="G565" s="189"/>
      <c r="H565" s="189"/>
      <c r="I565" s="338"/>
      <c r="J565" s="338"/>
      <c r="K565" s="338"/>
      <c r="L565" s="338"/>
      <c r="M565" s="338"/>
      <c r="N565" s="338"/>
      <c r="O565" s="338"/>
      <c r="P565" s="338"/>
      <c r="Q565" s="338"/>
      <c r="R565" s="338"/>
      <c r="S565" s="338"/>
      <c r="T565" s="230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</row>
    <row r="566" spans="1:30">
      <c r="A566" s="189"/>
      <c r="B566" s="189"/>
      <c r="C566" s="189"/>
      <c r="D566" s="189"/>
      <c r="E566" s="189"/>
      <c r="F566" s="189"/>
      <c r="G566" s="189"/>
      <c r="H566" s="189"/>
      <c r="I566" s="338"/>
      <c r="J566" s="338"/>
      <c r="K566" s="338"/>
      <c r="L566" s="338"/>
      <c r="M566" s="338"/>
      <c r="N566" s="338"/>
      <c r="O566" s="338"/>
      <c r="P566" s="338"/>
      <c r="Q566" s="338"/>
      <c r="R566" s="338"/>
      <c r="S566" s="338"/>
      <c r="T566" s="230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</row>
    <row r="567" spans="1:30">
      <c r="A567" s="189"/>
      <c r="B567" s="189"/>
      <c r="C567" s="189"/>
      <c r="D567" s="189"/>
      <c r="E567" s="189"/>
      <c r="F567" s="189"/>
      <c r="G567" s="189"/>
      <c r="H567" s="189"/>
      <c r="I567" s="338"/>
      <c r="J567" s="338"/>
      <c r="K567" s="338"/>
      <c r="L567" s="338"/>
      <c r="M567" s="338"/>
      <c r="N567" s="338"/>
      <c r="O567" s="338"/>
      <c r="P567" s="338"/>
      <c r="Q567" s="338"/>
      <c r="R567" s="338"/>
      <c r="S567" s="338"/>
      <c r="T567" s="230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</row>
    <row r="568" spans="1:30">
      <c r="A568" s="189"/>
      <c r="B568" s="189"/>
      <c r="C568" s="189"/>
      <c r="D568" s="189"/>
      <c r="E568" s="189"/>
      <c r="F568" s="189"/>
      <c r="G568" s="189"/>
      <c r="H568" s="189"/>
      <c r="I568" s="338"/>
      <c r="J568" s="338"/>
      <c r="K568" s="338"/>
      <c r="L568" s="338"/>
      <c r="M568" s="338"/>
      <c r="N568" s="338"/>
      <c r="O568" s="338"/>
      <c r="P568" s="338"/>
      <c r="Q568" s="338"/>
      <c r="R568" s="338"/>
      <c r="S568" s="338"/>
      <c r="T568" s="230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</row>
    <row r="569" spans="1:30">
      <c r="A569" s="189"/>
      <c r="B569" s="189"/>
      <c r="C569" s="189"/>
      <c r="D569" s="189"/>
      <c r="E569" s="189"/>
      <c r="F569" s="189"/>
      <c r="G569" s="189"/>
      <c r="H569" s="189"/>
      <c r="I569" s="338"/>
      <c r="J569" s="338"/>
      <c r="K569" s="338"/>
      <c r="L569" s="338"/>
      <c r="M569" s="338"/>
      <c r="N569" s="338"/>
      <c r="O569" s="338"/>
      <c r="P569" s="338"/>
      <c r="Q569" s="338"/>
      <c r="R569" s="338"/>
      <c r="S569" s="338"/>
      <c r="T569" s="230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</row>
    <row r="570" spans="1:30">
      <c r="A570" s="189"/>
      <c r="B570" s="189"/>
      <c r="C570" s="189"/>
      <c r="D570" s="189"/>
      <c r="E570" s="189"/>
      <c r="F570" s="189"/>
      <c r="G570" s="189"/>
      <c r="H570" s="189"/>
      <c r="I570" s="338"/>
      <c r="J570" s="338"/>
      <c r="K570" s="338"/>
      <c r="L570" s="338"/>
      <c r="M570" s="338"/>
      <c r="N570" s="338"/>
      <c r="O570" s="338"/>
      <c r="P570" s="338"/>
      <c r="Q570" s="338"/>
      <c r="R570" s="338"/>
      <c r="S570" s="338"/>
      <c r="T570" s="230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</row>
    <row r="571" spans="1:30">
      <c r="A571" s="189"/>
      <c r="B571" s="189"/>
      <c r="C571" s="189"/>
      <c r="D571" s="189"/>
      <c r="E571" s="189"/>
      <c r="F571" s="189"/>
      <c r="G571" s="189"/>
      <c r="H571" s="189"/>
      <c r="I571" s="338"/>
      <c r="J571" s="338"/>
      <c r="K571" s="338"/>
      <c r="L571" s="338"/>
      <c r="M571" s="338"/>
      <c r="N571" s="338"/>
      <c r="O571" s="338"/>
      <c r="P571" s="338"/>
      <c r="Q571" s="338"/>
      <c r="R571" s="338"/>
      <c r="S571" s="338"/>
      <c r="T571" s="230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</row>
    <row r="572" spans="1:30">
      <c r="A572" s="189"/>
      <c r="B572" s="189"/>
      <c r="C572" s="189"/>
      <c r="D572" s="189"/>
      <c r="E572" s="189"/>
      <c r="F572" s="189"/>
      <c r="G572" s="189"/>
      <c r="H572" s="189"/>
      <c r="I572" s="338"/>
      <c r="J572" s="338"/>
      <c r="K572" s="338"/>
      <c r="L572" s="338"/>
      <c r="M572" s="338"/>
      <c r="N572" s="338"/>
      <c r="O572" s="338"/>
      <c r="P572" s="338"/>
      <c r="Q572" s="338"/>
      <c r="R572" s="338"/>
      <c r="S572" s="338"/>
      <c r="T572" s="230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</row>
    <row r="573" spans="1:30">
      <c r="A573" s="189"/>
      <c r="B573" s="189"/>
      <c r="C573" s="189"/>
      <c r="D573" s="189"/>
      <c r="E573" s="189"/>
      <c r="F573" s="189"/>
      <c r="G573" s="189"/>
      <c r="H573" s="189"/>
      <c r="I573" s="338"/>
      <c r="J573" s="338"/>
      <c r="K573" s="338"/>
      <c r="L573" s="338"/>
      <c r="M573" s="338"/>
      <c r="N573" s="338"/>
      <c r="O573" s="338"/>
      <c r="P573" s="338"/>
      <c r="Q573" s="338"/>
      <c r="R573" s="338"/>
      <c r="S573" s="338"/>
      <c r="T573" s="230"/>
      <c r="U573" s="189"/>
      <c r="V573" s="189"/>
      <c r="W573" s="189"/>
      <c r="X573" s="189"/>
      <c r="Y573" s="189"/>
      <c r="Z573" s="189"/>
      <c r="AA573" s="189"/>
      <c r="AB573" s="189"/>
      <c r="AC573" s="189"/>
      <c r="AD573" s="189"/>
    </row>
    <row r="574" spans="1:30">
      <c r="A574" s="189"/>
      <c r="B574" s="189"/>
      <c r="C574" s="189"/>
      <c r="D574" s="189"/>
      <c r="E574" s="189"/>
      <c r="F574" s="189"/>
      <c r="G574" s="189"/>
      <c r="H574" s="189"/>
      <c r="I574" s="338"/>
      <c r="J574" s="338"/>
      <c r="K574" s="338"/>
      <c r="L574" s="338"/>
      <c r="M574" s="338"/>
      <c r="N574" s="338"/>
      <c r="O574" s="338"/>
      <c r="P574" s="338"/>
      <c r="Q574" s="338"/>
      <c r="R574" s="338"/>
      <c r="S574" s="338"/>
      <c r="T574" s="230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</row>
    <row r="575" spans="1:30">
      <c r="A575" s="189"/>
      <c r="B575" s="189"/>
      <c r="C575" s="189"/>
      <c r="D575" s="189"/>
      <c r="E575" s="189"/>
      <c r="F575" s="189"/>
      <c r="G575" s="189"/>
      <c r="H575" s="189"/>
      <c r="I575" s="338"/>
      <c r="J575" s="338"/>
      <c r="K575" s="338"/>
      <c r="L575" s="338"/>
      <c r="M575" s="338"/>
      <c r="N575" s="338"/>
      <c r="O575" s="338"/>
      <c r="P575" s="338"/>
      <c r="Q575" s="338"/>
      <c r="R575" s="338"/>
      <c r="S575" s="338"/>
      <c r="T575" s="230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</row>
    <row r="576" spans="1:30">
      <c r="A576" s="189"/>
      <c r="B576" s="189"/>
      <c r="C576" s="189"/>
      <c r="D576" s="189"/>
      <c r="E576" s="189"/>
      <c r="F576" s="189"/>
      <c r="G576" s="189"/>
      <c r="H576" s="189"/>
      <c r="I576" s="338"/>
      <c r="J576" s="338"/>
      <c r="K576" s="338"/>
      <c r="L576" s="338"/>
      <c r="M576" s="338"/>
      <c r="N576" s="338"/>
      <c r="O576" s="338"/>
      <c r="P576" s="338"/>
      <c r="Q576" s="338"/>
      <c r="R576" s="338"/>
      <c r="S576" s="338"/>
      <c r="T576" s="230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</row>
    <row r="577" spans="1:30">
      <c r="A577" s="189"/>
      <c r="B577" s="189"/>
      <c r="C577" s="189"/>
      <c r="D577" s="189"/>
      <c r="E577" s="189"/>
      <c r="F577" s="189"/>
      <c r="G577" s="189"/>
      <c r="H577" s="189"/>
      <c r="I577" s="338"/>
      <c r="J577" s="338"/>
      <c r="K577" s="338"/>
      <c r="L577" s="338"/>
      <c r="M577" s="338"/>
      <c r="N577" s="338"/>
      <c r="O577" s="338"/>
      <c r="P577" s="338"/>
      <c r="Q577" s="338"/>
      <c r="R577" s="338"/>
      <c r="S577" s="338"/>
      <c r="T577" s="230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</row>
    <row r="578" spans="1:30">
      <c r="A578" s="189"/>
      <c r="B578" s="189"/>
      <c r="C578" s="189"/>
      <c r="D578" s="189"/>
      <c r="E578" s="189"/>
      <c r="F578" s="189"/>
      <c r="G578" s="189"/>
      <c r="H578" s="189"/>
      <c r="I578" s="338"/>
      <c r="J578" s="338"/>
      <c r="K578" s="338"/>
      <c r="L578" s="338"/>
      <c r="M578" s="338"/>
      <c r="N578" s="338"/>
      <c r="O578" s="338"/>
      <c r="P578" s="338"/>
      <c r="Q578" s="338"/>
      <c r="R578" s="338"/>
      <c r="S578" s="338"/>
      <c r="T578" s="230"/>
      <c r="U578" s="189"/>
      <c r="V578" s="189"/>
      <c r="W578" s="189"/>
      <c r="X578" s="189"/>
      <c r="Y578" s="189"/>
      <c r="Z578" s="189"/>
      <c r="AA578" s="189"/>
      <c r="AB578" s="189"/>
      <c r="AC578" s="189"/>
      <c r="AD578" s="189"/>
    </row>
    <row r="579" spans="1:30">
      <c r="A579" s="189"/>
      <c r="B579" s="189"/>
      <c r="C579" s="189"/>
      <c r="D579" s="189"/>
      <c r="E579" s="189"/>
      <c r="F579" s="189"/>
      <c r="G579" s="189"/>
      <c r="H579" s="189"/>
      <c r="I579" s="338"/>
      <c r="J579" s="338"/>
      <c r="K579" s="338"/>
      <c r="L579" s="338"/>
      <c r="M579" s="338"/>
      <c r="N579" s="338"/>
      <c r="O579" s="338"/>
      <c r="P579" s="338"/>
      <c r="Q579" s="338"/>
      <c r="R579" s="338"/>
      <c r="S579" s="338"/>
      <c r="T579" s="230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</row>
    <row r="580" spans="1:30">
      <c r="A580" s="189"/>
      <c r="B580" s="189"/>
      <c r="C580" s="189"/>
      <c r="D580" s="189"/>
      <c r="E580" s="189"/>
      <c r="F580" s="189"/>
      <c r="G580" s="189"/>
      <c r="H580" s="189"/>
      <c r="I580" s="338"/>
      <c r="J580" s="338"/>
      <c r="K580" s="338"/>
      <c r="L580" s="338"/>
      <c r="M580" s="338"/>
      <c r="N580" s="338"/>
      <c r="O580" s="338"/>
      <c r="P580" s="338"/>
      <c r="Q580" s="338"/>
      <c r="R580" s="338"/>
      <c r="S580" s="338"/>
      <c r="T580" s="230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</row>
    <row r="581" spans="1:30">
      <c r="A581" s="189"/>
      <c r="B581" s="189"/>
      <c r="C581" s="189"/>
      <c r="D581" s="189"/>
      <c r="E581" s="189"/>
      <c r="F581" s="189"/>
      <c r="G581" s="189"/>
      <c r="H581" s="189"/>
      <c r="I581" s="338"/>
      <c r="J581" s="338"/>
      <c r="K581" s="338"/>
      <c r="L581" s="338"/>
      <c r="M581" s="338"/>
      <c r="N581" s="338"/>
      <c r="O581" s="338"/>
      <c r="P581" s="338"/>
      <c r="Q581" s="338"/>
      <c r="R581" s="338"/>
      <c r="S581" s="338"/>
      <c r="T581" s="230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</row>
    <row r="582" spans="1:30">
      <c r="A582" s="189"/>
      <c r="B582" s="189"/>
      <c r="C582" s="189"/>
      <c r="D582" s="189"/>
      <c r="E582" s="189"/>
      <c r="F582" s="189"/>
      <c r="G582" s="189"/>
      <c r="H582" s="189"/>
      <c r="I582" s="338"/>
      <c r="J582" s="338"/>
      <c r="K582" s="338"/>
      <c r="L582" s="338"/>
      <c r="M582" s="338"/>
      <c r="N582" s="338"/>
      <c r="O582" s="338"/>
      <c r="P582" s="338"/>
      <c r="Q582" s="338"/>
      <c r="R582" s="338"/>
      <c r="S582" s="338"/>
      <c r="T582" s="230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</row>
    <row r="583" spans="1:30">
      <c r="A583" s="189"/>
      <c r="B583" s="189"/>
      <c r="C583" s="189"/>
      <c r="D583" s="189"/>
      <c r="E583" s="189"/>
      <c r="F583" s="189"/>
      <c r="G583" s="189"/>
      <c r="H583" s="189"/>
      <c r="I583" s="338"/>
      <c r="J583" s="338"/>
      <c r="K583" s="338"/>
      <c r="L583" s="338"/>
      <c r="M583" s="338"/>
      <c r="N583" s="338"/>
      <c r="O583" s="338"/>
      <c r="P583" s="338"/>
      <c r="Q583" s="338"/>
      <c r="R583" s="338"/>
      <c r="S583" s="338"/>
      <c r="T583" s="230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</row>
    <row r="584" spans="1:30">
      <c r="A584" s="189"/>
      <c r="B584" s="189"/>
      <c r="C584" s="189"/>
      <c r="D584" s="189"/>
      <c r="E584" s="189"/>
      <c r="F584" s="189"/>
      <c r="G584" s="189"/>
      <c r="H584" s="189"/>
      <c r="I584" s="338"/>
      <c r="J584" s="338"/>
      <c r="K584" s="338"/>
      <c r="L584" s="338"/>
      <c r="M584" s="338"/>
      <c r="N584" s="338"/>
      <c r="O584" s="338"/>
      <c r="P584" s="338"/>
      <c r="Q584" s="338"/>
      <c r="R584" s="338"/>
      <c r="S584" s="338"/>
      <c r="T584" s="230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</row>
    <row r="585" spans="1:30">
      <c r="A585" s="189"/>
      <c r="B585" s="189"/>
      <c r="C585" s="189"/>
      <c r="D585" s="189"/>
      <c r="E585" s="189"/>
      <c r="F585" s="189"/>
      <c r="G585" s="189"/>
      <c r="H585" s="189"/>
      <c r="I585" s="338"/>
      <c r="J585" s="338"/>
      <c r="K585" s="338"/>
      <c r="L585" s="338"/>
      <c r="M585" s="338"/>
      <c r="N585" s="338"/>
      <c r="O585" s="338"/>
      <c r="P585" s="338"/>
      <c r="Q585" s="338"/>
      <c r="R585" s="338"/>
      <c r="S585" s="338"/>
      <c r="T585" s="230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</row>
    <row r="586" spans="1:30">
      <c r="A586" s="189"/>
      <c r="B586" s="189"/>
      <c r="C586" s="189"/>
      <c r="D586" s="189"/>
      <c r="E586" s="189"/>
      <c r="F586" s="189"/>
      <c r="G586" s="189"/>
      <c r="H586" s="189"/>
      <c r="I586" s="338"/>
      <c r="J586" s="338"/>
      <c r="K586" s="338"/>
      <c r="L586" s="338"/>
      <c r="M586" s="338"/>
      <c r="N586" s="338"/>
      <c r="O586" s="338"/>
      <c r="P586" s="338"/>
      <c r="Q586" s="338"/>
      <c r="R586" s="338"/>
      <c r="S586" s="338"/>
      <c r="T586" s="230"/>
      <c r="U586" s="189"/>
      <c r="V586" s="189"/>
      <c r="W586" s="189"/>
      <c r="X586" s="189"/>
      <c r="Y586" s="189"/>
      <c r="Z586" s="189"/>
      <c r="AA586" s="189"/>
      <c r="AB586" s="189"/>
      <c r="AC586" s="189"/>
      <c r="AD586" s="189"/>
    </row>
    <row r="587" spans="1:30">
      <c r="A587" s="189"/>
      <c r="B587" s="189"/>
      <c r="C587" s="189"/>
      <c r="D587" s="189"/>
      <c r="E587" s="189"/>
      <c r="F587" s="189"/>
      <c r="G587" s="189"/>
      <c r="H587" s="189"/>
      <c r="I587" s="338"/>
      <c r="J587" s="338"/>
      <c r="K587" s="338"/>
      <c r="L587" s="338"/>
      <c r="M587" s="338"/>
      <c r="N587" s="338"/>
      <c r="O587" s="338"/>
      <c r="P587" s="338"/>
      <c r="Q587" s="338"/>
      <c r="R587" s="338"/>
      <c r="S587" s="338"/>
      <c r="T587" s="230"/>
      <c r="U587" s="189"/>
      <c r="V587" s="189"/>
      <c r="W587" s="189"/>
      <c r="X587" s="189"/>
      <c r="Y587" s="189"/>
      <c r="Z587" s="189"/>
      <c r="AA587" s="189"/>
      <c r="AB587" s="189"/>
      <c r="AC587" s="189"/>
      <c r="AD587" s="189"/>
    </row>
    <row r="588" spans="1:30">
      <c r="A588" s="189"/>
      <c r="B588" s="189"/>
      <c r="C588" s="189"/>
      <c r="D588" s="189"/>
      <c r="E588" s="189"/>
      <c r="F588" s="189"/>
      <c r="G588" s="189"/>
      <c r="H588" s="189"/>
      <c r="I588" s="338"/>
      <c r="J588" s="338"/>
      <c r="K588" s="338"/>
      <c r="L588" s="338"/>
      <c r="M588" s="338"/>
      <c r="N588" s="338"/>
      <c r="O588" s="338"/>
      <c r="P588" s="338"/>
      <c r="Q588" s="338"/>
      <c r="R588" s="338"/>
      <c r="S588" s="338"/>
      <c r="T588" s="230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</row>
    <row r="589" spans="1:30">
      <c r="A589" s="189"/>
      <c r="B589" s="189"/>
      <c r="C589" s="189"/>
      <c r="D589" s="189"/>
      <c r="E589" s="189"/>
      <c r="F589" s="189"/>
      <c r="G589" s="189"/>
      <c r="H589" s="189"/>
      <c r="I589" s="338"/>
      <c r="J589" s="338"/>
      <c r="K589" s="338"/>
      <c r="L589" s="338"/>
      <c r="M589" s="338"/>
      <c r="N589" s="338"/>
      <c r="O589" s="338"/>
      <c r="P589" s="338"/>
      <c r="Q589" s="338"/>
      <c r="R589" s="338"/>
      <c r="S589" s="338"/>
      <c r="T589" s="230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</row>
    <row r="590" spans="1:30">
      <c r="A590" s="189"/>
      <c r="B590" s="189"/>
      <c r="C590" s="189"/>
      <c r="D590" s="189"/>
      <c r="E590" s="189"/>
      <c r="F590" s="189"/>
      <c r="G590" s="189"/>
      <c r="H590" s="189"/>
      <c r="I590" s="338"/>
      <c r="J590" s="338"/>
      <c r="K590" s="338"/>
      <c r="L590" s="338"/>
      <c r="M590" s="338"/>
      <c r="N590" s="338"/>
      <c r="O590" s="338"/>
      <c r="P590" s="338"/>
      <c r="Q590" s="338"/>
      <c r="R590" s="338"/>
      <c r="S590" s="338"/>
      <c r="T590" s="230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</row>
    <row r="591" spans="1:30">
      <c r="A591" s="189"/>
      <c r="B591" s="189"/>
      <c r="C591" s="189"/>
      <c r="D591" s="189"/>
      <c r="E591" s="189"/>
      <c r="F591" s="189"/>
      <c r="G591" s="189"/>
      <c r="H591" s="189"/>
      <c r="I591" s="338"/>
      <c r="J591" s="338"/>
      <c r="K591" s="338"/>
      <c r="L591" s="338"/>
      <c r="M591" s="338"/>
      <c r="N591" s="338"/>
      <c r="O591" s="338"/>
      <c r="P591" s="338"/>
      <c r="Q591" s="338"/>
      <c r="R591" s="338"/>
      <c r="S591" s="338"/>
      <c r="T591" s="230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</row>
    <row r="592" spans="1:30">
      <c r="A592" s="189"/>
      <c r="B592" s="189"/>
      <c r="C592" s="189"/>
      <c r="D592" s="189"/>
      <c r="E592" s="189"/>
      <c r="F592" s="189"/>
      <c r="G592" s="189"/>
      <c r="H592" s="189"/>
      <c r="I592" s="338"/>
      <c r="J592" s="338"/>
      <c r="K592" s="338"/>
      <c r="L592" s="338"/>
      <c r="M592" s="338"/>
      <c r="N592" s="338"/>
      <c r="O592" s="338"/>
      <c r="P592" s="338"/>
      <c r="Q592" s="338"/>
      <c r="R592" s="338"/>
      <c r="S592" s="338"/>
      <c r="T592" s="230"/>
      <c r="U592" s="189"/>
      <c r="V592" s="189"/>
      <c r="W592" s="189"/>
      <c r="X592" s="189"/>
      <c r="Y592" s="189"/>
      <c r="Z592" s="189"/>
      <c r="AA592" s="189"/>
      <c r="AB592" s="189"/>
      <c r="AC592" s="189"/>
      <c r="AD592" s="189"/>
    </row>
    <row r="593" spans="1:30">
      <c r="A593" s="189"/>
      <c r="B593" s="189"/>
      <c r="C593" s="189"/>
      <c r="D593" s="189"/>
      <c r="E593" s="189"/>
      <c r="F593" s="189"/>
      <c r="G593" s="189"/>
      <c r="H593" s="189"/>
      <c r="I593" s="338"/>
      <c r="J593" s="338"/>
      <c r="K593" s="338"/>
      <c r="L593" s="338"/>
      <c r="M593" s="338"/>
      <c r="N593" s="338"/>
      <c r="O593" s="338"/>
      <c r="P593" s="338"/>
      <c r="Q593" s="338"/>
      <c r="R593" s="338"/>
      <c r="S593" s="338"/>
      <c r="T593" s="230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</row>
    <row r="594" spans="1:30">
      <c r="A594" s="189"/>
      <c r="B594" s="189"/>
      <c r="C594" s="189"/>
      <c r="D594" s="189"/>
      <c r="E594" s="189"/>
      <c r="F594" s="189"/>
      <c r="G594" s="189"/>
      <c r="H594" s="189"/>
      <c r="I594" s="338"/>
      <c r="J594" s="338"/>
      <c r="K594" s="338"/>
      <c r="L594" s="338"/>
      <c r="M594" s="338"/>
      <c r="N594" s="338"/>
      <c r="O594" s="338"/>
      <c r="P594" s="338"/>
      <c r="Q594" s="338"/>
      <c r="R594" s="338"/>
      <c r="S594" s="338"/>
      <c r="T594" s="230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</row>
    <row r="595" spans="1:30">
      <c r="A595" s="189"/>
      <c r="B595" s="189"/>
      <c r="C595" s="189"/>
      <c r="D595" s="189"/>
      <c r="E595" s="189"/>
      <c r="F595" s="189"/>
      <c r="G595" s="189"/>
      <c r="H595" s="189"/>
      <c r="I595" s="338"/>
      <c r="J595" s="338"/>
      <c r="K595" s="338"/>
      <c r="L595" s="338"/>
      <c r="M595" s="338"/>
      <c r="N595" s="338"/>
      <c r="O595" s="338"/>
      <c r="P595" s="338"/>
      <c r="Q595" s="338"/>
      <c r="R595" s="338"/>
      <c r="S595" s="338"/>
      <c r="T595" s="230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</row>
    <row r="596" spans="1:30">
      <c r="A596" s="189"/>
      <c r="B596" s="189"/>
      <c r="C596" s="189"/>
      <c r="D596" s="189"/>
      <c r="E596" s="189"/>
      <c r="F596" s="189"/>
      <c r="G596" s="189"/>
      <c r="H596" s="189"/>
      <c r="I596" s="338"/>
      <c r="J596" s="338"/>
      <c r="K596" s="338"/>
      <c r="L596" s="338"/>
      <c r="M596" s="338"/>
      <c r="N596" s="338"/>
      <c r="O596" s="338"/>
      <c r="P596" s="338"/>
      <c r="Q596" s="338"/>
      <c r="R596" s="338"/>
      <c r="S596" s="338"/>
      <c r="T596" s="230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</row>
    <row r="597" spans="1:30">
      <c r="A597" s="189"/>
      <c r="B597" s="189"/>
      <c r="C597" s="189"/>
      <c r="D597" s="189"/>
      <c r="E597" s="189"/>
      <c r="F597" s="189"/>
      <c r="G597" s="189"/>
      <c r="H597" s="189"/>
      <c r="I597" s="338"/>
      <c r="J597" s="338"/>
      <c r="K597" s="338"/>
      <c r="L597" s="338"/>
      <c r="M597" s="338"/>
      <c r="N597" s="338"/>
      <c r="O597" s="338"/>
      <c r="P597" s="338"/>
      <c r="Q597" s="338"/>
      <c r="R597" s="338"/>
      <c r="S597" s="338"/>
      <c r="T597" s="230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</row>
    <row r="598" spans="1:30">
      <c r="A598" s="189"/>
      <c r="B598" s="189"/>
      <c r="C598" s="189"/>
      <c r="D598" s="189"/>
      <c r="E598" s="189"/>
      <c r="F598" s="189"/>
      <c r="G598" s="189"/>
      <c r="H598" s="189"/>
      <c r="I598" s="338"/>
      <c r="J598" s="338"/>
      <c r="K598" s="338"/>
      <c r="L598" s="338"/>
      <c r="M598" s="338"/>
      <c r="N598" s="338"/>
      <c r="O598" s="338"/>
      <c r="P598" s="338"/>
      <c r="Q598" s="338"/>
      <c r="R598" s="338"/>
      <c r="S598" s="338"/>
      <c r="T598" s="230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</row>
    <row r="599" spans="1:30">
      <c r="A599" s="189"/>
      <c r="B599" s="189"/>
      <c r="C599" s="189"/>
      <c r="D599" s="189"/>
      <c r="E599" s="189"/>
      <c r="F599" s="189"/>
      <c r="G599" s="189"/>
      <c r="H599" s="189"/>
      <c r="I599" s="338"/>
      <c r="J599" s="338"/>
      <c r="K599" s="338"/>
      <c r="L599" s="338"/>
      <c r="M599" s="338"/>
      <c r="N599" s="338"/>
      <c r="O599" s="338"/>
      <c r="P599" s="338"/>
      <c r="Q599" s="338"/>
      <c r="R599" s="338"/>
      <c r="S599" s="338"/>
      <c r="T599" s="230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</row>
    <row r="600" spans="1:30">
      <c r="A600" s="189"/>
      <c r="B600" s="189"/>
      <c r="C600" s="189"/>
      <c r="D600" s="189"/>
      <c r="E600" s="189"/>
      <c r="F600" s="189"/>
      <c r="G600" s="189"/>
      <c r="H600" s="189"/>
      <c r="I600" s="338"/>
      <c r="J600" s="338"/>
      <c r="K600" s="338"/>
      <c r="L600" s="338"/>
      <c r="M600" s="338"/>
      <c r="N600" s="338"/>
      <c r="O600" s="338"/>
      <c r="P600" s="338"/>
      <c r="Q600" s="338"/>
      <c r="R600" s="338"/>
      <c r="S600" s="338"/>
      <c r="T600" s="230"/>
      <c r="U600" s="189"/>
      <c r="V600" s="189"/>
      <c r="W600" s="189"/>
      <c r="X600" s="189"/>
      <c r="Y600" s="189"/>
      <c r="Z600" s="189"/>
      <c r="AA600" s="189"/>
      <c r="AB600" s="189"/>
      <c r="AC600" s="189"/>
      <c r="AD600" s="189"/>
    </row>
    <row r="601" spans="1:30">
      <c r="A601" s="189"/>
      <c r="B601" s="189"/>
      <c r="C601" s="189"/>
      <c r="D601" s="189"/>
      <c r="E601" s="189"/>
      <c r="F601" s="189"/>
      <c r="G601" s="189"/>
      <c r="H601" s="189"/>
      <c r="I601" s="338"/>
      <c r="J601" s="338"/>
      <c r="K601" s="338"/>
      <c r="L601" s="338"/>
      <c r="M601" s="338"/>
      <c r="N601" s="338"/>
      <c r="O601" s="338"/>
      <c r="P601" s="338"/>
      <c r="Q601" s="338"/>
      <c r="R601" s="338"/>
      <c r="S601" s="338"/>
      <c r="T601" s="230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</row>
    <row r="602" spans="1:30">
      <c r="A602" s="189"/>
      <c r="B602" s="189"/>
      <c r="C602" s="189"/>
      <c r="D602" s="189"/>
      <c r="E602" s="189"/>
      <c r="F602" s="189"/>
      <c r="G602" s="189"/>
      <c r="H602" s="189"/>
      <c r="I602" s="338"/>
      <c r="J602" s="338"/>
      <c r="K602" s="338"/>
      <c r="L602" s="338"/>
      <c r="M602" s="338"/>
      <c r="N602" s="338"/>
      <c r="O602" s="338"/>
      <c r="P602" s="338"/>
      <c r="Q602" s="338"/>
      <c r="R602" s="338"/>
      <c r="S602" s="338"/>
      <c r="T602" s="230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</row>
    <row r="603" spans="1:30">
      <c r="A603" s="189"/>
      <c r="B603" s="189"/>
      <c r="C603" s="189"/>
      <c r="D603" s="189"/>
      <c r="E603" s="189"/>
      <c r="F603" s="189"/>
      <c r="G603" s="189"/>
      <c r="H603" s="189"/>
      <c r="I603" s="338"/>
      <c r="J603" s="338"/>
      <c r="K603" s="338"/>
      <c r="L603" s="338"/>
      <c r="M603" s="338"/>
      <c r="N603" s="338"/>
      <c r="O603" s="338"/>
      <c r="P603" s="338"/>
      <c r="Q603" s="338"/>
      <c r="R603" s="338"/>
      <c r="S603" s="338"/>
      <c r="T603" s="230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</row>
    <row r="604" spans="1:30">
      <c r="A604" s="189"/>
      <c r="B604" s="189"/>
      <c r="C604" s="189"/>
      <c r="D604" s="189"/>
      <c r="E604" s="189"/>
      <c r="F604" s="189"/>
      <c r="G604" s="189"/>
      <c r="H604" s="189"/>
      <c r="I604" s="338"/>
      <c r="J604" s="338"/>
      <c r="K604" s="338"/>
      <c r="L604" s="338"/>
      <c r="M604" s="338"/>
      <c r="N604" s="338"/>
      <c r="O604" s="338"/>
      <c r="P604" s="338"/>
      <c r="Q604" s="338"/>
      <c r="R604" s="338"/>
      <c r="S604" s="338"/>
      <c r="T604" s="230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</row>
    <row r="605" spans="1:30">
      <c r="A605" s="189"/>
      <c r="B605" s="189"/>
      <c r="C605" s="189"/>
      <c r="D605" s="189"/>
      <c r="E605" s="189"/>
      <c r="F605" s="189"/>
      <c r="G605" s="189"/>
      <c r="H605" s="189"/>
      <c r="I605" s="338"/>
      <c r="J605" s="338"/>
      <c r="K605" s="338"/>
      <c r="L605" s="338"/>
      <c r="M605" s="338"/>
      <c r="N605" s="338"/>
      <c r="O605" s="338"/>
      <c r="P605" s="338"/>
      <c r="Q605" s="338"/>
      <c r="R605" s="338"/>
      <c r="S605" s="338"/>
      <c r="T605" s="230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</row>
    <row r="606" spans="1:30">
      <c r="A606" s="189"/>
      <c r="B606" s="189"/>
      <c r="C606" s="189"/>
      <c r="D606" s="189"/>
      <c r="E606" s="189"/>
      <c r="F606" s="189"/>
      <c r="G606" s="189"/>
      <c r="H606" s="189"/>
      <c r="I606" s="338"/>
      <c r="J606" s="338"/>
      <c r="K606" s="338"/>
      <c r="L606" s="338"/>
      <c r="M606" s="338"/>
      <c r="N606" s="338"/>
      <c r="O606" s="338"/>
      <c r="P606" s="338"/>
      <c r="Q606" s="338"/>
      <c r="R606" s="338"/>
      <c r="S606" s="338"/>
      <c r="T606" s="230"/>
      <c r="U606" s="189"/>
      <c r="V606" s="189"/>
      <c r="W606" s="189"/>
      <c r="X606" s="189"/>
      <c r="Y606" s="189"/>
      <c r="Z606" s="189"/>
      <c r="AA606" s="189"/>
      <c r="AB606" s="189"/>
      <c r="AC606" s="189"/>
      <c r="AD606" s="189"/>
    </row>
    <row r="607" spans="1:30">
      <c r="A607" s="189"/>
      <c r="B607" s="189"/>
      <c r="C607" s="189"/>
      <c r="D607" s="189"/>
      <c r="E607" s="189"/>
      <c r="F607" s="189"/>
      <c r="G607" s="189"/>
      <c r="H607" s="189"/>
      <c r="I607" s="338"/>
      <c r="J607" s="338"/>
      <c r="K607" s="338"/>
      <c r="L607" s="338"/>
      <c r="M607" s="338"/>
      <c r="N607" s="338"/>
      <c r="O607" s="338"/>
      <c r="P607" s="338"/>
      <c r="Q607" s="338"/>
      <c r="R607" s="338"/>
      <c r="S607" s="338"/>
      <c r="T607" s="230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</row>
    <row r="608" spans="1:30">
      <c r="A608" s="189"/>
      <c r="B608" s="189"/>
      <c r="C608" s="189"/>
      <c r="D608" s="189"/>
      <c r="E608" s="189"/>
      <c r="F608" s="189"/>
      <c r="G608" s="189"/>
      <c r="H608" s="189"/>
      <c r="I608" s="338"/>
      <c r="J608" s="338"/>
      <c r="K608" s="338"/>
      <c r="L608" s="338"/>
      <c r="M608" s="338"/>
      <c r="N608" s="338"/>
      <c r="O608" s="338"/>
      <c r="P608" s="338"/>
      <c r="Q608" s="338"/>
      <c r="R608" s="338"/>
      <c r="S608" s="338"/>
      <c r="T608" s="230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</row>
    <row r="609" spans="1:30">
      <c r="A609" s="189"/>
      <c r="B609" s="189"/>
      <c r="C609" s="189"/>
      <c r="D609" s="189"/>
      <c r="E609" s="189"/>
      <c r="F609" s="189"/>
      <c r="G609" s="189"/>
      <c r="H609" s="189"/>
      <c r="I609" s="338"/>
      <c r="J609" s="338"/>
      <c r="K609" s="338"/>
      <c r="L609" s="338"/>
      <c r="M609" s="338"/>
      <c r="N609" s="338"/>
      <c r="O609" s="338"/>
      <c r="P609" s="338"/>
      <c r="Q609" s="338"/>
      <c r="R609" s="338"/>
      <c r="S609" s="338"/>
      <c r="T609" s="230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</row>
    <row r="610" spans="1:30">
      <c r="A610" s="189"/>
      <c r="B610" s="189"/>
      <c r="C610" s="189"/>
      <c r="D610" s="189"/>
      <c r="E610" s="189"/>
      <c r="F610" s="189"/>
      <c r="G610" s="189"/>
      <c r="H610" s="189"/>
      <c r="I610" s="338"/>
      <c r="J610" s="338"/>
      <c r="K610" s="338"/>
      <c r="L610" s="338"/>
      <c r="M610" s="338"/>
      <c r="N610" s="338"/>
      <c r="O610" s="338"/>
      <c r="P610" s="338"/>
      <c r="Q610" s="338"/>
      <c r="R610" s="338"/>
      <c r="S610" s="338"/>
      <c r="T610" s="230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</row>
    <row r="611" spans="1:30">
      <c r="A611" s="189"/>
      <c r="B611" s="189"/>
      <c r="C611" s="189"/>
      <c r="D611" s="189"/>
      <c r="E611" s="189"/>
      <c r="F611" s="189"/>
      <c r="G611" s="189"/>
      <c r="H611" s="189"/>
      <c r="I611" s="338"/>
      <c r="J611" s="338"/>
      <c r="K611" s="338"/>
      <c r="L611" s="338"/>
      <c r="M611" s="338"/>
      <c r="N611" s="338"/>
      <c r="O611" s="338"/>
      <c r="P611" s="338"/>
      <c r="Q611" s="338"/>
      <c r="R611" s="338"/>
      <c r="S611" s="338"/>
      <c r="T611" s="230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</row>
    <row r="612" spans="1:30">
      <c r="A612" s="189"/>
      <c r="B612" s="189"/>
      <c r="C612" s="189"/>
      <c r="D612" s="189"/>
      <c r="E612" s="189"/>
      <c r="F612" s="189"/>
      <c r="G612" s="189"/>
      <c r="H612" s="189"/>
      <c r="I612" s="338"/>
      <c r="J612" s="338"/>
      <c r="K612" s="338"/>
      <c r="L612" s="338"/>
      <c r="M612" s="338"/>
      <c r="N612" s="338"/>
      <c r="O612" s="338"/>
      <c r="P612" s="338"/>
      <c r="Q612" s="338"/>
      <c r="R612" s="338"/>
      <c r="S612" s="338"/>
      <c r="T612" s="230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</row>
    <row r="613" spans="1:30">
      <c r="A613" s="189"/>
      <c r="B613" s="189"/>
      <c r="C613" s="189"/>
      <c r="D613" s="189"/>
      <c r="E613" s="189"/>
      <c r="F613" s="189"/>
      <c r="G613" s="189"/>
      <c r="H613" s="189"/>
      <c r="I613" s="338"/>
      <c r="J613" s="338"/>
      <c r="K613" s="338"/>
      <c r="L613" s="338"/>
      <c r="M613" s="338"/>
      <c r="N613" s="338"/>
      <c r="O613" s="338"/>
      <c r="P613" s="338"/>
      <c r="Q613" s="338"/>
      <c r="R613" s="338"/>
      <c r="S613" s="338"/>
      <c r="T613" s="230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</row>
    <row r="614" spans="1:30">
      <c r="A614" s="189"/>
      <c r="B614" s="189"/>
      <c r="C614" s="189"/>
      <c r="D614" s="189"/>
      <c r="E614" s="189"/>
      <c r="F614" s="189"/>
      <c r="G614" s="189"/>
      <c r="H614" s="189"/>
      <c r="I614" s="338"/>
      <c r="J614" s="338"/>
      <c r="K614" s="338"/>
      <c r="L614" s="338"/>
      <c r="M614" s="338"/>
      <c r="N614" s="338"/>
      <c r="O614" s="338"/>
      <c r="P614" s="338"/>
      <c r="Q614" s="338"/>
      <c r="R614" s="338"/>
      <c r="S614" s="338"/>
      <c r="T614" s="230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</row>
    <row r="615" spans="1:30">
      <c r="A615" s="189"/>
      <c r="B615" s="189"/>
      <c r="C615" s="189"/>
      <c r="D615" s="189"/>
      <c r="E615" s="189"/>
      <c r="F615" s="189"/>
      <c r="G615" s="189"/>
      <c r="H615" s="189"/>
      <c r="I615" s="338"/>
      <c r="J615" s="338"/>
      <c r="K615" s="338"/>
      <c r="L615" s="338"/>
      <c r="M615" s="338"/>
      <c r="N615" s="338"/>
      <c r="O615" s="338"/>
      <c r="P615" s="338"/>
      <c r="Q615" s="338"/>
      <c r="R615" s="338"/>
      <c r="S615" s="338"/>
      <c r="T615" s="230"/>
      <c r="U615" s="189"/>
      <c r="V615" s="189"/>
      <c r="W615" s="189"/>
      <c r="X615" s="189"/>
      <c r="Y615" s="189"/>
      <c r="Z615" s="189"/>
      <c r="AA615" s="189"/>
      <c r="AB615" s="189"/>
      <c r="AC615" s="189"/>
      <c r="AD615" s="189"/>
    </row>
    <row r="616" spans="1:30">
      <c r="A616" s="189"/>
      <c r="B616" s="189"/>
      <c r="C616" s="189"/>
      <c r="D616" s="189"/>
      <c r="E616" s="189"/>
      <c r="F616" s="189"/>
      <c r="G616" s="189"/>
      <c r="H616" s="189"/>
      <c r="I616" s="338"/>
      <c r="J616" s="338"/>
      <c r="K616" s="338"/>
      <c r="L616" s="338"/>
      <c r="M616" s="338"/>
      <c r="N616" s="338"/>
      <c r="O616" s="338"/>
      <c r="P616" s="338"/>
      <c r="Q616" s="338"/>
      <c r="R616" s="338"/>
      <c r="S616" s="338"/>
      <c r="T616" s="230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</row>
    <row r="617" spans="1:30">
      <c r="A617" s="189"/>
      <c r="B617" s="189"/>
      <c r="C617" s="189"/>
      <c r="D617" s="189"/>
      <c r="E617" s="189"/>
      <c r="F617" s="189"/>
      <c r="G617" s="189"/>
      <c r="H617" s="189"/>
      <c r="I617" s="338"/>
      <c r="J617" s="338"/>
      <c r="K617" s="338"/>
      <c r="L617" s="338"/>
      <c r="M617" s="338"/>
      <c r="N617" s="338"/>
      <c r="O617" s="338"/>
      <c r="P617" s="338"/>
      <c r="Q617" s="338"/>
      <c r="R617" s="338"/>
      <c r="S617" s="338"/>
      <c r="T617" s="230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</row>
    <row r="618" spans="1:30">
      <c r="A618" s="189"/>
      <c r="B618" s="189"/>
      <c r="C618" s="189"/>
      <c r="D618" s="189"/>
      <c r="E618" s="189"/>
      <c r="F618" s="189"/>
      <c r="G618" s="189"/>
      <c r="H618" s="189"/>
      <c r="I618" s="338"/>
      <c r="J618" s="338"/>
      <c r="K618" s="338"/>
      <c r="L618" s="338"/>
      <c r="M618" s="338"/>
      <c r="N618" s="338"/>
      <c r="O618" s="338"/>
      <c r="P618" s="338"/>
      <c r="Q618" s="338"/>
      <c r="R618" s="338"/>
      <c r="S618" s="338"/>
      <c r="T618" s="230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</row>
    <row r="619" spans="1:30">
      <c r="A619" s="189"/>
      <c r="B619" s="189"/>
      <c r="C619" s="189"/>
      <c r="D619" s="189"/>
      <c r="E619" s="189"/>
      <c r="F619" s="189"/>
      <c r="G619" s="189"/>
      <c r="H619" s="189"/>
      <c r="I619" s="338"/>
      <c r="J619" s="338"/>
      <c r="K619" s="338"/>
      <c r="L619" s="338"/>
      <c r="M619" s="338"/>
      <c r="N619" s="338"/>
      <c r="O619" s="338"/>
      <c r="P619" s="338"/>
      <c r="Q619" s="338"/>
      <c r="R619" s="338"/>
      <c r="S619" s="338"/>
      <c r="T619" s="230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</row>
    <row r="620" spans="1:30">
      <c r="A620" s="189"/>
      <c r="B620" s="189"/>
      <c r="C620" s="189"/>
      <c r="D620" s="189"/>
      <c r="E620" s="189"/>
      <c r="F620" s="189"/>
      <c r="G620" s="189"/>
      <c r="H620" s="189"/>
      <c r="I620" s="338"/>
      <c r="J620" s="338"/>
      <c r="K620" s="338"/>
      <c r="L620" s="338"/>
      <c r="M620" s="338"/>
      <c r="N620" s="338"/>
      <c r="O620" s="338"/>
      <c r="P620" s="338"/>
      <c r="Q620" s="338"/>
      <c r="R620" s="338"/>
      <c r="S620" s="338"/>
      <c r="T620" s="230"/>
      <c r="U620" s="189"/>
      <c r="V620" s="189"/>
      <c r="W620" s="189"/>
      <c r="X620" s="189"/>
      <c r="Y620" s="189"/>
      <c r="Z620" s="189"/>
      <c r="AA620" s="189"/>
      <c r="AB620" s="189"/>
      <c r="AC620" s="189"/>
      <c r="AD620" s="189"/>
    </row>
    <row r="621" spans="1:30">
      <c r="A621" s="189"/>
      <c r="B621" s="189"/>
      <c r="C621" s="189"/>
      <c r="D621" s="189"/>
      <c r="E621" s="189"/>
      <c r="F621" s="189"/>
      <c r="G621" s="189"/>
      <c r="H621" s="189"/>
      <c r="I621" s="338"/>
      <c r="J621" s="338"/>
      <c r="K621" s="338"/>
      <c r="L621" s="338"/>
      <c r="M621" s="338"/>
      <c r="N621" s="338"/>
      <c r="O621" s="338"/>
      <c r="P621" s="338"/>
      <c r="Q621" s="338"/>
      <c r="R621" s="338"/>
      <c r="S621" s="338"/>
      <c r="T621" s="230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</row>
    <row r="622" spans="1:30">
      <c r="A622" s="189"/>
      <c r="B622" s="189"/>
      <c r="C622" s="189"/>
      <c r="D622" s="189"/>
      <c r="E622" s="189"/>
      <c r="F622" s="189"/>
      <c r="G622" s="189"/>
      <c r="H622" s="189"/>
      <c r="I622" s="338"/>
      <c r="J622" s="338"/>
      <c r="K622" s="338"/>
      <c r="L622" s="338"/>
      <c r="M622" s="338"/>
      <c r="N622" s="338"/>
      <c r="O622" s="338"/>
      <c r="P622" s="338"/>
      <c r="Q622" s="338"/>
      <c r="R622" s="338"/>
      <c r="S622" s="338"/>
      <c r="T622" s="230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</row>
    <row r="623" spans="1:30">
      <c r="A623" s="189"/>
      <c r="B623" s="189"/>
      <c r="C623" s="189"/>
      <c r="D623" s="189"/>
      <c r="E623" s="189"/>
      <c r="F623" s="189"/>
      <c r="G623" s="189"/>
      <c r="H623" s="189"/>
      <c r="I623" s="338"/>
      <c r="J623" s="338"/>
      <c r="K623" s="338"/>
      <c r="L623" s="338"/>
      <c r="M623" s="338"/>
      <c r="N623" s="338"/>
      <c r="O623" s="338"/>
      <c r="P623" s="338"/>
      <c r="Q623" s="338"/>
      <c r="R623" s="338"/>
      <c r="S623" s="338"/>
      <c r="T623" s="230"/>
      <c r="U623" s="189"/>
      <c r="V623" s="189"/>
      <c r="W623" s="189"/>
      <c r="X623" s="189"/>
      <c r="Y623" s="189"/>
      <c r="Z623" s="189"/>
      <c r="AA623" s="189"/>
      <c r="AB623" s="189"/>
      <c r="AC623" s="189"/>
      <c r="AD623" s="189"/>
    </row>
    <row r="624" spans="1:30">
      <c r="A624" s="189"/>
      <c r="B624" s="189"/>
      <c r="C624" s="189"/>
      <c r="D624" s="189"/>
      <c r="E624" s="189"/>
      <c r="F624" s="189"/>
      <c r="G624" s="189"/>
      <c r="H624" s="189"/>
      <c r="I624" s="338"/>
      <c r="J624" s="338"/>
      <c r="K624" s="338"/>
      <c r="L624" s="338"/>
      <c r="M624" s="338"/>
      <c r="N624" s="338"/>
      <c r="O624" s="338"/>
      <c r="P624" s="338"/>
      <c r="Q624" s="338"/>
      <c r="R624" s="338"/>
      <c r="S624" s="338"/>
      <c r="T624" s="230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</row>
    <row r="625" spans="1:30">
      <c r="A625" s="189"/>
      <c r="B625" s="189"/>
      <c r="C625" s="189"/>
      <c r="D625" s="189"/>
      <c r="E625" s="189"/>
      <c r="F625" s="189"/>
      <c r="G625" s="189"/>
      <c r="H625" s="189"/>
      <c r="I625" s="338"/>
      <c r="J625" s="338"/>
      <c r="K625" s="338"/>
      <c r="L625" s="338"/>
      <c r="M625" s="338"/>
      <c r="N625" s="338"/>
      <c r="O625" s="338"/>
      <c r="P625" s="338"/>
      <c r="Q625" s="338"/>
      <c r="R625" s="338"/>
      <c r="S625" s="338"/>
      <c r="T625" s="230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</row>
    <row r="626" spans="1:30">
      <c r="A626" s="189"/>
      <c r="B626" s="189"/>
      <c r="C626" s="189"/>
      <c r="D626" s="189"/>
      <c r="E626" s="189"/>
      <c r="F626" s="189"/>
      <c r="G626" s="189"/>
      <c r="H626" s="189"/>
      <c r="I626" s="338"/>
      <c r="J626" s="338"/>
      <c r="K626" s="338"/>
      <c r="L626" s="338"/>
      <c r="M626" s="338"/>
      <c r="N626" s="338"/>
      <c r="O626" s="338"/>
      <c r="P626" s="338"/>
      <c r="Q626" s="338"/>
      <c r="R626" s="338"/>
      <c r="S626" s="338"/>
      <c r="T626" s="230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</row>
    <row r="627" spans="1:30">
      <c r="A627" s="189"/>
      <c r="B627" s="189"/>
      <c r="C627" s="189"/>
      <c r="D627" s="189"/>
      <c r="E627" s="189"/>
      <c r="F627" s="189"/>
      <c r="G627" s="189"/>
      <c r="H627" s="189"/>
      <c r="I627" s="338"/>
      <c r="J627" s="338"/>
      <c r="K627" s="338"/>
      <c r="L627" s="338"/>
      <c r="M627" s="338"/>
      <c r="N627" s="338"/>
      <c r="O627" s="338"/>
      <c r="P627" s="338"/>
      <c r="Q627" s="338"/>
      <c r="R627" s="338"/>
      <c r="S627" s="338"/>
      <c r="T627" s="230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</row>
    <row r="628" spans="1:30">
      <c r="A628" s="189"/>
      <c r="B628" s="189"/>
      <c r="C628" s="189"/>
      <c r="D628" s="189"/>
      <c r="E628" s="189"/>
      <c r="F628" s="189"/>
      <c r="G628" s="189"/>
      <c r="H628" s="189"/>
      <c r="I628" s="338"/>
      <c r="J628" s="338"/>
      <c r="K628" s="338"/>
      <c r="L628" s="338"/>
      <c r="M628" s="338"/>
      <c r="N628" s="338"/>
      <c r="O628" s="338"/>
      <c r="P628" s="338"/>
      <c r="Q628" s="338"/>
      <c r="R628" s="338"/>
      <c r="S628" s="338"/>
      <c r="T628" s="230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</row>
    <row r="629" spans="1:30">
      <c r="A629" s="189"/>
      <c r="B629" s="189"/>
      <c r="C629" s="189"/>
      <c r="D629" s="189"/>
      <c r="E629" s="189"/>
      <c r="F629" s="189"/>
      <c r="G629" s="189"/>
      <c r="H629" s="189"/>
      <c r="I629" s="338"/>
      <c r="J629" s="338"/>
      <c r="K629" s="338"/>
      <c r="L629" s="338"/>
      <c r="M629" s="338"/>
      <c r="N629" s="338"/>
      <c r="O629" s="338"/>
      <c r="P629" s="338"/>
      <c r="Q629" s="338"/>
      <c r="R629" s="338"/>
      <c r="S629" s="338"/>
      <c r="T629" s="230"/>
      <c r="U629" s="189"/>
      <c r="V629" s="189"/>
      <c r="W629" s="189"/>
      <c r="X629" s="189"/>
      <c r="Y629" s="189"/>
      <c r="Z629" s="189"/>
      <c r="AA629" s="189"/>
      <c r="AB629" s="189"/>
      <c r="AC629" s="189"/>
      <c r="AD629" s="189"/>
    </row>
    <row r="630" spans="1:30">
      <c r="A630" s="189"/>
      <c r="B630" s="189"/>
      <c r="C630" s="189"/>
      <c r="D630" s="189"/>
      <c r="E630" s="189"/>
      <c r="F630" s="189"/>
      <c r="G630" s="189"/>
      <c r="H630" s="189"/>
      <c r="I630" s="338"/>
      <c r="J630" s="338"/>
      <c r="K630" s="338"/>
      <c r="L630" s="338"/>
      <c r="M630" s="338"/>
      <c r="N630" s="338"/>
      <c r="O630" s="338"/>
      <c r="P630" s="338"/>
      <c r="Q630" s="338"/>
      <c r="R630" s="338"/>
      <c r="S630" s="338"/>
      <c r="T630" s="230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</row>
    <row r="631" spans="1:30">
      <c r="A631" s="189"/>
      <c r="B631" s="189"/>
      <c r="C631" s="189"/>
      <c r="D631" s="189"/>
      <c r="E631" s="189"/>
      <c r="F631" s="189"/>
      <c r="G631" s="189"/>
      <c r="H631" s="189"/>
      <c r="I631" s="338"/>
      <c r="J631" s="338"/>
      <c r="K631" s="338"/>
      <c r="L631" s="338"/>
      <c r="M631" s="338"/>
      <c r="N631" s="338"/>
      <c r="O631" s="338"/>
      <c r="P631" s="338"/>
      <c r="Q631" s="338"/>
      <c r="R631" s="338"/>
      <c r="S631" s="338"/>
      <c r="T631" s="230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</row>
    <row r="632" spans="1:30">
      <c r="A632" s="189"/>
      <c r="B632" s="189"/>
      <c r="C632" s="189"/>
      <c r="D632" s="189"/>
      <c r="E632" s="189"/>
      <c r="F632" s="189"/>
      <c r="G632" s="189"/>
      <c r="H632" s="189"/>
      <c r="I632" s="338"/>
      <c r="J632" s="338"/>
      <c r="K632" s="338"/>
      <c r="L632" s="338"/>
      <c r="M632" s="338"/>
      <c r="N632" s="338"/>
      <c r="O632" s="338"/>
      <c r="P632" s="338"/>
      <c r="Q632" s="338"/>
      <c r="R632" s="338"/>
      <c r="S632" s="338"/>
      <c r="T632" s="230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</row>
    <row r="633" spans="1:30">
      <c r="A633" s="189"/>
      <c r="B633" s="189"/>
      <c r="C633" s="189"/>
      <c r="D633" s="189"/>
      <c r="E633" s="189"/>
      <c r="F633" s="189"/>
      <c r="G633" s="189"/>
      <c r="H633" s="189"/>
      <c r="I633" s="338"/>
      <c r="J633" s="338"/>
      <c r="K633" s="338"/>
      <c r="L633" s="338"/>
      <c r="M633" s="338"/>
      <c r="N633" s="338"/>
      <c r="O633" s="338"/>
      <c r="P633" s="338"/>
      <c r="Q633" s="338"/>
      <c r="R633" s="338"/>
      <c r="S633" s="338"/>
      <c r="T633" s="230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</row>
    <row r="634" spans="1:30">
      <c r="A634" s="189"/>
      <c r="B634" s="189"/>
      <c r="C634" s="189"/>
      <c r="D634" s="189"/>
      <c r="E634" s="189"/>
      <c r="F634" s="189"/>
      <c r="G634" s="189"/>
      <c r="H634" s="189"/>
      <c r="I634" s="338"/>
      <c r="J634" s="338"/>
      <c r="K634" s="338"/>
      <c r="L634" s="338"/>
      <c r="M634" s="338"/>
      <c r="N634" s="338"/>
      <c r="O634" s="338"/>
      <c r="P634" s="338"/>
      <c r="Q634" s="338"/>
      <c r="R634" s="338"/>
      <c r="S634" s="338"/>
      <c r="T634" s="230"/>
      <c r="U634" s="189"/>
      <c r="V634" s="189"/>
      <c r="W634" s="189"/>
      <c r="X634" s="189"/>
      <c r="Y634" s="189"/>
      <c r="Z634" s="189"/>
      <c r="AA634" s="189"/>
      <c r="AB634" s="189"/>
      <c r="AC634" s="189"/>
      <c r="AD634" s="189"/>
    </row>
    <row r="635" spans="1:30">
      <c r="A635" s="189"/>
      <c r="B635" s="189"/>
      <c r="C635" s="189"/>
      <c r="D635" s="189"/>
      <c r="E635" s="189"/>
      <c r="F635" s="189"/>
      <c r="G635" s="189"/>
      <c r="H635" s="189"/>
      <c r="I635" s="338"/>
      <c r="J635" s="338"/>
      <c r="K635" s="338"/>
      <c r="L635" s="338"/>
      <c r="M635" s="338"/>
      <c r="N635" s="338"/>
      <c r="O635" s="338"/>
      <c r="P635" s="338"/>
      <c r="Q635" s="338"/>
      <c r="R635" s="338"/>
      <c r="S635" s="338"/>
      <c r="T635" s="230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</row>
    <row r="636" spans="1:30">
      <c r="A636" s="189"/>
      <c r="B636" s="189"/>
      <c r="C636" s="189"/>
      <c r="D636" s="189"/>
      <c r="E636" s="189"/>
      <c r="F636" s="189"/>
      <c r="G636" s="189"/>
      <c r="H636" s="189"/>
      <c r="I636" s="338"/>
      <c r="J636" s="338"/>
      <c r="K636" s="338"/>
      <c r="L636" s="338"/>
      <c r="M636" s="338"/>
      <c r="N636" s="338"/>
      <c r="O636" s="338"/>
      <c r="P636" s="338"/>
      <c r="Q636" s="338"/>
      <c r="R636" s="338"/>
      <c r="S636" s="338"/>
      <c r="T636" s="230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</row>
    <row r="637" spans="1:30">
      <c r="A637" s="189"/>
      <c r="B637" s="189"/>
      <c r="C637" s="189"/>
      <c r="D637" s="189"/>
      <c r="E637" s="189"/>
      <c r="F637" s="189"/>
      <c r="G637" s="189"/>
      <c r="H637" s="189"/>
      <c r="I637" s="338"/>
      <c r="J637" s="338"/>
      <c r="K637" s="338"/>
      <c r="L637" s="338"/>
      <c r="M637" s="338"/>
      <c r="N637" s="338"/>
      <c r="O637" s="338"/>
      <c r="P637" s="338"/>
      <c r="Q637" s="338"/>
      <c r="R637" s="338"/>
      <c r="S637" s="338"/>
      <c r="T637" s="230"/>
      <c r="U637" s="189"/>
      <c r="V637" s="189"/>
      <c r="W637" s="189"/>
      <c r="X637" s="189"/>
      <c r="Y637" s="189"/>
      <c r="Z637" s="189"/>
      <c r="AA637" s="189"/>
      <c r="AB637" s="189"/>
      <c r="AC637" s="189"/>
      <c r="AD637" s="189"/>
    </row>
    <row r="638" spans="1:30">
      <c r="A638" s="189"/>
      <c r="B638" s="189"/>
      <c r="C638" s="189"/>
      <c r="D638" s="189"/>
      <c r="E638" s="189"/>
      <c r="F638" s="189"/>
      <c r="G638" s="189"/>
      <c r="H638" s="189"/>
      <c r="I638" s="338"/>
      <c r="J638" s="338"/>
      <c r="K638" s="338"/>
      <c r="L638" s="338"/>
      <c r="M638" s="338"/>
      <c r="N638" s="338"/>
      <c r="O638" s="338"/>
      <c r="P638" s="338"/>
      <c r="Q638" s="338"/>
      <c r="R638" s="338"/>
      <c r="S638" s="338"/>
      <c r="T638" s="230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</row>
    <row r="639" spans="1:30">
      <c r="A639" s="189"/>
      <c r="B639" s="189"/>
      <c r="C639" s="189"/>
      <c r="D639" s="189"/>
      <c r="E639" s="189"/>
      <c r="F639" s="189"/>
      <c r="G639" s="189"/>
      <c r="H639" s="189"/>
      <c r="I639" s="338"/>
      <c r="J639" s="338"/>
      <c r="K639" s="338"/>
      <c r="L639" s="338"/>
      <c r="M639" s="338"/>
      <c r="N639" s="338"/>
      <c r="O639" s="338"/>
      <c r="P639" s="338"/>
      <c r="Q639" s="338"/>
      <c r="R639" s="338"/>
      <c r="S639" s="338"/>
      <c r="T639" s="230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</row>
    <row r="640" spans="1:30">
      <c r="A640" s="189"/>
      <c r="B640" s="189"/>
      <c r="C640" s="189"/>
      <c r="D640" s="189"/>
      <c r="E640" s="189"/>
      <c r="F640" s="189"/>
      <c r="G640" s="189"/>
      <c r="H640" s="189"/>
      <c r="I640" s="338"/>
      <c r="J640" s="338"/>
      <c r="K640" s="338"/>
      <c r="L640" s="338"/>
      <c r="M640" s="338"/>
      <c r="N640" s="338"/>
      <c r="O640" s="338"/>
      <c r="P640" s="338"/>
      <c r="Q640" s="338"/>
      <c r="R640" s="338"/>
      <c r="S640" s="338"/>
      <c r="T640" s="230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</row>
    <row r="641" spans="1:30">
      <c r="A641" s="189"/>
      <c r="B641" s="189"/>
      <c r="C641" s="189"/>
      <c r="D641" s="189"/>
      <c r="E641" s="189"/>
      <c r="F641" s="189"/>
      <c r="G641" s="189"/>
      <c r="H641" s="189"/>
      <c r="I641" s="338"/>
      <c r="J641" s="338"/>
      <c r="K641" s="338"/>
      <c r="L641" s="338"/>
      <c r="M641" s="338"/>
      <c r="N641" s="338"/>
      <c r="O641" s="338"/>
      <c r="P641" s="338"/>
      <c r="Q641" s="338"/>
      <c r="R641" s="338"/>
      <c r="S641" s="338"/>
      <c r="T641" s="230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</row>
    <row r="642" spans="1:30">
      <c r="A642" s="189"/>
      <c r="B642" s="189"/>
      <c r="C642" s="189"/>
      <c r="D642" s="189"/>
      <c r="E642" s="189"/>
      <c r="F642" s="189"/>
      <c r="G642" s="189"/>
      <c r="H642" s="189"/>
      <c r="I642" s="338"/>
      <c r="J642" s="338"/>
      <c r="K642" s="338"/>
      <c r="L642" s="338"/>
      <c r="M642" s="338"/>
      <c r="N642" s="338"/>
      <c r="O642" s="338"/>
      <c r="P642" s="338"/>
      <c r="Q642" s="338"/>
      <c r="R642" s="338"/>
      <c r="S642" s="338"/>
      <c r="T642" s="230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</row>
    <row r="643" spans="1:30">
      <c r="A643" s="189"/>
      <c r="B643" s="189"/>
      <c r="C643" s="189"/>
      <c r="D643" s="189"/>
      <c r="E643" s="189"/>
      <c r="F643" s="189"/>
      <c r="G643" s="189"/>
      <c r="H643" s="189"/>
      <c r="I643" s="338"/>
      <c r="J643" s="338"/>
      <c r="K643" s="338"/>
      <c r="L643" s="338"/>
      <c r="M643" s="338"/>
      <c r="N643" s="338"/>
      <c r="O643" s="338"/>
      <c r="P643" s="338"/>
      <c r="Q643" s="338"/>
      <c r="R643" s="338"/>
      <c r="S643" s="338"/>
      <c r="T643" s="230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</row>
    <row r="644" spans="1:30">
      <c r="A644" s="189"/>
      <c r="B644" s="189"/>
      <c r="C644" s="189"/>
      <c r="D644" s="189"/>
      <c r="E644" s="189"/>
      <c r="F644" s="189"/>
      <c r="G644" s="189"/>
      <c r="H644" s="189"/>
      <c r="I644" s="338"/>
      <c r="J644" s="338"/>
      <c r="K644" s="338"/>
      <c r="L644" s="338"/>
      <c r="M644" s="338"/>
      <c r="N644" s="338"/>
      <c r="O644" s="338"/>
      <c r="P644" s="338"/>
      <c r="Q644" s="338"/>
      <c r="R644" s="338"/>
      <c r="S644" s="338"/>
      <c r="T644" s="230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</row>
    <row r="645" spans="1:30">
      <c r="A645" s="189"/>
      <c r="B645" s="189"/>
      <c r="C645" s="189"/>
      <c r="D645" s="189"/>
      <c r="E645" s="189"/>
      <c r="F645" s="189"/>
      <c r="G645" s="189"/>
      <c r="H645" s="189"/>
      <c r="I645" s="338"/>
      <c r="J645" s="338"/>
      <c r="K645" s="338"/>
      <c r="L645" s="338"/>
      <c r="M645" s="338"/>
      <c r="N645" s="338"/>
      <c r="O645" s="338"/>
      <c r="P645" s="338"/>
      <c r="Q645" s="338"/>
      <c r="R645" s="338"/>
      <c r="S645" s="338"/>
      <c r="T645" s="230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</row>
    <row r="646" spans="1:30">
      <c r="A646" s="189"/>
      <c r="B646" s="189"/>
      <c r="C646" s="189"/>
      <c r="D646" s="189"/>
      <c r="E646" s="189"/>
      <c r="F646" s="189"/>
      <c r="G646" s="189"/>
      <c r="H646" s="189"/>
      <c r="I646" s="338"/>
      <c r="J646" s="338"/>
      <c r="K646" s="338"/>
      <c r="L646" s="338"/>
      <c r="M646" s="338"/>
      <c r="N646" s="338"/>
      <c r="O646" s="338"/>
      <c r="P646" s="338"/>
      <c r="Q646" s="338"/>
      <c r="R646" s="338"/>
      <c r="S646" s="338"/>
      <c r="T646" s="230"/>
      <c r="U646" s="189"/>
      <c r="V646" s="189"/>
      <c r="W646" s="189"/>
      <c r="X646" s="189"/>
      <c r="Y646" s="189"/>
      <c r="Z646" s="189"/>
      <c r="AA646" s="189"/>
      <c r="AB646" s="189"/>
      <c r="AC646" s="189"/>
      <c r="AD646" s="189"/>
    </row>
    <row r="647" spans="1:30">
      <c r="A647" s="189"/>
      <c r="B647" s="189"/>
      <c r="C647" s="189"/>
      <c r="D647" s="189"/>
      <c r="E647" s="189"/>
      <c r="F647" s="189"/>
      <c r="G647" s="189"/>
      <c r="H647" s="189"/>
      <c r="I647" s="338"/>
      <c r="J647" s="338"/>
      <c r="K647" s="338"/>
      <c r="L647" s="338"/>
      <c r="M647" s="338"/>
      <c r="N647" s="338"/>
      <c r="O647" s="338"/>
      <c r="P647" s="338"/>
      <c r="Q647" s="338"/>
      <c r="R647" s="338"/>
      <c r="S647" s="338"/>
      <c r="T647" s="230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</row>
    <row r="648" spans="1:30">
      <c r="A648" s="189"/>
      <c r="B648" s="189"/>
      <c r="C648" s="189"/>
      <c r="D648" s="189"/>
      <c r="E648" s="189"/>
      <c r="F648" s="189"/>
      <c r="G648" s="189"/>
      <c r="H648" s="189"/>
      <c r="I648" s="338"/>
      <c r="J648" s="338"/>
      <c r="K648" s="338"/>
      <c r="L648" s="338"/>
      <c r="M648" s="338"/>
      <c r="N648" s="338"/>
      <c r="O648" s="338"/>
      <c r="P648" s="338"/>
      <c r="Q648" s="338"/>
      <c r="R648" s="338"/>
      <c r="S648" s="338"/>
      <c r="T648" s="230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</row>
    <row r="649" spans="1:30">
      <c r="A649" s="189"/>
      <c r="B649" s="189"/>
      <c r="C649" s="189"/>
      <c r="D649" s="189"/>
      <c r="E649" s="189"/>
      <c r="F649" s="189"/>
      <c r="G649" s="189"/>
      <c r="H649" s="189"/>
      <c r="I649" s="338"/>
      <c r="J649" s="338"/>
      <c r="K649" s="338"/>
      <c r="L649" s="338"/>
      <c r="M649" s="338"/>
      <c r="N649" s="338"/>
      <c r="O649" s="338"/>
      <c r="P649" s="338"/>
      <c r="Q649" s="338"/>
      <c r="R649" s="338"/>
      <c r="S649" s="338"/>
      <c r="T649" s="230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</row>
    <row r="650" spans="1:30">
      <c r="A650" s="189"/>
      <c r="B650" s="189"/>
      <c r="C650" s="189"/>
      <c r="D650" s="189"/>
      <c r="E650" s="189"/>
      <c r="F650" s="189"/>
      <c r="G650" s="189"/>
      <c r="H650" s="189"/>
      <c r="I650" s="338"/>
      <c r="J650" s="338"/>
      <c r="K650" s="338"/>
      <c r="L650" s="338"/>
      <c r="M650" s="338"/>
      <c r="N650" s="338"/>
      <c r="O650" s="338"/>
      <c r="P650" s="338"/>
      <c r="Q650" s="338"/>
      <c r="R650" s="338"/>
      <c r="S650" s="338"/>
      <c r="T650" s="230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</row>
    <row r="651" spans="1:30">
      <c r="A651" s="189"/>
      <c r="B651" s="189"/>
      <c r="C651" s="189"/>
      <c r="D651" s="189"/>
      <c r="E651" s="189"/>
      <c r="F651" s="189"/>
      <c r="G651" s="189"/>
      <c r="H651" s="189"/>
      <c r="I651" s="338"/>
      <c r="J651" s="338"/>
      <c r="K651" s="338"/>
      <c r="L651" s="338"/>
      <c r="M651" s="338"/>
      <c r="N651" s="338"/>
      <c r="O651" s="338"/>
      <c r="P651" s="338"/>
      <c r="Q651" s="338"/>
      <c r="R651" s="338"/>
      <c r="S651" s="338"/>
      <c r="T651" s="230"/>
      <c r="U651" s="189"/>
      <c r="V651" s="189"/>
      <c r="W651" s="189"/>
      <c r="X651" s="189"/>
      <c r="Y651" s="189"/>
      <c r="Z651" s="189"/>
      <c r="AA651" s="189"/>
      <c r="AB651" s="189"/>
      <c r="AC651" s="189"/>
      <c r="AD651" s="189"/>
    </row>
    <row r="652" spans="1:30">
      <c r="A652" s="189"/>
      <c r="B652" s="189"/>
      <c r="C652" s="189"/>
      <c r="D652" s="189"/>
      <c r="E652" s="189"/>
      <c r="F652" s="189"/>
      <c r="G652" s="189"/>
      <c r="H652" s="189"/>
      <c r="I652" s="338"/>
      <c r="J652" s="338"/>
      <c r="K652" s="338"/>
      <c r="L652" s="338"/>
      <c r="M652" s="338"/>
      <c r="N652" s="338"/>
      <c r="O652" s="338"/>
      <c r="P652" s="338"/>
      <c r="Q652" s="338"/>
      <c r="R652" s="338"/>
      <c r="S652" s="338"/>
      <c r="T652" s="230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</row>
    <row r="653" spans="1:30">
      <c r="A653" s="189"/>
      <c r="B653" s="189"/>
      <c r="C653" s="189"/>
      <c r="D653" s="189"/>
      <c r="E653" s="189"/>
      <c r="F653" s="189"/>
      <c r="G653" s="189"/>
      <c r="H653" s="189"/>
      <c r="I653" s="338"/>
      <c r="J653" s="338"/>
      <c r="K653" s="338"/>
      <c r="L653" s="338"/>
      <c r="M653" s="338"/>
      <c r="N653" s="338"/>
      <c r="O653" s="338"/>
      <c r="P653" s="338"/>
      <c r="Q653" s="338"/>
      <c r="R653" s="338"/>
      <c r="S653" s="338"/>
      <c r="T653" s="230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</row>
    <row r="654" spans="1:30">
      <c r="A654" s="189"/>
      <c r="B654" s="189"/>
      <c r="C654" s="189"/>
      <c r="D654" s="189"/>
      <c r="E654" s="189"/>
      <c r="F654" s="189"/>
      <c r="G654" s="189"/>
      <c r="H654" s="189"/>
      <c r="I654" s="338"/>
      <c r="J654" s="338"/>
      <c r="K654" s="338"/>
      <c r="L654" s="338"/>
      <c r="M654" s="338"/>
      <c r="N654" s="338"/>
      <c r="O654" s="338"/>
      <c r="P654" s="338"/>
      <c r="Q654" s="338"/>
      <c r="R654" s="338"/>
      <c r="S654" s="338"/>
      <c r="T654" s="230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</row>
    <row r="655" spans="1:30">
      <c r="A655" s="189"/>
      <c r="B655" s="189"/>
      <c r="C655" s="189"/>
      <c r="D655" s="189"/>
      <c r="E655" s="189"/>
      <c r="F655" s="189"/>
      <c r="G655" s="189"/>
      <c r="H655" s="189"/>
      <c r="I655" s="338"/>
      <c r="J655" s="338"/>
      <c r="K655" s="338"/>
      <c r="L655" s="338"/>
      <c r="M655" s="338"/>
      <c r="N655" s="338"/>
      <c r="O655" s="338"/>
      <c r="P655" s="338"/>
      <c r="Q655" s="338"/>
      <c r="R655" s="338"/>
      <c r="S655" s="338"/>
      <c r="T655" s="230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</row>
    <row r="656" spans="1:30">
      <c r="A656" s="189"/>
      <c r="B656" s="189"/>
      <c r="C656" s="189"/>
      <c r="D656" s="189"/>
      <c r="E656" s="189"/>
      <c r="F656" s="189"/>
      <c r="G656" s="189"/>
      <c r="H656" s="189"/>
      <c r="I656" s="338"/>
      <c r="J656" s="338"/>
      <c r="K656" s="338"/>
      <c r="L656" s="338"/>
      <c r="M656" s="338"/>
      <c r="N656" s="338"/>
      <c r="O656" s="338"/>
      <c r="P656" s="338"/>
      <c r="Q656" s="338"/>
      <c r="R656" s="338"/>
      <c r="S656" s="338"/>
      <c r="T656" s="230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</row>
    <row r="657" spans="1:30">
      <c r="A657" s="189"/>
      <c r="B657" s="189"/>
      <c r="C657" s="189"/>
      <c r="D657" s="189"/>
      <c r="E657" s="189"/>
      <c r="F657" s="189"/>
      <c r="G657" s="189"/>
      <c r="H657" s="189"/>
      <c r="I657" s="338"/>
      <c r="J657" s="338"/>
      <c r="K657" s="338"/>
      <c r="L657" s="338"/>
      <c r="M657" s="338"/>
      <c r="N657" s="338"/>
      <c r="O657" s="338"/>
      <c r="P657" s="338"/>
      <c r="Q657" s="338"/>
      <c r="R657" s="338"/>
      <c r="S657" s="338"/>
      <c r="T657" s="230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</row>
    <row r="658" spans="1:30">
      <c r="A658" s="189"/>
      <c r="B658" s="189"/>
      <c r="C658" s="189"/>
      <c r="D658" s="189"/>
      <c r="E658" s="189"/>
      <c r="F658" s="189"/>
      <c r="G658" s="189"/>
      <c r="H658" s="189"/>
      <c r="I658" s="338"/>
      <c r="J658" s="338"/>
      <c r="K658" s="338"/>
      <c r="L658" s="338"/>
      <c r="M658" s="338"/>
      <c r="N658" s="338"/>
      <c r="O658" s="338"/>
      <c r="P658" s="338"/>
      <c r="Q658" s="338"/>
      <c r="R658" s="338"/>
      <c r="S658" s="338"/>
      <c r="T658" s="230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</row>
    <row r="659" spans="1:30">
      <c r="A659" s="189"/>
      <c r="B659" s="189"/>
      <c r="C659" s="189"/>
      <c r="D659" s="189"/>
      <c r="E659" s="189"/>
      <c r="F659" s="189"/>
      <c r="G659" s="189"/>
      <c r="H659" s="189"/>
      <c r="I659" s="338"/>
      <c r="J659" s="338"/>
      <c r="K659" s="338"/>
      <c r="L659" s="338"/>
      <c r="M659" s="338"/>
      <c r="N659" s="338"/>
      <c r="O659" s="338"/>
      <c r="P659" s="338"/>
      <c r="Q659" s="338"/>
      <c r="R659" s="338"/>
      <c r="S659" s="338"/>
      <c r="T659" s="230"/>
      <c r="U659" s="189"/>
      <c r="V659" s="189"/>
      <c r="W659" s="189"/>
      <c r="X659" s="189"/>
      <c r="Y659" s="189"/>
      <c r="Z659" s="189"/>
      <c r="AA659" s="189"/>
      <c r="AB659" s="189"/>
      <c r="AC659" s="189"/>
      <c r="AD659" s="189"/>
    </row>
    <row r="660" spans="1:30">
      <c r="A660" s="189"/>
      <c r="B660" s="189"/>
      <c r="C660" s="189"/>
      <c r="D660" s="189"/>
      <c r="E660" s="189"/>
      <c r="F660" s="189"/>
      <c r="G660" s="189"/>
      <c r="H660" s="189"/>
      <c r="I660" s="338"/>
      <c r="J660" s="338"/>
      <c r="K660" s="338"/>
      <c r="L660" s="338"/>
      <c r="M660" s="338"/>
      <c r="N660" s="338"/>
      <c r="O660" s="338"/>
      <c r="P660" s="338"/>
      <c r="Q660" s="338"/>
      <c r="R660" s="338"/>
      <c r="S660" s="338"/>
      <c r="T660" s="230"/>
      <c r="U660" s="189"/>
      <c r="V660" s="189"/>
      <c r="W660" s="189"/>
      <c r="X660" s="189"/>
      <c r="Y660" s="189"/>
      <c r="Z660" s="189"/>
      <c r="AA660" s="189"/>
      <c r="AB660" s="189"/>
      <c r="AC660" s="189"/>
      <c r="AD660" s="189"/>
    </row>
    <row r="661" spans="1:30">
      <c r="A661" s="189"/>
      <c r="B661" s="189"/>
      <c r="C661" s="189"/>
      <c r="D661" s="189"/>
      <c r="E661" s="189"/>
      <c r="F661" s="189"/>
      <c r="G661" s="189"/>
      <c r="H661" s="189"/>
      <c r="I661" s="338"/>
      <c r="J661" s="338"/>
      <c r="K661" s="338"/>
      <c r="L661" s="338"/>
      <c r="M661" s="338"/>
      <c r="N661" s="338"/>
      <c r="O661" s="338"/>
      <c r="P661" s="338"/>
      <c r="Q661" s="338"/>
      <c r="R661" s="338"/>
      <c r="S661" s="338"/>
      <c r="T661" s="230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</row>
    <row r="662" spans="1:30">
      <c r="A662" s="189"/>
      <c r="B662" s="189"/>
      <c r="C662" s="189"/>
      <c r="D662" s="189"/>
      <c r="E662" s="189"/>
      <c r="F662" s="189"/>
      <c r="G662" s="189"/>
      <c r="H662" s="189"/>
      <c r="I662" s="338"/>
      <c r="J662" s="338"/>
      <c r="K662" s="338"/>
      <c r="L662" s="338"/>
      <c r="M662" s="338"/>
      <c r="N662" s="338"/>
      <c r="O662" s="338"/>
      <c r="P662" s="338"/>
      <c r="Q662" s="338"/>
      <c r="R662" s="338"/>
      <c r="S662" s="338"/>
      <c r="T662" s="230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</row>
    <row r="663" spans="1:30">
      <c r="A663" s="189"/>
      <c r="B663" s="189"/>
      <c r="C663" s="189"/>
      <c r="D663" s="189"/>
      <c r="E663" s="189"/>
      <c r="F663" s="189"/>
      <c r="G663" s="189"/>
      <c r="H663" s="189"/>
      <c r="I663" s="338"/>
      <c r="J663" s="338"/>
      <c r="K663" s="338"/>
      <c r="L663" s="338"/>
      <c r="M663" s="338"/>
      <c r="N663" s="338"/>
      <c r="O663" s="338"/>
      <c r="P663" s="338"/>
      <c r="Q663" s="338"/>
      <c r="R663" s="338"/>
      <c r="S663" s="338"/>
      <c r="T663" s="230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</row>
    <row r="664" spans="1:30">
      <c r="A664" s="189"/>
      <c r="B664" s="189"/>
      <c r="C664" s="189"/>
      <c r="D664" s="189"/>
      <c r="E664" s="189"/>
      <c r="F664" s="189"/>
      <c r="G664" s="189"/>
      <c r="H664" s="189"/>
      <c r="I664" s="338"/>
      <c r="J664" s="338"/>
      <c r="K664" s="338"/>
      <c r="L664" s="338"/>
      <c r="M664" s="338"/>
      <c r="N664" s="338"/>
      <c r="O664" s="338"/>
      <c r="P664" s="338"/>
      <c r="Q664" s="338"/>
      <c r="R664" s="338"/>
      <c r="S664" s="338"/>
      <c r="T664" s="230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</row>
    <row r="665" spans="1:30">
      <c r="A665" s="189"/>
      <c r="B665" s="189"/>
      <c r="C665" s="189"/>
      <c r="D665" s="189"/>
      <c r="E665" s="189"/>
      <c r="F665" s="189"/>
      <c r="G665" s="189"/>
      <c r="H665" s="189"/>
      <c r="I665" s="338"/>
      <c r="J665" s="338"/>
      <c r="K665" s="338"/>
      <c r="L665" s="338"/>
      <c r="M665" s="338"/>
      <c r="N665" s="338"/>
      <c r="O665" s="338"/>
      <c r="P665" s="338"/>
      <c r="Q665" s="338"/>
      <c r="R665" s="338"/>
      <c r="S665" s="338"/>
      <c r="T665" s="230"/>
      <c r="U665" s="189"/>
      <c r="V665" s="189"/>
      <c r="W665" s="189"/>
      <c r="X665" s="189"/>
      <c r="Y665" s="189"/>
      <c r="Z665" s="189"/>
      <c r="AA665" s="189"/>
      <c r="AB665" s="189"/>
      <c r="AC665" s="189"/>
      <c r="AD665" s="189"/>
    </row>
    <row r="666" spans="1:30">
      <c r="A666" s="189"/>
      <c r="B666" s="189"/>
      <c r="C666" s="189"/>
      <c r="D666" s="189"/>
      <c r="E666" s="189"/>
      <c r="F666" s="189"/>
      <c r="G666" s="189"/>
      <c r="H666" s="189"/>
      <c r="I666" s="338"/>
      <c r="J666" s="338"/>
      <c r="K666" s="338"/>
      <c r="L666" s="338"/>
      <c r="M666" s="338"/>
      <c r="N666" s="338"/>
      <c r="O666" s="338"/>
      <c r="P666" s="338"/>
      <c r="Q666" s="338"/>
      <c r="R666" s="338"/>
      <c r="S666" s="338"/>
      <c r="T666" s="230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</row>
    <row r="667" spans="1:30">
      <c r="A667" s="189"/>
      <c r="B667" s="189"/>
      <c r="C667" s="189"/>
      <c r="D667" s="189"/>
      <c r="E667" s="189"/>
      <c r="F667" s="189"/>
      <c r="G667" s="189"/>
      <c r="H667" s="189"/>
      <c r="I667" s="338"/>
      <c r="J667" s="338"/>
      <c r="K667" s="338"/>
      <c r="L667" s="338"/>
      <c r="M667" s="338"/>
      <c r="N667" s="338"/>
      <c r="O667" s="338"/>
      <c r="P667" s="338"/>
      <c r="Q667" s="338"/>
      <c r="R667" s="338"/>
      <c r="S667" s="338"/>
      <c r="T667" s="230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</row>
    <row r="668" spans="1:30">
      <c r="A668" s="189"/>
      <c r="B668" s="189"/>
      <c r="C668" s="189"/>
      <c r="D668" s="189"/>
      <c r="E668" s="189"/>
      <c r="F668" s="189"/>
      <c r="G668" s="189"/>
      <c r="H668" s="189"/>
      <c r="I668" s="338"/>
      <c r="J668" s="338"/>
      <c r="K668" s="338"/>
      <c r="L668" s="338"/>
      <c r="M668" s="338"/>
      <c r="N668" s="338"/>
      <c r="O668" s="338"/>
      <c r="P668" s="338"/>
      <c r="Q668" s="338"/>
      <c r="R668" s="338"/>
      <c r="S668" s="338"/>
      <c r="T668" s="230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</row>
    <row r="669" spans="1:30">
      <c r="A669" s="189"/>
      <c r="B669" s="189"/>
      <c r="C669" s="189"/>
      <c r="D669" s="189"/>
      <c r="E669" s="189"/>
      <c r="F669" s="189"/>
      <c r="G669" s="189"/>
      <c r="H669" s="189"/>
      <c r="I669" s="338"/>
      <c r="J669" s="338"/>
      <c r="K669" s="338"/>
      <c r="L669" s="338"/>
      <c r="M669" s="338"/>
      <c r="N669" s="338"/>
      <c r="O669" s="338"/>
      <c r="P669" s="338"/>
      <c r="Q669" s="338"/>
      <c r="R669" s="338"/>
      <c r="S669" s="338"/>
      <c r="T669" s="230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</row>
    <row r="670" spans="1:30">
      <c r="A670" s="189"/>
      <c r="B670" s="189"/>
      <c r="C670" s="189"/>
      <c r="D670" s="189"/>
      <c r="E670" s="189"/>
      <c r="F670" s="189"/>
      <c r="G670" s="189"/>
      <c r="H670" s="189"/>
      <c r="I670" s="338"/>
      <c r="J670" s="338"/>
      <c r="K670" s="338"/>
      <c r="L670" s="338"/>
      <c r="M670" s="338"/>
      <c r="N670" s="338"/>
      <c r="O670" s="338"/>
      <c r="P670" s="338"/>
      <c r="Q670" s="338"/>
      <c r="R670" s="338"/>
      <c r="S670" s="338"/>
      <c r="T670" s="230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</row>
    <row r="671" spans="1:30">
      <c r="A671" s="189"/>
      <c r="B671" s="189"/>
      <c r="C671" s="189"/>
      <c r="D671" s="189"/>
      <c r="E671" s="189"/>
      <c r="F671" s="189"/>
      <c r="G671" s="189"/>
      <c r="H671" s="189"/>
      <c r="I671" s="338"/>
      <c r="J671" s="338"/>
      <c r="K671" s="338"/>
      <c r="L671" s="338"/>
      <c r="M671" s="338"/>
      <c r="N671" s="338"/>
      <c r="O671" s="338"/>
      <c r="P671" s="338"/>
      <c r="Q671" s="338"/>
      <c r="R671" s="338"/>
      <c r="S671" s="338"/>
      <c r="T671" s="230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</row>
    <row r="672" spans="1:30">
      <c r="A672" s="189"/>
      <c r="B672" s="189"/>
      <c r="C672" s="189"/>
      <c r="D672" s="189"/>
      <c r="E672" s="189"/>
      <c r="F672" s="189"/>
      <c r="G672" s="189"/>
      <c r="H672" s="189"/>
      <c r="I672" s="338"/>
      <c r="J672" s="338"/>
      <c r="K672" s="338"/>
      <c r="L672" s="338"/>
      <c r="M672" s="338"/>
      <c r="N672" s="338"/>
      <c r="O672" s="338"/>
      <c r="P672" s="338"/>
      <c r="Q672" s="338"/>
      <c r="R672" s="338"/>
      <c r="S672" s="338"/>
      <c r="T672" s="230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</row>
    <row r="673" spans="1:30">
      <c r="A673" s="189"/>
      <c r="B673" s="189"/>
      <c r="C673" s="189"/>
      <c r="D673" s="189"/>
      <c r="E673" s="189"/>
      <c r="F673" s="189"/>
      <c r="G673" s="189"/>
      <c r="H673" s="189"/>
      <c r="I673" s="338"/>
      <c r="J673" s="338"/>
      <c r="K673" s="338"/>
      <c r="L673" s="338"/>
      <c r="M673" s="338"/>
      <c r="N673" s="338"/>
      <c r="O673" s="338"/>
      <c r="P673" s="338"/>
      <c r="Q673" s="338"/>
      <c r="R673" s="338"/>
      <c r="S673" s="338"/>
      <c r="T673" s="230"/>
      <c r="U673" s="189"/>
      <c r="V673" s="189"/>
      <c r="W673" s="189"/>
      <c r="X673" s="189"/>
      <c r="Y673" s="189"/>
      <c r="Z673" s="189"/>
      <c r="AA673" s="189"/>
      <c r="AB673" s="189"/>
      <c r="AC673" s="189"/>
      <c r="AD673" s="189"/>
    </row>
    <row r="674" spans="1:30">
      <c r="A674" s="189"/>
      <c r="B674" s="189"/>
      <c r="C674" s="189"/>
      <c r="D674" s="189"/>
      <c r="E674" s="189"/>
      <c r="F674" s="189"/>
      <c r="G674" s="189"/>
      <c r="H674" s="189"/>
      <c r="I674" s="338"/>
      <c r="J674" s="338"/>
      <c r="K674" s="338"/>
      <c r="L674" s="338"/>
      <c r="M674" s="338"/>
      <c r="N674" s="338"/>
      <c r="O674" s="338"/>
      <c r="P674" s="338"/>
      <c r="Q674" s="338"/>
      <c r="R674" s="338"/>
      <c r="S674" s="338"/>
      <c r="T674" s="230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</row>
    <row r="675" spans="1:30">
      <c r="A675" s="189"/>
      <c r="B675" s="189"/>
      <c r="C675" s="189"/>
      <c r="D675" s="189"/>
      <c r="E675" s="189"/>
      <c r="F675" s="189"/>
      <c r="G675" s="189"/>
      <c r="H675" s="189"/>
      <c r="I675" s="338"/>
      <c r="J675" s="338"/>
      <c r="K675" s="338"/>
      <c r="L675" s="338"/>
      <c r="M675" s="338"/>
      <c r="N675" s="338"/>
      <c r="O675" s="338"/>
      <c r="P675" s="338"/>
      <c r="Q675" s="338"/>
      <c r="R675" s="338"/>
      <c r="S675" s="338"/>
      <c r="T675" s="230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</row>
    <row r="676" spans="1:30">
      <c r="A676" s="189"/>
      <c r="B676" s="189"/>
      <c r="C676" s="189"/>
      <c r="D676" s="189"/>
      <c r="E676" s="189"/>
      <c r="F676" s="189"/>
      <c r="G676" s="189"/>
      <c r="H676" s="189"/>
      <c r="I676" s="338"/>
      <c r="J676" s="338"/>
      <c r="K676" s="338"/>
      <c r="L676" s="338"/>
      <c r="M676" s="338"/>
      <c r="N676" s="338"/>
      <c r="O676" s="338"/>
      <c r="P676" s="338"/>
      <c r="Q676" s="338"/>
      <c r="R676" s="338"/>
      <c r="S676" s="338"/>
      <c r="T676" s="230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</row>
    <row r="677" spans="1:30">
      <c r="A677" s="189"/>
      <c r="B677" s="189"/>
      <c r="C677" s="189"/>
      <c r="D677" s="189"/>
      <c r="E677" s="189"/>
      <c r="F677" s="189"/>
      <c r="G677" s="189"/>
      <c r="H677" s="189"/>
      <c r="I677" s="338"/>
      <c r="J677" s="338"/>
      <c r="K677" s="338"/>
      <c r="L677" s="338"/>
      <c r="M677" s="338"/>
      <c r="N677" s="338"/>
      <c r="O677" s="338"/>
      <c r="P677" s="338"/>
      <c r="Q677" s="338"/>
      <c r="R677" s="338"/>
      <c r="S677" s="338"/>
      <c r="T677" s="230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</row>
    <row r="678" spans="1:30">
      <c r="A678" s="189"/>
      <c r="B678" s="189"/>
      <c r="C678" s="189"/>
      <c r="D678" s="189"/>
      <c r="E678" s="189"/>
      <c r="F678" s="189"/>
      <c r="G678" s="189"/>
      <c r="H678" s="189"/>
      <c r="I678" s="338"/>
      <c r="J678" s="338"/>
      <c r="K678" s="338"/>
      <c r="L678" s="338"/>
      <c r="M678" s="338"/>
      <c r="N678" s="338"/>
      <c r="O678" s="338"/>
      <c r="P678" s="338"/>
      <c r="Q678" s="338"/>
      <c r="R678" s="338"/>
      <c r="S678" s="338"/>
      <c r="T678" s="230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</row>
    <row r="679" spans="1:30">
      <c r="A679" s="189"/>
      <c r="B679" s="189"/>
      <c r="C679" s="189"/>
      <c r="D679" s="189"/>
      <c r="E679" s="189"/>
      <c r="F679" s="189"/>
      <c r="G679" s="189"/>
      <c r="H679" s="189"/>
      <c r="I679" s="338"/>
      <c r="J679" s="338"/>
      <c r="K679" s="338"/>
      <c r="L679" s="338"/>
      <c r="M679" s="338"/>
      <c r="N679" s="338"/>
      <c r="O679" s="338"/>
      <c r="P679" s="338"/>
      <c r="Q679" s="338"/>
      <c r="R679" s="338"/>
      <c r="S679" s="338"/>
      <c r="T679" s="230"/>
      <c r="U679" s="189"/>
      <c r="V679" s="189"/>
      <c r="W679" s="189"/>
      <c r="X679" s="189"/>
      <c r="Y679" s="189"/>
      <c r="Z679" s="189"/>
      <c r="AA679" s="189"/>
      <c r="AB679" s="189"/>
      <c r="AC679" s="189"/>
      <c r="AD679" s="189"/>
    </row>
    <row r="680" spans="1:30">
      <c r="A680" s="189"/>
      <c r="B680" s="189"/>
      <c r="C680" s="189"/>
      <c r="D680" s="189"/>
      <c r="E680" s="189"/>
      <c r="F680" s="189"/>
      <c r="G680" s="189"/>
      <c r="H680" s="189"/>
      <c r="I680" s="338"/>
      <c r="J680" s="338"/>
      <c r="K680" s="338"/>
      <c r="L680" s="338"/>
      <c r="M680" s="338"/>
      <c r="N680" s="338"/>
      <c r="O680" s="338"/>
      <c r="P680" s="338"/>
      <c r="Q680" s="338"/>
      <c r="R680" s="338"/>
      <c r="S680" s="338"/>
      <c r="T680" s="230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</row>
    <row r="681" spans="1:30">
      <c r="A681" s="189"/>
      <c r="B681" s="189"/>
      <c r="C681" s="189"/>
      <c r="D681" s="189"/>
      <c r="E681" s="189"/>
      <c r="F681" s="189"/>
      <c r="G681" s="189"/>
      <c r="H681" s="189"/>
      <c r="I681" s="338"/>
      <c r="J681" s="338"/>
      <c r="K681" s="338"/>
      <c r="L681" s="338"/>
      <c r="M681" s="338"/>
      <c r="N681" s="338"/>
      <c r="O681" s="338"/>
      <c r="P681" s="338"/>
      <c r="Q681" s="338"/>
      <c r="R681" s="338"/>
      <c r="S681" s="338"/>
      <c r="T681" s="230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</row>
    <row r="682" spans="1:30">
      <c r="A682" s="189"/>
      <c r="B682" s="189"/>
      <c r="C682" s="189"/>
      <c r="D682" s="189"/>
      <c r="E682" s="189"/>
      <c r="F682" s="189"/>
      <c r="G682" s="189"/>
      <c r="H682" s="189"/>
      <c r="I682" s="338"/>
      <c r="J682" s="338"/>
      <c r="K682" s="338"/>
      <c r="L682" s="338"/>
      <c r="M682" s="338"/>
      <c r="N682" s="338"/>
      <c r="O682" s="338"/>
      <c r="P682" s="338"/>
      <c r="Q682" s="338"/>
      <c r="R682" s="338"/>
      <c r="S682" s="338"/>
      <c r="T682" s="230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</row>
    <row r="683" spans="1:30">
      <c r="A683" s="189"/>
      <c r="B683" s="189"/>
      <c r="C683" s="189"/>
      <c r="D683" s="189"/>
      <c r="E683" s="189"/>
      <c r="F683" s="189"/>
      <c r="G683" s="189"/>
      <c r="H683" s="189"/>
      <c r="I683" s="338"/>
      <c r="J683" s="338"/>
      <c r="K683" s="338"/>
      <c r="L683" s="338"/>
      <c r="M683" s="338"/>
      <c r="N683" s="338"/>
      <c r="O683" s="338"/>
      <c r="P683" s="338"/>
      <c r="Q683" s="338"/>
      <c r="R683" s="338"/>
      <c r="S683" s="338"/>
      <c r="T683" s="230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</row>
    <row r="684" spans="1:30">
      <c r="A684" s="189"/>
      <c r="B684" s="189"/>
      <c r="C684" s="189"/>
      <c r="D684" s="189"/>
      <c r="E684" s="189"/>
      <c r="F684" s="189"/>
      <c r="G684" s="189"/>
      <c r="H684" s="189"/>
      <c r="I684" s="338"/>
      <c r="J684" s="338"/>
      <c r="K684" s="338"/>
      <c r="L684" s="338"/>
      <c r="M684" s="338"/>
      <c r="N684" s="338"/>
      <c r="O684" s="338"/>
      <c r="P684" s="338"/>
      <c r="Q684" s="338"/>
      <c r="R684" s="338"/>
      <c r="S684" s="338"/>
      <c r="T684" s="230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</row>
    <row r="685" spans="1:30">
      <c r="A685" s="189"/>
      <c r="B685" s="189"/>
      <c r="C685" s="189"/>
      <c r="D685" s="189"/>
      <c r="E685" s="189"/>
      <c r="F685" s="189"/>
      <c r="G685" s="189"/>
      <c r="H685" s="189"/>
      <c r="I685" s="338"/>
      <c r="J685" s="338"/>
      <c r="K685" s="338"/>
      <c r="L685" s="338"/>
      <c r="M685" s="338"/>
      <c r="N685" s="338"/>
      <c r="O685" s="338"/>
      <c r="P685" s="338"/>
      <c r="Q685" s="338"/>
      <c r="R685" s="338"/>
      <c r="S685" s="338"/>
      <c r="T685" s="230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</row>
    <row r="686" spans="1:30">
      <c r="A686" s="189"/>
      <c r="B686" s="189"/>
      <c r="C686" s="189"/>
      <c r="D686" s="189"/>
      <c r="E686" s="189"/>
      <c r="F686" s="189"/>
      <c r="G686" s="189"/>
      <c r="H686" s="189"/>
      <c r="I686" s="338"/>
      <c r="J686" s="338"/>
      <c r="K686" s="338"/>
      <c r="L686" s="338"/>
      <c r="M686" s="338"/>
      <c r="N686" s="338"/>
      <c r="O686" s="338"/>
      <c r="P686" s="338"/>
      <c r="Q686" s="338"/>
      <c r="R686" s="338"/>
      <c r="S686" s="338"/>
      <c r="T686" s="230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</row>
    <row r="687" spans="1:30">
      <c r="A687" s="189"/>
      <c r="B687" s="189"/>
      <c r="C687" s="189"/>
      <c r="D687" s="189"/>
      <c r="E687" s="189"/>
      <c r="F687" s="189"/>
      <c r="G687" s="189"/>
      <c r="H687" s="189"/>
      <c r="I687" s="338"/>
      <c r="J687" s="338"/>
      <c r="K687" s="338"/>
      <c r="L687" s="338"/>
      <c r="M687" s="338"/>
      <c r="N687" s="338"/>
      <c r="O687" s="338"/>
      <c r="P687" s="338"/>
      <c r="Q687" s="338"/>
      <c r="R687" s="338"/>
      <c r="S687" s="338"/>
      <c r="T687" s="230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</row>
    <row r="688" spans="1:30">
      <c r="A688" s="189"/>
      <c r="B688" s="189"/>
      <c r="C688" s="189"/>
      <c r="D688" s="189"/>
      <c r="E688" s="189"/>
      <c r="F688" s="189"/>
      <c r="G688" s="189"/>
      <c r="H688" s="189"/>
      <c r="I688" s="338"/>
      <c r="J688" s="338"/>
      <c r="K688" s="338"/>
      <c r="L688" s="338"/>
      <c r="M688" s="338"/>
      <c r="N688" s="338"/>
      <c r="O688" s="338"/>
      <c r="P688" s="338"/>
      <c r="Q688" s="338"/>
      <c r="R688" s="338"/>
      <c r="S688" s="338"/>
      <c r="T688" s="230"/>
      <c r="U688" s="189"/>
      <c r="V688" s="189"/>
      <c r="W688" s="189"/>
      <c r="X688" s="189"/>
      <c r="Y688" s="189"/>
      <c r="Z688" s="189"/>
      <c r="AA688" s="189"/>
      <c r="AB688" s="189"/>
      <c r="AC688" s="189"/>
      <c r="AD688" s="189"/>
    </row>
    <row r="689" spans="1:30">
      <c r="A689" s="189"/>
      <c r="B689" s="189"/>
      <c r="C689" s="189"/>
      <c r="D689" s="189"/>
      <c r="E689" s="189"/>
      <c r="F689" s="189"/>
      <c r="G689" s="189"/>
      <c r="H689" s="189"/>
      <c r="I689" s="338"/>
      <c r="J689" s="338"/>
      <c r="K689" s="338"/>
      <c r="L689" s="338"/>
      <c r="M689" s="338"/>
      <c r="N689" s="338"/>
      <c r="O689" s="338"/>
      <c r="P689" s="338"/>
      <c r="Q689" s="338"/>
      <c r="R689" s="338"/>
      <c r="S689" s="338"/>
      <c r="T689" s="230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</row>
    <row r="690" spans="1:30">
      <c r="A690" s="189"/>
      <c r="B690" s="189"/>
      <c r="C690" s="189"/>
      <c r="D690" s="189"/>
      <c r="E690" s="189"/>
      <c r="F690" s="189"/>
      <c r="G690" s="189"/>
      <c r="H690" s="189"/>
      <c r="I690" s="338"/>
      <c r="J690" s="338"/>
      <c r="K690" s="338"/>
      <c r="L690" s="338"/>
      <c r="M690" s="338"/>
      <c r="N690" s="338"/>
      <c r="O690" s="338"/>
      <c r="P690" s="338"/>
      <c r="Q690" s="338"/>
      <c r="R690" s="338"/>
      <c r="S690" s="338"/>
      <c r="T690" s="230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</row>
    <row r="691" spans="1:30">
      <c r="A691" s="189"/>
      <c r="B691" s="189"/>
      <c r="C691" s="189"/>
      <c r="D691" s="189"/>
      <c r="E691" s="189"/>
      <c r="F691" s="189"/>
      <c r="G691" s="189"/>
      <c r="H691" s="189"/>
      <c r="I691" s="338"/>
      <c r="J691" s="338"/>
      <c r="K691" s="338"/>
      <c r="L691" s="338"/>
      <c r="M691" s="338"/>
      <c r="N691" s="338"/>
      <c r="O691" s="338"/>
      <c r="P691" s="338"/>
      <c r="Q691" s="338"/>
      <c r="R691" s="338"/>
      <c r="S691" s="338"/>
      <c r="T691" s="230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</row>
    <row r="692" spans="1:30">
      <c r="A692" s="189"/>
      <c r="B692" s="189"/>
      <c r="C692" s="189"/>
      <c r="D692" s="189"/>
      <c r="E692" s="189"/>
      <c r="F692" s="189"/>
      <c r="G692" s="189"/>
      <c r="H692" s="189"/>
      <c r="I692" s="338"/>
      <c r="J692" s="338"/>
      <c r="K692" s="338"/>
      <c r="L692" s="338"/>
      <c r="M692" s="338"/>
      <c r="N692" s="338"/>
      <c r="O692" s="338"/>
      <c r="P692" s="338"/>
      <c r="Q692" s="338"/>
      <c r="R692" s="338"/>
      <c r="S692" s="338"/>
      <c r="T692" s="230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</row>
    <row r="693" spans="1:30">
      <c r="A693" s="189"/>
      <c r="B693" s="189"/>
      <c r="C693" s="189"/>
      <c r="D693" s="189"/>
      <c r="E693" s="189"/>
      <c r="F693" s="189"/>
      <c r="G693" s="189"/>
      <c r="H693" s="189"/>
      <c r="I693" s="338"/>
      <c r="J693" s="338"/>
      <c r="K693" s="338"/>
      <c r="L693" s="338"/>
      <c r="M693" s="338"/>
      <c r="N693" s="338"/>
      <c r="O693" s="338"/>
      <c r="P693" s="338"/>
      <c r="Q693" s="338"/>
      <c r="R693" s="338"/>
      <c r="S693" s="338"/>
      <c r="T693" s="230"/>
      <c r="U693" s="189"/>
      <c r="V693" s="189"/>
      <c r="W693" s="189"/>
      <c r="X693" s="189"/>
      <c r="Y693" s="189"/>
      <c r="Z693" s="189"/>
      <c r="AA693" s="189"/>
      <c r="AB693" s="189"/>
      <c r="AC693" s="189"/>
      <c r="AD693" s="189"/>
    </row>
    <row r="694" spans="1:30">
      <c r="A694" s="189"/>
      <c r="B694" s="189"/>
      <c r="C694" s="189"/>
      <c r="D694" s="189"/>
      <c r="E694" s="189"/>
      <c r="F694" s="189"/>
      <c r="G694" s="189"/>
      <c r="H694" s="189"/>
      <c r="I694" s="338"/>
      <c r="J694" s="338"/>
      <c r="K694" s="338"/>
      <c r="L694" s="338"/>
      <c r="M694" s="338"/>
      <c r="N694" s="338"/>
      <c r="O694" s="338"/>
      <c r="P694" s="338"/>
      <c r="Q694" s="338"/>
      <c r="R694" s="338"/>
      <c r="S694" s="338"/>
      <c r="T694" s="230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</row>
    <row r="695" spans="1:30">
      <c r="A695" s="189"/>
      <c r="B695" s="189"/>
      <c r="C695" s="189"/>
      <c r="D695" s="189"/>
      <c r="E695" s="189"/>
      <c r="F695" s="189"/>
      <c r="G695" s="189"/>
      <c r="H695" s="189"/>
      <c r="I695" s="338"/>
      <c r="J695" s="338"/>
      <c r="K695" s="338"/>
      <c r="L695" s="338"/>
      <c r="M695" s="338"/>
      <c r="N695" s="338"/>
      <c r="O695" s="338"/>
      <c r="P695" s="338"/>
      <c r="Q695" s="338"/>
      <c r="R695" s="338"/>
      <c r="S695" s="338"/>
      <c r="T695" s="230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</row>
    <row r="696" spans="1:30">
      <c r="A696" s="189"/>
      <c r="B696" s="189"/>
      <c r="C696" s="189"/>
      <c r="D696" s="189"/>
      <c r="E696" s="189"/>
      <c r="F696" s="189"/>
      <c r="G696" s="189"/>
      <c r="H696" s="189"/>
      <c r="I696" s="338"/>
      <c r="J696" s="338"/>
      <c r="K696" s="338"/>
      <c r="L696" s="338"/>
      <c r="M696" s="338"/>
      <c r="N696" s="338"/>
      <c r="O696" s="338"/>
      <c r="P696" s="338"/>
      <c r="Q696" s="338"/>
      <c r="R696" s="338"/>
      <c r="S696" s="338"/>
      <c r="T696" s="230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</row>
    <row r="697" spans="1:30">
      <c r="A697" s="189"/>
      <c r="B697" s="189"/>
      <c r="C697" s="189"/>
      <c r="D697" s="189"/>
      <c r="E697" s="189"/>
      <c r="F697" s="189"/>
      <c r="G697" s="189"/>
      <c r="H697" s="189"/>
      <c r="I697" s="338"/>
      <c r="J697" s="338"/>
      <c r="K697" s="338"/>
      <c r="L697" s="338"/>
      <c r="M697" s="338"/>
      <c r="N697" s="338"/>
      <c r="O697" s="338"/>
      <c r="P697" s="338"/>
      <c r="Q697" s="338"/>
      <c r="R697" s="338"/>
      <c r="S697" s="338"/>
      <c r="T697" s="230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</row>
    <row r="698" spans="1:30">
      <c r="A698" s="189"/>
      <c r="B698" s="189"/>
      <c r="C698" s="189"/>
      <c r="D698" s="189"/>
      <c r="E698" s="189"/>
      <c r="F698" s="189"/>
      <c r="G698" s="189"/>
      <c r="H698" s="189"/>
      <c r="I698" s="338"/>
      <c r="J698" s="338"/>
      <c r="K698" s="338"/>
      <c r="L698" s="338"/>
      <c r="M698" s="338"/>
      <c r="N698" s="338"/>
      <c r="O698" s="338"/>
      <c r="P698" s="338"/>
      <c r="Q698" s="338"/>
      <c r="R698" s="338"/>
      <c r="S698" s="338"/>
      <c r="T698" s="230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</row>
    <row r="699" spans="1:30">
      <c r="A699" s="189"/>
      <c r="B699" s="189"/>
      <c r="C699" s="189"/>
      <c r="D699" s="189"/>
      <c r="E699" s="189"/>
      <c r="F699" s="189"/>
      <c r="G699" s="189"/>
      <c r="H699" s="189"/>
      <c r="I699" s="338"/>
      <c r="J699" s="338"/>
      <c r="K699" s="338"/>
      <c r="L699" s="338"/>
      <c r="M699" s="338"/>
      <c r="N699" s="338"/>
      <c r="O699" s="338"/>
      <c r="P699" s="338"/>
      <c r="Q699" s="338"/>
      <c r="R699" s="338"/>
      <c r="S699" s="338"/>
      <c r="T699" s="230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</row>
    <row r="700" spans="1:30">
      <c r="A700" s="189"/>
      <c r="B700" s="189"/>
      <c r="C700" s="189"/>
      <c r="D700" s="189"/>
      <c r="E700" s="189"/>
      <c r="F700" s="189"/>
      <c r="G700" s="189"/>
      <c r="H700" s="189"/>
      <c r="I700" s="338"/>
      <c r="J700" s="338"/>
      <c r="K700" s="338"/>
      <c r="L700" s="338"/>
      <c r="M700" s="338"/>
      <c r="N700" s="338"/>
      <c r="O700" s="338"/>
      <c r="P700" s="338"/>
      <c r="Q700" s="338"/>
      <c r="R700" s="338"/>
      <c r="S700" s="338"/>
      <c r="T700" s="230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</row>
    <row r="701" spans="1:30">
      <c r="A701" s="189"/>
      <c r="B701" s="189"/>
      <c r="C701" s="189"/>
      <c r="D701" s="189"/>
      <c r="E701" s="189"/>
      <c r="F701" s="189"/>
      <c r="G701" s="189"/>
      <c r="H701" s="189"/>
      <c r="I701" s="338"/>
      <c r="J701" s="338"/>
      <c r="K701" s="338"/>
      <c r="L701" s="338"/>
      <c r="M701" s="338"/>
      <c r="N701" s="338"/>
      <c r="O701" s="338"/>
      <c r="P701" s="338"/>
      <c r="Q701" s="338"/>
      <c r="R701" s="338"/>
      <c r="S701" s="338"/>
      <c r="T701" s="230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</row>
    <row r="702" spans="1:30">
      <c r="A702" s="189"/>
      <c r="B702" s="189"/>
      <c r="C702" s="189"/>
      <c r="D702" s="189"/>
      <c r="E702" s="189"/>
      <c r="F702" s="189"/>
      <c r="G702" s="189"/>
      <c r="H702" s="189"/>
      <c r="I702" s="338"/>
      <c r="J702" s="338"/>
      <c r="K702" s="338"/>
      <c r="L702" s="338"/>
      <c r="M702" s="338"/>
      <c r="N702" s="338"/>
      <c r="O702" s="338"/>
      <c r="P702" s="338"/>
      <c r="Q702" s="338"/>
      <c r="R702" s="338"/>
      <c r="S702" s="338"/>
      <c r="T702" s="230"/>
      <c r="U702" s="189"/>
      <c r="V702" s="189"/>
      <c r="W702" s="189"/>
      <c r="X702" s="189"/>
      <c r="Y702" s="189"/>
      <c r="Z702" s="189"/>
      <c r="AA702" s="189"/>
      <c r="AB702" s="189"/>
      <c r="AC702" s="189"/>
      <c r="AD702" s="189"/>
    </row>
    <row r="703" spans="1:30">
      <c r="A703" s="189"/>
      <c r="B703" s="189"/>
      <c r="C703" s="189"/>
      <c r="D703" s="189"/>
      <c r="E703" s="189"/>
      <c r="F703" s="189"/>
      <c r="G703" s="189"/>
      <c r="H703" s="189"/>
      <c r="I703" s="338"/>
      <c r="J703" s="338"/>
      <c r="K703" s="338"/>
      <c r="L703" s="338"/>
      <c r="M703" s="338"/>
      <c r="N703" s="338"/>
      <c r="O703" s="338"/>
      <c r="P703" s="338"/>
      <c r="Q703" s="338"/>
      <c r="R703" s="338"/>
      <c r="S703" s="338"/>
      <c r="T703" s="230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</row>
    <row r="704" spans="1:30">
      <c r="A704" s="189"/>
      <c r="B704" s="189"/>
      <c r="C704" s="189"/>
      <c r="D704" s="189"/>
      <c r="E704" s="189"/>
      <c r="F704" s="189"/>
      <c r="G704" s="189"/>
      <c r="H704" s="189"/>
      <c r="I704" s="338"/>
      <c r="J704" s="338"/>
      <c r="K704" s="338"/>
      <c r="L704" s="338"/>
      <c r="M704" s="338"/>
      <c r="N704" s="338"/>
      <c r="O704" s="338"/>
      <c r="P704" s="338"/>
      <c r="Q704" s="338"/>
      <c r="R704" s="338"/>
      <c r="S704" s="338"/>
      <c r="T704" s="230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</row>
    <row r="705" spans="1:30">
      <c r="A705" s="189"/>
      <c r="B705" s="189"/>
      <c r="C705" s="189"/>
      <c r="D705" s="189"/>
      <c r="E705" s="189"/>
      <c r="F705" s="189"/>
      <c r="G705" s="189"/>
      <c r="H705" s="189"/>
      <c r="I705" s="338"/>
      <c r="J705" s="338"/>
      <c r="K705" s="338"/>
      <c r="L705" s="338"/>
      <c r="M705" s="338"/>
      <c r="N705" s="338"/>
      <c r="O705" s="338"/>
      <c r="P705" s="338"/>
      <c r="Q705" s="338"/>
      <c r="R705" s="338"/>
      <c r="S705" s="338"/>
      <c r="T705" s="230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</row>
    <row r="706" spans="1:30">
      <c r="A706" s="189"/>
      <c r="B706" s="189"/>
      <c r="C706" s="189"/>
      <c r="D706" s="189"/>
      <c r="E706" s="189"/>
      <c r="F706" s="189"/>
      <c r="G706" s="189"/>
      <c r="H706" s="189"/>
      <c r="I706" s="338"/>
      <c r="J706" s="338"/>
      <c r="K706" s="338"/>
      <c r="L706" s="338"/>
      <c r="M706" s="338"/>
      <c r="N706" s="338"/>
      <c r="O706" s="338"/>
      <c r="P706" s="338"/>
      <c r="Q706" s="338"/>
      <c r="R706" s="338"/>
      <c r="S706" s="338"/>
      <c r="T706" s="230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</row>
    <row r="707" spans="1:30">
      <c r="A707" s="189"/>
      <c r="B707" s="189"/>
      <c r="C707" s="189"/>
      <c r="D707" s="189"/>
      <c r="E707" s="189"/>
      <c r="F707" s="189"/>
      <c r="G707" s="189"/>
      <c r="H707" s="189"/>
      <c r="I707" s="338"/>
      <c r="J707" s="338"/>
      <c r="K707" s="338"/>
      <c r="L707" s="338"/>
      <c r="M707" s="338"/>
      <c r="N707" s="338"/>
      <c r="O707" s="338"/>
      <c r="P707" s="338"/>
      <c r="Q707" s="338"/>
      <c r="R707" s="338"/>
      <c r="S707" s="338"/>
      <c r="T707" s="230"/>
      <c r="U707" s="189"/>
      <c r="V707" s="189"/>
      <c r="W707" s="189"/>
      <c r="X707" s="189"/>
      <c r="Y707" s="189"/>
      <c r="Z707" s="189"/>
      <c r="AA707" s="189"/>
      <c r="AB707" s="189"/>
      <c r="AC707" s="189"/>
      <c r="AD707" s="189"/>
    </row>
    <row r="708" spans="1:30">
      <c r="A708" s="189"/>
      <c r="B708" s="189"/>
      <c r="C708" s="189"/>
      <c r="D708" s="189"/>
      <c r="E708" s="189"/>
      <c r="F708" s="189"/>
      <c r="G708" s="189"/>
      <c r="H708" s="189"/>
      <c r="I708" s="338"/>
      <c r="J708" s="338"/>
      <c r="K708" s="338"/>
      <c r="L708" s="338"/>
      <c r="M708" s="338"/>
      <c r="N708" s="338"/>
      <c r="O708" s="338"/>
      <c r="P708" s="338"/>
      <c r="Q708" s="338"/>
      <c r="R708" s="338"/>
      <c r="S708" s="338"/>
      <c r="T708" s="230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</row>
    <row r="709" spans="1:30">
      <c r="A709" s="189"/>
      <c r="B709" s="189"/>
      <c r="C709" s="189"/>
      <c r="D709" s="189"/>
      <c r="E709" s="189"/>
      <c r="F709" s="189"/>
      <c r="G709" s="189"/>
      <c r="H709" s="189"/>
      <c r="I709" s="338"/>
      <c r="J709" s="338"/>
      <c r="K709" s="338"/>
      <c r="L709" s="338"/>
      <c r="M709" s="338"/>
      <c r="N709" s="338"/>
      <c r="O709" s="338"/>
      <c r="P709" s="338"/>
      <c r="Q709" s="338"/>
      <c r="R709" s="338"/>
      <c r="S709" s="338"/>
      <c r="T709" s="230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</row>
    <row r="710" spans="1:30">
      <c r="A710" s="189"/>
      <c r="B710" s="189"/>
      <c r="C710" s="189"/>
      <c r="D710" s="189"/>
      <c r="E710" s="189"/>
      <c r="F710" s="189"/>
      <c r="G710" s="189"/>
      <c r="H710" s="189"/>
      <c r="I710" s="338"/>
      <c r="J710" s="338"/>
      <c r="K710" s="338"/>
      <c r="L710" s="338"/>
      <c r="M710" s="338"/>
      <c r="N710" s="338"/>
      <c r="O710" s="338"/>
      <c r="P710" s="338"/>
      <c r="Q710" s="338"/>
      <c r="R710" s="338"/>
      <c r="S710" s="338"/>
      <c r="T710" s="230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</row>
    <row r="711" spans="1:30">
      <c r="A711" s="189"/>
      <c r="B711" s="189"/>
      <c r="C711" s="189"/>
      <c r="D711" s="189"/>
      <c r="E711" s="189"/>
      <c r="F711" s="189"/>
      <c r="G711" s="189"/>
      <c r="H711" s="189"/>
      <c r="I711" s="338"/>
      <c r="J711" s="338"/>
      <c r="K711" s="338"/>
      <c r="L711" s="338"/>
      <c r="M711" s="338"/>
      <c r="N711" s="338"/>
      <c r="O711" s="338"/>
      <c r="P711" s="338"/>
      <c r="Q711" s="338"/>
      <c r="R711" s="338"/>
      <c r="S711" s="338"/>
      <c r="T711" s="230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</row>
    <row r="712" spans="1:30">
      <c r="A712" s="189"/>
      <c r="B712" s="189"/>
      <c r="C712" s="189"/>
      <c r="D712" s="189"/>
      <c r="E712" s="189"/>
      <c r="F712" s="189"/>
      <c r="G712" s="189"/>
      <c r="H712" s="189"/>
      <c r="I712" s="338"/>
      <c r="J712" s="338"/>
      <c r="K712" s="338"/>
      <c r="L712" s="338"/>
      <c r="M712" s="338"/>
      <c r="N712" s="338"/>
      <c r="O712" s="338"/>
      <c r="P712" s="338"/>
      <c r="Q712" s="338"/>
      <c r="R712" s="338"/>
      <c r="S712" s="338"/>
      <c r="T712" s="230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</row>
    <row r="713" spans="1:30">
      <c r="A713" s="189"/>
      <c r="B713" s="189"/>
      <c r="C713" s="189"/>
      <c r="D713" s="189"/>
      <c r="E713" s="189"/>
      <c r="F713" s="189"/>
      <c r="G713" s="189"/>
      <c r="H713" s="189"/>
      <c r="I713" s="338"/>
      <c r="J713" s="338"/>
      <c r="K713" s="338"/>
      <c r="L713" s="338"/>
      <c r="M713" s="338"/>
      <c r="N713" s="338"/>
      <c r="O713" s="338"/>
      <c r="P713" s="338"/>
      <c r="Q713" s="338"/>
      <c r="R713" s="338"/>
      <c r="S713" s="338"/>
      <c r="T713" s="230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</row>
    <row r="714" spans="1:30">
      <c r="A714" s="189"/>
      <c r="B714" s="189"/>
      <c r="C714" s="189"/>
      <c r="D714" s="189"/>
      <c r="E714" s="189"/>
      <c r="F714" s="189"/>
      <c r="G714" s="189"/>
      <c r="H714" s="189"/>
      <c r="I714" s="338"/>
      <c r="J714" s="338"/>
      <c r="K714" s="338"/>
      <c r="L714" s="338"/>
      <c r="M714" s="338"/>
      <c r="N714" s="338"/>
      <c r="O714" s="338"/>
      <c r="P714" s="338"/>
      <c r="Q714" s="338"/>
      <c r="R714" s="338"/>
      <c r="S714" s="338"/>
      <c r="T714" s="230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</row>
    <row r="715" spans="1:30">
      <c r="A715" s="189"/>
      <c r="B715" s="189"/>
      <c r="C715" s="189"/>
      <c r="D715" s="189"/>
      <c r="E715" s="189"/>
      <c r="F715" s="189"/>
      <c r="G715" s="189"/>
      <c r="H715" s="189"/>
      <c r="I715" s="338"/>
      <c r="J715" s="338"/>
      <c r="K715" s="338"/>
      <c r="L715" s="338"/>
      <c r="M715" s="338"/>
      <c r="N715" s="338"/>
      <c r="O715" s="338"/>
      <c r="P715" s="338"/>
      <c r="Q715" s="338"/>
      <c r="R715" s="338"/>
      <c r="S715" s="338"/>
      <c r="T715" s="230"/>
      <c r="U715" s="189"/>
      <c r="V715" s="189"/>
      <c r="W715" s="189"/>
      <c r="X715" s="189"/>
      <c r="Y715" s="189"/>
      <c r="Z715" s="189"/>
      <c r="AA715" s="189"/>
      <c r="AB715" s="189"/>
      <c r="AC715" s="189"/>
      <c r="AD715" s="189"/>
    </row>
    <row r="716" spans="1:30">
      <c r="A716" s="189"/>
      <c r="B716" s="189"/>
      <c r="C716" s="189"/>
      <c r="D716" s="189"/>
      <c r="E716" s="189"/>
      <c r="F716" s="189"/>
      <c r="G716" s="189"/>
      <c r="H716" s="189"/>
      <c r="I716" s="338"/>
      <c r="J716" s="338"/>
      <c r="K716" s="338"/>
      <c r="L716" s="338"/>
      <c r="M716" s="338"/>
      <c r="N716" s="338"/>
      <c r="O716" s="338"/>
      <c r="P716" s="338"/>
      <c r="Q716" s="338"/>
      <c r="R716" s="338"/>
      <c r="S716" s="338"/>
      <c r="T716" s="230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</row>
    <row r="717" spans="1:30">
      <c r="A717" s="189"/>
      <c r="B717" s="189"/>
      <c r="C717" s="189"/>
      <c r="D717" s="189"/>
      <c r="E717" s="189"/>
      <c r="F717" s="189"/>
      <c r="G717" s="189"/>
      <c r="H717" s="189"/>
      <c r="I717" s="338"/>
      <c r="J717" s="338"/>
      <c r="K717" s="338"/>
      <c r="L717" s="338"/>
      <c r="M717" s="338"/>
      <c r="N717" s="338"/>
      <c r="O717" s="338"/>
      <c r="P717" s="338"/>
      <c r="Q717" s="338"/>
      <c r="R717" s="338"/>
      <c r="S717" s="338"/>
      <c r="T717" s="230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</row>
    <row r="718" spans="1:30">
      <c r="A718" s="189"/>
      <c r="B718" s="189"/>
      <c r="C718" s="189"/>
      <c r="D718" s="189"/>
      <c r="E718" s="189"/>
      <c r="F718" s="189"/>
      <c r="G718" s="189"/>
      <c r="H718" s="189"/>
      <c r="I718" s="338"/>
      <c r="J718" s="338"/>
      <c r="K718" s="338"/>
      <c r="L718" s="338"/>
      <c r="M718" s="338"/>
      <c r="N718" s="338"/>
      <c r="O718" s="338"/>
      <c r="P718" s="338"/>
      <c r="Q718" s="338"/>
      <c r="R718" s="338"/>
      <c r="S718" s="338"/>
      <c r="T718" s="230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</row>
    <row r="719" spans="1:30">
      <c r="A719" s="189"/>
      <c r="B719" s="189"/>
      <c r="C719" s="189"/>
      <c r="D719" s="189"/>
      <c r="E719" s="189"/>
      <c r="F719" s="189"/>
      <c r="G719" s="189"/>
      <c r="H719" s="189"/>
      <c r="I719" s="338"/>
      <c r="J719" s="338"/>
      <c r="K719" s="338"/>
      <c r="L719" s="338"/>
      <c r="M719" s="338"/>
      <c r="N719" s="338"/>
      <c r="O719" s="338"/>
      <c r="P719" s="338"/>
      <c r="Q719" s="338"/>
      <c r="R719" s="338"/>
      <c r="S719" s="338"/>
      <c r="T719" s="230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</row>
    <row r="720" spans="1:30">
      <c r="A720" s="189"/>
      <c r="B720" s="189"/>
      <c r="C720" s="189"/>
      <c r="D720" s="189"/>
      <c r="E720" s="189"/>
      <c r="F720" s="189"/>
      <c r="G720" s="189"/>
      <c r="H720" s="189"/>
      <c r="I720" s="338"/>
      <c r="J720" s="338"/>
      <c r="K720" s="338"/>
      <c r="L720" s="338"/>
      <c r="M720" s="338"/>
      <c r="N720" s="338"/>
      <c r="O720" s="338"/>
      <c r="P720" s="338"/>
      <c r="Q720" s="338"/>
      <c r="R720" s="338"/>
      <c r="S720" s="338"/>
      <c r="T720" s="230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</row>
    <row r="721" spans="1:30">
      <c r="A721" s="189"/>
      <c r="B721" s="189"/>
      <c r="C721" s="189"/>
      <c r="D721" s="189"/>
      <c r="E721" s="189"/>
      <c r="F721" s="189"/>
      <c r="G721" s="189"/>
      <c r="H721" s="189"/>
      <c r="I721" s="338"/>
      <c r="J721" s="338"/>
      <c r="K721" s="338"/>
      <c r="L721" s="338"/>
      <c r="M721" s="338"/>
      <c r="N721" s="338"/>
      <c r="O721" s="338"/>
      <c r="P721" s="338"/>
      <c r="Q721" s="338"/>
      <c r="R721" s="338"/>
      <c r="S721" s="338"/>
      <c r="T721" s="230"/>
      <c r="U721" s="189"/>
      <c r="V721" s="189"/>
      <c r="W721" s="189"/>
      <c r="X721" s="189"/>
      <c r="Y721" s="189"/>
      <c r="Z721" s="189"/>
      <c r="AA721" s="189"/>
      <c r="AB721" s="189"/>
      <c r="AC721" s="189"/>
      <c r="AD721" s="189"/>
    </row>
    <row r="722" spans="1:30">
      <c r="A722" s="189"/>
      <c r="B722" s="189"/>
      <c r="C722" s="189"/>
      <c r="D722" s="189"/>
      <c r="E722" s="189"/>
      <c r="F722" s="189"/>
      <c r="G722" s="189"/>
      <c r="H722" s="189"/>
      <c r="I722" s="338"/>
      <c r="J722" s="338"/>
      <c r="K722" s="338"/>
      <c r="L722" s="338"/>
      <c r="M722" s="338"/>
      <c r="N722" s="338"/>
      <c r="O722" s="338"/>
      <c r="P722" s="338"/>
      <c r="Q722" s="338"/>
      <c r="R722" s="338"/>
      <c r="S722" s="338"/>
      <c r="T722" s="230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</row>
    <row r="723" spans="1:30">
      <c r="A723" s="189"/>
      <c r="B723" s="189"/>
      <c r="C723" s="189"/>
      <c r="D723" s="189"/>
      <c r="E723" s="189"/>
      <c r="F723" s="189"/>
      <c r="G723" s="189"/>
      <c r="H723" s="189"/>
      <c r="I723" s="338"/>
      <c r="J723" s="338"/>
      <c r="K723" s="338"/>
      <c r="L723" s="338"/>
      <c r="M723" s="338"/>
      <c r="N723" s="338"/>
      <c r="O723" s="338"/>
      <c r="P723" s="338"/>
      <c r="Q723" s="338"/>
      <c r="R723" s="338"/>
      <c r="S723" s="338"/>
      <c r="T723" s="230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</row>
    <row r="724" spans="1:30">
      <c r="A724" s="189"/>
      <c r="B724" s="189"/>
      <c r="C724" s="189"/>
      <c r="D724" s="189"/>
      <c r="E724" s="189"/>
      <c r="F724" s="189"/>
      <c r="G724" s="189"/>
      <c r="H724" s="189"/>
      <c r="I724" s="338"/>
      <c r="J724" s="338"/>
      <c r="K724" s="338"/>
      <c r="L724" s="338"/>
      <c r="M724" s="338"/>
      <c r="N724" s="338"/>
      <c r="O724" s="338"/>
      <c r="P724" s="338"/>
      <c r="Q724" s="338"/>
      <c r="R724" s="338"/>
      <c r="S724" s="338"/>
      <c r="T724" s="230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</row>
    <row r="725" spans="1:30">
      <c r="A725" s="189"/>
      <c r="B725" s="189"/>
      <c r="C725" s="189"/>
      <c r="D725" s="189"/>
      <c r="E725" s="189"/>
      <c r="F725" s="189"/>
      <c r="G725" s="189"/>
      <c r="H725" s="189"/>
      <c r="I725" s="338"/>
      <c r="J725" s="338"/>
      <c r="K725" s="338"/>
      <c r="L725" s="338"/>
      <c r="M725" s="338"/>
      <c r="N725" s="338"/>
      <c r="O725" s="338"/>
      <c r="P725" s="338"/>
      <c r="Q725" s="338"/>
      <c r="R725" s="338"/>
      <c r="S725" s="338"/>
      <c r="T725" s="230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</row>
    <row r="726" spans="1:30">
      <c r="A726" s="189"/>
      <c r="B726" s="189"/>
      <c r="C726" s="189"/>
      <c r="D726" s="189"/>
      <c r="E726" s="189"/>
      <c r="F726" s="189"/>
      <c r="G726" s="189"/>
      <c r="H726" s="189"/>
      <c r="I726" s="338"/>
      <c r="J726" s="338"/>
      <c r="K726" s="338"/>
      <c r="L726" s="338"/>
      <c r="M726" s="338"/>
      <c r="N726" s="338"/>
      <c r="O726" s="338"/>
      <c r="P726" s="338"/>
      <c r="Q726" s="338"/>
      <c r="R726" s="338"/>
      <c r="S726" s="338"/>
      <c r="T726" s="230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</row>
    <row r="727" spans="1:30">
      <c r="A727" s="189"/>
      <c r="B727" s="189"/>
      <c r="C727" s="189"/>
      <c r="D727" s="189"/>
      <c r="E727" s="189"/>
      <c r="F727" s="189"/>
      <c r="G727" s="189"/>
      <c r="H727" s="189"/>
      <c r="I727" s="338"/>
      <c r="J727" s="338"/>
      <c r="K727" s="338"/>
      <c r="L727" s="338"/>
      <c r="M727" s="338"/>
      <c r="N727" s="338"/>
      <c r="O727" s="338"/>
      <c r="P727" s="338"/>
      <c r="Q727" s="338"/>
      <c r="R727" s="338"/>
      <c r="S727" s="338"/>
      <c r="T727" s="230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</row>
    <row r="728" spans="1:30">
      <c r="A728" s="189"/>
      <c r="B728" s="189"/>
      <c r="C728" s="189"/>
      <c r="D728" s="189"/>
      <c r="E728" s="189"/>
      <c r="F728" s="189"/>
      <c r="G728" s="189"/>
      <c r="H728" s="189"/>
      <c r="I728" s="338"/>
      <c r="J728" s="338"/>
      <c r="K728" s="338"/>
      <c r="L728" s="338"/>
      <c r="M728" s="338"/>
      <c r="N728" s="338"/>
      <c r="O728" s="338"/>
      <c r="P728" s="338"/>
      <c r="Q728" s="338"/>
      <c r="R728" s="338"/>
      <c r="S728" s="338"/>
      <c r="T728" s="230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</row>
    <row r="729" spans="1:30">
      <c r="A729" s="189"/>
      <c r="B729" s="189"/>
      <c r="C729" s="189"/>
      <c r="D729" s="189"/>
      <c r="E729" s="189"/>
      <c r="F729" s="189"/>
      <c r="G729" s="189"/>
      <c r="H729" s="189"/>
      <c r="I729" s="338"/>
      <c r="J729" s="338"/>
      <c r="K729" s="338"/>
      <c r="L729" s="338"/>
      <c r="M729" s="338"/>
      <c r="N729" s="338"/>
      <c r="O729" s="338"/>
      <c r="P729" s="338"/>
      <c r="Q729" s="338"/>
      <c r="R729" s="338"/>
      <c r="S729" s="338"/>
      <c r="T729" s="230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</row>
    <row r="730" spans="1:30">
      <c r="A730" s="189"/>
      <c r="B730" s="189"/>
      <c r="C730" s="189"/>
      <c r="D730" s="189"/>
      <c r="E730" s="189"/>
      <c r="F730" s="189"/>
      <c r="G730" s="189"/>
      <c r="H730" s="189"/>
      <c r="I730" s="338"/>
      <c r="J730" s="338"/>
      <c r="K730" s="338"/>
      <c r="L730" s="338"/>
      <c r="M730" s="338"/>
      <c r="N730" s="338"/>
      <c r="O730" s="338"/>
      <c r="P730" s="338"/>
      <c r="Q730" s="338"/>
      <c r="R730" s="338"/>
      <c r="S730" s="338"/>
      <c r="T730" s="230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</row>
    <row r="731" spans="1:30">
      <c r="A731" s="189"/>
      <c r="B731" s="189"/>
      <c r="C731" s="189"/>
      <c r="D731" s="189"/>
      <c r="E731" s="189"/>
      <c r="F731" s="189"/>
      <c r="G731" s="189"/>
      <c r="H731" s="189"/>
      <c r="I731" s="338"/>
      <c r="J731" s="338"/>
      <c r="K731" s="338"/>
      <c r="L731" s="338"/>
      <c r="M731" s="338"/>
      <c r="N731" s="338"/>
      <c r="O731" s="338"/>
      <c r="P731" s="338"/>
      <c r="Q731" s="338"/>
      <c r="R731" s="338"/>
      <c r="S731" s="338"/>
      <c r="T731" s="230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</row>
    <row r="732" spans="1:30">
      <c r="A732" s="189"/>
      <c r="B732" s="189"/>
      <c r="C732" s="189"/>
      <c r="D732" s="189"/>
      <c r="E732" s="189"/>
      <c r="F732" s="189"/>
      <c r="G732" s="189"/>
      <c r="H732" s="189"/>
      <c r="I732" s="338"/>
      <c r="J732" s="338"/>
      <c r="K732" s="338"/>
      <c r="L732" s="338"/>
      <c r="M732" s="338"/>
      <c r="N732" s="338"/>
      <c r="O732" s="338"/>
      <c r="P732" s="338"/>
      <c r="Q732" s="338"/>
      <c r="R732" s="338"/>
      <c r="S732" s="338"/>
      <c r="T732" s="230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</row>
    <row r="733" spans="1:30">
      <c r="A733" s="189"/>
      <c r="B733" s="189"/>
      <c r="C733" s="189"/>
      <c r="D733" s="189"/>
      <c r="E733" s="189"/>
      <c r="F733" s="189"/>
      <c r="G733" s="189"/>
      <c r="H733" s="189"/>
      <c r="I733" s="338"/>
      <c r="J733" s="338"/>
      <c r="K733" s="338"/>
      <c r="L733" s="338"/>
      <c r="M733" s="338"/>
      <c r="N733" s="338"/>
      <c r="O733" s="338"/>
      <c r="P733" s="338"/>
      <c r="Q733" s="338"/>
      <c r="R733" s="338"/>
      <c r="S733" s="338"/>
      <c r="T733" s="230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</row>
    <row r="734" spans="1:30">
      <c r="A734" s="189"/>
      <c r="B734" s="189"/>
      <c r="C734" s="189"/>
      <c r="D734" s="189"/>
      <c r="E734" s="189"/>
      <c r="F734" s="189"/>
      <c r="G734" s="189"/>
      <c r="H734" s="189"/>
      <c r="I734" s="338"/>
      <c r="J734" s="338"/>
      <c r="K734" s="338"/>
      <c r="L734" s="338"/>
      <c r="M734" s="338"/>
      <c r="N734" s="338"/>
      <c r="O734" s="338"/>
      <c r="P734" s="338"/>
      <c r="Q734" s="338"/>
      <c r="R734" s="338"/>
      <c r="S734" s="338"/>
      <c r="T734" s="230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</row>
    <row r="735" spans="1:30">
      <c r="A735" s="189"/>
      <c r="B735" s="189"/>
      <c r="C735" s="189"/>
      <c r="D735" s="189"/>
      <c r="E735" s="189"/>
      <c r="F735" s="189"/>
      <c r="G735" s="189"/>
      <c r="H735" s="189"/>
      <c r="I735" s="338"/>
      <c r="J735" s="338"/>
      <c r="K735" s="338"/>
      <c r="L735" s="338"/>
      <c r="M735" s="338"/>
      <c r="N735" s="338"/>
      <c r="O735" s="338"/>
      <c r="P735" s="338"/>
      <c r="Q735" s="338"/>
      <c r="R735" s="338"/>
      <c r="S735" s="338"/>
      <c r="T735" s="230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</row>
    <row r="736" spans="1:30">
      <c r="A736" s="189"/>
      <c r="B736" s="189"/>
      <c r="C736" s="189"/>
      <c r="D736" s="189"/>
      <c r="E736" s="189"/>
      <c r="F736" s="189"/>
      <c r="G736" s="189"/>
      <c r="H736" s="189"/>
      <c r="I736" s="338"/>
      <c r="J736" s="338"/>
      <c r="K736" s="338"/>
      <c r="L736" s="338"/>
      <c r="M736" s="338"/>
      <c r="N736" s="338"/>
      <c r="O736" s="338"/>
      <c r="P736" s="338"/>
      <c r="Q736" s="338"/>
      <c r="R736" s="338"/>
      <c r="S736" s="338"/>
      <c r="T736" s="230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</row>
    <row r="737" spans="1:30">
      <c r="A737" s="189"/>
      <c r="B737" s="189"/>
      <c r="C737" s="189"/>
      <c r="D737" s="189"/>
      <c r="E737" s="189"/>
      <c r="F737" s="189"/>
      <c r="G737" s="189"/>
      <c r="H737" s="189"/>
      <c r="I737" s="338"/>
      <c r="J737" s="338"/>
      <c r="K737" s="338"/>
      <c r="L737" s="338"/>
      <c r="M737" s="338"/>
      <c r="N737" s="338"/>
      <c r="O737" s="338"/>
      <c r="P737" s="338"/>
      <c r="Q737" s="338"/>
      <c r="R737" s="338"/>
      <c r="S737" s="338"/>
      <c r="T737" s="230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</row>
    <row r="738" spans="1:30">
      <c r="A738" s="189"/>
      <c r="B738" s="189"/>
      <c r="C738" s="189"/>
      <c r="D738" s="189"/>
      <c r="E738" s="189"/>
      <c r="F738" s="189"/>
      <c r="G738" s="189"/>
      <c r="H738" s="189"/>
      <c r="I738" s="338"/>
      <c r="J738" s="338"/>
      <c r="K738" s="338"/>
      <c r="L738" s="338"/>
      <c r="M738" s="338"/>
      <c r="N738" s="338"/>
      <c r="O738" s="338"/>
      <c r="P738" s="338"/>
      <c r="Q738" s="338"/>
      <c r="R738" s="338"/>
      <c r="S738" s="338"/>
      <c r="T738" s="230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</row>
    <row r="739" spans="1:30">
      <c r="A739" s="189"/>
      <c r="B739" s="189"/>
      <c r="C739" s="189"/>
      <c r="D739" s="189"/>
      <c r="E739" s="189"/>
      <c r="F739" s="189"/>
      <c r="G739" s="189"/>
      <c r="H739" s="189"/>
      <c r="I739" s="338"/>
      <c r="J739" s="338"/>
      <c r="K739" s="338"/>
      <c r="L739" s="338"/>
      <c r="M739" s="338"/>
      <c r="N739" s="338"/>
      <c r="O739" s="338"/>
      <c r="P739" s="338"/>
      <c r="Q739" s="338"/>
      <c r="R739" s="338"/>
      <c r="S739" s="338"/>
      <c r="T739" s="230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</row>
    <row r="740" spans="1:30">
      <c r="A740" s="189"/>
      <c r="B740" s="189"/>
      <c r="C740" s="189"/>
      <c r="D740" s="189"/>
      <c r="E740" s="189"/>
      <c r="F740" s="189"/>
      <c r="G740" s="189"/>
      <c r="H740" s="189"/>
      <c r="I740" s="338"/>
      <c r="J740" s="338"/>
      <c r="K740" s="338"/>
      <c r="L740" s="338"/>
      <c r="M740" s="338"/>
      <c r="N740" s="338"/>
      <c r="O740" s="338"/>
      <c r="P740" s="338"/>
      <c r="Q740" s="338"/>
      <c r="R740" s="338"/>
      <c r="S740" s="338"/>
      <c r="T740" s="230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</row>
    <row r="741" spans="1:30">
      <c r="A741" s="189"/>
      <c r="B741" s="189"/>
      <c r="C741" s="189"/>
      <c r="D741" s="189"/>
      <c r="E741" s="189"/>
      <c r="F741" s="189"/>
      <c r="G741" s="189"/>
      <c r="H741" s="189"/>
      <c r="I741" s="338"/>
      <c r="J741" s="338"/>
      <c r="K741" s="338"/>
      <c r="L741" s="338"/>
      <c r="M741" s="338"/>
      <c r="N741" s="338"/>
      <c r="O741" s="338"/>
      <c r="P741" s="338"/>
      <c r="Q741" s="338"/>
      <c r="R741" s="338"/>
      <c r="S741" s="338"/>
      <c r="T741" s="230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</row>
    <row r="742" spans="1:30">
      <c r="A742" s="189"/>
      <c r="B742" s="189"/>
      <c r="C742" s="189"/>
      <c r="D742" s="189"/>
      <c r="E742" s="189"/>
      <c r="F742" s="189"/>
      <c r="G742" s="189"/>
      <c r="H742" s="189"/>
      <c r="I742" s="338"/>
      <c r="J742" s="338"/>
      <c r="K742" s="338"/>
      <c r="L742" s="338"/>
      <c r="M742" s="338"/>
      <c r="N742" s="338"/>
      <c r="O742" s="338"/>
      <c r="P742" s="338"/>
      <c r="Q742" s="338"/>
      <c r="R742" s="338"/>
      <c r="S742" s="338"/>
      <c r="T742" s="230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</row>
    <row r="743" spans="1:30">
      <c r="A743" s="189"/>
      <c r="B743" s="189"/>
      <c r="C743" s="189"/>
      <c r="D743" s="189"/>
      <c r="E743" s="189"/>
      <c r="F743" s="189"/>
      <c r="G743" s="189"/>
      <c r="H743" s="189"/>
      <c r="I743" s="338"/>
      <c r="J743" s="338"/>
      <c r="K743" s="338"/>
      <c r="L743" s="338"/>
      <c r="M743" s="338"/>
      <c r="N743" s="338"/>
      <c r="O743" s="338"/>
      <c r="P743" s="338"/>
      <c r="Q743" s="338"/>
      <c r="R743" s="338"/>
      <c r="S743" s="338"/>
      <c r="T743" s="230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</row>
    <row r="744" spans="1:30">
      <c r="A744" s="189"/>
      <c r="B744" s="189"/>
      <c r="C744" s="189"/>
      <c r="D744" s="189"/>
      <c r="E744" s="189"/>
      <c r="F744" s="189"/>
      <c r="G744" s="189"/>
      <c r="H744" s="189"/>
      <c r="I744" s="338"/>
      <c r="J744" s="338"/>
      <c r="K744" s="338"/>
      <c r="L744" s="338"/>
      <c r="M744" s="338"/>
      <c r="N744" s="338"/>
      <c r="O744" s="338"/>
      <c r="P744" s="338"/>
      <c r="Q744" s="338"/>
      <c r="R744" s="338"/>
      <c r="S744" s="338"/>
      <c r="T744" s="230"/>
      <c r="U744" s="189"/>
      <c r="V744" s="189"/>
      <c r="W744" s="189"/>
      <c r="X744" s="189"/>
      <c r="Y744" s="189"/>
      <c r="Z744" s="189"/>
      <c r="AA744" s="189"/>
      <c r="AB744" s="189"/>
      <c r="AC744" s="189"/>
      <c r="AD744" s="189"/>
    </row>
    <row r="745" spans="1:30">
      <c r="A745" s="189"/>
      <c r="B745" s="189"/>
      <c r="C745" s="189"/>
      <c r="D745" s="189"/>
      <c r="E745" s="189"/>
      <c r="F745" s="189"/>
      <c r="G745" s="189"/>
      <c r="H745" s="189"/>
      <c r="I745" s="338"/>
      <c r="J745" s="338"/>
      <c r="K745" s="338"/>
      <c r="L745" s="338"/>
      <c r="M745" s="338"/>
      <c r="N745" s="338"/>
      <c r="O745" s="338"/>
      <c r="P745" s="338"/>
      <c r="Q745" s="338"/>
      <c r="R745" s="338"/>
      <c r="S745" s="338"/>
      <c r="T745" s="230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</row>
    <row r="746" spans="1:30">
      <c r="A746" s="189"/>
      <c r="B746" s="189"/>
      <c r="C746" s="189"/>
      <c r="D746" s="189"/>
      <c r="E746" s="189"/>
      <c r="F746" s="189"/>
      <c r="G746" s="189"/>
      <c r="H746" s="189"/>
      <c r="I746" s="338"/>
      <c r="J746" s="338"/>
      <c r="K746" s="338"/>
      <c r="L746" s="338"/>
      <c r="M746" s="338"/>
      <c r="N746" s="338"/>
      <c r="O746" s="338"/>
      <c r="P746" s="338"/>
      <c r="Q746" s="338"/>
      <c r="R746" s="338"/>
      <c r="S746" s="338"/>
      <c r="T746" s="230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</row>
    <row r="747" spans="1:30">
      <c r="A747" s="189"/>
      <c r="B747" s="189"/>
      <c r="C747" s="189"/>
      <c r="D747" s="189"/>
      <c r="E747" s="189"/>
      <c r="F747" s="189"/>
      <c r="G747" s="189"/>
      <c r="H747" s="189"/>
      <c r="I747" s="338"/>
      <c r="J747" s="338"/>
      <c r="K747" s="338"/>
      <c r="L747" s="338"/>
      <c r="M747" s="338"/>
      <c r="N747" s="338"/>
      <c r="O747" s="338"/>
      <c r="P747" s="338"/>
      <c r="Q747" s="338"/>
      <c r="R747" s="338"/>
      <c r="S747" s="338"/>
      <c r="T747" s="230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</row>
    <row r="748" spans="1:30">
      <c r="A748" s="189"/>
      <c r="B748" s="189"/>
      <c r="C748" s="189"/>
      <c r="D748" s="189"/>
      <c r="E748" s="189"/>
      <c r="F748" s="189"/>
      <c r="G748" s="189"/>
      <c r="H748" s="189"/>
      <c r="I748" s="338"/>
      <c r="J748" s="338"/>
      <c r="K748" s="338"/>
      <c r="L748" s="338"/>
      <c r="M748" s="338"/>
      <c r="N748" s="338"/>
      <c r="O748" s="338"/>
      <c r="P748" s="338"/>
      <c r="Q748" s="338"/>
      <c r="R748" s="338"/>
      <c r="S748" s="338"/>
      <c r="T748" s="230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</row>
    <row r="749" spans="1:30">
      <c r="A749" s="189"/>
      <c r="B749" s="189"/>
      <c r="C749" s="189"/>
      <c r="D749" s="189"/>
      <c r="E749" s="189"/>
      <c r="F749" s="189"/>
      <c r="G749" s="189"/>
      <c r="H749" s="189"/>
      <c r="I749" s="338"/>
      <c r="J749" s="338"/>
      <c r="K749" s="338"/>
      <c r="L749" s="338"/>
      <c r="M749" s="338"/>
      <c r="N749" s="338"/>
      <c r="O749" s="338"/>
      <c r="P749" s="338"/>
      <c r="Q749" s="338"/>
      <c r="R749" s="338"/>
      <c r="S749" s="338"/>
      <c r="T749" s="230"/>
      <c r="U749" s="189"/>
      <c r="V749" s="189"/>
      <c r="W749" s="189"/>
      <c r="X749" s="189"/>
      <c r="Y749" s="189"/>
      <c r="Z749" s="189"/>
      <c r="AA749" s="189"/>
      <c r="AB749" s="189"/>
      <c r="AC749" s="189"/>
      <c r="AD749" s="189"/>
    </row>
    <row r="750" spans="1:30">
      <c r="A750" s="189"/>
      <c r="B750" s="189"/>
      <c r="C750" s="189"/>
      <c r="D750" s="189"/>
      <c r="E750" s="189"/>
      <c r="F750" s="189"/>
      <c r="G750" s="189"/>
      <c r="H750" s="189"/>
      <c r="I750" s="338"/>
      <c r="J750" s="338"/>
      <c r="K750" s="338"/>
      <c r="L750" s="338"/>
      <c r="M750" s="338"/>
      <c r="N750" s="338"/>
      <c r="O750" s="338"/>
      <c r="P750" s="338"/>
      <c r="Q750" s="338"/>
      <c r="R750" s="338"/>
      <c r="S750" s="338"/>
      <c r="T750" s="230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</row>
    <row r="751" spans="1:30">
      <c r="A751" s="189"/>
      <c r="B751" s="189"/>
      <c r="C751" s="189"/>
      <c r="D751" s="189"/>
      <c r="E751" s="189"/>
      <c r="F751" s="189"/>
      <c r="G751" s="189"/>
      <c r="H751" s="189"/>
      <c r="I751" s="338"/>
      <c r="J751" s="338"/>
      <c r="K751" s="338"/>
      <c r="L751" s="338"/>
      <c r="M751" s="338"/>
      <c r="N751" s="338"/>
      <c r="O751" s="338"/>
      <c r="P751" s="338"/>
      <c r="Q751" s="338"/>
      <c r="R751" s="338"/>
      <c r="S751" s="338"/>
      <c r="T751" s="230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</row>
    <row r="752" spans="1:30">
      <c r="A752" s="189"/>
      <c r="B752" s="189"/>
      <c r="C752" s="189"/>
      <c r="D752" s="189"/>
      <c r="E752" s="189"/>
      <c r="F752" s="189"/>
      <c r="G752" s="189"/>
      <c r="H752" s="189"/>
      <c r="I752" s="338"/>
      <c r="J752" s="338"/>
      <c r="K752" s="338"/>
      <c r="L752" s="338"/>
      <c r="M752" s="338"/>
      <c r="N752" s="338"/>
      <c r="O752" s="338"/>
      <c r="P752" s="338"/>
      <c r="Q752" s="338"/>
      <c r="R752" s="338"/>
      <c r="S752" s="338"/>
      <c r="T752" s="230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</row>
    <row r="753" spans="1:30">
      <c r="A753" s="189"/>
      <c r="B753" s="189"/>
      <c r="C753" s="189"/>
      <c r="D753" s="189"/>
      <c r="E753" s="189"/>
      <c r="F753" s="189"/>
      <c r="G753" s="189"/>
      <c r="H753" s="189"/>
      <c r="I753" s="338"/>
      <c r="J753" s="338"/>
      <c r="K753" s="338"/>
      <c r="L753" s="338"/>
      <c r="M753" s="338"/>
      <c r="N753" s="338"/>
      <c r="O753" s="338"/>
      <c r="P753" s="338"/>
      <c r="Q753" s="338"/>
      <c r="R753" s="338"/>
      <c r="S753" s="338"/>
      <c r="T753" s="230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</row>
    <row r="754" spans="1:30">
      <c r="A754" s="189"/>
      <c r="B754" s="189"/>
      <c r="C754" s="189"/>
      <c r="D754" s="189"/>
      <c r="E754" s="189"/>
      <c r="F754" s="189"/>
      <c r="G754" s="189"/>
      <c r="H754" s="189"/>
      <c r="I754" s="338"/>
      <c r="J754" s="338"/>
      <c r="K754" s="338"/>
      <c r="L754" s="338"/>
      <c r="M754" s="338"/>
      <c r="N754" s="338"/>
      <c r="O754" s="338"/>
      <c r="P754" s="338"/>
      <c r="Q754" s="338"/>
      <c r="R754" s="338"/>
      <c r="S754" s="338"/>
      <c r="T754" s="230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</row>
    <row r="755" spans="1:30">
      <c r="A755" s="189"/>
      <c r="B755" s="189"/>
      <c r="C755" s="189"/>
      <c r="D755" s="189"/>
      <c r="E755" s="189"/>
      <c r="F755" s="189"/>
      <c r="G755" s="189"/>
      <c r="H755" s="189"/>
      <c r="I755" s="338"/>
      <c r="J755" s="338"/>
      <c r="K755" s="338"/>
      <c r="L755" s="338"/>
      <c r="M755" s="338"/>
      <c r="N755" s="338"/>
      <c r="O755" s="338"/>
      <c r="P755" s="338"/>
      <c r="Q755" s="338"/>
      <c r="R755" s="338"/>
      <c r="S755" s="338"/>
      <c r="T755" s="230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</row>
    <row r="756" spans="1:30">
      <c r="A756" s="189"/>
      <c r="B756" s="189"/>
      <c r="C756" s="189"/>
      <c r="D756" s="189"/>
      <c r="E756" s="189"/>
      <c r="F756" s="189"/>
      <c r="G756" s="189"/>
      <c r="H756" s="189"/>
      <c r="I756" s="338"/>
      <c r="J756" s="338"/>
      <c r="K756" s="338"/>
      <c r="L756" s="338"/>
      <c r="M756" s="338"/>
      <c r="N756" s="338"/>
      <c r="O756" s="338"/>
      <c r="P756" s="338"/>
      <c r="Q756" s="338"/>
      <c r="R756" s="338"/>
      <c r="S756" s="338"/>
      <c r="T756" s="230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</row>
    <row r="757" spans="1:30">
      <c r="A757" s="189"/>
      <c r="B757" s="189"/>
      <c r="C757" s="189"/>
      <c r="D757" s="189"/>
      <c r="E757" s="189"/>
      <c r="F757" s="189"/>
      <c r="G757" s="189"/>
      <c r="H757" s="189"/>
      <c r="I757" s="338"/>
      <c r="J757" s="338"/>
      <c r="K757" s="338"/>
      <c r="L757" s="338"/>
      <c r="M757" s="338"/>
      <c r="N757" s="338"/>
      <c r="O757" s="338"/>
      <c r="P757" s="338"/>
      <c r="Q757" s="338"/>
      <c r="R757" s="338"/>
      <c r="S757" s="338"/>
      <c r="T757" s="230"/>
      <c r="U757" s="189"/>
      <c r="V757" s="189"/>
      <c r="W757" s="189"/>
      <c r="X757" s="189"/>
      <c r="Y757" s="189"/>
      <c r="Z757" s="189"/>
      <c r="AA757" s="189"/>
      <c r="AB757" s="189"/>
      <c r="AC757" s="189"/>
      <c r="AD757" s="189"/>
    </row>
    <row r="758" spans="1:30">
      <c r="A758" s="189"/>
      <c r="B758" s="189"/>
      <c r="C758" s="189"/>
      <c r="D758" s="189"/>
      <c r="E758" s="189"/>
      <c r="F758" s="189"/>
      <c r="G758" s="189"/>
      <c r="H758" s="189"/>
      <c r="I758" s="338"/>
      <c r="J758" s="338"/>
      <c r="K758" s="338"/>
      <c r="L758" s="338"/>
      <c r="M758" s="338"/>
      <c r="N758" s="338"/>
      <c r="O758" s="338"/>
      <c r="P758" s="338"/>
      <c r="Q758" s="338"/>
      <c r="R758" s="338"/>
      <c r="S758" s="338"/>
      <c r="T758" s="230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</row>
    <row r="759" spans="1:30">
      <c r="A759" s="189"/>
      <c r="B759" s="189"/>
      <c r="C759" s="189"/>
      <c r="D759" s="189"/>
      <c r="E759" s="189"/>
      <c r="F759" s="189"/>
      <c r="G759" s="189"/>
      <c r="H759" s="189"/>
      <c r="I759" s="338"/>
      <c r="J759" s="338"/>
      <c r="K759" s="338"/>
      <c r="L759" s="338"/>
      <c r="M759" s="338"/>
      <c r="N759" s="338"/>
      <c r="O759" s="338"/>
      <c r="P759" s="338"/>
      <c r="Q759" s="338"/>
      <c r="R759" s="338"/>
      <c r="S759" s="338"/>
      <c r="T759" s="230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</row>
    <row r="760" spans="1:30">
      <c r="A760" s="189"/>
      <c r="B760" s="189"/>
      <c r="C760" s="189"/>
      <c r="D760" s="189"/>
      <c r="E760" s="189"/>
      <c r="F760" s="189"/>
      <c r="G760" s="189"/>
      <c r="H760" s="189"/>
      <c r="I760" s="338"/>
      <c r="J760" s="338"/>
      <c r="K760" s="338"/>
      <c r="L760" s="338"/>
      <c r="M760" s="338"/>
      <c r="N760" s="338"/>
      <c r="O760" s="338"/>
      <c r="P760" s="338"/>
      <c r="Q760" s="338"/>
      <c r="R760" s="338"/>
      <c r="S760" s="338"/>
      <c r="T760" s="230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</row>
    <row r="761" spans="1:30">
      <c r="A761" s="189"/>
      <c r="B761" s="189"/>
      <c r="C761" s="189"/>
      <c r="D761" s="189"/>
      <c r="E761" s="189"/>
      <c r="F761" s="189"/>
      <c r="G761" s="189"/>
      <c r="H761" s="189"/>
      <c r="I761" s="338"/>
      <c r="J761" s="338"/>
      <c r="K761" s="338"/>
      <c r="L761" s="338"/>
      <c r="M761" s="338"/>
      <c r="N761" s="338"/>
      <c r="O761" s="338"/>
      <c r="P761" s="338"/>
      <c r="Q761" s="338"/>
      <c r="R761" s="338"/>
      <c r="S761" s="338"/>
      <c r="T761" s="230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</row>
    <row r="762" spans="1:30">
      <c r="A762" s="189"/>
      <c r="B762" s="189"/>
      <c r="C762" s="189"/>
      <c r="D762" s="189"/>
      <c r="E762" s="189"/>
      <c r="F762" s="189"/>
      <c r="G762" s="189"/>
      <c r="H762" s="189"/>
      <c r="I762" s="338"/>
      <c r="J762" s="338"/>
      <c r="K762" s="338"/>
      <c r="L762" s="338"/>
      <c r="M762" s="338"/>
      <c r="N762" s="338"/>
      <c r="O762" s="338"/>
      <c r="P762" s="338"/>
      <c r="Q762" s="338"/>
      <c r="R762" s="338"/>
      <c r="S762" s="338"/>
      <c r="T762" s="230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</row>
    <row r="763" spans="1:30">
      <c r="A763" s="189"/>
      <c r="B763" s="189"/>
      <c r="C763" s="189"/>
      <c r="D763" s="189"/>
      <c r="E763" s="189"/>
      <c r="F763" s="189"/>
      <c r="G763" s="189"/>
      <c r="H763" s="189"/>
      <c r="I763" s="338"/>
      <c r="J763" s="338"/>
      <c r="K763" s="338"/>
      <c r="L763" s="338"/>
      <c r="M763" s="338"/>
      <c r="N763" s="338"/>
      <c r="O763" s="338"/>
      <c r="P763" s="338"/>
      <c r="Q763" s="338"/>
      <c r="R763" s="338"/>
      <c r="S763" s="338"/>
      <c r="T763" s="230"/>
      <c r="U763" s="189"/>
      <c r="V763" s="189"/>
      <c r="W763" s="189"/>
      <c r="X763" s="189"/>
      <c r="Y763" s="189"/>
      <c r="Z763" s="189"/>
      <c r="AA763" s="189"/>
      <c r="AB763" s="189"/>
      <c r="AC763" s="189"/>
      <c r="AD763" s="189"/>
    </row>
    <row r="764" spans="1:30">
      <c r="A764" s="189"/>
      <c r="B764" s="189"/>
      <c r="C764" s="189"/>
      <c r="D764" s="189"/>
      <c r="E764" s="189"/>
      <c r="F764" s="189"/>
      <c r="G764" s="189"/>
      <c r="H764" s="189"/>
      <c r="I764" s="338"/>
      <c r="J764" s="338"/>
      <c r="K764" s="338"/>
      <c r="L764" s="338"/>
      <c r="M764" s="338"/>
      <c r="N764" s="338"/>
      <c r="O764" s="338"/>
      <c r="P764" s="338"/>
      <c r="Q764" s="338"/>
      <c r="R764" s="338"/>
      <c r="S764" s="338"/>
      <c r="T764" s="230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</row>
    <row r="765" spans="1:30">
      <c r="A765" s="189"/>
      <c r="B765" s="189"/>
      <c r="C765" s="189"/>
      <c r="D765" s="189"/>
      <c r="E765" s="189"/>
      <c r="F765" s="189"/>
      <c r="G765" s="189"/>
      <c r="H765" s="189"/>
      <c r="I765" s="338"/>
      <c r="J765" s="338"/>
      <c r="K765" s="338"/>
      <c r="L765" s="338"/>
      <c r="M765" s="338"/>
      <c r="N765" s="338"/>
      <c r="O765" s="338"/>
      <c r="P765" s="338"/>
      <c r="Q765" s="338"/>
      <c r="R765" s="338"/>
      <c r="S765" s="338"/>
      <c r="T765" s="230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</row>
    <row r="766" spans="1:30">
      <c r="A766" s="189"/>
      <c r="B766" s="189"/>
      <c r="C766" s="189"/>
      <c r="D766" s="189"/>
      <c r="E766" s="189"/>
      <c r="F766" s="189"/>
      <c r="G766" s="189"/>
      <c r="H766" s="189"/>
      <c r="I766" s="338"/>
      <c r="J766" s="338"/>
      <c r="K766" s="338"/>
      <c r="L766" s="338"/>
      <c r="M766" s="338"/>
      <c r="N766" s="338"/>
      <c r="O766" s="338"/>
      <c r="P766" s="338"/>
      <c r="Q766" s="338"/>
      <c r="R766" s="338"/>
      <c r="S766" s="338"/>
      <c r="T766" s="230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</row>
    <row r="767" spans="1:30">
      <c r="A767" s="189"/>
      <c r="B767" s="189"/>
      <c r="C767" s="189"/>
      <c r="D767" s="189"/>
      <c r="E767" s="189"/>
      <c r="F767" s="189"/>
      <c r="G767" s="189"/>
      <c r="H767" s="189"/>
      <c r="I767" s="338"/>
      <c r="J767" s="338"/>
      <c r="K767" s="338"/>
      <c r="L767" s="338"/>
      <c r="M767" s="338"/>
      <c r="N767" s="338"/>
      <c r="O767" s="338"/>
      <c r="P767" s="338"/>
      <c r="Q767" s="338"/>
      <c r="R767" s="338"/>
      <c r="S767" s="338"/>
      <c r="T767" s="230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</row>
    <row r="768" spans="1:30">
      <c r="A768" s="189"/>
      <c r="B768" s="189"/>
      <c r="C768" s="189"/>
      <c r="D768" s="189"/>
      <c r="E768" s="189"/>
      <c r="F768" s="189"/>
      <c r="G768" s="189"/>
      <c r="H768" s="189"/>
      <c r="I768" s="338"/>
      <c r="J768" s="338"/>
      <c r="K768" s="338"/>
      <c r="L768" s="338"/>
      <c r="M768" s="338"/>
      <c r="N768" s="338"/>
      <c r="O768" s="338"/>
      <c r="P768" s="338"/>
      <c r="Q768" s="338"/>
      <c r="R768" s="338"/>
      <c r="S768" s="338"/>
      <c r="T768" s="230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</row>
    <row r="769" spans="1:30">
      <c r="A769" s="189"/>
      <c r="B769" s="189"/>
      <c r="C769" s="189"/>
      <c r="D769" s="189"/>
      <c r="E769" s="189"/>
      <c r="F769" s="189"/>
      <c r="G769" s="189"/>
      <c r="H769" s="189"/>
      <c r="I769" s="338"/>
      <c r="J769" s="338"/>
      <c r="K769" s="338"/>
      <c r="L769" s="338"/>
      <c r="M769" s="338"/>
      <c r="N769" s="338"/>
      <c r="O769" s="338"/>
      <c r="P769" s="338"/>
      <c r="Q769" s="338"/>
      <c r="R769" s="338"/>
      <c r="S769" s="338"/>
      <c r="T769" s="230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</row>
    <row r="770" spans="1:30">
      <c r="A770" s="189"/>
      <c r="B770" s="189"/>
      <c r="C770" s="189"/>
      <c r="D770" s="189"/>
      <c r="E770" s="189"/>
      <c r="F770" s="189"/>
      <c r="G770" s="189"/>
      <c r="H770" s="189"/>
      <c r="I770" s="338"/>
      <c r="J770" s="338"/>
      <c r="K770" s="338"/>
      <c r="L770" s="338"/>
      <c r="M770" s="338"/>
      <c r="N770" s="338"/>
      <c r="O770" s="338"/>
      <c r="P770" s="338"/>
      <c r="Q770" s="338"/>
      <c r="R770" s="338"/>
      <c r="S770" s="338"/>
      <c r="T770" s="230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</row>
    <row r="771" spans="1:30">
      <c r="A771" s="189"/>
      <c r="B771" s="189"/>
      <c r="C771" s="189"/>
      <c r="D771" s="189"/>
      <c r="E771" s="189"/>
      <c r="F771" s="189"/>
      <c r="G771" s="189"/>
      <c r="H771" s="189"/>
      <c r="I771" s="338"/>
      <c r="J771" s="338"/>
      <c r="K771" s="338"/>
      <c r="L771" s="338"/>
      <c r="M771" s="338"/>
      <c r="N771" s="338"/>
      <c r="O771" s="338"/>
      <c r="P771" s="338"/>
      <c r="Q771" s="338"/>
      <c r="R771" s="338"/>
      <c r="S771" s="338"/>
      <c r="T771" s="230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</row>
    <row r="772" spans="1:30">
      <c r="A772" s="189"/>
      <c r="B772" s="189"/>
      <c r="C772" s="189"/>
      <c r="D772" s="189"/>
      <c r="E772" s="189"/>
      <c r="F772" s="189"/>
      <c r="G772" s="189"/>
      <c r="H772" s="189"/>
      <c r="I772" s="338"/>
      <c r="J772" s="338"/>
      <c r="K772" s="338"/>
      <c r="L772" s="338"/>
      <c r="M772" s="338"/>
      <c r="N772" s="338"/>
      <c r="O772" s="338"/>
      <c r="P772" s="338"/>
      <c r="Q772" s="338"/>
      <c r="R772" s="338"/>
      <c r="S772" s="338"/>
      <c r="T772" s="230"/>
      <c r="U772" s="189"/>
      <c r="V772" s="189"/>
      <c r="W772" s="189"/>
      <c r="X772" s="189"/>
      <c r="Y772" s="189"/>
      <c r="Z772" s="189"/>
      <c r="AA772" s="189"/>
      <c r="AB772" s="189"/>
      <c r="AC772" s="189"/>
      <c r="AD772" s="189"/>
    </row>
    <row r="773" spans="1:30">
      <c r="A773" s="189"/>
      <c r="B773" s="189"/>
      <c r="C773" s="189"/>
      <c r="D773" s="189"/>
      <c r="E773" s="189"/>
      <c r="F773" s="189"/>
      <c r="G773" s="189"/>
      <c r="H773" s="189"/>
      <c r="I773" s="338"/>
      <c r="J773" s="338"/>
      <c r="K773" s="338"/>
      <c r="L773" s="338"/>
      <c r="M773" s="338"/>
      <c r="N773" s="338"/>
      <c r="O773" s="338"/>
      <c r="P773" s="338"/>
      <c r="Q773" s="338"/>
      <c r="R773" s="338"/>
      <c r="S773" s="338"/>
      <c r="T773" s="230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</row>
    <row r="774" spans="1:30">
      <c r="A774" s="189"/>
      <c r="B774" s="189"/>
      <c r="C774" s="189"/>
      <c r="D774" s="189"/>
      <c r="E774" s="189"/>
      <c r="F774" s="189"/>
      <c r="G774" s="189"/>
      <c r="H774" s="189"/>
      <c r="I774" s="338"/>
      <c r="J774" s="338"/>
      <c r="K774" s="338"/>
      <c r="L774" s="338"/>
      <c r="M774" s="338"/>
      <c r="N774" s="338"/>
      <c r="O774" s="338"/>
      <c r="P774" s="338"/>
      <c r="Q774" s="338"/>
      <c r="R774" s="338"/>
      <c r="S774" s="338"/>
      <c r="T774" s="230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</row>
    <row r="775" spans="1:30">
      <c r="A775" s="189"/>
      <c r="B775" s="189"/>
      <c r="C775" s="189"/>
      <c r="D775" s="189"/>
      <c r="E775" s="189"/>
      <c r="F775" s="189"/>
      <c r="G775" s="189"/>
      <c r="H775" s="189"/>
      <c r="I775" s="338"/>
      <c r="J775" s="338"/>
      <c r="K775" s="338"/>
      <c r="L775" s="338"/>
      <c r="M775" s="338"/>
      <c r="N775" s="338"/>
      <c r="O775" s="338"/>
      <c r="P775" s="338"/>
      <c r="Q775" s="338"/>
      <c r="R775" s="338"/>
      <c r="S775" s="338"/>
      <c r="T775" s="230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</row>
    <row r="776" spans="1:30">
      <c r="A776" s="189"/>
      <c r="B776" s="189"/>
      <c r="C776" s="189"/>
      <c r="D776" s="189"/>
      <c r="E776" s="189"/>
      <c r="F776" s="189"/>
      <c r="G776" s="189"/>
      <c r="H776" s="189"/>
      <c r="I776" s="338"/>
      <c r="J776" s="338"/>
      <c r="K776" s="338"/>
      <c r="L776" s="338"/>
      <c r="M776" s="338"/>
      <c r="N776" s="338"/>
      <c r="O776" s="338"/>
      <c r="P776" s="338"/>
      <c r="Q776" s="338"/>
      <c r="R776" s="338"/>
      <c r="S776" s="338"/>
      <c r="T776" s="230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</row>
    <row r="777" spans="1:30">
      <c r="A777" s="189"/>
      <c r="B777" s="189"/>
      <c r="C777" s="189"/>
      <c r="D777" s="189"/>
      <c r="E777" s="189"/>
      <c r="F777" s="189"/>
      <c r="G777" s="189"/>
      <c r="H777" s="189"/>
      <c r="I777" s="338"/>
      <c r="J777" s="338"/>
      <c r="K777" s="338"/>
      <c r="L777" s="338"/>
      <c r="M777" s="338"/>
      <c r="N777" s="338"/>
      <c r="O777" s="338"/>
      <c r="P777" s="338"/>
      <c r="Q777" s="338"/>
      <c r="R777" s="338"/>
      <c r="S777" s="338"/>
      <c r="T777" s="230"/>
      <c r="U777" s="189"/>
      <c r="V777" s="189"/>
      <c r="W777" s="189"/>
      <c r="X777" s="189"/>
      <c r="Y777" s="189"/>
      <c r="Z777" s="189"/>
      <c r="AA777" s="189"/>
      <c r="AB777" s="189"/>
      <c r="AC777" s="189"/>
      <c r="AD777" s="189"/>
    </row>
    <row r="778" spans="1:30">
      <c r="A778" s="189"/>
      <c r="B778" s="189"/>
      <c r="C778" s="189"/>
      <c r="D778" s="189"/>
      <c r="E778" s="189"/>
      <c r="F778" s="189"/>
      <c r="G778" s="189"/>
      <c r="H778" s="189"/>
      <c r="I778" s="338"/>
      <c r="J778" s="338"/>
      <c r="K778" s="338"/>
      <c r="L778" s="338"/>
      <c r="M778" s="338"/>
      <c r="N778" s="338"/>
      <c r="O778" s="338"/>
      <c r="P778" s="338"/>
      <c r="Q778" s="338"/>
      <c r="R778" s="338"/>
      <c r="S778" s="338"/>
      <c r="T778" s="230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</row>
    <row r="779" spans="1:30">
      <c r="A779" s="189"/>
      <c r="B779" s="189"/>
      <c r="C779" s="189"/>
      <c r="D779" s="189"/>
      <c r="E779" s="189"/>
      <c r="F779" s="189"/>
      <c r="G779" s="189"/>
      <c r="H779" s="189"/>
      <c r="I779" s="338"/>
      <c r="J779" s="338"/>
      <c r="K779" s="338"/>
      <c r="L779" s="338"/>
      <c r="M779" s="338"/>
      <c r="N779" s="338"/>
      <c r="O779" s="338"/>
      <c r="P779" s="338"/>
      <c r="Q779" s="338"/>
      <c r="R779" s="338"/>
      <c r="S779" s="338"/>
      <c r="T779" s="230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</row>
    <row r="780" spans="1:30">
      <c r="A780" s="189"/>
      <c r="B780" s="189"/>
      <c r="C780" s="189"/>
      <c r="D780" s="189"/>
      <c r="E780" s="189"/>
      <c r="F780" s="189"/>
      <c r="G780" s="189"/>
      <c r="H780" s="189"/>
      <c r="I780" s="338"/>
      <c r="J780" s="338"/>
      <c r="K780" s="338"/>
      <c r="L780" s="338"/>
      <c r="M780" s="338"/>
      <c r="N780" s="338"/>
      <c r="O780" s="338"/>
      <c r="P780" s="338"/>
      <c r="Q780" s="338"/>
      <c r="R780" s="338"/>
      <c r="S780" s="338"/>
      <c r="T780" s="230"/>
      <c r="U780" s="189"/>
      <c r="V780" s="189"/>
      <c r="W780" s="189"/>
      <c r="X780" s="189"/>
      <c r="Y780" s="189"/>
      <c r="Z780" s="189"/>
      <c r="AA780" s="189"/>
      <c r="AB780" s="189"/>
      <c r="AC780" s="189"/>
      <c r="AD780" s="189"/>
    </row>
    <row r="781" spans="1:30">
      <c r="A781" s="189"/>
      <c r="B781" s="189"/>
      <c r="C781" s="189"/>
      <c r="D781" s="189"/>
      <c r="E781" s="189"/>
      <c r="F781" s="189"/>
      <c r="G781" s="189"/>
      <c r="H781" s="189"/>
      <c r="I781" s="338"/>
      <c r="J781" s="338"/>
      <c r="K781" s="338"/>
      <c r="L781" s="338"/>
      <c r="M781" s="338"/>
      <c r="N781" s="338"/>
      <c r="O781" s="338"/>
      <c r="P781" s="338"/>
      <c r="Q781" s="338"/>
      <c r="R781" s="338"/>
      <c r="S781" s="338"/>
      <c r="T781" s="230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</row>
    <row r="782" spans="1:30">
      <c r="A782" s="189"/>
      <c r="B782" s="189"/>
      <c r="C782" s="189"/>
      <c r="D782" s="189"/>
      <c r="E782" s="189"/>
      <c r="F782" s="189"/>
      <c r="G782" s="189"/>
      <c r="H782" s="189"/>
      <c r="I782" s="338"/>
      <c r="J782" s="338"/>
      <c r="K782" s="338"/>
      <c r="L782" s="338"/>
      <c r="M782" s="338"/>
      <c r="N782" s="338"/>
      <c r="O782" s="338"/>
      <c r="P782" s="338"/>
      <c r="Q782" s="338"/>
      <c r="R782" s="338"/>
      <c r="S782" s="338"/>
      <c r="T782" s="230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</row>
    <row r="783" spans="1:30">
      <c r="A783" s="189"/>
      <c r="B783" s="189"/>
      <c r="C783" s="189"/>
      <c r="D783" s="189"/>
      <c r="E783" s="189"/>
      <c r="F783" s="189"/>
      <c r="G783" s="189"/>
      <c r="H783" s="189"/>
      <c r="I783" s="338"/>
      <c r="J783" s="338"/>
      <c r="K783" s="338"/>
      <c r="L783" s="338"/>
      <c r="M783" s="338"/>
      <c r="N783" s="338"/>
      <c r="O783" s="338"/>
      <c r="P783" s="338"/>
      <c r="Q783" s="338"/>
      <c r="R783" s="338"/>
      <c r="S783" s="338"/>
      <c r="T783" s="230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</row>
    <row r="784" spans="1:30">
      <c r="A784" s="189"/>
      <c r="B784" s="189"/>
      <c r="C784" s="189"/>
      <c r="D784" s="189"/>
      <c r="E784" s="189"/>
      <c r="F784" s="189"/>
      <c r="G784" s="189"/>
      <c r="H784" s="189"/>
      <c r="I784" s="338"/>
      <c r="J784" s="338"/>
      <c r="K784" s="338"/>
      <c r="L784" s="338"/>
      <c r="M784" s="338"/>
      <c r="N784" s="338"/>
      <c r="O784" s="338"/>
      <c r="P784" s="338"/>
      <c r="Q784" s="338"/>
      <c r="R784" s="338"/>
      <c r="S784" s="338"/>
      <c r="T784" s="230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</row>
    <row r="785" spans="1:30">
      <c r="A785" s="189"/>
      <c r="B785" s="189"/>
      <c r="C785" s="189"/>
      <c r="D785" s="189"/>
      <c r="E785" s="189"/>
      <c r="F785" s="189"/>
      <c r="G785" s="189"/>
      <c r="H785" s="189"/>
      <c r="I785" s="338"/>
      <c r="J785" s="338"/>
      <c r="K785" s="338"/>
      <c r="L785" s="338"/>
      <c r="M785" s="338"/>
      <c r="N785" s="338"/>
      <c r="O785" s="338"/>
      <c r="P785" s="338"/>
      <c r="Q785" s="338"/>
      <c r="R785" s="338"/>
      <c r="S785" s="338"/>
      <c r="T785" s="230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</row>
    <row r="786" spans="1:30">
      <c r="A786" s="189"/>
      <c r="B786" s="189"/>
      <c r="C786" s="189"/>
      <c r="D786" s="189"/>
      <c r="E786" s="189"/>
      <c r="F786" s="189"/>
      <c r="G786" s="189"/>
      <c r="H786" s="189"/>
      <c r="I786" s="338"/>
      <c r="J786" s="338"/>
      <c r="K786" s="338"/>
      <c r="L786" s="338"/>
      <c r="M786" s="338"/>
      <c r="N786" s="338"/>
      <c r="O786" s="338"/>
      <c r="P786" s="338"/>
      <c r="Q786" s="338"/>
      <c r="R786" s="338"/>
      <c r="S786" s="338"/>
      <c r="T786" s="230"/>
      <c r="U786" s="189"/>
      <c r="V786" s="189"/>
      <c r="W786" s="189"/>
      <c r="X786" s="189"/>
      <c r="Y786" s="189"/>
      <c r="Z786" s="189"/>
      <c r="AA786" s="189"/>
      <c r="AB786" s="189"/>
      <c r="AC786" s="189"/>
      <c r="AD786" s="189"/>
    </row>
    <row r="787" spans="1:30">
      <c r="A787" s="189"/>
      <c r="B787" s="189"/>
      <c r="C787" s="189"/>
      <c r="D787" s="189"/>
      <c r="E787" s="189"/>
      <c r="F787" s="189"/>
      <c r="G787" s="189"/>
      <c r="H787" s="189"/>
      <c r="I787" s="338"/>
      <c r="J787" s="338"/>
      <c r="K787" s="338"/>
      <c r="L787" s="338"/>
      <c r="M787" s="338"/>
      <c r="N787" s="338"/>
      <c r="O787" s="338"/>
      <c r="P787" s="338"/>
      <c r="Q787" s="338"/>
      <c r="R787" s="338"/>
      <c r="S787" s="338"/>
      <c r="T787" s="230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</row>
    <row r="788" spans="1:30">
      <c r="A788" s="189"/>
      <c r="B788" s="189"/>
      <c r="C788" s="189"/>
      <c r="D788" s="189"/>
      <c r="E788" s="189"/>
      <c r="F788" s="189"/>
      <c r="G788" s="189"/>
      <c r="H788" s="189"/>
      <c r="I788" s="338"/>
      <c r="J788" s="338"/>
      <c r="K788" s="338"/>
      <c r="L788" s="338"/>
      <c r="M788" s="338"/>
      <c r="N788" s="338"/>
      <c r="O788" s="338"/>
      <c r="P788" s="338"/>
      <c r="Q788" s="338"/>
      <c r="R788" s="338"/>
      <c r="S788" s="338"/>
      <c r="T788" s="230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</row>
    <row r="789" spans="1:30">
      <c r="A789" s="189"/>
      <c r="B789" s="189"/>
      <c r="C789" s="189"/>
      <c r="D789" s="189"/>
      <c r="E789" s="189"/>
      <c r="F789" s="189"/>
      <c r="G789" s="189"/>
      <c r="H789" s="189"/>
      <c r="I789" s="338"/>
      <c r="J789" s="338"/>
      <c r="K789" s="338"/>
      <c r="L789" s="338"/>
      <c r="M789" s="338"/>
      <c r="N789" s="338"/>
      <c r="O789" s="338"/>
      <c r="P789" s="338"/>
      <c r="Q789" s="338"/>
      <c r="R789" s="338"/>
      <c r="S789" s="338"/>
      <c r="T789" s="230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</row>
    <row r="790" spans="1:30">
      <c r="A790" s="189"/>
      <c r="B790" s="189"/>
      <c r="C790" s="189"/>
      <c r="D790" s="189"/>
      <c r="E790" s="189"/>
      <c r="F790" s="189"/>
      <c r="G790" s="189"/>
      <c r="H790" s="189"/>
      <c r="I790" s="338"/>
      <c r="J790" s="338"/>
      <c r="K790" s="338"/>
      <c r="L790" s="338"/>
      <c r="M790" s="338"/>
      <c r="N790" s="338"/>
      <c r="O790" s="338"/>
      <c r="P790" s="338"/>
      <c r="Q790" s="338"/>
      <c r="R790" s="338"/>
      <c r="S790" s="338"/>
      <c r="T790" s="230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</row>
    <row r="791" spans="1:30">
      <c r="A791" s="189"/>
      <c r="B791" s="189"/>
      <c r="C791" s="189"/>
      <c r="D791" s="189"/>
      <c r="E791" s="189"/>
      <c r="F791" s="189"/>
      <c r="G791" s="189"/>
      <c r="H791" s="189"/>
      <c r="I791" s="338"/>
      <c r="J791" s="338"/>
      <c r="K791" s="338"/>
      <c r="L791" s="338"/>
      <c r="M791" s="338"/>
      <c r="N791" s="338"/>
      <c r="O791" s="338"/>
      <c r="P791" s="338"/>
      <c r="Q791" s="338"/>
      <c r="R791" s="338"/>
      <c r="S791" s="338"/>
      <c r="T791" s="230"/>
      <c r="U791" s="189"/>
      <c r="V791" s="189"/>
      <c r="W791" s="189"/>
      <c r="X791" s="189"/>
      <c r="Y791" s="189"/>
      <c r="Z791" s="189"/>
      <c r="AA791" s="189"/>
      <c r="AB791" s="189"/>
      <c r="AC791" s="189"/>
      <c r="AD791" s="189"/>
    </row>
    <row r="792" spans="1:30">
      <c r="A792" s="189"/>
      <c r="B792" s="189"/>
      <c r="C792" s="189"/>
      <c r="D792" s="189"/>
      <c r="E792" s="189"/>
      <c r="F792" s="189"/>
      <c r="G792" s="189"/>
      <c r="H792" s="189"/>
      <c r="I792" s="338"/>
      <c r="J792" s="338"/>
      <c r="K792" s="338"/>
      <c r="L792" s="338"/>
      <c r="M792" s="338"/>
      <c r="N792" s="338"/>
      <c r="O792" s="338"/>
      <c r="P792" s="338"/>
      <c r="Q792" s="338"/>
      <c r="R792" s="338"/>
      <c r="S792" s="338"/>
      <c r="T792" s="230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</row>
    <row r="793" spans="1:30">
      <c r="A793" s="189"/>
      <c r="B793" s="189"/>
      <c r="C793" s="189"/>
      <c r="D793" s="189"/>
      <c r="E793" s="189"/>
      <c r="F793" s="189"/>
      <c r="G793" s="189"/>
      <c r="H793" s="189"/>
      <c r="I793" s="338"/>
      <c r="J793" s="338"/>
      <c r="K793" s="338"/>
      <c r="L793" s="338"/>
      <c r="M793" s="338"/>
      <c r="N793" s="338"/>
      <c r="O793" s="338"/>
      <c r="P793" s="338"/>
      <c r="Q793" s="338"/>
      <c r="R793" s="338"/>
      <c r="S793" s="338"/>
      <c r="T793" s="230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</row>
    <row r="794" spans="1:30">
      <c r="A794" s="189"/>
      <c r="B794" s="189"/>
      <c r="C794" s="189"/>
      <c r="D794" s="189"/>
      <c r="E794" s="189"/>
      <c r="F794" s="189"/>
      <c r="G794" s="189"/>
      <c r="H794" s="189"/>
      <c r="I794" s="338"/>
      <c r="J794" s="338"/>
      <c r="K794" s="338"/>
      <c r="L794" s="338"/>
      <c r="M794" s="338"/>
      <c r="N794" s="338"/>
      <c r="O794" s="338"/>
      <c r="P794" s="338"/>
      <c r="Q794" s="338"/>
      <c r="R794" s="338"/>
      <c r="S794" s="338"/>
      <c r="T794" s="230"/>
      <c r="U794" s="189"/>
      <c r="V794" s="189"/>
      <c r="W794" s="189"/>
      <c r="X794" s="189"/>
      <c r="Y794" s="189"/>
      <c r="Z794" s="189"/>
      <c r="AA794" s="189"/>
      <c r="AB794" s="189"/>
      <c r="AC794" s="189"/>
      <c r="AD794" s="189"/>
    </row>
    <row r="795" spans="1:30">
      <c r="A795" s="189"/>
      <c r="B795" s="189"/>
      <c r="C795" s="189"/>
      <c r="D795" s="189"/>
      <c r="E795" s="189"/>
      <c r="F795" s="189"/>
      <c r="G795" s="189"/>
      <c r="H795" s="189"/>
      <c r="I795" s="338"/>
      <c r="J795" s="338"/>
      <c r="K795" s="338"/>
      <c r="L795" s="338"/>
      <c r="M795" s="338"/>
      <c r="N795" s="338"/>
      <c r="O795" s="338"/>
      <c r="P795" s="338"/>
      <c r="Q795" s="338"/>
      <c r="R795" s="338"/>
      <c r="S795" s="338"/>
      <c r="T795" s="230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</row>
    <row r="796" spans="1:30">
      <c r="A796" s="189"/>
      <c r="B796" s="189"/>
      <c r="C796" s="189"/>
      <c r="D796" s="189"/>
      <c r="E796" s="189"/>
      <c r="F796" s="189"/>
      <c r="G796" s="189"/>
      <c r="H796" s="189"/>
      <c r="I796" s="338"/>
      <c r="J796" s="338"/>
      <c r="K796" s="338"/>
      <c r="L796" s="338"/>
      <c r="M796" s="338"/>
      <c r="N796" s="338"/>
      <c r="O796" s="338"/>
      <c r="P796" s="338"/>
      <c r="Q796" s="338"/>
      <c r="R796" s="338"/>
      <c r="S796" s="338"/>
      <c r="T796" s="230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</row>
    <row r="797" spans="1:30">
      <c r="A797" s="189"/>
      <c r="B797" s="189"/>
      <c r="C797" s="189"/>
      <c r="D797" s="189"/>
      <c r="E797" s="189"/>
      <c r="F797" s="189"/>
      <c r="G797" s="189"/>
      <c r="H797" s="189"/>
      <c r="I797" s="338"/>
      <c r="J797" s="338"/>
      <c r="K797" s="338"/>
      <c r="L797" s="338"/>
      <c r="M797" s="338"/>
      <c r="N797" s="338"/>
      <c r="O797" s="338"/>
      <c r="P797" s="338"/>
      <c r="Q797" s="338"/>
      <c r="R797" s="338"/>
      <c r="S797" s="338"/>
      <c r="T797" s="230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</row>
    <row r="798" spans="1:30">
      <c r="A798" s="189"/>
      <c r="B798" s="189"/>
      <c r="C798" s="189"/>
      <c r="D798" s="189"/>
      <c r="E798" s="189"/>
      <c r="F798" s="189"/>
      <c r="G798" s="189"/>
      <c r="H798" s="189"/>
      <c r="I798" s="338"/>
      <c r="J798" s="338"/>
      <c r="K798" s="338"/>
      <c r="L798" s="338"/>
      <c r="M798" s="338"/>
      <c r="N798" s="338"/>
      <c r="O798" s="338"/>
      <c r="P798" s="338"/>
      <c r="Q798" s="338"/>
      <c r="R798" s="338"/>
      <c r="S798" s="338"/>
      <c r="T798" s="230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</row>
    <row r="799" spans="1:30">
      <c r="A799" s="189"/>
      <c r="B799" s="189"/>
      <c r="C799" s="189"/>
      <c r="D799" s="189"/>
      <c r="E799" s="189"/>
      <c r="F799" s="189"/>
      <c r="G799" s="189"/>
      <c r="H799" s="189"/>
      <c r="I799" s="338"/>
      <c r="J799" s="338"/>
      <c r="K799" s="338"/>
      <c r="L799" s="338"/>
      <c r="M799" s="338"/>
      <c r="N799" s="338"/>
      <c r="O799" s="338"/>
      <c r="P799" s="338"/>
      <c r="Q799" s="338"/>
      <c r="R799" s="338"/>
      <c r="S799" s="338"/>
      <c r="T799" s="230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</row>
    <row r="800" spans="1:30">
      <c r="A800" s="189"/>
      <c r="B800" s="189"/>
      <c r="C800" s="189"/>
      <c r="D800" s="189"/>
      <c r="E800" s="189"/>
      <c r="F800" s="189"/>
      <c r="G800" s="189"/>
      <c r="H800" s="189"/>
      <c r="I800" s="338"/>
      <c r="J800" s="338"/>
      <c r="K800" s="338"/>
      <c r="L800" s="338"/>
      <c r="M800" s="338"/>
      <c r="N800" s="338"/>
      <c r="O800" s="338"/>
      <c r="P800" s="338"/>
      <c r="Q800" s="338"/>
      <c r="R800" s="338"/>
      <c r="S800" s="338"/>
      <c r="T800" s="230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</row>
    <row r="801" spans="1:30">
      <c r="A801" s="189"/>
      <c r="B801" s="189"/>
      <c r="C801" s="189"/>
      <c r="D801" s="189"/>
      <c r="E801" s="189"/>
      <c r="F801" s="189"/>
      <c r="G801" s="189"/>
      <c r="H801" s="189"/>
      <c r="I801" s="338"/>
      <c r="J801" s="338"/>
      <c r="K801" s="338"/>
      <c r="L801" s="338"/>
      <c r="M801" s="338"/>
      <c r="N801" s="338"/>
      <c r="O801" s="338"/>
      <c r="P801" s="338"/>
      <c r="Q801" s="338"/>
      <c r="R801" s="338"/>
      <c r="S801" s="338"/>
      <c r="T801" s="230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</row>
    <row r="802" spans="1:30">
      <c r="A802" s="189"/>
      <c r="B802" s="189"/>
      <c r="C802" s="189"/>
      <c r="D802" s="189"/>
      <c r="E802" s="189"/>
      <c r="F802" s="189"/>
      <c r="G802" s="189"/>
      <c r="H802" s="189"/>
      <c r="I802" s="338"/>
      <c r="J802" s="338"/>
      <c r="K802" s="338"/>
      <c r="L802" s="338"/>
      <c r="M802" s="338"/>
      <c r="N802" s="338"/>
      <c r="O802" s="338"/>
      <c r="P802" s="338"/>
      <c r="Q802" s="338"/>
      <c r="R802" s="338"/>
      <c r="S802" s="338"/>
      <c r="T802" s="230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</row>
    <row r="803" spans="1:30">
      <c r="A803" s="189"/>
      <c r="B803" s="189"/>
      <c r="C803" s="189"/>
      <c r="D803" s="189"/>
      <c r="E803" s="189"/>
      <c r="F803" s="189"/>
      <c r="G803" s="189"/>
      <c r="H803" s="189"/>
      <c r="I803" s="338"/>
      <c r="J803" s="338"/>
      <c r="K803" s="338"/>
      <c r="L803" s="338"/>
      <c r="M803" s="338"/>
      <c r="N803" s="338"/>
      <c r="O803" s="338"/>
      <c r="P803" s="338"/>
      <c r="Q803" s="338"/>
      <c r="R803" s="338"/>
      <c r="S803" s="338"/>
      <c r="T803" s="230"/>
      <c r="U803" s="189"/>
      <c r="V803" s="189"/>
      <c r="W803" s="189"/>
      <c r="X803" s="189"/>
      <c r="Y803" s="189"/>
      <c r="Z803" s="189"/>
      <c r="AA803" s="189"/>
      <c r="AB803" s="189"/>
      <c r="AC803" s="189"/>
      <c r="AD803" s="189"/>
    </row>
    <row r="804" spans="1:30">
      <c r="A804" s="189"/>
      <c r="B804" s="189"/>
      <c r="C804" s="189"/>
      <c r="D804" s="189"/>
      <c r="E804" s="189"/>
      <c r="F804" s="189"/>
      <c r="G804" s="189"/>
      <c r="H804" s="189"/>
      <c r="I804" s="338"/>
      <c r="J804" s="338"/>
      <c r="K804" s="338"/>
      <c r="L804" s="338"/>
      <c r="M804" s="338"/>
      <c r="N804" s="338"/>
      <c r="O804" s="338"/>
      <c r="P804" s="338"/>
      <c r="Q804" s="338"/>
      <c r="R804" s="338"/>
      <c r="S804" s="338"/>
      <c r="T804" s="230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</row>
    <row r="805" spans="1:30">
      <c r="A805" s="189"/>
      <c r="B805" s="189"/>
      <c r="C805" s="189"/>
      <c r="D805" s="189"/>
      <c r="E805" s="189"/>
      <c r="F805" s="189"/>
      <c r="G805" s="189"/>
      <c r="H805" s="189"/>
      <c r="I805" s="338"/>
      <c r="J805" s="338"/>
      <c r="K805" s="338"/>
      <c r="L805" s="338"/>
      <c r="M805" s="338"/>
      <c r="N805" s="338"/>
      <c r="O805" s="338"/>
      <c r="P805" s="338"/>
      <c r="Q805" s="338"/>
      <c r="R805" s="338"/>
      <c r="S805" s="338"/>
      <c r="T805" s="230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</row>
    <row r="806" spans="1:30">
      <c r="A806" s="189"/>
      <c r="B806" s="189"/>
      <c r="C806" s="189"/>
      <c r="D806" s="189"/>
      <c r="E806" s="189"/>
      <c r="F806" s="189"/>
      <c r="G806" s="189"/>
      <c r="H806" s="189"/>
      <c r="I806" s="338"/>
      <c r="J806" s="338"/>
      <c r="K806" s="338"/>
      <c r="L806" s="338"/>
      <c r="M806" s="338"/>
      <c r="N806" s="338"/>
      <c r="O806" s="338"/>
      <c r="P806" s="338"/>
      <c r="Q806" s="338"/>
      <c r="R806" s="338"/>
      <c r="S806" s="338"/>
      <c r="T806" s="230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</row>
    <row r="807" spans="1:30">
      <c r="A807" s="189"/>
      <c r="B807" s="189"/>
      <c r="C807" s="189"/>
      <c r="D807" s="189"/>
      <c r="E807" s="189"/>
      <c r="F807" s="189"/>
      <c r="G807" s="189"/>
      <c r="H807" s="189"/>
      <c r="I807" s="338"/>
      <c r="J807" s="338"/>
      <c r="K807" s="338"/>
      <c r="L807" s="338"/>
      <c r="M807" s="338"/>
      <c r="N807" s="338"/>
      <c r="O807" s="338"/>
      <c r="P807" s="338"/>
      <c r="Q807" s="338"/>
      <c r="R807" s="338"/>
      <c r="S807" s="338"/>
      <c r="T807" s="230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</row>
    <row r="808" spans="1:30">
      <c r="A808" s="189"/>
      <c r="B808" s="189"/>
      <c r="C808" s="189"/>
      <c r="D808" s="189"/>
      <c r="E808" s="189"/>
      <c r="F808" s="189"/>
      <c r="G808" s="189"/>
      <c r="H808" s="189"/>
      <c r="I808" s="338"/>
      <c r="J808" s="338"/>
      <c r="K808" s="338"/>
      <c r="L808" s="338"/>
      <c r="M808" s="338"/>
      <c r="N808" s="338"/>
      <c r="O808" s="338"/>
      <c r="P808" s="338"/>
      <c r="Q808" s="338"/>
      <c r="R808" s="338"/>
      <c r="S808" s="338"/>
      <c r="T808" s="230"/>
      <c r="U808" s="189"/>
      <c r="V808" s="189"/>
      <c r="W808" s="189"/>
      <c r="X808" s="189"/>
      <c r="Y808" s="189"/>
      <c r="Z808" s="189"/>
      <c r="AA808" s="189"/>
      <c r="AB808" s="189"/>
      <c r="AC808" s="189"/>
      <c r="AD808" s="189"/>
    </row>
    <row r="809" spans="1:30">
      <c r="A809" s="189"/>
      <c r="B809" s="189"/>
      <c r="C809" s="189"/>
      <c r="D809" s="189"/>
      <c r="E809" s="189"/>
      <c r="F809" s="189"/>
      <c r="G809" s="189"/>
      <c r="H809" s="189"/>
      <c r="I809" s="338"/>
      <c r="J809" s="338"/>
      <c r="K809" s="338"/>
      <c r="L809" s="338"/>
      <c r="M809" s="338"/>
      <c r="N809" s="338"/>
      <c r="O809" s="338"/>
      <c r="P809" s="338"/>
      <c r="Q809" s="338"/>
      <c r="R809" s="338"/>
      <c r="S809" s="338"/>
      <c r="T809" s="230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</row>
    <row r="810" spans="1:30">
      <c r="A810" s="189"/>
      <c r="B810" s="189"/>
      <c r="C810" s="189"/>
      <c r="D810" s="189"/>
      <c r="E810" s="189"/>
      <c r="F810" s="189"/>
      <c r="G810" s="189"/>
      <c r="H810" s="189"/>
      <c r="I810" s="338"/>
      <c r="J810" s="338"/>
      <c r="K810" s="338"/>
      <c r="L810" s="338"/>
      <c r="M810" s="338"/>
      <c r="N810" s="338"/>
      <c r="O810" s="338"/>
      <c r="P810" s="338"/>
      <c r="Q810" s="338"/>
      <c r="R810" s="338"/>
      <c r="S810" s="338"/>
      <c r="T810" s="230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</row>
    <row r="811" spans="1:30">
      <c r="A811" s="189"/>
      <c r="B811" s="189"/>
      <c r="C811" s="189"/>
      <c r="D811" s="189"/>
      <c r="E811" s="189"/>
      <c r="F811" s="189"/>
      <c r="G811" s="189"/>
      <c r="H811" s="189"/>
      <c r="I811" s="338"/>
      <c r="J811" s="338"/>
      <c r="K811" s="338"/>
      <c r="L811" s="338"/>
      <c r="M811" s="338"/>
      <c r="N811" s="338"/>
      <c r="O811" s="338"/>
      <c r="P811" s="338"/>
      <c r="Q811" s="338"/>
      <c r="R811" s="338"/>
      <c r="S811" s="338"/>
      <c r="T811" s="230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</row>
    <row r="812" spans="1:30">
      <c r="A812" s="189"/>
      <c r="B812" s="189"/>
      <c r="C812" s="189"/>
      <c r="D812" s="189"/>
      <c r="E812" s="189"/>
      <c r="F812" s="189"/>
      <c r="G812" s="189"/>
      <c r="H812" s="189"/>
      <c r="I812" s="338"/>
      <c r="J812" s="338"/>
      <c r="K812" s="338"/>
      <c r="L812" s="338"/>
      <c r="M812" s="338"/>
      <c r="N812" s="338"/>
      <c r="O812" s="338"/>
      <c r="P812" s="338"/>
      <c r="Q812" s="338"/>
      <c r="R812" s="338"/>
      <c r="S812" s="338"/>
      <c r="T812" s="230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</row>
    <row r="813" spans="1:30">
      <c r="A813" s="189"/>
      <c r="B813" s="189"/>
      <c r="C813" s="189"/>
      <c r="D813" s="189"/>
      <c r="E813" s="189"/>
      <c r="F813" s="189"/>
      <c r="G813" s="189"/>
      <c r="H813" s="189"/>
      <c r="I813" s="338"/>
      <c r="J813" s="338"/>
      <c r="K813" s="338"/>
      <c r="L813" s="338"/>
      <c r="M813" s="338"/>
      <c r="N813" s="338"/>
      <c r="O813" s="338"/>
      <c r="P813" s="338"/>
      <c r="Q813" s="338"/>
      <c r="R813" s="338"/>
      <c r="S813" s="338"/>
      <c r="T813" s="230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</row>
    <row r="814" spans="1:30">
      <c r="A814" s="189"/>
      <c r="B814" s="189"/>
      <c r="C814" s="189"/>
      <c r="D814" s="189"/>
      <c r="E814" s="189"/>
      <c r="F814" s="189"/>
      <c r="G814" s="189"/>
      <c r="H814" s="189"/>
      <c r="I814" s="338"/>
      <c r="J814" s="338"/>
      <c r="K814" s="338"/>
      <c r="L814" s="338"/>
      <c r="M814" s="338"/>
      <c r="N814" s="338"/>
      <c r="O814" s="338"/>
      <c r="P814" s="338"/>
      <c r="Q814" s="338"/>
      <c r="R814" s="338"/>
      <c r="S814" s="338"/>
      <c r="T814" s="230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</row>
    <row r="815" spans="1:30">
      <c r="A815" s="189"/>
      <c r="B815" s="189"/>
      <c r="C815" s="189"/>
      <c r="D815" s="189"/>
      <c r="E815" s="189"/>
      <c r="F815" s="189"/>
      <c r="G815" s="189"/>
      <c r="H815" s="189"/>
      <c r="I815" s="338"/>
      <c r="J815" s="338"/>
      <c r="K815" s="338"/>
      <c r="L815" s="338"/>
      <c r="M815" s="338"/>
      <c r="N815" s="338"/>
      <c r="O815" s="338"/>
      <c r="P815" s="338"/>
      <c r="Q815" s="338"/>
      <c r="R815" s="338"/>
      <c r="S815" s="338"/>
      <c r="T815" s="230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</row>
    <row r="816" spans="1:30">
      <c r="A816" s="189"/>
      <c r="B816" s="189"/>
      <c r="C816" s="189"/>
      <c r="D816" s="189"/>
      <c r="E816" s="189"/>
      <c r="F816" s="189"/>
      <c r="G816" s="189"/>
      <c r="H816" s="189"/>
      <c r="I816" s="338"/>
      <c r="J816" s="338"/>
      <c r="K816" s="338"/>
      <c r="L816" s="338"/>
      <c r="M816" s="338"/>
      <c r="N816" s="338"/>
      <c r="O816" s="338"/>
      <c r="P816" s="338"/>
      <c r="Q816" s="338"/>
      <c r="R816" s="338"/>
      <c r="S816" s="338"/>
      <c r="T816" s="230"/>
      <c r="U816" s="189"/>
      <c r="V816" s="189"/>
      <c r="W816" s="189"/>
      <c r="X816" s="189"/>
      <c r="Y816" s="189"/>
      <c r="Z816" s="189"/>
      <c r="AA816" s="189"/>
      <c r="AB816" s="189"/>
      <c r="AC816" s="189"/>
      <c r="AD816" s="189"/>
    </row>
    <row r="817" spans="1:30">
      <c r="A817" s="189"/>
      <c r="B817" s="189"/>
      <c r="C817" s="189"/>
      <c r="D817" s="189"/>
      <c r="E817" s="189"/>
      <c r="F817" s="189"/>
      <c r="G817" s="189"/>
      <c r="H817" s="189"/>
      <c r="I817" s="338"/>
      <c r="J817" s="338"/>
      <c r="K817" s="338"/>
      <c r="L817" s="338"/>
      <c r="M817" s="338"/>
      <c r="N817" s="338"/>
      <c r="O817" s="338"/>
      <c r="P817" s="338"/>
      <c r="Q817" s="338"/>
      <c r="R817" s="338"/>
      <c r="S817" s="338"/>
      <c r="T817" s="230"/>
      <c r="U817" s="189"/>
      <c r="V817" s="189"/>
      <c r="W817" s="189"/>
      <c r="X817" s="189"/>
      <c r="Y817" s="189"/>
      <c r="Z817" s="189"/>
      <c r="AA817" s="189"/>
      <c r="AB817" s="189"/>
      <c r="AC817" s="189"/>
      <c r="AD817" s="189"/>
    </row>
    <row r="818" spans="1:30">
      <c r="A818" s="189"/>
      <c r="B818" s="189"/>
      <c r="C818" s="189"/>
      <c r="D818" s="189"/>
      <c r="E818" s="189"/>
      <c r="F818" s="189"/>
      <c r="G818" s="189"/>
      <c r="H818" s="189"/>
      <c r="I818" s="338"/>
      <c r="J818" s="338"/>
      <c r="K818" s="338"/>
      <c r="L818" s="338"/>
      <c r="M818" s="338"/>
      <c r="N818" s="338"/>
      <c r="O818" s="338"/>
      <c r="P818" s="338"/>
      <c r="Q818" s="338"/>
      <c r="R818" s="338"/>
      <c r="S818" s="338"/>
      <c r="T818" s="230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</row>
    <row r="819" spans="1:30">
      <c r="A819" s="189"/>
      <c r="B819" s="189"/>
      <c r="C819" s="189"/>
      <c r="D819" s="189"/>
      <c r="E819" s="189"/>
      <c r="F819" s="189"/>
      <c r="G819" s="189"/>
      <c r="H819" s="189"/>
      <c r="I819" s="338"/>
      <c r="J819" s="338"/>
      <c r="K819" s="338"/>
      <c r="L819" s="338"/>
      <c r="M819" s="338"/>
      <c r="N819" s="338"/>
      <c r="O819" s="338"/>
      <c r="P819" s="338"/>
      <c r="Q819" s="338"/>
      <c r="R819" s="338"/>
      <c r="S819" s="338"/>
      <c r="T819" s="230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</row>
    <row r="820" spans="1:30">
      <c r="A820" s="189"/>
      <c r="B820" s="189"/>
      <c r="C820" s="189"/>
      <c r="D820" s="189"/>
      <c r="E820" s="189"/>
      <c r="F820" s="189"/>
      <c r="G820" s="189"/>
      <c r="H820" s="189"/>
      <c r="I820" s="338"/>
      <c r="J820" s="338"/>
      <c r="K820" s="338"/>
      <c r="L820" s="338"/>
      <c r="M820" s="338"/>
      <c r="N820" s="338"/>
      <c r="O820" s="338"/>
      <c r="P820" s="338"/>
      <c r="Q820" s="338"/>
      <c r="R820" s="338"/>
      <c r="S820" s="338"/>
      <c r="T820" s="230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</row>
    <row r="821" spans="1:30">
      <c r="A821" s="189"/>
      <c r="B821" s="189"/>
      <c r="C821" s="189"/>
      <c r="D821" s="189"/>
      <c r="E821" s="189"/>
      <c r="F821" s="189"/>
      <c r="G821" s="189"/>
      <c r="H821" s="189"/>
      <c r="I821" s="338"/>
      <c r="J821" s="338"/>
      <c r="K821" s="338"/>
      <c r="L821" s="338"/>
      <c r="M821" s="338"/>
      <c r="N821" s="338"/>
      <c r="O821" s="338"/>
      <c r="P821" s="338"/>
      <c r="Q821" s="338"/>
      <c r="R821" s="338"/>
      <c r="S821" s="338"/>
      <c r="T821" s="230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</row>
    <row r="822" spans="1:30">
      <c r="A822" s="189"/>
      <c r="B822" s="189"/>
      <c r="C822" s="189"/>
      <c r="D822" s="189"/>
      <c r="E822" s="189"/>
      <c r="F822" s="189"/>
      <c r="G822" s="189"/>
      <c r="H822" s="189"/>
      <c r="I822" s="338"/>
      <c r="J822" s="338"/>
      <c r="K822" s="338"/>
      <c r="L822" s="338"/>
      <c r="M822" s="338"/>
      <c r="N822" s="338"/>
      <c r="O822" s="338"/>
      <c r="P822" s="338"/>
      <c r="Q822" s="338"/>
      <c r="R822" s="338"/>
      <c r="S822" s="338"/>
      <c r="T822" s="230"/>
      <c r="U822" s="189"/>
      <c r="V822" s="189"/>
      <c r="W822" s="189"/>
      <c r="X822" s="189"/>
      <c r="Y822" s="189"/>
      <c r="Z822" s="189"/>
      <c r="AA822" s="189"/>
      <c r="AB822" s="189"/>
      <c r="AC822" s="189"/>
      <c r="AD822" s="189"/>
    </row>
    <row r="823" spans="1:30">
      <c r="A823" s="189"/>
      <c r="B823" s="189"/>
      <c r="C823" s="189"/>
      <c r="D823" s="189"/>
      <c r="E823" s="189"/>
      <c r="F823" s="189"/>
      <c r="G823" s="189"/>
      <c r="H823" s="189"/>
      <c r="I823" s="338"/>
      <c r="J823" s="338"/>
      <c r="K823" s="338"/>
      <c r="L823" s="338"/>
      <c r="M823" s="338"/>
      <c r="N823" s="338"/>
      <c r="O823" s="338"/>
      <c r="P823" s="338"/>
      <c r="Q823" s="338"/>
      <c r="R823" s="338"/>
      <c r="S823" s="338"/>
      <c r="T823" s="230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</row>
    <row r="824" spans="1:30">
      <c r="A824" s="189"/>
      <c r="B824" s="189"/>
      <c r="C824" s="189"/>
      <c r="D824" s="189"/>
      <c r="E824" s="189"/>
      <c r="F824" s="189"/>
      <c r="G824" s="189"/>
      <c r="H824" s="189"/>
      <c r="I824" s="338"/>
      <c r="J824" s="338"/>
      <c r="K824" s="338"/>
      <c r="L824" s="338"/>
      <c r="M824" s="338"/>
      <c r="N824" s="338"/>
      <c r="O824" s="338"/>
      <c r="P824" s="338"/>
      <c r="Q824" s="338"/>
      <c r="R824" s="338"/>
      <c r="S824" s="338"/>
      <c r="T824" s="230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</row>
    <row r="825" spans="1:30">
      <c r="A825" s="189"/>
      <c r="B825" s="189"/>
      <c r="C825" s="189"/>
      <c r="D825" s="189"/>
      <c r="E825" s="189"/>
      <c r="F825" s="189"/>
      <c r="G825" s="189"/>
      <c r="H825" s="189"/>
      <c r="I825" s="338"/>
      <c r="J825" s="338"/>
      <c r="K825" s="338"/>
      <c r="L825" s="338"/>
      <c r="M825" s="338"/>
      <c r="N825" s="338"/>
      <c r="O825" s="338"/>
      <c r="P825" s="338"/>
      <c r="Q825" s="338"/>
      <c r="R825" s="338"/>
      <c r="S825" s="338"/>
      <c r="T825" s="230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</row>
    <row r="826" spans="1:30">
      <c r="A826" s="189"/>
      <c r="B826" s="189"/>
      <c r="C826" s="189"/>
      <c r="D826" s="189"/>
      <c r="E826" s="189"/>
      <c r="F826" s="189"/>
      <c r="G826" s="189"/>
      <c r="H826" s="189"/>
      <c r="I826" s="338"/>
      <c r="J826" s="338"/>
      <c r="K826" s="338"/>
      <c r="L826" s="338"/>
      <c r="M826" s="338"/>
      <c r="N826" s="338"/>
      <c r="O826" s="338"/>
      <c r="P826" s="338"/>
      <c r="Q826" s="338"/>
      <c r="R826" s="338"/>
      <c r="S826" s="338"/>
      <c r="T826" s="230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</row>
    <row r="827" spans="1:30">
      <c r="A827" s="189"/>
      <c r="B827" s="189"/>
      <c r="C827" s="189"/>
      <c r="D827" s="189"/>
      <c r="E827" s="189"/>
      <c r="F827" s="189"/>
      <c r="G827" s="189"/>
      <c r="H827" s="189"/>
      <c r="I827" s="338"/>
      <c r="J827" s="338"/>
      <c r="K827" s="338"/>
      <c r="L827" s="338"/>
      <c r="M827" s="338"/>
      <c r="N827" s="338"/>
      <c r="O827" s="338"/>
      <c r="P827" s="338"/>
      <c r="Q827" s="338"/>
      <c r="R827" s="338"/>
      <c r="S827" s="338"/>
      <c r="T827" s="230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</row>
    <row r="828" spans="1:30">
      <c r="A828" s="189"/>
      <c r="B828" s="189"/>
      <c r="C828" s="189"/>
      <c r="D828" s="189"/>
      <c r="E828" s="189"/>
      <c r="F828" s="189"/>
      <c r="G828" s="189"/>
      <c r="H828" s="189"/>
      <c r="I828" s="338"/>
      <c r="J828" s="338"/>
      <c r="K828" s="338"/>
      <c r="L828" s="338"/>
      <c r="M828" s="338"/>
      <c r="N828" s="338"/>
      <c r="O828" s="338"/>
      <c r="P828" s="338"/>
      <c r="Q828" s="338"/>
      <c r="R828" s="338"/>
      <c r="S828" s="338"/>
      <c r="T828" s="230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</row>
    <row r="829" spans="1:30">
      <c r="A829" s="189"/>
      <c r="B829" s="189"/>
      <c r="C829" s="189"/>
      <c r="D829" s="189"/>
      <c r="E829" s="189"/>
      <c r="F829" s="189"/>
      <c r="G829" s="189"/>
      <c r="H829" s="189"/>
      <c r="I829" s="338"/>
      <c r="J829" s="338"/>
      <c r="K829" s="338"/>
      <c r="L829" s="338"/>
      <c r="M829" s="338"/>
      <c r="N829" s="338"/>
      <c r="O829" s="338"/>
      <c r="P829" s="338"/>
      <c r="Q829" s="338"/>
      <c r="R829" s="338"/>
      <c r="S829" s="338"/>
      <c r="T829" s="230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</row>
    <row r="830" spans="1:30">
      <c r="A830" s="189"/>
      <c r="B830" s="189"/>
      <c r="C830" s="189"/>
      <c r="D830" s="189"/>
      <c r="E830" s="189"/>
      <c r="F830" s="189"/>
      <c r="G830" s="189"/>
      <c r="H830" s="189"/>
      <c r="I830" s="338"/>
      <c r="J830" s="338"/>
      <c r="K830" s="338"/>
      <c r="L830" s="338"/>
      <c r="M830" s="338"/>
      <c r="N830" s="338"/>
      <c r="O830" s="338"/>
      <c r="P830" s="338"/>
      <c r="Q830" s="338"/>
      <c r="R830" s="338"/>
      <c r="S830" s="338"/>
      <c r="T830" s="230"/>
      <c r="U830" s="189"/>
      <c r="V830" s="189"/>
      <c r="W830" s="189"/>
      <c r="X830" s="189"/>
      <c r="Y830" s="189"/>
      <c r="Z830" s="189"/>
      <c r="AA830" s="189"/>
      <c r="AB830" s="189"/>
      <c r="AC830" s="189"/>
      <c r="AD830" s="189"/>
    </row>
    <row r="831" spans="1:30">
      <c r="A831" s="189"/>
      <c r="B831" s="189"/>
      <c r="C831" s="189"/>
      <c r="D831" s="189"/>
      <c r="E831" s="189"/>
      <c r="F831" s="189"/>
      <c r="G831" s="189"/>
      <c r="H831" s="189"/>
      <c r="I831" s="338"/>
      <c r="J831" s="338"/>
      <c r="K831" s="338"/>
      <c r="L831" s="338"/>
      <c r="M831" s="338"/>
      <c r="N831" s="338"/>
      <c r="O831" s="338"/>
      <c r="P831" s="338"/>
      <c r="Q831" s="338"/>
      <c r="R831" s="338"/>
      <c r="S831" s="338"/>
      <c r="T831" s="230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</row>
    <row r="832" spans="1:30">
      <c r="A832" s="189"/>
      <c r="B832" s="189"/>
      <c r="C832" s="189"/>
      <c r="D832" s="189"/>
      <c r="E832" s="189"/>
      <c r="F832" s="189"/>
      <c r="G832" s="189"/>
      <c r="H832" s="189"/>
      <c r="I832" s="338"/>
      <c r="J832" s="338"/>
      <c r="K832" s="338"/>
      <c r="L832" s="338"/>
      <c r="M832" s="338"/>
      <c r="N832" s="338"/>
      <c r="O832" s="338"/>
      <c r="P832" s="338"/>
      <c r="Q832" s="338"/>
      <c r="R832" s="338"/>
      <c r="S832" s="338"/>
      <c r="T832" s="230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</row>
    <row r="833" spans="1:30">
      <c r="A833" s="189"/>
      <c r="B833" s="189"/>
      <c r="C833" s="189"/>
      <c r="D833" s="189"/>
      <c r="E833" s="189"/>
      <c r="F833" s="189"/>
      <c r="G833" s="189"/>
      <c r="H833" s="189"/>
      <c r="I833" s="338"/>
      <c r="J833" s="338"/>
      <c r="K833" s="338"/>
      <c r="L833" s="338"/>
      <c r="M833" s="338"/>
      <c r="N833" s="338"/>
      <c r="O833" s="338"/>
      <c r="P833" s="338"/>
      <c r="Q833" s="338"/>
      <c r="R833" s="338"/>
      <c r="S833" s="338"/>
      <c r="T833" s="230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</row>
    <row r="834" spans="1:30">
      <c r="A834" s="189"/>
      <c r="B834" s="189"/>
      <c r="C834" s="189"/>
      <c r="D834" s="189"/>
      <c r="E834" s="189"/>
      <c r="F834" s="189"/>
      <c r="G834" s="189"/>
      <c r="H834" s="189"/>
      <c r="I834" s="338"/>
      <c r="J834" s="338"/>
      <c r="K834" s="338"/>
      <c r="L834" s="338"/>
      <c r="M834" s="338"/>
      <c r="N834" s="338"/>
      <c r="O834" s="338"/>
      <c r="P834" s="338"/>
      <c r="Q834" s="338"/>
      <c r="R834" s="338"/>
      <c r="S834" s="338"/>
      <c r="T834" s="230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</row>
    <row r="835" spans="1:30">
      <c r="A835" s="189"/>
      <c r="B835" s="189"/>
      <c r="C835" s="189"/>
      <c r="D835" s="189"/>
      <c r="E835" s="189"/>
      <c r="F835" s="189"/>
      <c r="G835" s="189"/>
      <c r="H835" s="189"/>
      <c r="I835" s="338"/>
      <c r="J835" s="338"/>
      <c r="K835" s="338"/>
      <c r="L835" s="338"/>
      <c r="M835" s="338"/>
      <c r="N835" s="338"/>
      <c r="O835" s="338"/>
      <c r="P835" s="338"/>
      <c r="Q835" s="338"/>
      <c r="R835" s="338"/>
      <c r="S835" s="338"/>
      <c r="T835" s="230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</row>
    <row r="836" spans="1:30">
      <c r="A836" s="189"/>
      <c r="B836" s="189"/>
      <c r="C836" s="189"/>
      <c r="D836" s="189"/>
      <c r="E836" s="189"/>
      <c r="F836" s="189"/>
      <c r="G836" s="189"/>
      <c r="H836" s="189"/>
      <c r="I836" s="338"/>
      <c r="J836" s="338"/>
      <c r="K836" s="338"/>
      <c r="L836" s="338"/>
      <c r="M836" s="338"/>
      <c r="N836" s="338"/>
      <c r="O836" s="338"/>
      <c r="P836" s="338"/>
      <c r="Q836" s="338"/>
      <c r="R836" s="338"/>
      <c r="S836" s="338"/>
      <c r="T836" s="230"/>
      <c r="U836" s="189"/>
      <c r="V836" s="189"/>
      <c r="W836" s="189"/>
      <c r="X836" s="189"/>
      <c r="Y836" s="189"/>
      <c r="Z836" s="189"/>
      <c r="AA836" s="189"/>
      <c r="AB836" s="189"/>
      <c r="AC836" s="189"/>
      <c r="AD836" s="189"/>
    </row>
    <row r="837" spans="1:30">
      <c r="A837" s="189"/>
      <c r="B837" s="189"/>
      <c r="C837" s="189"/>
      <c r="D837" s="189"/>
      <c r="E837" s="189"/>
      <c r="F837" s="189"/>
      <c r="G837" s="189"/>
      <c r="H837" s="189"/>
      <c r="I837" s="338"/>
      <c r="J837" s="338"/>
      <c r="K837" s="338"/>
      <c r="L837" s="338"/>
      <c r="M837" s="338"/>
      <c r="N837" s="338"/>
      <c r="O837" s="338"/>
      <c r="P837" s="338"/>
      <c r="Q837" s="338"/>
      <c r="R837" s="338"/>
      <c r="S837" s="338"/>
      <c r="T837" s="230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</row>
    <row r="838" spans="1:30">
      <c r="A838" s="189"/>
      <c r="B838" s="189"/>
      <c r="C838" s="189"/>
      <c r="D838" s="189"/>
      <c r="E838" s="189"/>
      <c r="F838" s="189"/>
      <c r="G838" s="189"/>
      <c r="H838" s="189"/>
      <c r="I838" s="338"/>
      <c r="J838" s="338"/>
      <c r="K838" s="338"/>
      <c r="L838" s="338"/>
      <c r="M838" s="338"/>
      <c r="N838" s="338"/>
      <c r="O838" s="338"/>
      <c r="P838" s="338"/>
      <c r="Q838" s="338"/>
      <c r="R838" s="338"/>
      <c r="S838" s="338"/>
      <c r="T838" s="230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</row>
    <row r="839" spans="1:30">
      <c r="A839" s="189"/>
      <c r="B839" s="189"/>
      <c r="C839" s="189"/>
      <c r="D839" s="189"/>
      <c r="E839" s="189"/>
      <c r="F839" s="189"/>
      <c r="G839" s="189"/>
      <c r="H839" s="189"/>
      <c r="I839" s="338"/>
      <c r="J839" s="338"/>
      <c r="K839" s="338"/>
      <c r="L839" s="338"/>
      <c r="M839" s="338"/>
      <c r="N839" s="338"/>
      <c r="O839" s="338"/>
      <c r="P839" s="338"/>
      <c r="Q839" s="338"/>
      <c r="R839" s="338"/>
      <c r="S839" s="338"/>
      <c r="T839" s="230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</row>
    <row r="840" spans="1:30">
      <c r="A840" s="189"/>
      <c r="B840" s="189"/>
      <c r="C840" s="189"/>
      <c r="D840" s="189"/>
      <c r="E840" s="189"/>
      <c r="F840" s="189"/>
      <c r="G840" s="189"/>
      <c r="H840" s="189"/>
      <c r="I840" s="338"/>
      <c r="J840" s="338"/>
      <c r="K840" s="338"/>
      <c r="L840" s="338"/>
      <c r="M840" s="338"/>
      <c r="N840" s="338"/>
      <c r="O840" s="338"/>
      <c r="P840" s="338"/>
      <c r="Q840" s="338"/>
      <c r="R840" s="338"/>
      <c r="S840" s="338"/>
      <c r="T840" s="230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</row>
    <row r="841" spans="1:30">
      <c r="A841" s="189"/>
      <c r="B841" s="189"/>
      <c r="C841" s="189"/>
      <c r="D841" s="189"/>
      <c r="E841" s="189"/>
      <c r="F841" s="189"/>
      <c r="G841" s="189"/>
      <c r="H841" s="189"/>
      <c r="I841" s="338"/>
      <c r="J841" s="338"/>
      <c r="K841" s="338"/>
      <c r="L841" s="338"/>
      <c r="M841" s="338"/>
      <c r="N841" s="338"/>
      <c r="O841" s="338"/>
      <c r="P841" s="338"/>
      <c r="Q841" s="338"/>
      <c r="R841" s="338"/>
      <c r="S841" s="338"/>
      <c r="T841" s="230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</row>
    <row r="842" spans="1:30">
      <c r="A842" s="189"/>
      <c r="B842" s="189"/>
      <c r="C842" s="189"/>
      <c r="D842" s="189"/>
      <c r="E842" s="189"/>
      <c r="F842" s="189"/>
      <c r="G842" s="189"/>
      <c r="H842" s="189"/>
      <c r="I842" s="338"/>
      <c r="J842" s="338"/>
      <c r="K842" s="338"/>
      <c r="L842" s="338"/>
      <c r="M842" s="338"/>
      <c r="N842" s="338"/>
      <c r="O842" s="338"/>
      <c r="P842" s="338"/>
      <c r="Q842" s="338"/>
      <c r="R842" s="338"/>
      <c r="S842" s="338"/>
      <c r="T842" s="230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</row>
    <row r="843" spans="1:30">
      <c r="A843" s="189"/>
      <c r="B843" s="189"/>
      <c r="C843" s="189"/>
      <c r="D843" s="189"/>
      <c r="E843" s="189"/>
      <c r="F843" s="189"/>
      <c r="G843" s="189"/>
      <c r="H843" s="189"/>
      <c r="I843" s="338"/>
      <c r="J843" s="338"/>
      <c r="K843" s="338"/>
      <c r="L843" s="338"/>
      <c r="M843" s="338"/>
      <c r="N843" s="338"/>
      <c r="O843" s="338"/>
      <c r="P843" s="338"/>
      <c r="Q843" s="338"/>
      <c r="R843" s="338"/>
      <c r="S843" s="338"/>
      <c r="T843" s="230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</row>
    <row r="844" spans="1:30">
      <c r="A844" s="189"/>
      <c r="B844" s="189"/>
      <c r="C844" s="189"/>
      <c r="D844" s="189"/>
      <c r="E844" s="189"/>
      <c r="F844" s="189"/>
      <c r="G844" s="189"/>
      <c r="H844" s="189"/>
      <c r="I844" s="338"/>
      <c r="J844" s="338"/>
      <c r="K844" s="338"/>
      <c r="L844" s="338"/>
      <c r="M844" s="338"/>
      <c r="N844" s="338"/>
      <c r="O844" s="338"/>
      <c r="P844" s="338"/>
      <c r="Q844" s="338"/>
      <c r="R844" s="338"/>
      <c r="S844" s="338"/>
      <c r="T844" s="230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</row>
    <row r="845" spans="1:30">
      <c r="A845" s="189"/>
      <c r="B845" s="189"/>
      <c r="C845" s="189"/>
      <c r="D845" s="189"/>
      <c r="E845" s="189"/>
      <c r="F845" s="189"/>
      <c r="G845" s="189"/>
      <c r="H845" s="189"/>
      <c r="I845" s="338"/>
      <c r="J845" s="338"/>
      <c r="K845" s="338"/>
      <c r="L845" s="338"/>
      <c r="M845" s="338"/>
      <c r="N845" s="338"/>
      <c r="O845" s="338"/>
      <c r="P845" s="338"/>
      <c r="Q845" s="338"/>
      <c r="R845" s="338"/>
      <c r="S845" s="338"/>
      <c r="T845" s="230"/>
      <c r="U845" s="189"/>
      <c r="V845" s="189"/>
      <c r="W845" s="189"/>
      <c r="X845" s="189"/>
      <c r="Y845" s="189"/>
      <c r="Z845" s="189"/>
      <c r="AA845" s="189"/>
      <c r="AB845" s="189"/>
      <c r="AC845" s="189"/>
      <c r="AD845" s="189"/>
    </row>
    <row r="846" spans="1:30">
      <c r="A846" s="189"/>
      <c r="B846" s="189"/>
      <c r="C846" s="189"/>
      <c r="D846" s="189"/>
      <c r="E846" s="189"/>
      <c r="F846" s="189"/>
      <c r="G846" s="189"/>
      <c r="H846" s="189"/>
      <c r="I846" s="338"/>
      <c r="J846" s="338"/>
      <c r="K846" s="338"/>
      <c r="L846" s="338"/>
      <c r="M846" s="338"/>
      <c r="N846" s="338"/>
      <c r="O846" s="338"/>
      <c r="P846" s="338"/>
      <c r="Q846" s="338"/>
      <c r="R846" s="338"/>
      <c r="S846" s="338"/>
      <c r="T846" s="230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</row>
    <row r="847" spans="1:30">
      <c r="A847" s="189"/>
      <c r="B847" s="189"/>
      <c r="C847" s="189"/>
      <c r="D847" s="189"/>
      <c r="E847" s="189"/>
      <c r="F847" s="189"/>
      <c r="G847" s="189"/>
      <c r="H847" s="189"/>
      <c r="I847" s="338"/>
      <c r="J847" s="338"/>
      <c r="K847" s="338"/>
      <c r="L847" s="338"/>
      <c r="M847" s="338"/>
      <c r="N847" s="338"/>
      <c r="O847" s="338"/>
      <c r="P847" s="338"/>
      <c r="Q847" s="338"/>
      <c r="R847" s="338"/>
      <c r="S847" s="338"/>
      <c r="T847" s="230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</row>
    <row r="848" spans="1:30">
      <c r="A848" s="189"/>
      <c r="B848" s="189"/>
      <c r="C848" s="189"/>
      <c r="D848" s="189"/>
      <c r="E848" s="189"/>
      <c r="F848" s="189"/>
      <c r="G848" s="189"/>
      <c r="H848" s="189"/>
      <c r="I848" s="338"/>
      <c r="J848" s="338"/>
      <c r="K848" s="338"/>
      <c r="L848" s="338"/>
      <c r="M848" s="338"/>
      <c r="N848" s="338"/>
      <c r="O848" s="338"/>
      <c r="P848" s="338"/>
      <c r="Q848" s="338"/>
      <c r="R848" s="338"/>
      <c r="S848" s="338"/>
      <c r="T848" s="230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</row>
    <row r="849" spans="1:30">
      <c r="A849" s="189"/>
      <c r="B849" s="189"/>
      <c r="C849" s="189"/>
      <c r="D849" s="189"/>
      <c r="E849" s="189"/>
      <c r="F849" s="189"/>
      <c r="G849" s="189"/>
      <c r="H849" s="189"/>
      <c r="I849" s="338"/>
      <c r="J849" s="338"/>
      <c r="K849" s="338"/>
      <c r="L849" s="338"/>
      <c r="M849" s="338"/>
      <c r="N849" s="338"/>
      <c r="O849" s="338"/>
      <c r="P849" s="338"/>
      <c r="Q849" s="338"/>
      <c r="R849" s="338"/>
      <c r="S849" s="338"/>
      <c r="T849" s="230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</row>
    <row r="850" spans="1:30">
      <c r="A850" s="189"/>
      <c r="B850" s="189"/>
      <c r="C850" s="189"/>
      <c r="D850" s="189"/>
      <c r="E850" s="189"/>
      <c r="F850" s="189"/>
      <c r="G850" s="189"/>
      <c r="H850" s="189"/>
      <c r="I850" s="338"/>
      <c r="J850" s="338"/>
      <c r="K850" s="338"/>
      <c r="L850" s="338"/>
      <c r="M850" s="338"/>
      <c r="N850" s="338"/>
      <c r="O850" s="338"/>
      <c r="P850" s="338"/>
      <c r="Q850" s="338"/>
      <c r="R850" s="338"/>
      <c r="S850" s="338"/>
      <c r="T850" s="230"/>
      <c r="U850" s="189"/>
      <c r="V850" s="189"/>
      <c r="W850" s="189"/>
      <c r="X850" s="189"/>
      <c r="Y850" s="189"/>
      <c r="Z850" s="189"/>
      <c r="AA850" s="189"/>
      <c r="AB850" s="189"/>
      <c r="AC850" s="189"/>
      <c r="AD850" s="189"/>
    </row>
    <row r="851" spans="1:30">
      <c r="A851" s="189"/>
      <c r="B851" s="189"/>
      <c r="C851" s="189"/>
      <c r="D851" s="189"/>
      <c r="E851" s="189"/>
      <c r="F851" s="189"/>
      <c r="G851" s="189"/>
      <c r="H851" s="189"/>
      <c r="I851" s="338"/>
      <c r="J851" s="338"/>
      <c r="K851" s="338"/>
      <c r="L851" s="338"/>
      <c r="M851" s="338"/>
      <c r="N851" s="338"/>
      <c r="O851" s="338"/>
      <c r="P851" s="338"/>
      <c r="Q851" s="338"/>
      <c r="R851" s="338"/>
      <c r="S851" s="338"/>
      <c r="T851" s="230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</row>
    <row r="852" spans="1:30">
      <c r="A852" s="189"/>
      <c r="B852" s="189"/>
      <c r="C852" s="189"/>
      <c r="D852" s="189"/>
      <c r="E852" s="189"/>
      <c r="F852" s="189"/>
      <c r="G852" s="189"/>
      <c r="H852" s="189"/>
      <c r="I852" s="338"/>
      <c r="J852" s="338"/>
      <c r="K852" s="338"/>
      <c r="L852" s="338"/>
      <c r="M852" s="338"/>
      <c r="N852" s="338"/>
      <c r="O852" s="338"/>
      <c r="P852" s="338"/>
      <c r="Q852" s="338"/>
      <c r="R852" s="338"/>
      <c r="S852" s="338"/>
      <c r="T852" s="230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</row>
    <row r="853" spans="1:30">
      <c r="A853" s="189"/>
      <c r="B853" s="189"/>
      <c r="C853" s="189"/>
      <c r="D853" s="189"/>
      <c r="E853" s="189"/>
      <c r="F853" s="189"/>
      <c r="G853" s="189"/>
      <c r="H853" s="189"/>
      <c r="I853" s="338"/>
      <c r="J853" s="338"/>
      <c r="K853" s="338"/>
      <c r="L853" s="338"/>
      <c r="M853" s="338"/>
      <c r="N853" s="338"/>
      <c r="O853" s="338"/>
      <c r="P853" s="338"/>
      <c r="Q853" s="338"/>
      <c r="R853" s="338"/>
      <c r="S853" s="338"/>
      <c r="T853" s="230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</row>
    <row r="854" spans="1:30">
      <c r="A854" s="189"/>
      <c r="B854" s="189"/>
      <c r="C854" s="189"/>
      <c r="D854" s="189"/>
      <c r="E854" s="189"/>
      <c r="F854" s="189"/>
      <c r="G854" s="189"/>
      <c r="H854" s="189"/>
      <c r="I854" s="338"/>
      <c r="J854" s="338"/>
      <c r="K854" s="338"/>
      <c r="L854" s="338"/>
      <c r="M854" s="338"/>
      <c r="N854" s="338"/>
      <c r="O854" s="338"/>
      <c r="P854" s="338"/>
      <c r="Q854" s="338"/>
      <c r="R854" s="338"/>
      <c r="S854" s="338"/>
      <c r="T854" s="230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</row>
    <row r="855" spans="1:30">
      <c r="A855" s="189"/>
      <c r="B855" s="189"/>
      <c r="C855" s="189"/>
      <c r="D855" s="189"/>
      <c r="E855" s="189"/>
      <c r="F855" s="189"/>
      <c r="G855" s="189"/>
      <c r="H855" s="189"/>
      <c r="I855" s="338"/>
      <c r="J855" s="338"/>
      <c r="K855" s="338"/>
      <c r="L855" s="338"/>
      <c r="M855" s="338"/>
      <c r="N855" s="338"/>
      <c r="O855" s="338"/>
      <c r="P855" s="338"/>
      <c r="Q855" s="338"/>
      <c r="R855" s="338"/>
      <c r="S855" s="338"/>
      <c r="T855" s="230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</row>
    <row r="856" spans="1:30">
      <c r="A856" s="189"/>
      <c r="B856" s="189"/>
      <c r="C856" s="189"/>
      <c r="D856" s="189"/>
      <c r="E856" s="189"/>
      <c r="F856" s="189"/>
      <c r="G856" s="189"/>
      <c r="H856" s="189"/>
      <c r="I856" s="338"/>
      <c r="J856" s="338"/>
      <c r="K856" s="338"/>
      <c r="L856" s="338"/>
      <c r="M856" s="338"/>
      <c r="N856" s="338"/>
      <c r="O856" s="338"/>
      <c r="P856" s="338"/>
      <c r="Q856" s="338"/>
      <c r="R856" s="338"/>
      <c r="S856" s="338"/>
      <c r="T856" s="230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</row>
    <row r="857" spans="1:30">
      <c r="A857" s="189"/>
      <c r="B857" s="189"/>
      <c r="C857" s="189"/>
      <c r="D857" s="189"/>
      <c r="E857" s="189"/>
      <c r="F857" s="189"/>
      <c r="G857" s="189"/>
      <c r="H857" s="189"/>
      <c r="I857" s="338"/>
      <c r="J857" s="338"/>
      <c r="K857" s="338"/>
      <c r="L857" s="338"/>
      <c r="M857" s="338"/>
      <c r="N857" s="338"/>
      <c r="O857" s="338"/>
      <c r="P857" s="338"/>
      <c r="Q857" s="338"/>
      <c r="R857" s="338"/>
      <c r="S857" s="338"/>
      <c r="T857" s="230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</row>
    <row r="858" spans="1:30">
      <c r="A858" s="189"/>
      <c r="B858" s="189"/>
      <c r="C858" s="189"/>
      <c r="D858" s="189"/>
      <c r="E858" s="189"/>
      <c r="F858" s="189"/>
      <c r="G858" s="189"/>
      <c r="H858" s="189"/>
      <c r="I858" s="338"/>
      <c r="J858" s="338"/>
      <c r="K858" s="338"/>
      <c r="L858" s="338"/>
      <c r="M858" s="338"/>
      <c r="N858" s="338"/>
      <c r="O858" s="338"/>
      <c r="P858" s="338"/>
      <c r="Q858" s="338"/>
      <c r="R858" s="338"/>
      <c r="S858" s="338"/>
      <c r="T858" s="230"/>
      <c r="U858" s="189"/>
      <c r="V858" s="189"/>
      <c r="W858" s="189"/>
      <c r="X858" s="189"/>
      <c r="Y858" s="189"/>
      <c r="Z858" s="189"/>
      <c r="AA858" s="189"/>
      <c r="AB858" s="189"/>
      <c r="AC858" s="189"/>
      <c r="AD858" s="189"/>
    </row>
    <row r="859" spans="1:30">
      <c r="A859" s="189"/>
      <c r="B859" s="189"/>
      <c r="C859" s="189"/>
      <c r="D859" s="189"/>
      <c r="E859" s="189"/>
      <c r="F859" s="189"/>
      <c r="G859" s="189"/>
      <c r="H859" s="189"/>
      <c r="I859" s="338"/>
      <c r="J859" s="338"/>
      <c r="K859" s="338"/>
      <c r="L859" s="338"/>
      <c r="M859" s="338"/>
      <c r="N859" s="338"/>
      <c r="O859" s="338"/>
      <c r="P859" s="338"/>
      <c r="Q859" s="338"/>
      <c r="R859" s="338"/>
      <c r="S859" s="338"/>
      <c r="T859" s="230"/>
      <c r="U859" s="189"/>
      <c r="V859" s="189"/>
      <c r="W859" s="189"/>
      <c r="X859" s="189"/>
      <c r="Y859" s="189"/>
      <c r="Z859" s="189"/>
      <c r="AA859" s="189"/>
      <c r="AB859" s="189"/>
      <c r="AC859" s="189"/>
      <c r="AD859" s="189"/>
    </row>
    <row r="860" spans="1:30">
      <c r="A860" s="189"/>
      <c r="B860" s="189"/>
      <c r="C860" s="189"/>
      <c r="D860" s="189"/>
      <c r="E860" s="189"/>
      <c r="F860" s="189"/>
      <c r="G860" s="189"/>
      <c r="H860" s="189"/>
      <c r="I860" s="338"/>
      <c r="J860" s="338"/>
      <c r="K860" s="338"/>
      <c r="L860" s="338"/>
      <c r="M860" s="338"/>
      <c r="N860" s="338"/>
      <c r="O860" s="338"/>
      <c r="P860" s="338"/>
      <c r="Q860" s="338"/>
      <c r="R860" s="338"/>
      <c r="S860" s="338"/>
      <c r="T860" s="230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</row>
    <row r="861" spans="1:30">
      <c r="A861" s="189"/>
      <c r="B861" s="189"/>
      <c r="C861" s="189"/>
      <c r="D861" s="189"/>
      <c r="E861" s="189"/>
      <c r="F861" s="189"/>
      <c r="G861" s="189"/>
      <c r="H861" s="189"/>
      <c r="I861" s="338"/>
      <c r="J861" s="338"/>
      <c r="K861" s="338"/>
      <c r="L861" s="338"/>
      <c r="M861" s="338"/>
      <c r="N861" s="338"/>
      <c r="O861" s="338"/>
      <c r="P861" s="338"/>
      <c r="Q861" s="338"/>
      <c r="R861" s="338"/>
      <c r="S861" s="338"/>
      <c r="T861" s="230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</row>
    <row r="862" spans="1:30">
      <c r="A862" s="189"/>
      <c r="B862" s="189"/>
      <c r="C862" s="189"/>
      <c r="D862" s="189"/>
      <c r="E862" s="189"/>
      <c r="F862" s="189"/>
      <c r="G862" s="189"/>
      <c r="H862" s="189"/>
      <c r="I862" s="338"/>
      <c r="J862" s="338"/>
      <c r="K862" s="338"/>
      <c r="L862" s="338"/>
      <c r="M862" s="338"/>
      <c r="N862" s="338"/>
      <c r="O862" s="338"/>
      <c r="P862" s="338"/>
      <c r="Q862" s="338"/>
      <c r="R862" s="338"/>
      <c r="S862" s="338"/>
      <c r="T862" s="230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</row>
    <row r="863" spans="1:30">
      <c r="A863" s="189"/>
      <c r="B863" s="189"/>
      <c r="C863" s="189"/>
      <c r="D863" s="189"/>
      <c r="E863" s="189"/>
      <c r="F863" s="189"/>
      <c r="G863" s="189"/>
      <c r="H863" s="189"/>
      <c r="I863" s="338"/>
      <c r="J863" s="338"/>
      <c r="K863" s="338"/>
      <c r="L863" s="338"/>
      <c r="M863" s="338"/>
      <c r="N863" s="338"/>
      <c r="O863" s="338"/>
      <c r="P863" s="338"/>
      <c r="Q863" s="338"/>
      <c r="R863" s="338"/>
      <c r="S863" s="338"/>
      <c r="T863" s="230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</row>
    <row r="864" spans="1:30">
      <c r="A864" s="189"/>
      <c r="B864" s="189"/>
      <c r="C864" s="189"/>
      <c r="D864" s="189"/>
      <c r="E864" s="189"/>
      <c r="F864" s="189"/>
      <c r="G864" s="189"/>
      <c r="H864" s="189"/>
      <c r="I864" s="338"/>
      <c r="J864" s="338"/>
      <c r="K864" s="338"/>
      <c r="L864" s="338"/>
      <c r="M864" s="338"/>
      <c r="N864" s="338"/>
      <c r="O864" s="338"/>
      <c r="P864" s="338"/>
      <c r="Q864" s="338"/>
      <c r="R864" s="338"/>
      <c r="S864" s="338"/>
      <c r="T864" s="230"/>
      <c r="U864" s="189"/>
      <c r="V864" s="189"/>
      <c r="W864" s="189"/>
      <c r="X864" s="189"/>
      <c r="Y864" s="189"/>
      <c r="Z864" s="189"/>
      <c r="AA864" s="189"/>
      <c r="AB864" s="189"/>
      <c r="AC864" s="189"/>
      <c r="AD864" s="189"/>
    </row>
    <row r="865" spans="1:30">
      <c r="A865" s="189"/>
      <c r="B865" s="189"/>
      <c r="C865" s="189"/>
      <c r="D865" s="189"/>
      <c r="E865" s="189"/>
      <c r="F865" s="189"/>
      <c r="G865" s="189"/>
      <c r="H865" s="189"/>
      <c r="I865" s="338"/>
      <c r="J865" s="338"/>
      <c r="K865" s="338"/>
      <c r="L865" s="338"/>
      <c r="M865" s="338"/>
      <c r="N865" s="338"/>
      <c r="O865" s="338"/>
      <c r="P865" s="338"/>
      <c r="Q865" s="338"/>
      <c r="R865" s="338"/>
      <c r="S865" s="338"/>
      <c r="T865" s="230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</row>
    <row r="866" spans="1:30">
      <c r="A866" s="189"/>
      <c r="B866" s="189"/>
      <c r="C866" s="189"/>
      <c r="D866" s="189"/>
      <c r="E866" s="189"/>
      <c r="F866" s="189"/>
      <c r="G866" s="189"/>
      <c r="H866" s="189"/>
      <c r="I866" s="338"/>
      <c r="J866" s="338"/>
      <c r="K866" s="338"/>
      <c r="L866" s="338"/>
      <c r="M866" s="338"/>
      <c r="N866" s="338"/>
      <c r="O866" s="338"/>
      <c r="P866" s="338"/>
      <c r="Q866" s="338"/>
      <c r="R866" s="338"/>
      <c r="S866" s="338"/>
      <c r="T866" s="230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</row>
    <row r="867" spans="1:30">
      <c r="A867" s="189"/>
      <c r="B867" s="189"/>
      <c r="C867" s="189"/>
      <c r="D867" s="189"/>
      <c r="E867" s="189"/>
      <c r="F867" s="189"/>
      <c r="G867" s="189"/>
      <c r="H867" s="189"/>
      <c r="I867" s="338"/>
      <c r="J867" s="338"/>
      <c r="K867" s="338"/>
      <c r="L867" s="338"/>
      <c r="M867" s="338"/>
      <c r="N867" s="338"/>
      <c r="O867" s="338"/>
      <c r="P867" s="338"/>
      <c r="Q867" s="338"/>
      <c r="R867" s="338"/>
      <c r="S867" s="338"/>
      <c r="T867" s="230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</row>
    <row r="868" spans="1:30">
      <c r="A868" s="189"/>
      <c r="B868" s="189"/>
      <c r="C868" s="189"/>
      <c r="D868" s="189"/>
      <c r="E868" s="189"/>
      <c r="F868" s="189"/>
      <c r="G868" s="189"/>
      <c r="H868" s="189"/>
      <c r="I868" s="338"/>
      <c r="J868" s="338"/>
      <c r="K868" s="338"/>
      <c r="L868" s="338"/>
      <c r="M868" s="338"/>
      <c r="N868" s="338"/>
      <c r="O868" s="338"/>
      <c r="P868" s="338"/>
      <c r="Q868" s="338"/>
      <c r="R868" s="338"/>
      <c r="S868" s="338"/>
      <c r="T868" s="230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</row>
    <row r="869" spans="1:30">
      <c r="A869" s="189"/>
      <c r="B869" s="189"/>
      <c r="C869" s="189"/>
      <c r="D869" s="189"/>
      <c r="E869" s="189"/>
      <c r="F869" s="189"/>
      <c r="G869" s="189"/>
      <c r="H869" s="189"/>
      <c r="I869" s="338"/>
      <c r="J869" s="338"/>
      <c r="K869" s="338"/>
      <c r="L869" s="338"/>
      <c r="M869" s="338"/>
      <c r="N869" s="338"/>
      <c r="O869" s="338"/>
      <c r="P869" s="338"/>
      <c r="Q869" s="338"/>
      <c r="R869" s="338"/>
      <c r="S869" s="338"/>
      <c r="T869" s="230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</row>
    <row r="870" spans="1:30">
      <c r="A870" s="189"/>
      <c r="B870" s="189"/>
      <c r="C870" s="189"/>
      <c r="D870" s="189"/>
      <c r="E870" s="189"/>
      <c r="F870" s="189"/>
      <c r="G870" s="189"/>
      <c r="H870" s="189"/>
      <c r="I870" s="338"/>
      <c r="J870" s="338"/>
      <c r="K870" s="338"/>
      <c r="L870" s="338"/>
      <c r="M870" s="338"/>
      <c r="N870" s="338"/>
      <c r="O870" s="338"/>
      <c r="P870" s="338"/>
      <c r="Q870" s="338"/>
      <c r="R870" s="338"/>
      <c r="S870" s="338"/>
      <c r="T870" s="230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</row>
    <row r="871" spans="1:30">
      <c r="A871" s="189"/>
      <c r="B871" s="189"/>
      <c r="C871" s="189"/>
      <c r="D871" s="189"/>
      <c r="E871" s="189"/>
      <c r="F871" s="189"/>
      <c r="G871" s="189"/>
      <c r="H871" s="189"/>
      <c r="I871" s="338"/>
      <c r="J871" s="338"/>
      <c r="K871" s="338"/>
      <c r="L871" s="338"/>
      <c r="M871" s="338"/>
      <c r="N871" s="338"/>
      <c r="O871" s="338"/>
      <c r="P871" s="338"/>
      <c r="Q871" s="338"/>
      <c r="R871" s="338"/>
      <c r="S871" s="338"/>
      <c r="T871" s="230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</row>
    <row r="872" spans="1:30">
      <c r="A872" s="189"/>
      <c r="B872" s="189"/>
      <c r="C872" s="189"/>
      <c r="D872" s="189"/>
      <c r="E872" s="189"/>
      <c r="F872" s="189"/>
      <c r="G872" s="189"/>
      <c r="H872" s="189"/>
      <c r="I872" s="338"/>
      <c r="J872" s="338"/>
      <c r="K872" s="338"/>
      <c r="L872" s="338"/>
      <c r="M872" s="338"/>
      <c r="N872" s="338"/>
      <c r="O872" s="338"/>
      <c r="P872" s="338"/>
      <c r="Q872" s="338"/>
      <c r="R872" s="338"/>
      <c r="S872" s="338"/>
      <c r="T872" s="230"/>
      <c r="U872" s="189"/>
      <c r="V872" s="189"/>
      <c r="W872" s="189"/>
      <c r="X872" s="189"/>
      <c r="Y872" s="189"/>
      <c r="Z872" s="189"/>
      <c r="AA872" s="189"/>
      <c r="AB872" s="189"/>
      <c r="AC872" s="189"/>
      <c r="AD872" s="189"/>
    </row>
    <row r="873" spans="1:30">
      <c r="A873" s="189"/>
      <c r="B873" s="189"/>
      <c r="C873" s="189"/>
      <c r="D873" s="189"/>
      <c r="E873" s="189"/>
      <c r="F873" s="189"/>
      <c r="G873" s="189"/>
      <c r="H873" s="189"/>
      <c r="I873" s="338"/>
      <c r="J873" s="338"/>
      <c r="K873" s="338"/>
      <c r="L873" s="338"/>
      <c r="M873" s="338"/>
      <c r="N873" s="338"/>
      <c r="O873" s="338"/>
      <c r="P873" s="338"/>
      <c r="Q873" s="338"/>
      <c r="R873" s="338"/>
      <c r="S873" s="338"/>
      <c r="T873" s="230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</row>
    <row r="874" spans="1:30">
      <c r="A874" s="189"/>
      <c r="B874" s="189"/>
      <c r="C874" s="189"/>
      <c r="D874" s="189"/>
      <c r="E874" s="189"/>
      <c r="F874" s="189"/>
      <c r="G874" s="189"/>
      <c r="H874" s="189"/>
      <c r="I874" s="338"/>
      <c r="J874" s="338"/>
      <c r="K874" s="338"/>
      <c r="L874" s="338"/>
      <c r="M874" s="338"/>
      <c r="N874" s="338"/>
      <c r="O874" s="338"/>
      <c r="P874" s="338"/>
      <c r="Q874" s="338"/>
      <c r="R874" s="338"/>
      <c r="S874" s="338"/>
      <c r="T874" s="230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</row>
    <row r="875" spans="1:30">
      <c r="A875" s="189"/>
      <c r="B875" s="189"/>
      <c r="C875" s="189"/>
      <c r="D875" s="189"/>
      <c r="E875" s="189"/>
      <c r="F875" s="189"/>
      <c r="G875" s="189"/>
      <c r="H875" s="189"/>
      <c r="I875" s="338"/>
      <c r="J875" s="338"/>
      <c r="K875" s="338"/>
      <c r="L875" s="338"/>
      <c r="M875" s="338"/>
      <c r="N875" s="338"/>
      <c r="O875" s="338"/>
      <c r="P875" s="338"/>
      <c r="Q875" s="338"/>
      <c r="R875" s="338"/>
      <c r="S875" s="338"/>
      <c r="T875" s="230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</row>
    <row r="876" spans="1:30">
      <c r="A876" s="189"/>
      <c r="B876" s="189"/>
      <c r="C876" s="189"/>
      <c r="D876" s="189"/>
      <c r="E876" s="189"/>
      <c r="F876" s="189"/>
      <c r="G876" s="189"/>
      <c r="H876" s="189"/>
      <c r="I876" s="338"/>
      <c r="J876" s="338"/>
      <c r="K876" s="338"/>
      <c r="L876" s="338"/>
      <c r="M876" s="338"/>
      <c r="N876" s="338"/>
      <c r="O876" s="338"/>
      <c r="P876" s="338"/>
      <c r="Q876" s="338"/>
      <c r="R876" s="338"/>
      <c r="S876" s="338"/>
      <c r="T876" s="230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</row>
    <row r="877" spans="1:30">
      <c r="A877" s="189"/>
      <c r="B877" s="189"/>
      <c r="C877" s="189"/>
      <c r="D877" s="189"/>
      <c r="E877" s="189"/>
      <c r="F877" s="189"/>
      <c r="G877" s="189"/>
      <c r="H877" s="189"/>
      <c r="I877" s="338"/>
      <c r="J877" s="338"/>
      <c r="K877" s="338"/>
      <c r="L877" s="338"/>
      <c r="M877" s="338"/>
      <c r="N877" s="338"/>
      <c r="O877" s="338"/>
      <c r="P877" s="338"/>
      <c r="Q877" s="338"/>
      <c r="R877" s="338"/>
      <c r="S877" s="338"/>
      <c r="T877" s="230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</row>
    <row r="878" spans="1:30">
      <c r="A878" s="189"/>
      <c r="B878" s="189"/>
      <c r="C878" s="189"/>
      <c r="D878" s="189"/>
      <c r="E878" s="189"/>
      <c r="F878" s="189"/>
      <c r="G878" s="189"/>
      <c r="H878" s="189"/>
      <c r="I878" s="338"/>
      <c r="J878" s="338"/>
      <c r="K878" s="338"/>
      <c r="L878" s="338"/>
      <c r="M878" s="338"/>
      <c r="N878" s="338"/>
      <c r="O878" s="338"/>
      <c r="P878" s="338"/>
      <c r="Q878" s="338"/>
      <c r="R878" s="338"/>
      <c r="S878" s="338"/>
      <c r="T878" s="230"/>
      <c r="U878" s="189"/>
      <c r="V878" s="189"/>
      <c r="W878" s="189"/>
      <c r="X878" s="189"/>
      <c r="Y878" s="189"/>
      <c r="Z878" s="189"/>
      <c r="AA878" s="189"/>
      <c r="AB878" s="189"/>
      <c r="AC878" s="189"/>
      <c r="AD878" s="189"/>
    </row>
    <row r="879" spans="1:30">
      <c r="A879" s="189"/>
      <c r="B879" s="189"/>
      <c r="C879" s="189"/>
      <c r="D879" s="189"/>
      <c r="E879" s="189"/>
      <c r="F879" s="189"/>
      <c r="G879" s="189"/>
      <c r="H879" s="189"/>
      <c r="I879" s="338"/>
      <c r="J879" s="338"/>
      <c r="K879" s="338"/>
      <c r="L879" s="338"/>
      <c r="M879" s="338"/>
      <c r="N879" s="338"/>
      <c r="O879" s="338"/>
      <c r="P879" s="338"/>
      <c r="Q879" s="338"/>
      <c r="R879" s="338"/>
      <c r="S879" s="338"/>
      <c r="T879" s="230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</row>
    <row r="880" spans="1:30">
      <c r="A880" s="189"/>
      <c r="B880" s="189"/>
      <c r="C880" s="189"/>
      <c r="D880" s="189"/>
      <c r="E880" s="189"/>
      <c r="F880" s="189"/>
      <c r="G880" s="189"/>
      <c r="H880" s="189"/>
      <c r="I880" s="338"/>
      <c r="J880" s="338"/>
      <c r="K880" s="338"/>
      <c r="L880" s="338"/>
      <c r="M880" s="338"/>
      <c r="N880" s="338"/>
      <c r="O880" s="338"/>
      <c r="P880" s="338"/>
      <c r="Q880" s="338"/>
      <c r="R880" s="338"/>
      <c r="S880" s="338"/>
      <c r="T880" s="230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</row>
    <row r="881" spans="1:30">
      <c r="A881" s="189"/>
      <c r="B881" s="189"/>
      <c r="C881" s="189"/>
      <c r="D881" s="189"/>
      <c r="E881" s="189"/>
      <c r="F881" s="189"/>
      <c r="G881" s="189"/>
      <c r="H881" s="189"/>
      <c r="I881" s="338"/>
      <c r="J881" s="338"/>
      <c r="K881" s="338"/>
      <c r="L881" s="338"/>
      <c r="M881" s="338"/>
      <c r="N881" s="338"/>
      <c r="O881" s="338"/>
      <c r="P881" s="338"/>
      <c r="Q881" s="338"/>
      <c r="R881" s="338"/>
      <c r="S881" s="338"/>
      <c r="T881" s="230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</row>
    <row r="882" spans="1:30">
      <c r="A882" s="189"/>
      <c r="B882" s="189"/>
      <c r="C882" s="189"/>
      <c r="D882" s="189"/>
      <c r="E882" s="189"/>
      <c r="F882" s="189"/>
      <c r="G882" s="189"/>
      <c r="H882" s="189"/>
      <c r="I882" s="338"/>
      <c r="J882" s="338"/>
      <c r="K882" s="338"/>
      <c r="L882" s="338"/>
      <c r="M882" s="338"/>
      <c r="N882" s="338"/>
      <c r="O882" s="338"/>
      <c r="P882" s="338"/>
      <c r="Q882" s="338"/>
      <c r="R882" s="338"/>
      <c r="S882" s="338"/>
      <c r="T882" s="230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</row>
    <row r="883" spans="1:30">
      <c r="A883" s="189"/>
      <c r="B883" s="189"/>
      <c r="C883" s="189"/>
      <c r="D883" s="189"/>
      <c r="E883" s="189"/>
      <c r="F883" s="189"/>
      <c r="G883" s="189"/>
      <c r="H883" s="189"/>
      <c r="I883" s="338"/>
      <c r="J883" s="338"/>
      <c r="K883" s="338"/>
      <c r="L883" s="338"/>
      <c r="M883" s="338"/>
      <c r="N883" s="338"/>
      <c r="O883" s="338"/>
      <c r="P883" s="338"/>
      <c r="Q883" s="338"/>
      <c r="R883" s="338"/>
      <c r="S883" s="338"/>
      <c r="T883" s="230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</row>
    <row r="884" spans="1:30">
      <c r="A884" s="189"/>
      <c r="B884" s="189"/>
      <c r="C884" s="189"/>
      <c r="D884" s="189"/>
      <c r="E884" s="189"/>
      <c r="F884" s="189"/>
      <c r="G884" s="189"/>
      <c r="H884" s="189"/>
      <c r="I884" s="338"/>
      <c r="J884" s="338"/>
      <c r="K884" s="338"/>
      <c r="L884" s="338"/>
      <c r="M884" s="338"/>
      <c r="N884" s="338"/>
      <c r="O884" s="338"/>
      <c r="P884" s="338"/>
      <c r="Q884" s="338"/>
      <c r="R884" s="338"/>
      <c r="S884" s="338"/>
      <c r="T884" s="230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</row>
    <row r="885" spans="1:30">
      <c r="A885" s="189"/>
      <c r="B885" s="189"/>
      <c r="C885" s="189"/>
      <c r="D885" s="189"/>
      <c r="E885" s="189"/>
      <c r="F885" s="189"/>
      <c r="G885" s="189"/>
      <c r="H885" s="189"/>
      <c r="I885" s="338"/>
      <c r="J885" s="338"/>
      <c r="K885" s="338"/>
      <c r="L885" s="338"/>
      <c r="M885" s="338"/>
      <c r="N885" s="338"/>
      <c r="O885" s="338"/>
      <c r="P885" s="338"/>
      <c r="Q885" s="338"/>
      <c r="R885" s="338"/>
      <c r="S885" s="338"/>
      <c r="T885" s="230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</row>
    <row r="886" spans="1:30">
      <c r="A886" s="189"/>
      <c r="B886" s="189"/>
      <c r="C886" s="189"/>
      <c r="D886" s="189"/>
      <c r="E886" s="189"/>
      <c r="F886" s="189"/>
      <c r="G886" s="189"/>
      <c r="H886" s="189"/>
      <c r="I886" s="338"/>
      <c r="J886" s="338"/>
      <c r="K886" s="338"/>
      <c r="L886" s="338"/>
      <c r="M886" s="338"/>
      <c r="N886" s="338"/>
      <c r="O886" s="338"/>
      <c r="P886" s="338"/>
      <c r="Q886" s="338"/>
      <c r="R886" s="338"/>
      <c r="S886" s="338"/>
      <c r="T886" s="230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</row>
    <row r="887" spans="1:30">
      <c r="A887" s="189"/>
      <c r="B887" s="189"/>
      <c r="C887" s="189"/>
      <c r="D887" s="189"/>
      <c r="E887" s="189"/>
      <c r="F887" s="189"/>
      <c r="G887" s="189"/>
      <c r="H887" s="189"/>
      <c r="I887" s="338"/>
      <c r="J887" s="338"/>
      <c r="K887" s="338"/>
      <c r="L887" s="338"/>
      <c r="M887" s="338"/>
      <c r="N887" s="338"/>
      <c r="O887" s="338"/>
      <c r="P887" s="338"/>
      <c r="Q887" s="338"/>
      <c r="R887" s="338"/>
      <c r="S887" s="338"/>
      <c r="T887" s="230"/>
      <c r="U887" s="189"/>
      <c r="V887" s="189"/>
      <c r="W887" s="189"/>
      <c r="X887" s="189"/>
      <c r="Y887" s="189"/>
      <c r="Z887" s="189"/>
      <c r="AA887" s="189"/>
      <c r="AB887" s="189"/>
      <c r="AC887" s="189"/>
      <c r="AD887" s="189"/>
    </row>
    <row r="888" spans="1:30">
      <c r="A888" s="189"/>
      <c r="B888" s="189"/>
      <c r="C888" s="189"/>
      <c r="D888" s="189"/>
      <c r="E888" s="189"/>
      <c r="F888" s="189"/>
      <c r="G888" s="189"/>
      <c r="H888" s="189"/>
      <c r="I888" s="338"/>
      <c r="J888" s="338"/>
      <c r="K888" s="338"/>
      <c r="L888" s="338"/>
      <c r="M888" s="338"/>
      <c r="N888" s="338"/>
      <c r="O888" s="338"/>
      <c r="P888" s="338"/>
      <c r="Q888" s="338"/>
      <c r="R888" s="338"/>
      <c r="S888" s="338"/>
      <c r="T888" s="230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</row>
    <row r="889" spans="1:30">
      <c r="A889" s="189"/>
      <c r="B889" s="189"/>
      <c r="C889" s="189"/>
      <c r="D889" s="189"/>
      <c r="E889" s="189"/>
      <c r="F889" s="189"/>
      <c r="G889" s="189"/>
      <c r="H889" s="189"/>
      <c r="I889" s="338"/>
      <c r="J889" s="338"/>
      <c r="K889" s="338"/>
      <c r="L889" s="338"/>
      <c r="M889" s="338"/>
      <c r="N889" s="338"/>
      <c r="O889" s="338"/>
      <c r="P889" s="338"/>
      <c r="Q889" s="338"/>
      <c r="R889" s="338"/>
      <c r="S889" s="338"/>
      <c r="T889" s="230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</row>
    <row r="890" spans="1:30">
      <c r="A890" s="189"/>
      <c r="B890" s="189"/>
      <c r="C890" s="189"/>
      <c r="D890" s="189"/>
      <c r="E890" s="189"/>
      <c r="F890" s="189"/>
      <c r="G890" s="189"/>
      <c r="H890" s="189"/>
      <c r="I890" s="338"/>
      <c r="J890" s="338"/>
      <c r="K890" s="338"/>
      <c r="L890" s="338"/>
      <c r="M890" s="338"/>
      <c r="N890" s="338"/>
      <c r="O890" s="338"/>
      <c r="P890" s="338"/>
      <c r="Q890" s="338"/>
      <c r="R890" s="338"/>
      <c r="S890" s="338"/>
      <c r="T890" s="230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</row>
    <row r="891" spans="1:30">
      <c r="A891" s="189"/>
      <c r="B891" s="189"/>
      <c r="C891" s="189"/>
      <c r="D891" s="189"/>
      <c r="E891" s="189"/>
      <c r="F891" s="189"/>
      <c r="G891" s="189"/>
      <c r="H891" s="189"/>
      <c r="I891" s="338"/>
      <c r="J891" s="338"/>
      <c r="K891" s="338"/>
      <c r="L891" s="338"/>
      <c r="M891" s="338"/>
      <c r="N891" s="338"/>
      <c r="O891" s="338"/>
      <c r="P891" s="338"/>
      <c r="Q891" s="338"/>
      <c r="R891" s="338"/>
      <c r="S891" s="338"/>
      <c r="T891" s="230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</row>
    <row r="892" spans="1:30">
      <c r="A892" s="189"/>
      <c r="B892" s="189"/>
      <c r="C892" s="189"/>
      <c r="D892" s="189"/>
      <c r="E892" s="189"/>
      <c r="F892" s="189"/>
      <c r="G892" s="189"/>
      <c r="H892" s="189"/>
      <c r="I892" s="338"/>
      <c r="J892" s="338"/>
      <c r="K892" s="338"/>
      <c r="L892" s="338"/>
      <c r="M892" s="338"/>
      <c r="N892" s="338"/>
      <c r="O892" s="338"/>
      <c r="P892" s="338"/>
      <c r="Q892" s="338"/>
      <c r="R892" s="338"/>
      <c r="S892" s="338"/>
      <c r="T892" s="230"/>
      <c r="U892" s="189"/>
      <c r="V892" s="189"/>
      <c r="W892" s="189"/>
      <c r="X892" s="189"/>
      <c r="Y892" s="189"/>
      <c r="Z892" s="189"/>
      <c r="AA892" s="189"/>
      <c r="AB892" s="189"/>
      <c r="AC892" s="189"/>
      <c r="AD892" s="189"/>
    </row>
    <row r="893" spans="1:30">
      <c r="A893" s="189"/>
      <c r="B893" s="189"/>
      <c r="C893" s="189"/>
      <c r="D893" s="189"/>
      <c r="E893" s="189"/>
      <c r="F893" s="189"/>
      <c r="G893" s="189"/>
      <c r="H893" s="189"/>
      <c r="I893" s="338"/>
      <c r="J893" s="338"/>
      <c r="K893" s="338"/>
      <c r="L893" s="338"/>
      <c r="M893" s="338"/>
      <c r="N893" s="338"/>
      <c r="O893" s="338"/>
      <c r="P893" s="338"/>
      <c r="Q893" s="338"/>
      <c r="R893" s="338"/>
      <c r="S893" s="338"/>
      <c r="T893" s="230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</row>
    <row r="894" spans="1:30">
      <c r="A894" s="189"/>
      <c r="B894" s="189"/>
      <c r="C894" s="189"/>
      <c r="D894" s="189"/>
      <c r="E894" s="189"/>
      <c r="F894" s="189"/>
      <c r="G894" s="189"/>
      <c r="H894" s="189"/>
      <c r="I894" s="338"/>
      <c r="J894" s="338"/>
      <c r="K894" s="338"/>
      <c r="L894" s="338"/>
      <c r="M894" s="338"/>
      <c r="N894" s="338"/>
      <c r="O894" s="338"/>
      <c r="P894" s="338"/>
      <c r="Q894" s="338"/>
      <c r="R894" s="338"/>
      <c r="S894" s="338"/>
      <c r="T894" s="230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</row>
    <row r="895" spans="1:30">
      <c r="A895" s="189"/>
      <c r="B895" s="189"/>
      <c r="C895" s="189"/>
      <c r="D895" s="189"/>
      <c r="E895" s="189"/>
      <c r="F895" s="189"/>
      <c r="G895" s="189"/>
      <c r="H895" s="189"/>
      <c r="I895" s="338"/>
      <c r="J895" s="338"/>
      <c r="K895" s="338"/>
      <c r="L895" s="338"/>
      <c r="M895" s="338"/>
      <c r="N895" s="338"/>
      <c r="O895" s="338"/>
      <c r="P895" s="338"/>
      <c r="Q895" s="338"/>
      <c r="R895" s="338"/>
      <c r="S895" s="338"/>
      <c r="T895" s="230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</row>
    <row r="896" spans="1:30">
      <c r="A896" s="189"/>
      <c r="B896" s="189"/>
      <c r="C896" s="189"/>
      <c r="D896" s="189"/>
      <c r="E896" s="189"/>
      <c r="F896" s="189"/>
      <c r="G896" s="189"/>
      <c r="H896" s="189"/>
      <c r="I896" s="338"/>
      <c r="J896" s="338"/>
      <c r="K896" s="338"/>
      <c r="L896" s="338"/>
      <c r="M896" s="338"/>
      <c r="N896" s="338"/>
      <c r="O896" s="338"/>
      <c r="P896" s="338"/>
      <c r="Q896" s="338"/>
      <c r="R896" s="338"/>
      <c r="S896" s="338"/>
      <c r="T896" s="230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</row>
    <row r="897" spans="1:30">
      <c r="A897" s="189"/>
      <c r="B897" s="189"/>
      <c r="C897" s="189"/>
      <c r="D897" s="189"/>
      <c r="E897" s="189"/>
      <c r="F897" s="189"/>
      <c r="G897" s="189"/>
      <c r="H897" s="189"/>
      <c r="I897" s="338"/>
      <c r="J897" s="338"/>
      <c r="K897" s="338"/>
      <c r="L897" s="338"/>
      <c r="M897" s="338"/>
      <c r="N897" s="338"/>
      <c r="O897" s="338"/>
      <c r="P897" s="338"/>
      <c r="Q897" s="338"/>
      <c r="R897" s="338"/>
      <c r="S897" s="338"/>
      <c r="T897" s="230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</row>
    <row r="898" spans="1:30">
      <c r="A898" s="189"/>
      <c r="B898" s="189"/>
      <c r="C898" s="189"/>
      <c r="D898" s="189"/>
      <c r="E898" s="189"/>
      <c r="F898" s="189"/>
      <c r="G898" s="189"/>
      <c r="H898" s="189"/>
      <c r="I898" s="338"/>
      <c r="J898" s="338"/>
      <c r="K898" s="338"/>
      <c r="L898" s="338"/>
      <c r="M898" s="338"/>
      <c r="N898" s="338"/>
      <c r="O898" s="338"/>
      <c r="P898" s="338"/>
      <c r="Q898" s="338"/>
      <c r="R898" s="338"/>
      <c r="S898" s="338"/>
      <c r="T898" s="230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</row>
    <row r="899" spans="1:30">
      <c r="A899" s="189"/>
      <c r="B899" s="189"/>
      <c r="C899" s="189"/>
      <c r="D899" s="189"/>
      <c r="E899" s="189"/>
      <c r="F899" s="189"/>
      <c r="G899" s="189"/>
      <c r="H899" s="189"/>
      <c r="I899" s="338"/>
      <c r="J899" s="338"/>
      <c r="K899" s="338"/>
      <c r="L899" s="338"/>
      <c r="M899" s="338"/>
      <c r="N899" s="338"/>
      <c r="O899" s="338"/>
      <c r="P899" s="338"/>
      <c r="Q899" s="338"/>
      <c r="R899" s="338"/>
      <c r="S899" s="338"/>
      <c r="T899" s="230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</row>
    <row r="900" spans="1:30">
      <c r="A900" s="189"/>
      <c r="B900" s="189"/>
      <c r="C900" s="189"/>
      <c r="D900" s="189"/>
      <c r="E900" s="189"/>
      <c r="F900" s="189"/>
      <c r="G900" s="189"/>
      <c r="H900" s="189"/>
      <c r="I900" s="338"/>
      <c r="J900" s="338"/>
      <c r="K900" s="338"/>
      <c r="L900" s="338"/>
      <c r="M900" s="338"/>
      <c r="N900" s="338"/>
      <c r="O900" s="338"/>
      <c r="P900" s="338"/>
      <c r="Q900" s="338"/>
      <c r="R900" s="338"/>
      <c r="S900" s="338"/>
      <c r="T900" s="230"/>
      <c r="U900" s="189"/>
      <c r="V900" s="189"/>
      <c r="W900" s="189"/>
      <c r="X900" s="189"/>
      <c r="Y900" s="189"/>
      <c r="Z900" s="189"/>
      <c r="AA900" s="189"/>
      <c r="AB900" s="189"/>
      <c r="AC900" s="189"/>
      <c r="AD900" s="189"/>
    </row>
    <row r="901" spans="1:30">
      <c r="A901" s="189"/>
      <c r="B901" s="189"/>
      <c r="C901" s="189"/>
      <c r="D901" s="189"/>
      <c r="E901" s="189"/>
      <c r="F901" s="189"/>
      <c r="G901" s="189"/>
      <c r="H901" s="189"/>
      <c r="I901" s="338"/>
      <c r="J901" s="338"/>
      <c r="K901" s="338"/>
      <c r="L901" s="338"/>
      <c r="M901" s="338"/>
      <c r="N901" s="338"/>
      <c r="O901" s="338"/>
      <c r="P901" s="338"/>
      <c r="Q901" s="338"/>
      <c r="R901" s="338"/>
      <c r="S901" s="338"/>
      <c r="T901" s="230"/>
      <c r="U901" s="189"/>
      <c r="V901" s="189"/>
      <c r="W901" s="189"/>
      <c r="X901" s="189"/>
      <c r="Y901" s="189"/>
      <c r="Z901" s="189"/>
      <c r="AA901" s="189"/>
      <c r="AB901" s="189"/>
      <c r="AC901" s="189"/>
      <c r="AD901" s="189"/>
    </row>
    <row r="902" spans="1:30">
      <c r="A902" s="189"/>
      <c r="B902" s="189"/>
      <c r="C902" s="189"/>
      <c r="D902" s="189"/>
      <c r="E902" s="189"/>
      <c r="F902" s="189"/>
      <c r="G902" s="189"/>
      <c r="H902" s="189"/>
      <c r="I902" s="338"/>
      <c r="J902" s="338"/>
      <c r="K902" s="338"/>
      <c r="L902" s="338"/>
      <c r="M902" s="338"/>
      <c r="N902" s="338"/>
      <c r="O902" s="338"/>
      <c r="P902" s="338"/>
      <c r="Q902" s="338"/>
      <c r="R902" s="338"/>
      <c r="S902" s="338"/>
      <c r="T902" s="230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</row>
    <row r="903" spans="1:30">
      <c r="A903" s="189"/>
      <c r="B903" s="189"/>
      <c r="C903" s="189"/>
      <c r="D903" s="189"/>
      <c r="E903" s="189"/>
      <c r="F903" s="189"/>
      <c r="G903" s="189"/>
      <c r="H903" s="189"/>
      <c r="I903" s="338"/>
      <c r="J903" s="338"/>
      <c r="K903" s="338"/>
      <c r="L903" s="338"/>
      <c r="M903" s="338"/>
      <c r="N903" s="338"/>
      <c r="O903" s="338"/>
      <c r="P903" s="338"/>
      <c r="Q903" s="338"/>
      <c r="R903" s="338"/>
      <c r="S903" s="338"/>
      <c r="T903" s="230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</row>
    <row r="904" spans="1:30">
      <c r="A904" s="189"/>
      <c r="B904" s="189"/>
      <c r="C904" s="189"/>
      <c r="D904" s="189"/>
      <c r="E904" s="189"/>
      <c r="F904" s="189"/>
      <c r="G904" s="189"/>
      <c r="H904" s="189"/>
      <c r="I904" s="338"/>
      <c r="J904" s="338"/>
      <c r="K904" s="338"/>
      <c r="L904" s="338"/>
      <c r="M904" s="338"/>
      <c r="N904" s="338"/>
      <c r="O904" s="338"/>
      <c r="P904" s="338"/>
      <c r="Q904" s="338"/>
      <c r="R904" s="338"/>
      <c r="S904" s="338"/>
      <c r="T904" s="230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</row>
    <row r="905" spans="1:30">
      <c r="A905" s="189"/>
      <c r="B905" s="189"/>
      <c r="C905" s="189"/>
      <c r="D905" s="189"/>
      <c r="E905" s="189"/>
      <c r="F905" s="189"/>
      <c r="G905" s="189"/>
      <c r="H905" s="189"/>
      <c r="I905" s="338"/>
      <c r="J905" s="338"/>
      <c r="K905" s="338"/>
      <c r="L905" s="338"/>
      <c r="M905" s="338"/>
      <c r="N905" s="338"/>
      <c r="O905" s="338"/>
      <c r="P905" s="338"/>
      <c r="Q905" s="338"/>
      <c r="R905" s="338"/>
      <c r="S905" s="338"/>
      <c r="T905" s="230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</row>
    <row r="906" spans="1:30">
      <c r="A906" s="189"/>
      <c r="B906" s="189"/>
      <c r="C906" s="189"/>
      <c r="D906" s="189"/>
      <c r="E906" s="189"/>
      <c r="F906" s="189"/>
      <c r="G906" s="189"/>
      <c r="H906" s="189"/>
      <c r="I906" s="338"/>
      <c r="J906" s="338"/>
      <c r="K906" s="338"/>
      <c r="L906" s="338"/>
      <c r="M906" s="338"/>
      <c r="N906" s="338"/>
      <c r="O906" s="338"/>
      <c r="P906" s="338"/>
      <c r="Q906" s="338"/>
      <c r="R906" s="338"/>
      <c r="S906" s="338"/>
      <c r="T906" s="230"/>
      <c r="U906" s="189"/>
      <c r="V906" s="189"/>
      <c r="W906" s="189"/>
      <c r="X906" s="189"/>
      <c r="Y906" s="189"/>
      <c r="Z906" s="189"/>
      <c r="AA906" s="189"/>
      <c r="AB906" s="189"/>
      <c r="AC906" s="189"/>
      <c r="AD906" s="189"/>
    </row>
    <row r="907" spans="1:30">
      <c r="A907" s="189"/>
      <c r="B907" s="189"/>
      <c r="C907" s="189"/>
      <c r="D907" s="189"/>
      <c r="E907" s="189"/>
      <c r="F907" s="189"/>
      <c r="G907" s="189"/>
      <c r="H907" s="189"/>
      <c r="I907" s="338"/>
      <c r="J907" s="338"/>
      <c r="K907" s="338"/>
      <c r="L907" s="338"/>
      <c r="M907" s="338"/>
      <c r="N907" s="338"/>
      <c r="O907" s="338"/>
      <c r="P907" s="338"/>
      <c r="Q907" s="338"/>
      <c r="R907" s="338"/>
      <c r="S907" s="338"/>
      <c r="T907" s="230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</row>
    <row r="908" spans="1:30">
      <c r="A908" s="189"/>
      <c r="B908" s="189"/>
      <c r="C908" s="189"/>
      <c r="D908" s="189"/>
      <c r="E908" s="189"/>
      <c r="F908" s="189"/>
      <c r="G908" s="189"/>
      <c r="H908" s="189"/>
      <c r="I908" s="338"/>
      <c r="J908" s="338"/>
      <c r="K908" s="338"/>
      <c r="L908" s="338"/>
      <c r="M908" s="338"/>
      <c r="N908" s="338"/>
      <c r="O908" s="338"/>
      <c r="P908" s="338"/>
      <c r="Q908" s="338"/>
      <c r="R908" s="338"/>
      <c r="S908" s="338"/>
      <c r="T908" s="230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</row>
    <row r="909" spans="1:30">
      <c r="A909" s="189"/>
      <c r="B909" s="189"/>
      <c r="C909" s="189"/>
      <c r="D909" s="189"/>
      <c r="E909" s="189"/>
      <c r="F909" s="189"/>
      <c r="G909" s="189"/>
      <c r="H909" s="189"/>
      <c r="I909" s="338"/>
      <c r="J909" s="338"/>
      <c r="K909" s="338"/>
      <c r="L909" s="338"/>
      <c r="M909" s="338"/>
      <c r="N909" s="338"/>
      <c r="O909" s="338"/>
      <c r="P909" s="338"/>
      <c r="Q909" s="338"/>
      <c r="R909" s="338"/>
      <c r="S909" s="338"/>
      <c r="T909" s="230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</row>
    <row r="910" spans="1:30">
      <c r="A910" s="189"/>
      <c r="B910" s="189"/>
      <c r="C910" s="189"/>
      <c r="D910" s="189"/>
      <c r="E910" s="189"/>
      <c r="F910" s="189"/>
      <c r="G910" s="189"/>
      <c r="H910" s="189"/>
      <c r="I910" s="338"/>
      <c r="J910" s="338"/>
      <c r="K910" s="338"/>
      <c r="L910" s="338"/>
      <c r="M910" s="338"/>
      <c r="N910" s="338"/>
      <c r="O910" s="338"/>
      <c r="P910" s="338"/>
      <c r="Q910" s="338"/>
      <c r="R910" s="338"/>
      <c r="S910" s="338"/>
      <c r="T910" s="230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</row>
    <row r="911" spans="1:30">
      <c r="A911" s="189"/>
      <c r="B911" s="189"/>
      <c r="C911" s="189"/>
      <c r="D911" s="189"/>
      <c r="E911" s="189"/>
      <c r="F911" s="189"/>
      <c r="G911" s="189"/>
      <c r="H911" s="189"/>
      <c r="I911" s="338"/>
      <c r="J911" s="338"/>
      <c r="K911" s="338"/>
      <c r="L911" s="338"/>
      <c r="M911" s="338"/>
      <c r="N911" s="338"/>
      <c r="O911" s="338"/>
      <c r="P911" s="338"/>
      <c r="Q911" s="338"/>
      <c r="R911" s="338"/>
      <c r="S911" s="338"/>
      <c r="T911" s="230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</row>
    <row r="912" spans="1:30">
      <c r="A912" s="189"/>
      <c r="B912" s="189"/>
      <c r="C912" s="189"/>
      <c r="D912" s="189"/>
      <c r="E912" s="189"/>
      <c r="F912" s="189"/>
      <c r="G912" s="189"/>
      <c r="H912" s="189"/>
      <c r="I912" s="338"/>
      <c r="J912" s="338"/>
      <c r="K912" s="338"/>
      <c r="L912" s="338"/>
      <c r="M912" s="338"/>
      <c r="N912" s="338"/>
      <c r="O912" s="338"/>
      <c r="P912" s="338"/>
      <c r="Q912" s="338"/>
      <c r="R912" s="338"/>
      <c r="S912" s="338"/>
      <c r="T912" s="230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</row>
    <row r="913" spans="1:30">
      <c r="A913" s="189"/>
      <c r="B913" s="189"/>
      <c r="C913" s="189"/>
      <c r="D913" s="189"/>
      <c r="E913" s="189"/>
      <c r="F913" s="189"/>
      <c r="G913" s="189"/>
      <c r="H913" s="189"/>
      <c r="I913" s="338"/>
      <c r="J913" s="338"/>
      <c r="K913" s="338"/>
      <c r="L913" s="338"/>
      <c r="M913" s="338"/>
      <c r="N913" s="338"/>
      <c r="O913" s="338"/>
      <c r="P913" s="338"/>
      <c r="Q913" s="338"/>
      <c r="R913" s="338"/>
      <c r="S913" s="338"/>
      <c r="T913" s="230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</row>
    <row r="914" spans="1:30">
      <c r="A914" s="189"/>
      <c r="B914" s="189"/>
      <c r="C914" s="189"/>
      <c r="D914" s="189"/>
      <c r="E914" s="189"/>
      <c r="F914" s="189"/>
      <c r="G914" s="189"/>
      <c r="H914" s="189"/>
      <c r="I914" s="338"/>
      <c r="J914" s="338"/>
      <c r="K914" s="338"/>
      <c r="L914" s="338"/>
      <c r="M914" s="338"/>
      <c r="N914" s="338"/>
      <c r="O914" s="338"/>
      <c r="P914" s="338"/>
      <c r="Q914" s="338"/>
      <c r="R914" s="338"/>
      <c r="S914" s="338"/>
      <c r="T914" s="230"/>
      <c r="U914" s="189"/>
      <c r="V914" s="189"/>
      <c r="W914" s="189"/>
      <c r="X914" s="189"/>
      <c r="Y914" s="189"/>
      <c r="Z914" s="189"/>
      <c r="AA914" s="189"/>
      <c r="AB914" s="189"/>
      <c r="AC914" s="189"/>
      <c r="AD914" s="189"/>
    </row>
    <row r="915" spans="1:30">
      <c r="A915" s="189"/>
      <c r="B915" s="189"/>
      <c r="C915" s="189"/>
      <c r="D915" s="189"/>
      <c r="E915" s="189"/>
      <c r="F915" s="189"/>
      <c r="G915" s="189"/>
      <c r="H915" s="189"/>
      <c r="I915" s="338"/>
      <c r="J915" s="338"/>
      <c r="K915" s="338"/>
      <c r="L915" s="338"/>
      <c r="M915" s="338"/>
      <c r="N915" s="338"/>
      <c r="O915" s="338"/>
      <c r="P915" s="338"/>
      <c r="Q915" s="338"/>
      <c r="R915" s="338"/>
      <c r="S915" s="338"/>
      <c r="T915" s="230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</row>
    <row r="916" spans="1:30">
      <c r="A916" s="189"/>
      <c r="B916" s="189"/>
      <c r="C916" s="189"/>
      <c r="D916" s="189"/>
      <c r="E916" s="189"/>
      <c r="F916" s="189"/>
      <c r="G916" s="189"/>
      <c r="H916" s="189"/>
      <c r="I916" s="338"/>
      <c r="J916" s="338"/>
      <c r="K916" s="338"/>
      <c r="L916" s="338"/>
      <c r="M916" s="338"/>
      <c r="N916" s="338"/>
      <c r="O916" s="338"/>
      <c r="P916" s="338"/>
      <c r="Q916" s="338"/>
      <c r="R916" s="338"/>
      <c r="S916" s="338"/>
      <c r="T916" s="230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</row>
    <row r="917" spans="1:30">
      <c r="A917" s="189"/>
      <c r="B917" s="189"/>
      <c r="C917" s="189"/>
      <c r="D917" s="189"/>
      <c r="E917" s="189"/>
      <c r="F917" s="189"/>
      <c r="G917" s="189"/>
      <c r="H917" s="189"/>
      <c r="I917" s="338"/>
      <c r="J917" s="338"/>
      <c r="K917" s="338"/>
      <c r="L917" s="338"/>
      <c r="M917" s="338"/>
      <c r="N917" s="338"/>
      <c r="O917" s="338"/>
      <c r="P917" s="338"/>
      <c r="Q917" s="338"/>
      <c r="R917" s="338"/>
      <c r="S917" s="338"/>
      <c r="T917" s="230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</row>
    <row r="918" spans="1:30">
      <c r="A918" s="189"/>
      <c r="B918" s="189"/>
      <c r="C918" s="189"/>
      <c r="D918" s="189"/>
      <c r="E918" s="189"/>
      <c r="F918" s="189"/>
      <c r="G918" s="189"/>
      <c r="H918" s="189"/>
      <c r="I918" s="338"/>
      <c r="J918" s="338"/>
      <c r="K918" s="338"/>
      <c r="L918" s="338"/>
      <c r="M918" s="338"/>
      <c r="N918" s="338"/>
      <c r="O918" s="338"/>
      <c r="P918" s="338"/>
      <c r="Q918" s="338"/>
      <c r="R918" s="338"/>
      <c r="S918" s="338"/>
      <c r="T918" s="230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</row>
    <row r="919" spans="1:30">
      <c r="A919" s="189"/>
      <c r="B919" s="189"/>
      <c r="C919" s="189"/>
      <c r="D919" s="189"/>
      <c r="E919" s="189"/>
      <c r="F919" s="189"/>
      <c r="G919" s="189"/>
      <c r="H919" s="189"/>
      <c r="I919" s="338"/>
      <c r="J919" s="338"/>
      <c r="K919" s="338"/>
      <c r="L919" s="338"/>
      <c r="M919" s="338"/>
      <c r="N919" s="338"/>
      <c r="O919" s="338"/>
      <c r="P919" s="338"/>
      <c r="Q919" s="338"/>
      <c r="R919" s="338"/>
      <c r="S919" s="338"/>
      <c r="T919" s="230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</row>
    <row r="920" spans="1:30">
      <c r="A920" s="189"/>
      <c r="B920" s="189"/>
      <c r="C920" s="189"/>
      <c r="D920" s="189"/>
      <c r="E920" s="189"/>
      <c r="F920" s="189"/>
      <c r="G920" s="189"/>
      <c r="H920" s="189"/>
      <c r="I920" s="338"/>
      <c r="J920" s="338"/>
      <c r="K920" s="338"/>
      <c r="L920" s="338"/>
      <c r="M920" s="338"/>
      <c r="N920" s="338"/>
      <c r="O920" s="338"/>
      <c r="P920" s="338"/>
      <c r="Q920" s="338"/>
      <c r="R920" s="338"/>
      <c r="S920" s="338"/>
      <c r="T920" s="230"/>
      <c r="U920" s="189"/>
      <c r="V920" s="189"/>
      <c r="W920" s="189"/>
      <c r="X920" s="189"/>
      <c r="Y920" s="189"/>
      <c r="Z920" s="189"/>
      <c r="AA920" s="189"/>
      <c r="AB920" s="189"/>
      <c r="AC920" s="189"/>
      <c r="AD920" s="189"/>
    </row>
    <row r="921" spans="1:30">
      <c r="A921" s="189"/>
      <c r="B921" s="189"/>
      <c r="C921" s="189"/>
      <c r="D921" s="189"/>
      <c r="E921" s="189"/>
      <c r="F921" s="189"/>
      <c r="G921" s="189"/>
      <c r="H921" s="189"/>
      <c r="I921" s="338"/>
      <c r="J921" s="338"/>
      <c r="K921" s="338"/>
      <c r="L921" s="338"/>
      <c r="M921" s="338"/>
      <c r="N921" s="338"/>
      <c r="O921" s="338"/>
      <c r="P921" s="338"/>
      <c r="Q921" s="338"/>
      <c r="R921" s="338"/>
      <c r="S921" s="338"/>
      <c r="T921" s="230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</row>
    <row r="922" spans="1:30">
      <c r="A922" s="189"/>
      <c r="B922" s="189"/>
      <c r="C922" s="189"/>
      <c r="D922" s="189"/>
      <c r="E922" s="189"/>
      <c r="F922" s="189"/>
      <c r="G922" s="189"/>
      <c r="H922" s="189"/>
      <c r="I922" s="338"/>
      <c r="J922" s="338"/>
      <c r="K922" s="338"/>
      <c r="L922" s="338"/>
      <c r="M922" s="338"/>
      <c r="N922" s="338"/>
      <c r="O922" s="338"/>
      <c r="P922" s="338"/>
      <c r="Q922" s="338"/>
      <c r="R922" s="338"/>
      <c r="S922" s="338"/>
      <c r="T922" s="230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</row>
    <row r="923" spans="1:30">
      <c r="A923" s="189"/>
      <c r="B923" s="189"/>
      <c r="C923" s="189"/>
      <c r="D923" s="189"/>
      <c r="E923" s="189"/>
      <c r="F923" s="189"/>
      <c r="G923" s="189"/>
      <c r="H923" s="189"/>
      <c r="I923" s="338"/>
      <c r="J923" s="338"/>
      <c r="K923" s="338"/>
      <c r="L923" s="338"/>
      <c r="M923" s="338"/>
      <c r="N923" s="338"/>
      <c r="O923" s="338"/>
      <c r="P923" s="338"/>
      <c r="Q923" s="338"/>
      <c r="R923" s="338"/>
      <c r="S923" s="338"/>
      <c r="T923" s="230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</row>
    <row r="924" spans="1:30">
      <c r="A924" s="189"/>
      <c r="B924" s="189"/>
      <c r="C924" s="189"/>
      <c r="D924" s="189"/>
      <c r="E924" s="189"/>
      <c r="F924" s="189"/>
      <c r="G924" s="189"/>
      <c r="H924" s="189"/>
      <c r="I924" s="338"/>
      <c r="J924" s="338"/>
      <c r="K924" s="338"/>
      <c r="L924" s="338"/>
      <c r="M924" s="338"/>
      <c r="N924" s="338"/>
      <c r="O924" s="338"/>
      <c r="P924" s="338"/>
      <c r="Q924" s="338"/>
      <c r="R924" s="338"/>
      <c r="S924" s="338"/>
      <c r="T924" s="230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</row>
    <row r="925" spans="1:30">
      <c r="A925" s="189"/>
      <c r="B925" s="189"/>
      <c r="C925" s="189"/>
      <c r="D925" s="189"/>
      <c r="E925" s="189"/>
      <c r="F925" s="189"/>
      <c r="G925" s="189"/>
      <c r="H925" s="189"/>
      <c r="I925" s="338"/>
      <c r="J925" s="338"/>
      <c r="K925" s="338"/>
      <c r="L925" s="338"/>
      <c r="M925" s="338"/>
      <c r="N925" s="338"/>
      <c r="O925" s="338"/>
      <c r="P925" s="338"/>
      <c r="Q925" s="338"/>
      <c r="R925" s="338"/>
      <c r="S925" s="338"/>
      <c r="T925" s="230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</row>
    <row r="926" spans="1:30">
      <c r="A926" s="189"/>
      <c r="B926" s="189"/>
      <c r="C926" s="189"/>
      <c r="D926" s="189"/>
      <c r="E926" s="189"/>
      <c r="F926" s="189"/>
      <c r="G926" s="189"/>
      <c r="H926" s="189"/>
      <c r="I926" s="338"/>
      <c r="J926" s="338"/>
      <c r="K926" s="338"/>
      <c r="L926" s="338"/>
      <c r="M926" s="338"/>
      <c r="N926" s="338"/>
      <c r="O926" s="338"/>
      <c r="P926" s="338"/>
      <c r="Q926" s="338"/>
      <c r="R926" s="338"/>
      <c r="S926" s="338"/>
      <c r="T926" s="230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</row>
    <row r="927" spans="1:30">
      <c r="A927" s="189"/>
      <c r="B927" s="189"/>
      <c r="C927" s="189"/>
      <c r="D927" s="189"/>
      <c r="E927" s="189"/>
      <c r="F927" s="189"/>
      <c r="G927" s="189"/>
      <c r="H927" s="189"/>
      <c r="I927" s="338"/>
      <c r="J927" s="338"/>
      <c r="K927" s="338"/>
      <c r="L927" s="338"/>
      <c r="M927" s="338"/>
      <c r="N927" s="338"/>
      <c r="O927" s="338"/>
      <c r="P927" s="338"/>
      <c r="Q927" s="338"/>
      <c r="R927" s="338"/>
      <c r="S927" s="338"/>
      <c r="T927" s="230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</row>
    <row r="928" spans="1:30">
      <c r="A928" s="189"/>
      <c r="B928" s="189"/>
      <c r="C928" s="189"/>
      <c r="D928" s="189"/>
      <c r="E928" s="189"/>
      <c r="F928" s="189"/>
      <c r="G928" s="189"/>
      <c r="H928" s="189"/>
      <c r="I928" s="338"/>
      <c r="J928" s="338"/>
      <c r="K928" s="338"/>
      <c r="L928" s="338"/>
      <c r="M928" s="338"/>
      <c r="N928" s="338"/>
      <c r="O928" s="338"/>
      <c r="P928" s="338"/>
      <c r="Q928" s="338"/>
      <c r="R928" s="338"/>
      <c r="S928" s="338"/>
      <c r="T928" s="230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</row>
    <row r="929" spans="1:30">
      <c r="A929" s="189"/>
      <c r="B929" s="189"/>
      <c r="C929" s="189"/>
      <c r="D929" s="189"/>
      <c r="E929" s="189"/>
      <c r="F929" s="189"/>
      <c r="G929" s="189"/>
      <c r="H929" s="189"/>
      <c r="I929" s="338"/>
      <c r="J929" s="338"/>
      <c r="K929" s="338"/>
      <c r="L929" s="338"/>
      <c r="M929" s="338"/>
      <c r="N929" s="338"/>
      <c r="O929" s="338"/>
      <c r="P929" s="338"/>
      <c r="Q929" s="338"/>
      <c r="R929" s="338"/>
      <c r="S929" s="338"/>
      <c r="T929" s="230"/>
      <c r="U929" s="189"/>
      <c r="V929" s="189"/>
      <c r="W929" s="189"/>
      <c r="X929" s="189"/>
      <c r="Y929" s="189"/>
      <c r="Z929" s="189"/>
      <c r="AA929" s="189"/>
      <c r="AB929" s="189"/>
      <c r="AC929" s="189"/>
      <c r="AD929" s="189"/>
    </row>
    <row r="930" spans="1:30">
      <c r="A930" s="189"/>
      <c r="B930" s="189"/>
      <c r="C930" s="189"/>
      <c r="D930" s="189"/>
      <c r="E930" s="189"/>
      <c r="F930" s="189"/>
      <c r="G930" s="189"/>
      <c r="H930" s="189"/>
      <c r="I930" s="338"/>
      <c r="J930" s="338"/>
      <c r="K930" s="338"/>
      <c r="L930" s="338"/>
      <c r="M930" s="338"/>
      <c r="N930" s="338"/>
      <c r="O930" s="338"/>
      <c r="P930" s="338"/>
      <c r="Q930" s="338"/>
      <c r="R930" s="338"/>
      <c r="S930" s="338"/>
      <c r="T930" s="230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</row>
    <row r="931" spans="1:30">
      <c r="A931" s="189"/>
      <c r="B931" s="189"/>
      <c r="C931" s="189"/>
      <c r="D931" s="189"/>
      <c r="E931" s="189"/>
      <c r="F931" s="189"/>
      <c r="G931" s="189"/>
      <c r="H931" s="189"/>
      <c r="I931" s="338"/>
      <c r="J931" s="338"/>
      <c r="K931" s="338"/>
      <c r="L931" s="338"/>
      <c r="M931" s="338"/>
      <c r="N931" s="338"/>
      <c r="O931" s="338"/>
      <c r="P931" s="338"/>
      <c r="Q931" s="338"/>
      <c r="R931" s="338"/>
      <c r="S931" s="338"/>
      <c r="T931" s="230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</row>
    <row r="932" spans="1:30">
      <c r="A932" s="189"/>
      <c r="B932" s="189"/>
      <c r="C932" s="189"/>
      <c r="D932" s="189"/>
      <c r="E932" s="189"/>
      <c r="F932" s="189"/>
      <c r="G932" s="189"/>
      <c r="H932" s="189"/>
      <c r="I932" s="338"/>
      <c r="J932" s="338"/>
      <c r="K932" s="338"/>
      <c r="L932" s="338"/>
      <c r="M932" s="338"/>
      <c r="N932" s="338"/>
      <c r="O932" s="338"/>
      <c r="P932" s="338"/>
      <c r="Q932" s="338"/>
      <c r="R932" s="338"/>
      <c r="S932" s="338"/>
      <c r="T932" s="230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</row>
    <row r="933" spans="1:30">
      <c r="A933" s="189"/>
      <c r="B933" s="189"/>
      <c r="C933" s="189"/>
      <c r="D933" s="189"/>
      <c r="E933" s="189"/>
      <c r="F933" s="189"/>
      <c r="G933" s="189"/>
      <c r="H933" s="189"/>
      <c r="I933" s="338"/>
      <c r="J933" s="338"/>
      <c r="K933" s="338"/>
      <c r="L933" s="338"/>
      <c r="M933" s="338"/>
      <c r="N933" s="338"/>
      <c r="O933" s="338"/>
      <c r="P933" s="338"/>
      <c r="Q933" s="338"/>
      <c r="R933" s="338"/>
      <c r="S933" s="338"/>
      <c r="T933" s="230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</row>
    <row r="934" spans="1:30">
      <c r="A934" s="189"/>
      <c r="B934" s="189"/>
      <c r="C934" s="189"/>
      <c r="D934" s="189"/>
      <c r="E934" s="189"/>
      <c r="F934" s="189"/>
      <c r="G934" s="189"/>
      <c r="H934" s="189"/>
      <c r="I934" s="338"/>
      <c r="J934" s="338"/>
      <c r="K934" s="338"/>
      <c r="L934" s="338"/>
      <c r="M934" s="338"/>
      <c r="N934" s="338"/>
      <c r="O934" s="338"/>
      <c r="P934" s="338"/>
      <c r="Q934" s="338"/>
      <c r="R934" s="338"/>
      <c r="S934" s="338"/>
      <c r="T934" s="230"/>
      <c r="U934" s="189"/>
      <c r="V934" s="189"/>
      <c r="W934" s="189"/>
      <c r="X934" s="189"/>
      <c r="Y934" s="189"/>
      <c r="Z934" s="189"/>
      <c r="AA934" s="189"/>
      <c r="AB934" s="189"/>
      <c r="AC934" s="189"/>
      <c r="AD934" s="189"/>
    </row>
    <row r="935" spans="1:30">
      <c r="A935" s="189"/>
      <c r="B935" s="189"/>
      <c r="C935" s="189"/>
      <c r="D935" s="189"/>
      <c r="E935" s="189"/>
      <c r="F935" s="189"/>
      <c r="G935" s="189"/>
      <c r="H935" s="189"/>
      <c r="I935" s="338"/>
      <c r="J935" s="338"/>
      <c r="K935" s="338"/>
      <c r="L935" s="338"/>
      <c r="M935" s="338"/>
      <c r="N935" s="338"/>
      <c r="O935" s="338"/>
      <c r="P935" s="338"/>
      <c r="Q935" s="338"/>
      <c r="R935" s="338"/>
      <c r="S935" s="338"/>
      <c r="T935" s="230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</row>
    <row r="936" spans="1:30">
      <c r="A936" s="189"/>
      <c r="B936" s="189"/>
      <c r="C936" s="189"/>
      <c r="D936" s="189"/>
      <c r="E936" s="189"/>
      <c r="F936" s="189"/>
      <c r="G936" s="189"/>
      <c r="H936" s="189"/>
      <c r="I936" s="338"/>
      <c r="J936" s="338"/>
      <c r="K936" s="338"/>
      <c r="L936" s="338"/>
      <c r="M936" s="338"/>
      <c r="N936" s="338"/>
      <c r="O936" s="338"/>
      <c r="P936" s="338"/>
      <c r="Q936" s="338"/>
      <c r="R936" s="338"/>
      <c r="S936" s="338"/>
      <c r="T936" s="230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</row>
    <row r="937" spans="1:30">
      <c r="A937" s="189"/>
      <c r="B937" s="189"/>
      <c r="C937" s="189"/>
      <c r="D937" s="189"/>
      <c r="E937" s="189"/>
      <c r="F937" s="189"/>
      <c r="G937" s="189"/>
      <c r="H937" s="189"/>
      <c r="I937" s="338"/>
      <c r="J937" s="338"/>
      <c r="K937" s="338"/>
      <c r="L937" s="338"/>
      <c r="M937" s="338"/>
      <c r="N937" s="338"/>
      <c r="O937" s="338"/>
      <c r="P937" s="338"/>
      <c r="Q937" s="338"/>
      <c r="R937" s="338"/>
      <c r="S937" s="338"/>
      <c r="T937" s="230"/>
      <c r="U937" s="189"/>
      <c r="V937" s="189"/>
      <c r="W937" s="189"/>
      <c r="X937" s="189"/>
      <c r="Y937" s="189"/>
      <c r="Z937" s="189"/>
      <c r="AA937" s="189"/>
      <c r="AB937" s="189"/>
      <c r="AC937" s="189"/>
      <c r="AD937" s="189"/>
    </row>
    <row r="938" spans="1:30">
      <c r="A938" s="189"/>
      <c r="B938" s="189"/>
      <c r="C938" s="189"/>
      <c r="D938" s="189"/>
      <c r="E938" s="189"/>
      <c r="F938" s="189"/>
      <c r="G938" s="189"/>
      <c r="H938" s="189"/>
      <c r="I938" s="338"/>
      <c r="J938" s="338"/>
      <c r="K938" s="338"/>
      <c r="L938" s="338"/>
      <c r="M938" s="338"/>
      <c r="N938" s="338"/>
      <c r="O938" s="338"/>
      <c r="P938" s="338"/>
      <c r="Q938" s="338"/>
      <c r="R938" s="338"/>
      <c r="S938" s="338"/>
      <c r="T938" s="230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</row>
    <row r="939" spans="1:30">
      <c r="A939" s="189"/>
      <c r="B939" s="189"/>
      <c r="C939" s="189"/>
      <c r="D939" s="189"/>
      <c r="E939" s="189"/>
      <c r="F939" s="189"/>
      <c r="G939" s="189"/>
      <c r="H939" s="189"/>
      <c r="I939" s="338"/>
      <c r="J939" s="338"/>
      <c r="K939" s="338"/>
      <c r="L939" s="338"/>
      <c r="M939" s="338"/>
      <c r="N939" s="338"/>
      <c r="O939" s="338"/>
      <c r="P939" s="338"/>
      <c r="Q939" s="338"/>
      <c r="R939" s="338"/>
      <c r="S939" s="338"/>
      <c r="T939" s="230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</row>
    <row r="940" spans="1:30">
      <c r="A940" s="189"/>
      <c r="B940" s="189"/>
      <c r="C940" s="189"/>
      <c r="D940" s="189"/>
      <c r="E940" s="189"/>
      <c r="F940" s="189"/>
      <c r="G940" s="189"/>
      <c r="H940" s="189"/>
      <c r="I940" s="338"/>
      <c r="J940" s="338"/>
      <c r="K940" s="338"/>
      <c r="L940" s="338"/>
      <c r="M940" s="338"/>
      <c r="N940" s="338"/>
      <c r="O940" s="338"/>
      <c r="P940" s="338"/>
      <c r="Q940" s="338"/>
      <c r="R940" s="338"/>
      <c r="S940" s="338"/>
      <c r="T940" s="230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</row>
    <row r="941" spans="1:30">
      <c r="A941" s="189"/>
      <c r="B941" s="189"/>
      <c r="C941" s="189"/>
      <c r="D941" s="189"/>
      <c r="E941" s="189"/>
      <c r="F941" s="189"/>
      <c r="G941" s="189"/>
      <c r="H941" s="189"/>
      <c r="I941" s="338"/>
      <c r="J941" s="338"/>
      <c r="K941" s="338"/>
      <c r="L941" s="338"/>
      <c r="M941" s="338"/>
      <c r="N941" s="338"/>
      <c r="O941" s="338"/>
      <c r="P941" s="338"/>
      <c r="Q941" s="338"/>
      <c r="R941" s="338"/>
      <c r="S941" s="338"/>
      <c r="T941" s="230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</row>
    <row r="942" spans="1:30">
      <c r="A942" s="189"/>
      <c r="B942" s="189"/>
      <c r="C942" s="189"/>
      <c r="D942" s="189"/>
      <c r="E942" s="189"/>
      <c r="F942" s="189"/>
      <c r="G942" s="189"/>
      <c r="H942" s="189"/>
      <c r="I942" s="338"/>
      <c r="J942" s="338"/>
      <c r="K942" s="338"/>
      <c r="L942" s="338"/>
      <c r="M942" s="338"/>
      <c r="N942" s="338"/>
      <c r="O942" s="338"/>
      <c r="P942" s="338"/>
      <c r="Q942" s="338"/>
      <c r="R942" s="338"/>
      <c r="S942" s="338"/>
      <c r="T942" s="230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</row>
    <row r="943" spans="1:30">
      <c r="A943" s="189"/>
      <c r="B943" s="189"/>
      <c r="C943" s="189"/>
      <c r="D943" s="189"/>
      <c r="E943" s="189"/>
      <c r="F943" s="189"/>
      <c r="G943" s="189"/>
      <c r="H943" s="189"/>
      <c r="I943" s="338"/>
      <c r="J943" s="338"/>
      <c r="K943" s="338"/>
      <c r="L943" s="338"/>
      <c r="M943" s="338"/>
      <c r="N943" s="338"/>
      <c r="O943" s="338"/>
      <c r="P943" s="338"/>
      <c r="Q943" s="338"/>
      <c r="R943" s="338"/>
      <c r="S943" s="338"/>
      <c r="T943" s="230"/>
      <c r="U943" s="189"/>
      <c r="V943" s="189"/>
      <c r="W943" s="189"/>
      <c r="X943" s="189"/>
      <c r="Y943" s="189"/>
      <c r="Z943" s="189"/>
      <c r="AA943" s="189"/>
      <c r="AB943" s="189"/>
      <c r="AC943" s="189"/>
      <c r="AD943" s="189"/>
    </row>
    <row r="944" spans="1:30">
      <c r="A944" s="189"/>
      <c r="B944" s="189"/>
      <c r="C944" s="189"/>
      <c r="D944" s="189"/>
      <c r="E944" s="189"/>
      <c r="F944" s="189"/>
      <c r="G944" s="189"/>
      <c r="H944" s="189"/>
      <c r="I944" s="338"/>
      <c r="J944" s="338"/>
      <c r="K944" s="338"/>
      <c r="L944" s="338"/>
      <c r="M944" s="338"/>
      <c r="N944" s="338"/>
      <c r="O944" s="338"/>
      <c r="P944" s="338"/>
      <c r="Q944" s="338"/>
      <c r="R944" s="338"/>
      <c r="S944" s="338"/>
      <c r="T944" s="230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</row>
    <row r="945" spans="1:30">
      <c r="A945" s="189"/>
      <c r="B945" s="189"/>
      <c r="C945" s="189"/>
      <c r="D945" s="189"/>
      <c r="E945" s="189"/>
      <c r="F945" s="189"/>
      <c r="G945" s="189"/>
      <c r="H945" s="189"/>
      <c r="I945" s="338"/>
      <c r="J945" s="338"/>
      <c r="K945" s="338"/>
      <c r="L945" s="338"/>
      <c r="M945" s="338"/>
      <c r="N945" s="338"/>
      <c r="O945" s="338"/>
      <c r="P945" s="338"/>
      <c r="Q945" s="338"/>
      <c r="R945" s="338"/>
      <c r="S945" s="338"/>
      <c r="T945" s="230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</row>
    <row r="946" spans="1:30">
      <c r="A946" s="189"/>
      <c r="B946" s="189"/>
      <c r="C946" s="189"/>
      <c r="D946" s="189"/>
      <c r="E946" s="189"/>
      <c r="F946" s="189"/>
      <c r="G946" s="189"/>
      <c r="H946" s="189"/>
      <c r="I946" s="338"/>
      <c r="J946" s="338"/>
      <c r="K946" s="338"/>
      <c r="L946" s="338"/>
      <c r="M946" s="338"/>
      <c r="N946" s="338"/>
      <c r="O946" s="338"/>
      <c r="P946" s="338"/>
      <c r="Q946" s="338"/>
      <c r="R946" s="338"/>
      <c r="S946" s="338"/>
      <c r="T946" s="230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</row>
    <row r="947" spans="1:30">
      <c r="A947" s="189"/>
      <c r="B947" s="189"/>
      <c r="C947" s="189"/>
      <c r="D947" s="189"/>
      <c r="E947" s="189"/>
      <c r="F947" s="189"/>
      <c r="G947" s="189"/>
      <c r="H947" s="189"/>
      <c r="I947" s="338"/>
      <c r="J947" s="338"/>
      <c r="K947" s="338"/>
      <c r="L947" s="338"/>
      <c r="M947" s="338"/>
      <c r="N947" s="338"/>
      <c r="O947" s="338"/>
      <c r="P947" s="338"/>
      <c r="Q947" s="338"/>
      <c r="R947" s="338"/>
      <c r="S947" s="338"/>
      <c r="T947" s="230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</row>
    <row r="948" spans="1:30">
      <c r="A948" s="189"/>
      <c r="B948" s="189"/>
      <c r="C948" s="189"/>
      <c r="D948" s="189"/>
      <c r="E948" s="189"/>
      <c r="F948" s="189"/>
      <c r="G948" s="189"/>
      <c r="H948" s="189"/>
      <c r="I948" s="338"/>
      <c r="J948" s="338"/>
      <c r="K948" s="338"/>
      <c r="L948" s="338"/>
      <c r="M948" s="338"/>
      <c r="N948" s="338"/>
      <c r="O948" s="338"/>
      <c r="P948" s="338"/>
      <c r="Q948" s="338"/>
      <c r="R948" s="338"/>
      <c r="S948" s="338"/>
      <c r="T948" s="230"/>
      <c r="U948" s="189"/>
      <c r="V948" s="189"/>
      <c r="W948" s="189"/>
      <c r="X948" s="189"/>
      <c r="Y948" s="189"/>
      <c r="Z948" s="189"/>
      <c r="AA948" s="189"/>
      <c r="AB948" s="189"/>
      <c r="AC948" s="189"/>
      <c r="AD948" s="189"/>
    </row>
    <row r="949" spans="1:30">
      <c r="A949" s="189"/>
      <c r="B949" s="189"/>
      <c r="C949" s="189"/>
      <c r="D949" s="189"/>
      <c r="E949" s="189"/>
      <c r="F949" s="189"/>
      <c r="G949" s="189"/>
      <c r="H949" s="189"/>
      <c r="I949" s="338"/>
      <c r="J949" s="338"/>
      <c r="K949" s="338"/>
      <c r="L949" s="338"/>
      <c r="M949" s="338"/>
      <c r="N949" s="338"/>
      <c r="O949" s="338"/>
      <c r="P949" s="338"/>
      <c r="Q949" s="338"/>
      <c r="R949" s="338"/>
      <c r="S949" s="338"/>
      <c r="T949" s="230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</row>
    <row r="950" spans="1:30">
      <c r="A950" s="189"/>
      <c r="B950" s="189"/>
      <c r="C950" s="189"/>
      <c r="D950" s="189"/>
      <c r="E950" s="189"/>
      <c r="F950" s="189"/>
      <c r="G950" s="189"/>
      <c r="H950" s="189"/>
      <c r="I950" s="338"/>
      <c r="J950" s="338"/>
      <c r="K950" s="338"/>
      <c r="L950" s="338"/>
      <c r="M950" s="338"/>
      <c r="N950" s="338"/>
      <c r="O950" s="338"/>
      <c r="P950" s="338"/>
      <c r="Q950" s="338"/>
      <c r="R950" s="338"/>
      <c r="S950" s="338"/>
      <c r="T950" s="230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</row>
    <row r="951" spans="1:30">
      <c r="A951" s="189"/>
      <c r="B951" s="189"/>
      <c r="C951" s="189"/>
      <c r="D951" s="189"/>
      <c r="E951" s="189"/>
      <c r="F951" s="189"/>
      <c r="G951" s="189"/>
      <c r="H951" s="189"/>
      <c r="I951" s="338"/>
      <c r="J951" s="338"/>
      <c r="K951" s="338"/>
      <c r="L951" s="338"/>
      <c r="M951" s="338"/>
      <c r="N951" s="338"/>
      <c r="O951" s="338"/>
      <c r="P951" s="338"/>
      <c r="Q951" s="338"/>
      <c r="R951" s="338"/>
      <c r="S951" s="338"/>
      <c r="T951" s="230"/>
      <c r="U951" s="189"/>
      <c r="V951" s="189"/>
      <c r="W951" s="189"/>
      <c r="X951" s="189"/>
      <c r="Y951" s="189"/>
      <c r="Z951" s="189"/>
      <c r="AA951" s="189"/>
      <c r="AB951" s="189"/>
      <c r="AC951" s="189"/>
      <c r="AD951" s="189"/>
    </row>
    <row r="952" spans="1:30">
      <c r="A952" s="189"/>
      <c r="B952" s="189"/>
      <c r="C952" s="189"/>
      <c r="D952" s="189"/>
      <c r="E952" s="189"/>
      <c r="F952" s="189"/>
      <c r="G952" s="189"/>
      <c r="H952" s="189"/>
      <c r="I952" s="338"/>
      <c r="J952" s="338"/>
      <c r="K952" s="338"/>
      <c r="L952" s="338"/>
      <c r="M952" s="338"/>
      <c r="N952" s="338"/>
      <c r="O952" s="338"/>
      <c r="P952" s="338"/>
      <c r="Q952" s="338"/>
      <c r="R952" s="338"/>
      <c r="S952" s="338"/>
      <c r="T952" s="230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</row>
    <row r="953" spans="1:30">
      <c r="A953" s="189"/>
      <c r="B953" s="189"/>
      <c r="C953" s="189"/>
      <c r="D953" s="189"/>
      <c r="E953" s="189"/>
      <c r="F953" s="189"/>
      <c r="G953" s="189"/>
      <c r="H953" s="189"/>
      <c r="I953" s="338"/>
      <c r="J953" s="338"/>
      <c r="K953" s="338"/>
      <c r="L953" s="338"/>
      <c r="M953" s="338"/>
      <c r="N953" s="338"/>
      <c r="O953" s="338"/>
      <c r="P953" s="338"/>
      <c r="Q953" s="338"/>
      <c r="R953" s="338"/>
      <c r="S953" s="338"/>
      <c r="T953" s="230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</row>
    <row r="954" spans="1:30">
      <c r="A954" s="189"/>
      <c r="B954" s="189"/>
      <c r="C954" s="189"/>
      <c r="D954" s="189"/>
      <c r="E954" s="189"/>
      <c r="F954" s="189"/>
      <c r="G954" s="189"/>
      <c r="H954" s="189"/>
      <c r="I954" s="338"/>
      <c r="J954" s="338"/>
      <c r="K954" s="338"/>
      <c r="L954" s="338"/>
      <c r="M954" s="338"/>
      <c r="N954" s="338"/>
      <c r="O954" s="338"/>
      <c r="P954" s="338"/>
      <c r="Q954" s="338"/>
      <c r="R954" s="338"/>
      <c r="S954" s="338"/>
      <c r="T954" s="230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</row>
    <row r="955" spans="1:30">
      <c r="A955" s="189"/>
      <c r="B955" s="189"/>
      <c r="C955" s="189"/>
      <c r="D955" s="189"/>
      <c r="E955" s="189"/>
      <c r="F955" s="189"/>
      <c r="G955" s="189"/>
      <c r="H955" s="189"/>
      <c r="I955" s="338"/>
      <c r="J955" s="338"/>
      <c r="K955" s="338"/>
      <c r="L955" s="338"/>
      <c r="M955" s="338"/>
      <c r="N955" s="338"/>
      <c r="O955" s="338"/>
      <c r="P955" s="338"/>
      <c r="Q955" s="338"/>
      <c r="R955" s="338"/>
      <c r="S955" s="338"/>
      <c r="T955" s="230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</row>
    <row r="956" spans="1:30">
      <c r="A956" s="189"/>
      <c r="B956" s="189"/>
      <c r="C956" s="189"/>
      <c r="D956" s="189"/>
      <c r="E956" s="189"/>
      <c r="F956" s="189"/>
      <c r="G956" s="189"/>
      <c r="H956" s="189"/>
      <c r="I956" s="338"/>
      <c r="J956" s="338"/>
      <c r="K956" s="338"/>
      <c r="L956" s="338"/>
      <c r="M956" s="338"/>
      <c r="N956" s="338"/>
      <c r="O956" s="338"/>
      <c r="P956" s="338"/>
      <c r="Q956" s="338"/>
      <c r="R956" s="338"/>
      <c r="S956" s="338"/>
      <c r="T956" s="230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</row>
    <row r="957" spans="1:30">
      <c r="A957" s="189"/>
      <c r="B957" s="189"/>
      <c r="C957" s="189"/>
      <c r="D957" s="189"/>
      <c r="E957" s="189"/>
      <c r="F957" s="189"/>
      <c r="G957" s="189"/>
      <c r="H957" s="189"/>
      <c r="I957" s="338"/>
      <c r="J957" s="338"/>
      <c r="K957" s="338"/>
      <c r="L957" s="338"/>
      <c r="M957" s="338"/>
      <c r="N957" s="338"/>
      <c r="O957" s="338"/>
      <c r="P957" s="338"/>
      <c r="Q957" s="338"/>
      <c r="R957" s="338"/>
      <c r="S957" s="338"/>
      <c r="T957" s="230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</row>
    <row r="958" spans="1:30">
      <c r="A958" s="189"/>
      <c r="B958" s="189"/>
      <c r="C958" s="189"/>
      <c r="D958" s="189"/>
      <c r="E958" s="189"/>
      <c r="F958" s="189"/>
      <c r="G958" s="189"/>
      <c r="H958" s="189"/>
      <c r="I958" s="338"/>
      <c r="J958" s="338"/>
      <c r="K958" s="338"/>
      <c r="L958" s="338"/>
      <c r="M958" s="338"/>
      <c r="N958" s="338"/>
      <c r="O958" s="338"/>
      <c r="P958" s="338"/>
      <c r="Q958" s="338"/>
      <c r="R958" s="338"/>
      <c r="S958" s="338"/>
      <c r="T958" s="230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</row>
    <row r="959" spans="1:30">
      <c r="A959" s="189"/>
      <c r="B959" s="189"/>
      <c r="C959" s="189"/>
      <c r="D959" s="189"/>
      <c r="E959" s="189"/>
      <c r="F959" s="189"/>
      <c r="G959" s="189"/>
      <c r="H959" s="189"/>
      <c r="I959" s="338"/>
      <c r="J959" s="338"/>
      <c r="K959" s="338"/>
      <c r="L959" s="338"/>
      <c r="M959" s="338"/>
      <c r="N959" s="338"/>
      <c r="O959" s="338"/>
      <c r="P959" s="338"/>
      <c r="Q959" s="338"/>
      <c r="R959" s="338"/>
      <c r="S959" s="338"/>
      <c r="T959" s="230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</row>
    <row r="960" spans="1:30">
      <c r="A960" s="189"/>
      <c r="B960" s="189"/>
      <c r="C960" s="189"/>
      <c r="D960" s="189"/>
      <c r="E960" s="189"/>
      <c r="F960" s="189"/>
      <c r="G960" s="189"/>
      <c r="H960" s="189"/>
      <c r="I960" s="338"/>
      <c r="J960" s="338"/>
      <c r="K960" s="338"/>
      <c r="L960" s="338"/>
      <c r="M960" s="338"/>
      <c r="N960" s="338"/>
      <c r="O960" s="338"/>
      <c r="P960" s="338"/>
      <c r="Q960" s="338"/>
      <c r="R960" s="338"/>
      <c r="S960" s="338"/>
      <c r="T960" s="230"/>
      <c r="U960" s="189"/>
      <c r="V960" s="189"/>
      <c r="W960" s="189"/>
      <c r="X960" s="189"/>
      <c r="Y960" s="189"/>
      <c r="Z960" s="189"/>
      <c r="AA960" s="189"/>
      <c r="AB960" s="189"/>
      <c r="AC960" s="189"/>
      <c r="AD960" s="189"/>
    </row>
    <row r="961" spans="1:30">
      <c r="A961" s="189"/>
      <c r="B961" s="189"/>
      <c r="C961" s="189"/>
      <c r="D961" s="189"/>
      <c r="E961" s="189"/>
      <c r="F961" s="189"/>
      <c r="G961" s="189"/>
      <c r="H961" s="189"/>
      <c r="I961" s="338"/>
      <c r="J961" s="338"/>
      <c r="K961" s="338"/>
      <c r="L961" s="338"/>
      <c r="M961" s="338"/>
      <c r="N961" s="338"/>
      <c r="O961" s="338"/>
      <c r="P961" s="338"/>
      <c r="Q961" s="338"/>
      <c r="R961" s="338"/>
      <c r="S961" s="338"/>
      <c r="T961" s="230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</row>
    <row r="962" spans="1:30">
      <c r="A962" s="189"/>
      <c r="B962" s="189"/>
      <c r="C962" s="189"/>
      <c r="D962" s="189"/>
      <c r="E962" s="189"/>
      <c r="F962" s="189"/>
      <c r="G962" s="189"/>
      <c r="H962" s="189"/>
      <c r="I962" s="338"/>
      <c r="J962" s="338"/>
      <c r="K962" s="338"/>
      <c r="L962" s="338"/>
      <c r="M962" s="338"/>
      <c r="N962" s="338"/>
      <c r="O962" s="338"/>
      <c r="P962" s="338"/>
      <c r="Q962" s="338"/>
      <c r="R962" s="338"/>
      <c r="S962" s="338"/>
      <c r="T962" s="230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</row>
    <row r="963" spans="1:30">
      <c r="A963" s="189"/>
      <c r="B963" s="189"/>
      <c r="C963" s="189"/>
      <c r="D963" s="189"/>
      <c r="E963" s="189"/>
      <c r="F963" s="189"/>
      <c r="G963" s="189"/>
      <c r="H963" s="189"/>
      <c r="I963" s="338"/>
      <c r="J963" s="338"/>
      <c r="K963" s="338"/>
      <c r="L963" s="338"/>
      <c r="M963" s="338"/>
      <c r="N963" s="338"/>
      <c r="O963" s="338"/>
      <c r="P963" s="338"/>
      <c r="Q963" s="338"/>
      <c r="R963" s="338"/>
      <c r="S963" s="338"/>
      <c r="T963" s="230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</row>
    <row r="964" spans="1:30">
      <c r="A964" s="189"/>
      <c r="B964" s="189"/>
      <c r="C964" s="189"/>
      <c r="D964" s="189"/>
      <c r="E964" s="189"/>
      <c r="F964" s="189"/>
      <c r="G964" s="189"/>
      <c r="H964" s="189"/>
      <c r="I964" s="338"/>
      <c r="J964" s="338"/>
      <c r="K964" s="338"/>
      <c r="L964" s="338"/>
      <c r="M964" s="338"/>
      <c r="N964" s="338"/>
      <c r="O964" s="338"/>
      <c r="P964" s="338"/>
      <c r="Q964" s="338"/>
      <c r="R964" s="338"/>
      <c r="S964" s="338"/>
      <c r="T964" s="230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</row>
    <row r="965" spans="1:30">
      <c r="A965" s="189"/>
      <c r="B965" s="189"/>
      <c r="C965" s="189"/>
      <c r="D965" s="189"/>
      <c r="E965" s="189"/>
      <c r="F965" s="189"/>
      <c r="G965" s="189"/>
      <c r="H965" s="189"/>
      <c r="I965" s="338"/>
      <c r="J965" s="338"/>
      <c r="K965" s="338"/>
      <c r="L965" s="338"/>
      <c r="M965" s="338"/>
      <c r="N965" s="338"/>
      <c r="O965" s="338"/>
      <c r="P965" s="338"/>
      <c r="Q965" s="338"/>
      <c r="R965" s="338"/>
      <c r="S965" s="338"/>
      <c r="T965" s="230"/>
      <c r="U965" s="189"/>
      <c r="V965" s="189"/>
      <c r="W965" s="189"/>
      <c r="X965" s="189"/>
      <c r="Y965" s="189"/>
      <c r="Z965" s="189"/>
      <c r="AA965" s="189"/>
      <c r="AB965" s="189"/>
      <c r="AC965" s="189"/>
      <c r="AD965" s="189"/>
    </row>
    <row r="966" spans="1:30">
      <c r="A966" s="189"/>
      <c r="B966" s="189"/>
      <c r="C966" s="189"/>
      <c r="D966" s="189"/>
      <c r="E966" s="189"/>
      <c r="F966" s="189"/>
      <c r="G966" s="189"/>
      <c r="H966" s="189"/>
      <c r="I966" s="338"/>
      <c r="J966" s="338"/>
      <c r="K966" s="338"/>
      <c r="L966" s="338"/>
      <c r="M966" s="338"/>
      <c r="N966" s="338"/>
      <c r="O966" s="338"/>
      <c r="P966" s="338"/>
      <c r="Q966" s="338"/>
      <c r="R966" s="338"/>
      <c r="S966" s="338"/>
      <c r="T966" s="230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</row>
    <row r="967" spans="1:30">
      <c r="A967" s="189"/>
      <c r="B967" s="189"/>
      <c r="C967" s="189"/>
      <c r="D967" s="189"/>
      <c r="E967" s="189"/>
      <c r="F967" s="189"/>
      <c r="G967" s="189"/>
      <c r="H967" s="189"/>
      <c r="I967" s="338"/>
      <c r="J967" s="338"/>
      <c r="K967" s="338"/>
      <c r="L967" s="338"/>
      <c r="M967" s="338"/>
      <c r="N967" s="338"/>
      <c r="O967" s="338"/>
      <c r="P967" s="338"/>
      <c r="Q967" s="338"/>
      <c r="R967" s="338"/>
      <c r="S967" s="338"/>
      <c r="T967" s="230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</row>
    <row r="968" spans="1:30">
      <c r="A968" s="189"/>
      <c r="B968" s="189"/>
      <c r="C968" s="189"/>
      <c r="D968" s="189"/>
      <c r="E968" s="189"/>
      <c r="F968" s="189"/>
      <c r="G968" s="189"/>
      <c r="H968" s="189"/>
      <c r="I968" s="338"/>
      <c r="J968" s="338"/>
      <c r="K968" s="338"/>
      <c r="L968" s="338"/>
      <c r="M968" s="338"/>
      <c r="N968" s="338"/>
      <c r="O968" s="338"/>
      <c r="P968" s="338"/>
      <c r="Q968" s="338"/>
      <c r="R968" s="338"/>
      <c r="S968" s="338"/>
      <c r="T968" s="230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</row>
    <row r="969" spans="1:30">
      <c r="A969" s="189"/>
      <c r="B969" s="189"/>
      <c r="C969" s="189"/>
      <c r="D969" s="189"/>
      <c r="E969" s="189"/>
      <c r="F969" s="189"/>
      <c r="G969" s="189"/>
      <c r="H969" s="189"/>
      <c r="I969" s="338"/>
      <c r="J969" s="338"/>
      <c r="K969" s="338"/>
      <c r="L969" s="338"/>
      <c r="M969" s="338"/>
      <c r="N969" s="338"/>
      <c r="O969" s="338"/>
      <c r="P969" s="338"/>
      <c r="Q969" s="338"/>
      <c r="R969" s="338"/>
      <c r="S969" s="338"/>
      <c r="T969" s="230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</row>
    <row r="970" spans="1:30">
      <c r="A970" s="189"/>
      <c r="B970" s="189"/>
      <c r="C970" s="189"/>
      <c r="D970" s="189"/>
      <c r="E970" s="189"/>
      <c r="F970" s="189"/>
      <c r="G970" s="189"/>
      <c r="H970" s="189"/>
      <c r="I970" s="338"/>
      <c r="J970" s="338"/>
      <c r="K970" s="338"/>
      <c r="L970" s="338"/>
      <c r="M970" s="338"/>
      <c r="N970" s="338"/>
      <c r="O970" s="338"/>
      <c r="P970" s="338"/>
      <c r="Q970" s="338"/>
      <c r="R970" s="338"/>
      <c r="S970" s="338"/>
      <c r="T970" s="230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</row>
    <row r="971" spans="1:30">
      <c r="A971" s="189"/>
      <c r="B971" s="189"/>
      <c r="C971" s="189"/>
      <c r="D971" s="189"/>
      <c r="E971" s="189"/>
      <c r="F971" s="189"/>
      <c r="G971" s="189"/>
      <c r="H971" s="189"/>
      <c r="I971" s="338"/>
      <c r="J971" s="338"/>
      <c r="K971" s="338"/>
      <c r="L971" s="338"/>
      <c r="M971" s="338"/>
      <c r="N971" s="338"/>
      <c r="O971" s="338"/>
      <c r="P971" s="338"/>
      <c r="Q971" s="338"/>
      <c r="R971" s="338"/>
      <c r="S971" s="338"/>
      <c r="T971" s="230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</row>
    <row r="972" spans="1:30">
      <c r="A972" s="189"/>
      <c r="B972" s="189"/>
      <c r="C972" s="189"/>
      <c r="D972" s="189"/>
      <c r="E972" s="189"/>
      <c r="F972" s="189"/>
      <c r="G972" s="189"/>
      <c r="H972" s="189"/>
      <c r="I972" s="338"/>
      <c r="J972" s="338"/>
      <c r="K972" s="338"/>
      <c r="L972" s="338"/>
      <c r="M972" s="338"/>
      <c r="N972" s="338"/>
      <c r="O972" s="338"/>
      <c r="P972" s="338"/>
      <c r="Q972" s="338"/>
      <c r="R972" s="338"/>
      <c r="S972" s="338"/>
      <c r="T972" s="230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</row>
    <row r="973" spans="1:30">
      <c r="A973" s="189"/>
      <c r="B973" s="189"/>
      <c r="C973" s="189"/>
      <c r="D973" s="189"/>
      <c r="E973" s="189"/>
      <c r="F973" s="189"/>
      <c r="G973" s="189"/>
      <c r="H973" s="189"/>
      <c r="I973" s="338"/>
      <c r="J973" s="338"/>
      <c r="K973" s="338"/>
      <c r="L973" s="338"/>
      <c r="M973" s="338"/>
      <c r="N973" s="338"/>
      <c r="O973" s="338"/>
      <c r="P973" s="338"/>
      <c r="Q973" s="338"/>
      <c r="R973" s="338"/>
      <c r="S973" s="338"/>
      <c r="T973" s="230"/>
      <c r="U973" s="189"/>
      <c r="V973" s="189"/>
      <c r="W973" s="189"/>
      <c r="X973" s="189"/>
      <c r="Y973" s="189"/>
      <c r="Z973" s="189"/>
      <c r="AA973" s="189"/>
      <c r="AB973" s="189"/>
      <c r="AC973" s="189"/>
      <c r="AD973" s="189"/>
    </row>
    <row r="974" spans="1:30">
      <c r="A974" s="189"/>
      <c r="B974" s="189"/>
      <c r="C974" s="189"/>
      <c r="D974" s="189"/>
      <c r="E974" s="189"/>
      <c r="F974" s="189"/>
      <c r="G974" s="189"/>
      <c r="H974" s="189"/>
      <c r="I974" s="338"/>
      <c r="J974" s="338"/>
      <c r="K974" s="338"/>
      <c r="L974" s="338"/>
      <c r="M974" s="338"/>
      <c r="N974" s="338"/>
      <c r="O974" s="338"/>
      <c r="P974" s="338"/>
      <c r="Q974" s="338"/>
      <c r="R974" s="338"/>
      <c r="S974" s="338"/>
      <c r="T974" s="230"/>
      <c r="U974" s="189"/>
      <c r="V974" s="189"/>
      <c r="W974" s="189"/>
      <c r="X974" s="189"/>
      <c r="Y974" s="189"/>
      <c r="Z974" s="189"/>
      <c r="AA974" s="189"/>
      <c r="AB974" s="189"/>
      <c r="AC974" s="189"/>
      <c r="AD974" s="189"/>
    </row>
    <row r="975" spans="1:30">
      <c r="A975" s="189"/>
      <c r="B975" s="189"/>
      <c r="C975" s="189"/>
      <c r="D975" s="189"/>
      <c r="E975" s="189"/>
      <c r="F975" s="189"/>
      <c r="G975" s="189"/>
      <c r="H975" s="189"/>
      <c r="I975" s="338"/>
      <c r="J975" s="338"/>
      <c r="K975" s="338"/>
      <c r="L975" s="338"/>
      <c r="M975" s="338"/>
      <c r="N975" s="338"/>
      <c r="O975" s="338"/>
      <c r="P975" s="338"/>
      <c r="Q975" s="338"/>
      <c r="R975" s="338"/>
      <c r="S975" s="338"/>
      <c r="T975" s="230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</row>
    <row r="976" spans="1:30">
      <c r="A976" s="189"/>
      <c r="B976" s="189"/>
      <c r="C976" s="189"/>
      <c r="D976" s="189"/>
      <c r="E976" s="189"/>
      <c r="F976" s="189"/>
      <c r="G976" s="189"/>
      <c r="H976" s="189"/>
      <c r="I976" s="338"/>
      <c r="J976" s="338"/>
      <c r="K976" s="338"/>
      <c r="L976" s="338"/>
      <c r="M976" s="338"/>
      <c r="N976" s="338"/>
      <c r="O976" s="338"/>
      <c r="P976" s="338"/>
      <c r="Q976" s="338"/>
      <c r="R976" s="338"/>
      <c r="S976" s="338"/>
      <c r="T976" s="230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</row>
    <row r="977" spans="1:30">
      <c r="A977" s="189"/>
      <c r="B977" s="189"/>
      <c r="C977" s="189"/>
      <c r="D977" s="189"/>
      <c r="E977" s="189"/>
      <c r="F977" s="189"/>
      <c r="G977" s="189"/>
      <c r="H977" s="189"/>
      <c r="I977" s="338"/>
      <c r="J977" s="338"/>
      <c r="K977" s="338"/>
      <c r="L977" s="338"/>
      <c r="M977" s="338"/>
      <c r="N977" s="338"/>
      <c r="O977" s="338"/>
      <c r="P977" s="338"/>
      <c r="Q977" s="338"/>
      <c r="R977" s="338"/>
      <c r="S977" s="338"/>
      <c r="T977" s="230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</row>
    <row r="978" spans="1:30">
      <c r="A978" s="189"/>
      <c r="B978" s="189"/>
      <c r="C978" s="189"/>
      <c r="D978" s="189"/>
      <c r="E978" s="189"/>
      <c r="F978" s="189"/>
      <c r="G978" s="189"/>
      <c r="H978" s="189"/>
      <c r="I978" s="338"/>
      <c r="J978" s="338"/>
      <c r="K978" s="338"/>
      <c r="L978" s="338"/>
      <c r="M978" s="338"/>
      <c r="N978" s="338"/>
      <c r="O978" s="338"/>
      <c r="P978" s="338"/>
      <c r="Q978" s="338"/>
      <c r="R978" s="338"/>
      <c r="S978" s="338"/>
      <c r="T978" s="230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</row>
    <row r="979" spans="1:30">
      <c r="A979" s="189"/>
      <c r="B979" s="189"/>
      <c r="C979" s="189"/>
      <c r="D979" s="189"/>
      <c r="E979" s="189"/>
      <c r="F979" s="189"/>
      <c r="G979" s="189"/>
      <c r="H979" s="189"/>
      <c r="I979" s="338"/>
      <c r="J979" s="338"/>
      <c r="K979" s="338"/>
      <c r="L979" s="338"/>
      <c r="M979" s="338"/>
      <c r="N979" s="338"/>
      <c r="O979" s="338"/>
      <c r="P979" s="338"/>
      <c r="Q979" s="338"/>
      <c r="R979" s="338"/>
      <c r="S979" s="338"/>
      <c r="T979" s="230"/>
      <c r="U979" s="189"/>
      <c r="V979" s="189"/>
      <c r="W979" s="189"/>
      <c r="X979" s="189"/>
      <c r="Y979" s="189"/>
      <c r="Z979" s="189"/>
      <c r="AA979" s="189"/>
      <c r="AB979" s="189"/>
      <c r="AC979" s="189"/>
      <c r="AD979" s="189"/>
    </row>
    <row r="980" spans="1:30">
      <c r="A980" s="189"/>
      <c r="B980" s="189"/>
      <c r="C980" s="189"/>
      <c r="D980" s="189"/>
      <c r="E980" s="189"/>
      <c r="F980" s="189"/>
      <c r="G980" s="189"/>
      <c r="H980" s="189"/>
      <c r="I980" s="338"/>
      <c r="J980" s="338"/>
      <c r="K980" s="338"/>
      <c r="L980" s="338"/>
      <c r="M980" s="338"/>
      <c r="N980" s="338"/>
      <c r="O980" s="338"/>
      <c r="P980" s="338"/>
      <c r="Q980" s="338"/>
      <c r="R980" s="338"/>
      <c r="S980" s="338"/>
      <c r="T980" s="230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</row>
    <row r="981" spans="1:30">
      <c r="A981" s="189"/>
      <c r="B981" s="189"/>
      <c r="C981" s="189"/>
      <c r="D981" s="189"/>
      <c r="E981" s="189"/>
      <c r="F981" s="189"/>
      <c r="G981" s="189"/>
      <c r="H981" s="189"/>
      <c r="I981" s="338"/>
      <c r="J981" s="338"/>
      <c r="K981" s="338"/>
      <c r="L981" s="338"/>
      <c r="M981" s="338"/>
      <c r="N981" s="338"/>
      <c r="O981" s="338"/>
      <c r="P981" s="338"/>
      <c r="Q981" s="338"/>
      <c r="R981" s="338"/>
      <c r="S981" s="338"/>
      <c r="T981" s="230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</row>
    <row r="982" spans="1:30">
      <c r="A982" s="189"/>
      <c r="B982" s="189"/>
      <c r="C982" s="189"/>
      <c r="D982" s="189"/>
      <c r="E982" s="189"/>
      <c r="F982" s="189"/>
      <c r="G982" s="189"/>
      <c r="H982" s="189"/>
      <c r="I982" s="338"/>
      <c r="J982" s="338"/>
      <c r="K982" s="338"/>
      <c r="L982" s="338"/>
      <c r="M982" s="338"/>
      <c r="N982" s="338"/>
      <c r="O982" s="338"/>
      <c r="P982" s="338"/>
      <c r="Q982" s="338"/>
      <c r="R982" s="338"/>
      <c r="S982" s="338"/>
      <c r="T982" s="230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</row>
    <row r="983" spans="1:30">
      <c r="A983" s="189"/>
      <c r="B983" s="189"/>
      <c r="C983" s="189"/>
      <c r="D983" s="189"/>
      <c r="E983" s="189"/>
      <c r="F983" s="189"/>
      <c r="G983" s="189"/>
      <c r="H983" s="189"/>
      <c r="I983" s="338"/>
      <c r="J983" s="338"/>
      <c r="K983" s="338"/>
      <c r="L983" s="338"/>
      <c r="M983" s="338"/>
      <c r="N983" s="338"/>
      <c r="O983" s="338"/>
      <c r="P983" s="338"/>
      <c r="Q983" s="338"/>
      <c r="R983" s="338"/>
      <c r="S983" s="338"/>
      <c r="T983" s="230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</row>
    <row r="984" spans="1:30">
      <c r="A984" s="189"/>
      <c r="B984" s="189"/>
      <c r="C984" s="189"/>
      <c r="D984" s="189"/>
      <c r="E984" s="189"/>
      <c r="F984" s="189"/>
      <c r="G984" s="189"/>
      <c r="H984" s="189"/>
      <c r="I984" s="338"/>
      <c r="J984" s="338"/>
      <c r="K984" s="338"/>
      <c r="L984" s="338"/>
      <c r="M984" s="338"/>
      <c r="N984" s="338"/>
      <c r="O984" s="338"/>
      <c r="P984" s="338"/>
      <c r="Q984" s="338"/>
      <c r="R984" s="338"/>
      <c r="S984" s="338"/>
      <c r="T984" s="230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</row>
    <row r="985" spans="1:30">
      <c r="A985" s="189"/>
      <c r="B985" s="189"/>
      <c r="C985" s="189"/>
      <c r="D985" s="189"/>
      <c r="E985" s="189"/>
      <c r="F985" s="189"/>
      <c r="G985" s="189"/>
      <c r="H985" s="189"/>
      <c r="I985" s="338"/>
      <c r="J985" s="338"/>
      <c r="K985" s="338"/>
      <c r="L985" s="338"/>
      <c r="M985" s="338"/>
      <c r="N985" s="338"/>
      <c r="O985" s="338"/>
      <c r="P985" s="338"/>
      <c r="Q985" s="338"/>
      <c r="R985" s="338"/>
      <c r="S985" s="338"/>
      <c r="T985" s="230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</row>
    <row r="986" spans="1:30">
      <c r="A986" s="189"/>
      <c r="B986" s="189"/>
      <c r="C986" s="189"/>
      <c r="D986" s="189"/>
      <c r="E986" s="189"/>
      <c r="F986" s="189"/>
      <c r="G986" s="189"/>
      <c r="H986" s="189"/>
      <c r="I986" s="338"/>
      <c r="J986" s="338"/>
      <c r="K986" s="338"/>
      <c r="L986" s="338"/>
      <c r="M986" s="338"/>
      <c r="N986" s="338"/>
      <c r="O986" s="338"/>
      <c r="P986" s="338"/>
      <c r="Q986" s="338"/>
      <c r="R986" s="338"/>
      <c r="S986" s="338"/>
      <c r="T986" s="230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</row>
    <row r="987" spans="1:30">
      <c r="A987" s="189"/>
      <c r="B987" s="189"/>
      <c r="C987" s="189"/>
      <c r="D987" s="189"/>
      <c r="E987" s="189"/>
      <c r="F987" s="189"/>
      <c r="G987" s="189"/>
      <c r="H987" s="189"/>
      <c r="I987" s="338"/>
      <c r="J987" s="338"/>
      <c r="K987" s="338"/>
      <c r="L987" s="338"/>
      <c r="M987" s="338"/>
      <c r="N987" s="338"/>
      <c r="O987" s="338"/>
      <c r="P987" s="338"/>
      <c r="Q987" s="338"/>
      <c r="R987" s="338"/>
      <c r="S987" s="338"/>
      <c r="T987" s="230"/>
      <c r="U987" s="189"/>
      <c r="V987" s="189"/>
      <c r="W987" s="189"/>
      <c r="X987" s="189"/>
      <c r="Y987" s="189"/>
      <c r="Z987" s="189"/>
      <c r="AA987" s="189"/>
      <c r="AB987" s="189"/>
      <c r="AC987" s="189"/>
      <c r="AD987" s="189"/>
    </row>
    <row r="988" spans="1:30">
      <c r="A988" s="189"/>
      <c r="B988" s="189"/>
      <c r="C988" s="189"/>
      <c r="D988" s="189"/>
      <c r="E988" s="189"/>
      <c r="F988" s="189"/>
      <c r="G988" s="189"/>
      <c r="H988" s="189"/>
      <c r="I988" s="338"/>
      <c r="J988" s="338"/>
      <c r="K988" s="338"/>
      <c r="L988" s="338"/>
      <c r="M988" s="338"/>
      <c r="N988" s="338"/>
      <c r="O988" s="338"/>
      <c r="P988" s="338"/>
      <c r="Q988" s="338"/>
      <c r="R988" s="338"/>
      <c r="S988" s="338"/>
      <c r="T988" s="230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</row>
    <row r="989" spans="1:30">
      <c r="A989" s="189"/>
      <c r="B989" s="189"/>
      <c r="C989" s="189"/>
      <c r="D989" s="189"/>
      <c r="E989" s="189"/>
      <c r="F989" s="189"/>
      <c r="G989" s="189"/>
      <c r="H989" s="189"/>
      <c r="I989" s="338"/>
      <c r="J989" s="338"/>
      <c r="K989" s="338"/>
      <c r="L989" s="338"/>
      <c r="M989" s="338"/>
      <c r="N989" s="338"/>
      <c r="O989" s="338"/>
      <c r="P989" s="338"/>
      <c r="Q989" s="338"/>
      <c r="R989" s="338"/>
      <c r="S989" s="338"/>
      <c r="T989" s="230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</row>
    <row r="990" spans="1:30">
      <c r="A990" s="189"/>
      <c r="B990" s="189"/>
      <c r="C990" s="189"/>
      <c r="D990" s="189"/>
      <c r="E990" s="189"/>
      <c r="F990" s="189"/>
      <c r="G990" s="189"/>
      <c r="H990" s="189"/>
      <c r="I990" s="338"/>
      <c r="J990" s="338"/>
      <c r="K990" s="338"/>
      <c r="L990" s="338"/>
      <c r="M990" s="338"/>
      <c r="N990" s="338"/>
      <c r="O990" s="338"/>
      <c r="P990" s="338"/>
      <c r="Q990" s="338"/>
      <c r="R990" s="338"/>
      <c r="S990" s="338"/>
      <c r="T990" s="230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</row>
    <row r="991" spans="1:30">
      <c r="A991" s="189"/>
      <c r="B991" s="189"/>
      <c r="C991" s="189"/>
      <c r="D991" s="189"/>
      <c r="E991" s="189"/>
      <c r="F991" s="189"/>
      <c r="G991" s="189"/>
      <c r="H991" s="189"/>
      <c r="I991" s="338"/>
      <c r="J991" s="338"/>
      <c r="K991" s="338"/>
      <c r="L991" s="338"/>
      <c r="M991" s="338"/>
      <c r="N991" s="338"/>
      <c r="O991" s="338"/>
      <c r="P991" s="338"/>
      <c r="Q991" s="338"/>
      <c r="R991" s="338"/>
      <c r="S991" s="338"/>
      <c r="T991" s="230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</row>
    <row r="992" spans="1:30">
      <c r="A992" s="189"/>
      <c r="B992" s="189"/>
      <c r="C992" s="189"/>
      <c r="D992" s="189"/>
      <c r="E992" s="189"/>
      <c r="F992" s="189"/>
      <c r="G992" s="189"/>
      <c r="H992" s="189"/>
      <c r="I992" s="338"/>
      <c r="J992" s="338"/>
      <c r="K992" s="338"/>
      <c r="L992" s="338"/>
      <c r="M992" s="338"/>
      <c r="N992" s="338"/>
      <c r="O992" s="338"/>
      <c r="P992" s="338"/>
      <c r="Q992" s="338"/>
      <c r="R992" s="338"/>
      <c r="S992" s="338"/>
      <c r="T992" s="230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</row>
    <row r="993" spans="1:30">
      <c r="A993" s="189"/>
      <c r="B993" s="189"/>
      <c r="C993" s="189"/>
      <c r="D993" s="189"/>
      <c r="E993" s="189"/>
      <c r="F993" s="189"/>
      <c r="G993" s="189"/>
      <c r="H993" s="189"/>
      <c r="I993" s="338"/>
      <c r="J993" s="338"/>
      <c r="K993" s="338"/>
      <c r="L993" s="338"/>
      <c r="M993" s="338"/>
      <c r="N993" s="338"/>
      <c r="O993" s="338"/>
      <c r="P993" s="338"/>
      <c r="Q993" s="338"/>
      <c r="R993" s="338"/>
      <c r="S993" s="338"/>
      <c r="T993" s="230"/>
      <c r="U993" s="189"/>
      <c r="V993" s="189"/>
      <c r="W993" s="189"/>
      <c r="X993" s="189"/>
      <c r="Y993" s="189"/>
      <c r="Z993" s="189"/>
      <c r="AA993" s="189"/>
      <c r="AB993" s="189"/>
      <c r="AC993" s="189"/>
      <c r="AD993" s="189"/>
    </row>
    <row r="994" spans="1:30">
      <c r="A994" s="189"/>
      <c r="B994" s="189"/>
      <c r="C994" s="189"/>
      <c r="D994" s="189"/>
      <c r="E994" s="189"/>
      <c r="F994" s="189"/>
      <c r="G994" s="189"/>
      <c r="H994" s="189"/>
      <c r="I994" s="338"/>
      <c r="J994" s="338"/>
      <c r="K994" s="338"/>
      <c r="L994" s="338"/>
      <c r="M994" s="338"/>
      <c r="N994" s="338"/>
      <c r="O994" s="338"/>
      <c r="P994" s="338"/>
      <c r="Q994" s="338"/>
      <c r="R994" s="338"/>
      <c r="S994" s="338"/>
      <c r="T994" s="230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</row>
    <row r="995" spans="1:30">
      <c r="A995" s="189"/>
      <c r="B995" s="189"/>
      <c r="C995" s="189"/>
      <c r="D995" s="189"/>
      <c r="E995" s="189"/>
      <c r="F995" s="189"/>
      <c r="G995" s="189"/>
      <c r="H995" s="189"/>
      <c r="I995" s="338"/>
      <c r="J995" s="338"/>
      <c r="K995" s="338"/>
      <c r="L995" s="338"/>
      <c r="M995" s="338"/>
      <c r="N995" s="338"/>
      <c r="O995" s="338"/>
      <c r="P995" s="338"/>
      <c r="Q995" s="338"/>
      <c r="R995" s="338"/>
      <c r="S995" s="338"/>
      <c r="T995" s="230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</row>
    <row r="996" spans="1:30">
      <c r="A996" s="189"/>
      <c r="B996" s="189"/>
      <c r="C996" s="189"/>
      <c r="D996" s="189"/>
      <c r="E996" s="189"/>
      <c r="F996" s="189"/>
      <c r="G996" s="189"/>
      <c r="H996" s="189"/>
      <c r="I996" s="338"/>
      <c r="J996" s="338"/>
      <c r="K996" s="338"/>
      <c r="L996" s="338"/>
      <c r="M996" s="338"/>
      <c r="N996" s="338"/>
      <c r="O996" s="338"/>
      <c r="P996" s="338"/>
      <c r="Q996" s="338"/>
      <c r="R996" s="338"/>
      <c r="S996" s="338"/>
      <c r="T996" s="230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</row>
    <row r="997" spans="1:30">
      <c r="A997" s="189"/>
      <c r="B997" s="189"/>
      <c r="C997" s="189"/>
      <c r="D997" s="189"/>
      <c r="E997" s="189"/>
      <c r="F997" s="189"/>
      <c r="G997" s="189"/>
      <c r="H997" s="189"/>
      <c r="I997" s="338"/>
      <c r="J997" s="338"/>
      <c r="K997" s="338"/>
      <c r="L997" s="338"/>
      <c r="M997" s="338"/>
      <c r="N997" s="338"/>
      <c r="O997" s="338"/>
      <c r="P997" s="338"/>
      <c r="Q997" s="338"/>
      <c r="R997" s="338"/>
      <c r="S997" s="338"/>
      <c r="T997" s="230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</row>
    <row r="998" spans="1:30">
      <c r="A998" s="189"/>
      <c r="B998" s="189"/>
      <c r="C998" s="189"/>
      <c r="D998" s="189"/>
      <c r="E998" s="189"/>
      <c r="F998" s="189"/>
      <c r="G998" s="189"/>
      <c r="H998" s="189"/>
      <c r="I998" s="338"/>
      <c r="J998" s="338"/>
      <c r="K998" s="338"/>
      <c r="L998" s="338"/>
      <c r="M998" s="338"/>
      <c r="N998" s="338"/>
      <c r="O998" s="338"/>
      <c r="P998" s="338"/>
      <c r="Q998" s="338"/>
      <c r="R998" s="338"/>
      <c r="S998" s="338"/>
      <c r="T998" s="230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</row>
    <row r="999" spans="1:30"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</row>
    <row r="1000" spans="1:30"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</row>
  </sheetData>
  <mergeCells count="2">
    <mergeCell ref="I2:T2"/>
    <mergeCell ref="A263:L26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zoomScale="86" zoomScaleNormal="86" workbookViewId="0"/>
  </sheetViews>
  <sheetFormatPr baseColWidth="10" defaultColWidth="15.140625" defaultRowHeight="15" customHeight="1"/>
  <cols>
    <col min="1" max="1" width="5.28515625" customWidth="1"/>
    <col min="2" max="2" width="4.42578125" customWidth="1"/>
    <col min="3" max="3" width="5.42578125" customWidth="1"/>
    <col min="4" max="4" width="21.42578125" customWidth="1"/>
    <col min="5" max="5" width="19.85546875" customWidth="1"/>
    <col min="6" max="6" width="6.28515625" customWidth="1"/>
    <col min="7" max="7" width="6.7109375" customWidth="1"/>
    <col min="8" max="8" width="4.140625" customWidth="1"/>
    <col min="9" max="9" width="8.28515625" customWidth="1"/>
    <col min="10" max="11" width="8.42578125" customWidth="1"/>
    <col min="12" max="12" width="9.42578125" customWidth="1"/>
    <col min="13" max="13" width="9.140625" customWidth="1"/>
    <col min="14" max="15" width="8.42578125" customWidth="1"/>
    <col min="16" max="16" width="8.7109375" customWidth="1"/>
    <col min="17" max="17" width="8.28515625" customWidth="1"/>
    <col min="18" max="18" width="9.28515625" customWidth="1"/>
    <col min="19" max="19" width="11" customWidth="1"/>
    <col min="20" max="20" width="38.5703125" customWidth="1"/>
    <col min="21" max="21" width="20.5703125" customWidth="1"/>
    <col min="22" max="30" width="8" customWidth="1"/>
  </cols>
  <sheetData>
    <row r="1" spans="1:30" ht="13.5" customHeight="1">
      <c r="A1" s="302"/>
      <c r="B1" s="302"/>
      <c r="C1" s="302"/>
      <c r="D1" s="302"/>
      <c r="E1" s="302"/>
      <c r="F1" s="302"/>
      <c r="G1" s="302"/>
      <c r="H1" s="302"/>
      <c r="I1" s="303">
        <v>1</v>
      </c>
      <c r="J1" s="303">
        <v>2</v>
      </c>
      <c r="K1" s="303">
        <v>3</v>
      </c>
      <c r="L1" s="303">
        <v>4</v>
      </c>
      <c r="M1" s="303">
        <v>5</v>
      </c>
      <c r="N1" s="303">
        <v>6</v>
      </c>
      <c r="O1" s="303">
        <v>7</v>
      </c>
      <c r="P1" s="303">
        <v>8</v>
      </c>
      <c r="Q1" s="303">
        <v>9</v>
      </c>
      <c r="R1" s="303">
        <v>10</v>
      </c>
      <c r="S1" s="303" t="s">
        <v>21</v>
      </c>
      <c r="T1" s="304" t="s">
        <v>1</v>
      </c>
      <c r="U1" s="302"/>
      <c r="V1" s="302"/>
      <c r="W1" s="302"/>
      <c r="X1" s="302"/>
      <c r="Y1" s="302"/>
      <c r="Z1" s="302"/>
      <c r="AA1" s="302"/>
      <c r="AB1" s="302"/>
      <c r="AC1" s="302"/>
      <c r="AD1" s="302"/>
    </row>
    <row r="2" spans="1:30" ht="27" customHeight="1">
      <c r="A2" s="189"/>
      <c r="B2" s="189"/>
      <c r="C2" s="189"/>
      <c r="D2" s="189"/>
      <c r="E2" s="253"/>
      <c r="F2" s="238"/>
      <c r="G2" s="238"/>
      <c r="H2" s="238"/>
      <c r="I2" s="674" t="s">
        <v>249</v>
      </c>
      <c r="J2" s="670"/>
      <c r="K2" s="670"/>
      <c r="L2" s="670"/>
      <c r="M2" s="670"/>
      <c r="N2" s="670"/>
      <c r="O2" s="670"/>
      <c r="P2" s="670"/>
      <c r="Q2" s="670"/>
      <c r="R2" s="670"/>
      <c r="S2" s="670"/>
      <c r="T2" s="673"/>
      <c r="U2" s="189"/>
      <c r="V2" s="189"/>
      <c r="W2" s="189"/>
      <c r="X2" s="189"/>
      <c r="Y2" s="189"/>
      <c r="Z2" s="189"/>
      <c r="AA2" s="189"/>
      <c r="AB2" s="189"/>
      <c r="AC2" s="189"/>
      <c r="AD2" s="189"/>
    </row>
    <row r="3" spans="1:30" ht="24.75" customHeight="1">
      <c r="A3" s="17" t="s">
        <v>3</v>
      </c>
      <c r="B3" s="17" t="s">
        <v>4</v>
      </c>
      <c r="C3" s="17" t="s">
        <v>5</v>
      </c>
      <c r="D3" s="17" t="s">
        <v>6</v>
      </c>
      <c r="E3" s="17" t="s">
        <v>7</v>
      </c>
      <c r="F3" s="17" t="s">
        <v>8</v>
      </c>
      <c r="G3" s="17" t="s">
        <v>9</v>
      </c>
      <c r="H3" s="17" t="s">
        <v>10</v>
      </c>
      <c r="I3" s="24" t="s">
        <v>11</v>
      </c>
      <c r="J3" s="24" t="s">
        <v>12</v>
      </c>
      <c r="K3" s="24" t="s">
        <v>13</v>
      </c>
      <c r="L3" s="24" t="s">
        <v>14</v>
      </c>
      <c r="M3" s="24" t="s">
        <v>15</v>
      </c>
      <c r="N3" s="24" t="s">
        <v>16</v>
      </c>
      <c r="O3" s="24" t="s">
        <v>17</v>
      </c>
      <c r="P3" s="24" t="s">
        <v>18</v>
      </c>
      <c r="Q3" s="24" t="s">
        <v>19</v>
      </c>
      <c r="R3" s="24" t="s">
        <v>20</v>
      </c>
      <c r="S3" s="24" t="s">
        <v>21</v>
      </c>
      <c r="T3" s="28" t="s">
        <v>1</v>
      </c>
      <c r="U3" s="189"/>
      <c r="V3" s="189"/>
      <c r="W3" s="189"/>
      <c r="X3" s="189"/>
      <c r="Y3" s="189"/>
      <c r="Z3" s="189"/>
      <c r="AA3" s="189"/>
      <c r="AB3" s="189"/>
      <c r="AC3" s="189"/>
      <c r="AD3" s="189"/>
    </row>
    <row r="4" spans="1:30" ht="15.75" customHeight="1">
      <c r="A4" s="35">
        <v>2</v>
      </c>
      <c r="B4" s="35">
        <v>1</v>
      </c>
      <c r="C4" s="35">
        <v>1</v>
      </c>
      <c r="D4" s="16" t="s">
        <v>22</v>
      </c>
      <c r="E4" s="16" t="s">
        <v>23</v>
      </c>
      <c r="F4" s="16" t="s">
        <v>25</v>
      </c>
      <c r="G4" s="37">
        <v>30876</v>
      </c>
      <c r="H4" s="39">
        <v>510</v>
      </c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45" t="s">
        <v>26</v>
      </c>
      <c r="U4" s="189"/>
      <c r="V4" s="189"/>
      <c r="W4" s="189"/>
      <c r="X4" s="189"/>
      <c r="Y4" s="189"/>
      <c r="Z4" s="189"/>
      <c r="AA4" s="189"/>
      <c r="AB4" s="189"/>
      <c r="AC4" s="189"/>
      <c r="AD4" s="189"/>
    </row>
    <row r="5" spans="1:30" ht="15.75" customHeight="1">
      <c r="A5" s="35">
        <v>2</v>
      </c>
      <c r="B5" s="35">
        <v>1</v>
      </c>
      <c r="C5" s="35">
        <v>2</v>
      </c>
      <c r="D5" s="16" t="s">
        <v>27</v>
      </c>
      <c r="E5" s="16" t="s">
        <v>28</v>
      </c>
      <c r="F5" s="16" t="s">
        <v>25</v>
      </c>
      <c r="G5" s="37">
        <v>30877</v>
      </c>
      <c r="H5" s="39">
        <v>250</v>
      </c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45" t="s">
        <v>26</v>
      </c>
      <c r="U5" s="189"/>
      <c r="V5" s="189"/>
      <c r="W5" s="189"/>
      <c r="X5" s="189"/>
      <c r="Y5" s="189"/>
      <c r="Z5" s="189"/>
      <c r="AA5" s="189"/>
      <c r="AB5" s="189"/>
      <c r="AC5" s="189"/>
      <c r="AD5" s="189"/>
    </row>
    <row r="6" spans="1:30" ht="15.75" customHeight="1">
      <c r="A6" s="35">
        <v>2</v>
      </c>
      <c r="B6" s="35">
        <v>1</v>
      </c>
      <c r="C6" s="35">
        <v>2</v>
      </c>
      <c r="D6" s="16" t="s">
        <v>22</v>
      </c>
      <c r="E6" s="16" t="s">
        <v>23</v>
      </c>
      <c r="F6" s="16" t="s">
        <v>25</v>
      </c>
      <c r="G6" s="37">
        <v>30876</v>
      </c>
      <c r="H6" s="39">
        <v>290</v>
      </c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45" t="s">
        <v>26</v>
      </c>
      <c r="U6" s="189"/>
      <c r="V6" s="189"/>
      <c r="W6" s="189"/>
      <c r="X6" s="189"/>
      <c r="Y6" s="189"/>
      <c r="Z6" s="189"/>
      <c r="AA6" s="189"/>
      <c r="AB6" s="189"/>
      <c r="AC6" s="189"/>
      <c r="AD6" s="189"/>
    </row>
    <row r="7" spans="1:30" ht="15.75" customHeight="1">
      <c r="A7" s="47">
        <v>2</v>
      </c>
      <c r="B7" s="47">
        <v>1</v>
      </c>
      <c r="C7" s="47">
        <v>3</v>
      </c>
      <c r="D7" s="25" t="s">
        <v>29</v>
      </c>
      <c r="E7" s="25" t="s">
        <v>30</v>
      </c>
      <c r="F7" s="25" t="s">
        <v>31</v>
      </c>
      <c r="G7" s="49">
        <v>50759</v>
      </c>
      <c r="H7" s="51">
        <v>232</v>
      </c>
      <c r="I7" s="306">
        <v>1.6950000000000001</v>
      </c>
      <c r="J7" s="306">
        <v>1.08</v>
      </c>
      <c r="K7" s="306">
        <v>1.47</v>
      </c>
      <c r="L7" s="306">
        <v>1.33</v>
      </c>
      <c r="M7" s="306">
        <v>1.984</v>
      </c>
      <c r="N7" s="306">
        <v>1.83</v>
      </c>
      <c r="O7" s="306">
        <v>1.18</v>
      </c>
      <c r="P7" s="306">
        <v>1.25</v>
      </c>
      <c r="Q7" s="306" t="s">
        <v>80</v>
      </c>
      <c r="R7" s="306" t="s">
        <v>80</v>
      </c>
      <c r="S7" s="62">
        <f>AVERAGE(I7:R7)</f>
        <v>1.4773749999999999</v>
      </c>
      <c r="T7" s="60"/>
      <c r="U7" s="189"/>
      <c r="V7" s="189"/>
      <c r="W7" s="189"/>
      <c r="X7" s="189"/>
      <c r="Y7" s="189"/>
      <c r="Z7" s="189"/>
      <c r="AA7" s="189"/>
      <c r="AB7" s="189"/>
      <c r="AC7" s="189"/>
      <c r="AD7" s="189"/>
    </row>
    <row r="8" spans="1:30" ht="15.75" customHeight="1">
      <c r="A8" s="47">
        <v>2</v>
      </c>
      <c r="B8" s="47">
        <v>1</v>
      </c>
      <c r="C8" s="47">
        <v>5</v>
      </c>
      <c r="D8" s="25" t="s">
        <v>32</v>
      </c>
      <c r="E8" s="25" t="s">
        <v>33</v>
      </c>
      <c r="F8" s="25" t="s">
        <v>34</v>
      </c>
      <c r="G8" s="49">
        <v>50616</v>
      </c>
      <c r="H8" s="51">
        <v>468</v>
      </c>
      <c r="I8" s="306">
        <v>0.63700000000000001</v>
      </c>
      <c r="J8" s="306">
        <v>0.85899999999999999</v>
      </c>
      <c r="K8" s="306">
        <v>1.0900000000000001</v>
      </c>
      <c r="L8" s="306">
        <v>1.464</v>
      </c>
      <c r="M8" s="306">
        <v>1.7509999999999999</v>
      </c>
      <c r="N8" s="306">
        <v>1.5920000000000001</v>
      </c>
      <c r="O8" s="306">
        <v>1.593</v>
      </c>
      <c r="P8" s="306">
        <v>1.5920000000000001</v>
      </c>
      <c r="Q8" s="306">
        <v>2.11</v>
      </c>
      <c r="R8" s="306">
        <v>1.56</v>
      </c>
      <c r="S8" s="62">
        <f>AVERAGE(I8:R8)</f>
        <v>1.4248000000000001</v>
      </c>
      <c r="T8" s="60"/>
      <c r="U8" s="189"/>
      <c r="V8" s="189"/>
      <c r="W8" s="189"/>
      <c r="X8" s="189"/>
      <c r="Y8" s="189"/>
      <c r="Z8" s="189"/>
      <c r="AA8" s="189"/>
      <c r="AB8" s="189"/>
      <c r="AC8" s="189"/>
      <c r="AD8" s="189"/>
    </row>
    <row r="9" spans="1:30" ht="15.75" customHeight="1">
      <c r="A9" s="47">
        <v>2</v>
      </c>
      <c r="B9" s="47">
        <v>1</v>
      </c>
      <c r="C9" s="47">
        <v>8</v>
      </c>
      <c r="D9" s="25" t="s">
        <v>35</v>
      </c>
      <c r="E9" s="25" t="s">
        <v>36</v>
      </c>
      <c r="F9" s="25" t="s">
        <v>31</v>
      </c>
      <c r="G9" s="49">
        <v>50794</v>
      </c>
      <c r="H9" s="51">
        <v>392</v>
      </c>
      <c r="I9" s="306">
        <v>1.63</v>
      </c>
      <c r="J9" s="306">
        <v>1.55</v>
      </c>
      <c r="K9" s="306">
        <v>1.72</v>
      </c>
      <c r="L9" s="306" t="s">
        <v>80</v>
      </c>
      <c r="M9" s="306">
        <v>1.39</v>
      </c>
      <c r="N9" s="306">
        <v>1.8779999999999999</v>
      </c>
      <c r="O9" s="306">
        <v>1.6930000000000001</v>
      </c>
      <c r="P9" s="306" t="s">
        <v>80</v>
      </c>
      <c r="Q9" s="306" t="s">
        <v>80</v>
      </c>
      <c r="R9" s="306" t="s">
        <v>80</v>
      </c>
      <c r="S9" s="62">
        <f>AVERAGE(I9:R9)</f>
        <v>1.6434999999999997</v>
      </c>
      <c r="T9" s="60"/>
      <c r="U9" s="189"/>
      <c r="V9" s="189"/>
      <c r="W9" s="189"/>
      <c r="X9" s="189"/>
      <c r="Y9" s="189"/>
      <c r="Z9" s="189"/>
      <c r="AA9" s="189"/>
      <c r="AB9" s="189"/>
      <c r="AC9" s="189"/>
      <c r="AD9" s="189"/>
    </row>
    <row r="10" spans="1:30" ht="15.75" customHeight="1">
      <c r="A10" s="47">
        <v>2</v>
      </c>
      <c r="B10" s="47">
        <v>1</v>
      </c>
      <c r="C10" s="47">
        <v>9</v>
      </c>
      <c r="D10" s="25" t="s">
        <v>37</v>
      </c>
      <c r="E10" s="25" t="s">
        <v>38</v>
      </c>
      <c r="F10" s="25" t="s">
        <v>34</v>
      </c>
      <c r="G10" s="49">
        <v>50663</v>
      </c>
      <c r="H10" s="51">
        <v>127</v>
      </c>
      <c r="I10" s="306">
        <v>1.4</v>
      </c>
      <c r="J10" s="306">
        <v>1.41</v>
      </c>
      <c r="K10" s="306" t="s">
        <v>80</v>
      </c>
      <c r="L10" s="306">
        <v>1.41</v>
      </c>
      <c r="M10" s="306" t="s">
        <v>80</v>
      </c>
      <c r="N10" s="306">
        <v>1.7509999999999999</v>
      </c>
      <c r="O10" s="306" t="s">
        <v>80</v>
      </c>
      <c r="P10" s="306">
        <v>0.85899999999999999</v>
      </c>
      <c r="Q10" s="254"/>
      <c r="R10" s="254"/>
      <c r="S10" s="62">
        <f>AVERAGE(I10:R10)</f>
        <v>1.3660000000000001</v>
      </c>
      <c r="T10" s="60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</row>
    <row r="11" spans="1:30" ht="15.75" customHeight="1">
      <c r="A11" s="47">
        <v>2</v>
      </c>
      <c r="B11" s="47">
        <v>1</v>
      </c>
      <c r="C11" s="47">
        <v>9</v>
      </c>
      <c r="D11" s="25" t="s">
        <v>39</v>
      </c>
      <c r="E11" s="25" t="s">
        <v>40</v>
      </c>
      <c r="F11" s="25" t="s">
        <v>25</v>
      </c>
      <c r="G11" s="49">
        <v>50530</v>
      </c>
      <c r="H11" s="51">
        <v>48</v>
      </c>
      <c r="I11" s="306">
        <v>2.4550000000000001</v>
      </c>
      <c r="J11" s="306">
        <v>2.2200000000000002</v>
      </c>
      <c r="K11" s="306">
        <v>1.71</v>
      </c>
      <c r="L11" s="254"/>
      <c r="M11" s="254"/>
      <c r="N11" s="254"/>
      <c r="O11" s="254"/>
      <c r="P11" s="254"/>
      <c r="Q11" s="254"/>
      <c r="R11" s="254"/>
      <c r="S11" s="62">
        <f>AVERAGE(I11:R11)</f>
        <v>2.1283333333333334</v>
      </c>
      <c r="T11" s="60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</row>
    <row r="12" spans="1:30" ht="15.75" customHeight="1">
      <c r="A12" s="63">
        <v>2</v>
      </c>
      <c r="B12" s="63">
        <v>1</v>
      </c>
      <c r="C12" s="63">
        <v>9</v>
      </c>
      <c r="D12" s="38" t="s">
        <v>41</v>
      </c>
      <c r="E12" s="38" t="s">
        <v>42</v>
      </c>
      <c r="F12" s="38" t="s">
        <v>25</v>
      </c>
      <c r="G12" s="64">
        <v>50721</v>
      </c>
      <c r="H12" s="65">
        <v>23</v>
      </c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7" t="s">
        <v>43</v>
      </c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</row>
    <row r="13" spans="1:30" ht="15.75" customHeight="1">
      <c r="A13" s="47">
        <v>2</v>
      </c>
      <c r="B13" s="47">
        <v>1</v>
      </c>
      <c r="C13" s="47">
        <v>11</v>
      </c>
      <c r="D13" s="25" t="s">
        <v>44</v>
      </c>
      <c r="E13" s="25" t="s">
        <v>45</v>
      </c>
      <c r="F13" s="25" t="s">
        <v>31</v>
      </c>
      <c r="G13" s="49">
        <v>50795</v>
      </c>
      <c r="H13" s="51">
        <v>754</v>
      </c>
      <c r="I13" s="306">
        <v>1.464</v>
      </c>
      <c r="J13" s="306">
        <v>1.44</v>
      </c>
      <c r="K13" s="306">
        <v>1.337</v>
      </c>
      <c r="L13" s="306" t="s">
        <v>80</v>
      </c>
      <c r="M13" s="306">
        <v>1.577</v>
      </c>
      <c r="N13" s="306">
        <v>1.262</v>
      </c>
      <c r="O13" s="306">
        <v>1.3240000000000001</v>
      </c>
      <c r="P13" s="306">
        <v>1.05</v>
      </c>
      <c r="Q13" s="306" t="s">
        <v>80</v>
      </c>
      <c r="R13" s="306">
        <v>1.64</v>
      </c>
      <c r="S13" s="62">
        <f t="shared" ref="S13:S21" si="0">AVERAGE(I13:R13)</f>
        <v>1.3867500000000001</v>
      </c>
      <c r="T13" s="60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</row>
    <row r="14" spans="1:30" ht="15.75" customHeight="1">
      <c r="A14" s="47">
        <v>2</v>
      </c>
      <c r="B14" s="47">
        <v>1</v>
      </c>
      <c r="C14" s="47">
        <v>12</v>
      </c>
      <c r="D14" s="25" t="s">
        <v>46</v>
      </c>
      <c r="E14" s="25" t="s">
        <v>47</v>
      </c>
      <c r="F14" s="25" t="s">
        <v>25</v>
      </c>
      <c r="G14" s="49">
        <v>50262</v>
      </c>
      <c r="H14" s="51">
        <v>472</v>
      </c>
      <c r="I14" s="306">
        <v>1.496</v>
      </c>
      <c r="J14" s="306">
        <v>1.8460000000000001</v>
      </c>
      <c r="K14" s="306">
        <v>1.99</v>
      </c>
      <c r="L14" s="306">
        <v>1.7829999999999999</v>
      </c>
      <c r="M14" s="306">
        <v>1.7509999999999999</v>
      </c>
      <c r="N14" s="306">
        <v>1.5920000000000001</v>
      </c>
      <c r="O14" s="306">
        <v>1.61</v>
      </c>
      <c r="P14" s="306">
        <v>1.5920000000000001</v>
      </c>
      <c r="Q14" s="306">
        <v>1.29</v>
      </c>
      <c r="R14" s="306">
        <v>1.528</v>
      </c>
      <c r="S14" s="62">
        <f t="shared" si="0"/>
        <v>1.6477999999999997</v>
      </c>
      <c r="T14" s="60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</row>
    <row r="15" spans="1:30" ht="15.75" customHeight="1">
      <c r="A15" s="47">
        <v>2</v>
      </c>
      <c r="B15" s="47">
        <v>1</v>
      </c>
      <c r="C15" s="47">
        <v>13</v>
      </c>
      <c r="D15" s="25" t="s">
        <v>32</v>
      </c>
      <c r="E15" s="25" t="s">
        <v>33</v>
      </c>
      <c r="F15" s="25" t="s">
        <v>48</v>
      </c>
      <c r="G15" s="49">
        <v>50267</v>
      </c>
      <c r="H15" s="51">
        <v>442</v>
      </c>
      <c r="I15" s="306">
        <v>1.37</v>
      </c>
      <c r="J15" s="306">
        <v>0.75</v>
      </c>
      <c r="K15" s="306">
        <v>1.1299999999999999</v>
      </c>
      <c r="L15" s="306">
        <v>1.56</v>
      </c>
      <c r="M15" s="306">
        <v>1.4319999999999999</v>
      </c>
      <c r="N15" s="306">
        <v>1.464</v>
      </c>
      <c r="O15" s="306">
        <v>1.2410000000000001</v>
      </c>
      <c r="P15" s="306">
        <v>1.5920000000000001</v>
      </c>
      <c r="Q15" s="306">
        <v>1.5</v>
      </c>
      <c r="R15" s="306">
        <v>1.44</v>
      </c>
      <c r="S15" s="62">
        <f t="shared" si="0"/>
        <v>1.3479000000000001</v>
      </c>
      <c r="T15" s="60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</row>
    <row r="16" spans="1:30" ht="15.75" customHeight="1">
      <c r="A16" s="47">
        <v>2</v>
      </c>
      <c r="B16" s="47">
        <v>1</v>
      </c>
      <c r="C16" s="47">
        <v>13</v>
      </c>
      <c r="D16" s="25" t="s">
        <v>32</v>
      </c>
      <c r="E16" s="25" t="s">
        <v>33</v>
      </c>
      <c r="F16" s="25" t="s">
        <v>34</v>
      </c>
      <c r="G16" s="49">
        <v>50462</v>
      </c>
      <c r="H16" s="51">
        <v>206</v>
      </c>
      <c r="I16" s="306">
        <v>1.53</v>
      </c>
      <c r="J16" s="306">
        <v>1.6870000000000001</v>
      </c>
      <c r="K16" s="306">
        <v>1.8140000000000001</v>
      </c>
      <c r="L16" s="306">
        <v>1.24</v>
      </c>
      <c r="M16" s="306">
        <v>1.464</v>
      </c>
      <c r="N16" s="306">
        <v>1.3049999999999999</v>
      </c>
      <c r="O16" s="254"/>
      <c r="P16" s="254"/>
      <c r="Q16" s="254"/>
      <c r="R16" s="254"/>
      <c r="S16" s="62">
        <f t="shared" si="0"/>
        <v>1.5066666666666668</v>
      </c>
      <c r="T16" s="60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</row>
    <row r="17" spans="1:30" ht="15.75" customHeight="1">
      <c r="A17" s="47">
        <v>2</v>
      </c>
      <c r="B17" s="47">
        <v>1</v>
      </c>
      <c r="C17" s="47">
        <v>13</v>
      </c>
      <c r="D17" s="25" t="s">
        <v>32</v>
      </c>
      <c r="E17" s="25" t="s">
        <v>33</v>
      </c>
      <c r="F17" s="25" t="s">
        <v>34</v>
      </c>
      <c r="G17" s="49">
        <v>50616</v>
      </c>
      <c r="H17" s="51">
        <v>21</v>
      </c>
      <c r="I17" s="306">
        <v>1.1140000000000001</v>
      </c>
      <c r="J17" s="306">
        <v>1.2410000000000001</v>
      </c>
      <c r="K17" s="254"/>
      <c r="L17" s="254"/>
      <c r="M17" s="254"/>
      <c r="N17" s="254"/>
      <c r="O17" s="254"/>
      <c r="P17" s="254"/>
      <c r="Q17" s="254"/>
      <c r="R17" s="254"/>
      <c r="S17" s="62">
        <f t="shared" si="0"/>
        <v>1.1775000000000002</v>
      </c>
      <c r="T17" s="60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</row>
    <row r="18" spans="1:30" ht="15.75" customHeight="1">
      <c r="A18" s="47">
        <v>2</v>
      </c>
      <c r="B18" s="47">
        <v>1</v>
      </c>
      <c r="C18" s="47">
        <v>13</v>
      </c>
      <c r="D18" s="25" t="s">
        <v>32</v>
      </c>
      <c r="E18" s="25" t="s">
        <v>33</v>
      </c>
      <c r="F18" s="25" t="s">
        <v>31</v>
      </c>
      <c r="G18" s="49">
        <v>50184</v>
      </c>
      <c r="H18" s="51">
        <v>39</v>
      </c>
      <c r="I18" s="306">
        <v>0.95499999999999996</v>
      </c>
      <c r="J18" s="306">
        <v>1.2</v>
      </c>
      <c r="K18" s="254"/>
      <c r="L18" s="254"/>
      <c r="M18" s="254"/>
      <c r="N18" s="254"/>
      <c r="O18" s="254"/>
      <c r="P18" s="254"/>
      <c r="Q18" s="254"/>
      <c r="R18" s="254"/>
      <c r="S18" s="62">
        <f t="shared" si="0"/>
        <v>1.0774999999999999</v>
      </c>
      <c r="T18" s="60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</row>
    <row r="19" spans="1:30" ht="15.75" customHeight="1">
      <c r="A19" s="47">
        <v>2</v>
      </c>
      <c r="B19" s="47">
        <v>1</v>
      </c>
      <c r="C19" s="47">
        <v>13</v>
      </c>
      <c r="D19" s="25" t="s">
        <v>32</v>
      </c>
      <c r="E19" s="25" t="s">
        <v>33</v>
      </c>
      <c r="F19" s="25" t="s">
        <v>34</v>
      </c>
      <c r="G19" s="49">
        <v>50104</v>
      </c>
      <c r="H19" s="51">
        <v>22</v>
      </c>
      <c r="I19" s="306">
        <v>1.496</v>
      </c>
      <c r="J19" s="254"/>
      <c r="K19" s="254"/>
      <c r="L19" s="254"/>
      <c r="M19" s="254"/>
      <c r="N19" s="254"/>
      <c r="O19" s="254"/>
      <c r="P19" s="254"/>
      <c r="Q19" s="254"/>
      <c r="R19" s="254"/>
      <c r="S19" s="62">
        <f t="shared" si="0"/>
        <v>1.496</v>
      </c>
      <c r="T19" s="60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</row>
    <row r="20" spans="1:30" ht="15.75" customHeight="1">
      <c r="A20" s="47">
        <v>2</v>
      </c>
      <c r="B20" s="47">
        <v>1</v>
      </c>
      <c r="C20" s="47">
        <v>14</v>
      </c>
      <c r="D20" s="25" t="s">
        <v>49</v>
      </c>
      <c r="E20" s="25" t="s">
        <v>50</v>
      </c>
      <c r="F20" s="25" t="s">
        <v>25</v>
      </c>
      <c r="G20" s="49">
        <v>50874</v>
      </c>
      <c r="H20" s="51">
        <v>282</v>
      </c>
      <c r="I20" s="306" t="s">
        <v>55</v>
      </c>
      <c r="J20" s="306">
        <v>0.74</v>
      </c>
      <c r="K20" s="306">
        <v>0.5</v>
      </c>
      <c r="L20" s="306">
        <v>0.37</v>
      </c>
      <c r="M20" s="306">
        <v>1.2</v>
      </c>
      <c r="N20" s="306">
        <v>1</v>
      </c>
      <c r="O20" s="306">
        <v>0.97</v>
      </c>
      <c r="P20" s="306">
        <v>0.64</v>
      </c>
      <c r="Q20" s="306">
        <v>1.1599999999999999</v>
      </c>
      <c r="R20" s="306">
        <v>0.62</v>
      </c>
      <c r="S20" s="62">
        <f t="shared" si="0"/>
        <v>0.79999999999999993</v>
      </c>
      <c r="T20" s="60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</row>
    <row r="21" spans="1:30" ht="15.75" customHeight="1">
      <c r="A21" s="47">
        <v>2</v>
      </c>
      <c r="B21" s="47">
        <v>1</v>
      </c>
      <c r="C21" s="47">
        <v>14</v>
      </c>
      <c r="D21" s="25" t="s">
        <v>51</v>
      </c>
      <c r="E21" s="25" t="s">
        <v>52</v>
      </c>
      <c r="F21" s="25" t="s">
        <v>25</v>
      </c>
      <c r="G21" s="49">
        <v>50875</v>
      </c>
      <c r="H21" s="51">
        <v>348</v>
      </c>
      <c r="I21" s="306">
        <v>0.16</v>
      </c>
      <c r="J21" s="306">
        <v>0.1</v>
      </c>
      <c r="K21" s="306">
        <v>0.22</v>
      </c>
      <c r="L21" s="306">
        <v>0.18</v>
      </c>
      <c r="M21" s="306">
        <v>0.12</v>
      </c>
      <c r="N21" s="306">
        <v>0.23</v>
      </c>
      <c r="O21" s="306">
        <v>0.16</v>
      </c>
      <c r="P21" s="306">
        <v>0.14000000000000001</v>
      </c>
      <c r="Q21" s="306">
        <v>0.46</v>
      </c>
      <c r="R21" s="306">
        <v>0.26</v>
      </c>
      <c r="S21" s="62">
        <f t="shared" si="0"/>
        <v>0.20300000000000001</v>
      </c>
      <c r="T21" s="60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</row>
    <row r="22" spans="1:30" ht="15.75" customHeight="1">
      <c r="A22" s="71">
        <v>2</v>
      </c>
      <c r="B22" s="71">
        <v>1</v>
      </c>
      <c r="C22" s="71">
        <v>14</v>
      </c>
      <c r="D22" s="53" t="s">
        <v>53</v>
      </c>
      <c r="E22" s="53" t="s">
        <v>54</v>
      </c>
      <c r="F22" s="53" t="s">
        <v>25</v>
      </c>
      <c r="G22" s="73">
        <v>50877</v>
      </c>
      <c r="H22" s="74">
        <v>101</v>
      </c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79" t="s">
        <v>55</v>
      </c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</row>
    <row r="23" spans="1:30" ht="15.75" customHeight="1">
      <c r="A23" s="47">
        <v>2</v>
      </c>
      <c r="B23" s="47">
        <v>1</v>
      </c>
      <c r="C23" s="47">
        <v>15</v>
      </c>
      <c r="D23" s="25" t="s">
        <v>56</v>
      </c>
      <c r="E23" s="25" t="s">
        <v>57</v>
      </c>
      <c r="F23" s="25" t="s">
        <v>34</v>
      </c>
      <c r="G23" s="49">
        <v>50594</v>
      </c>
      <c r="H23" s="51">
        <v>154</v>
      </c>
      <c r="I23" s="306">
        <v>1.7509999999999999</v>
      </c>
      <c r="J23" s="306">
        <v>1.2729999999999999</v>
      </c>
      <c r="K23" s="254"/>
      <c r="L23" s="254"/>
      <c r="M23" s="254"/>
      <c r="N23" s="254"/>
      <c r="O23" s="254"/>
      <c r="P23" s="254"/>
      <c r="Q23" s="254"/>
      <c r="R23" s="254"/>
      <c r="S23" s="62">
        <f t="shared" ref="S23:S28" si="1">AVERAGE(I23:R23)</f>
        <v>1.512</v>
      </c>
      <c r="T23" s="60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</row>
    <row r="24" spans="1:30" ht="15.75" customHeight="1">
      <c r="A24" s="47">
        <v>2</v>
      </c>
      <c r="B24" s="47">
        <v>1</v>
      </c>
      <c r="C24" s="47">
        <v>16</v>
      </c>
      <c r="D24" s="25" t="s">
        <v>58</v>
      </c>
      <c r="E24" s="25" t="s">
        <v>59</v>
      </c>
      <c r="F24" s="25" t="s">
        <v>31</v>
      </c>
      <c r="G24" s="49">
        <v>50797</v>
      </c>
      <c r="H24" s="51">
        <v>311</v>
      </c>
      <c r="I24" s="306">
        <v>2.0369999999999999</v>
      </c>
      <c r="J24" s="306">
        <v>2.0299999999999998</v>
      </c>
      <c r="K24" s="306">
        <v>1.4750000000000001</v>
      </c>
      <c r="L24" s="306">
        <v>1.7190000000000001</v>
      </c>
      <c r="M24" s="306">
        <v>1.91</v>
      </c>
      <c r="N24" s="306">
        <v>1.35</v>
      </c>
      <c r="O24" s="306">
        <v>2</v>
      </c>
      <c r="P24" s="306">
        <v>1.4</v>
      </c>
      <c r="Q24" s="306">
        <v>1.8</v>
      </c>
      <c r="R24" s="306">
        <v>1.2729999999999999</v>
      </c>
      <c r="S24" s="62">
        <f t="shared" si="1"/>
        <v>1.6994</v>
      </c>
      <c r="T24" s="60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</row>
    <row r="25" spans="1:30" ht="15.75" customHeight="1">
      <c r="A25" s="47">
        <v>2</v>
      </c>
      <c r="B25" s="47">
        <v>1</v>
      </c>
      <c r="C25" s="47">
        <v>17</v>
      </c>
      <c r="D25" s="25" t="s">
        <v>60</v>
      </c>
      <c r="E25" s="25" t="s">
        <v>61</v>
      </c>
      <c r="F25" s="25" t="s">
        <v>34</v>
      </c>
      <c r="G25" s="49">
        <v>50467</v>
      </c>
      <c r="H25" s="51">
        <v>426</v>
      </c>
      <c r="I25" s="306">
        <v>2.714</v>
      </c>
      <c r="J25" s="306">
        <v>1.3049999999999999</v>
      </c>
      <c r="K25" s="306">
        <v>1.73</v>
      </c>
      <c r="L25" s="306">
        <v>1.4319999999999999</v>
      </c>
      <c r="M25" s="306">
        <v>1.1599999999999999</v>
      </c>
      <c r="N25" s="306">
        <v>1.369</v>
      </c>
      <c r="O25" s="306">
        <v>1.3049999999999999</v>
      </c>
      <c r="P25" s="306">
        <v>1.464</v>
      </c>
      <c r="Q25" s="306">
        <v>1.0820000000000001</v>
      </c>
      <c r="R25" s="306">
        <v>1.05</v>
      </c>
      <c r="S25" s="62">
        <f t="shared" si="1"/>
        <v>1.4611000000000003</v>
      </c>
      <c r="T25" s="60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</row>
    <row r="26" spans="1:30" ht="15.75" customHeight="1">
      <c r="A26" s="47">
        <v>2</v>
      </c>
      <c r="B26" s="47">
        <v>1</v>
      </c>
      <c r="C26" s="47">
        <v>18</v>
      </c>
      <c r="D26" s="25" t="s">
        <v>46</v>
      </c>
      <c r="E26" s="25" t="s">
        <v>47</v>
      </c>
      <c r="F26" s="25" t="s">
        <v>25</v>
      </c>
      <c r="G26" s="49">
        <v>50262</v>
      </c>
      <c r="H26" s="51">
        <v>81</v>
      </c>
      <c r="I26" s="306">
        <v>1.85</v>
      </c>
      <c r="J26" s="306">
        <v>1.7829999999999999</v>
      </c>
      <c r="K26" s="306">
        <v>1.8460000000000001</v>
      </c>
      <c r="L26" s="306">
        <v>1.8779999999999999</v>
      </c>
      <c r="M26" s="306">
        <v>1.974</v>
      </c>
      <c r="N26" s="306">
        <v>1.5</v>
      </c>
      <c r="O26" s="306">
        <v>1.65</v>
      </c>
      <c r="P26" s="306">
        <v>1.6870000000000001</v>
      </c>
      <c r="Q26" s="306">
        <v>1.974</v>
      </c>
      <c r="R26" s="306">
        <v>1.7829999999999999</v>
      </c>
      <c r="S26" s="62">
        <f t="shared" si="1"/>
        <v>1.7925</v>
      </c>
      <c r="T26" s="60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</row>
    <row r="27" spans="1:30" ht="15.75" customHeight="1">
      <c r="A27" s="47">
        <v>2</v>
      </c>
      <c r="B27" s="47">
        <v>1</v>
      </c>
      <c r="C27" s="47">
        <v>18</v>
      </c>
      <c r="D27" s="25" t="s">
        <v>46</v>
      </c>
      <c r="E27" s="25" t="s">
        <v>47</v>
      </c>
      <c r="F27" s="25" t="s">
        <v>34</v>
      </c>
      <c r="G27" s="49">
        <v>50542</v>
      </c>
      <c r="H27" s="51">
        <v>109</v>
      </c>
      <c r="I27" s="306">
        <v>1.8</v>
      </c>
      <c r="J27" s="306">
        <v>1.66</v>
      </c>
      <c r="K27" s="306">
        <v>1.8</v>
      </c>
      <c r="L27" s="306">
        <v>1.89</v>
      </c>
      <c r="M27" s="306">
        <v>1.35</v>
      </c>
      <c r="N27" s="306">
        <v>1.93</v>
      </c>
      <c r="O27" s="306">
        <v>1.41</v>
      </c>
      <c r="P27" s="254"/>
      <c r="Q27" s="254"/>
      <c r="R27" s="254"/>
      <c r="S27" s="62">
        <f t="shared" si="1"/>
        <v>1.6914285714285715</v>
      </c>
      <c r="T27" s="60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</row>
    <row r="28" spans="1:30" ht="15.75" customHeight="1">
      <c r="A28" s="47">
        <v>2</v>
      </c>
      <c r="B28" s="47">
        <v>2</v>
      </c>
      <c r="C28" s="47">
        <v>2</v>
      </c>
      <c r="D28" s="25" t="s">
        <v>62</v>
      </c>
      <c r="E28" s="25" t="s">
        <v>63</v>
      </c>
      <c r="F28" s="25" t="s">
        <v>34</v>
      </c>
      <c r="G28" s="49">
        <v>50752</v>
      </c>
      <c r="H28" s="51">
        <v>89</v>
      </c>
      <c r="I28" s="306" t="s">
        <v>80</v>
      </c>
      <c r="J28" s="306" t="s">
        <v>80</v>
      </c>
      <c r="K28" s="306">
        <v>1.1000000000000001</v>
      </c>
      <c r="L28" s="306">
        <v>1.32</v>
      </c>
      <c r="M28" s="254"/>
      <c r="N28" s="254"/>
      <c r="O28" s="254"/>
      <c r="P28" s="254"/>
      <c r="Q28" s="254"/>
      <c r="R28" s="254"/>
      <c r="S28" s="62">
        <f t="shared" si="1"/>
        <v>1.21</v>
      </c>
      <c r="T28" s="60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</row>
    <row r="29" spans="1:30" ht="15.75" customHeight="1">
      <c r="A29" s="63">
        <v>2</v>
      </c>
      <c r="B29" s="63">
        <v>2</v>
      </c>
      <c r="C29" s="63">
        <v>2</v>
      </c>
      <c r="D29" s="38" t="s">
        <v>64</v>
      </c>
      <c r="E29" s="38" t="s">
        <v>65</v>
      </c>
      <c r="F29" s="38" t="s">
        <v>31</v>
      </c>
      <c r="G29" s="64">
        <v>30869</v>
      </c>
      <c r="H29" s="65">
        <v>319</v>
      </c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7" t="s">
        <v>43</v>
      </c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</row>
    <row r="30" spans="1:30" ht="15.75" customHeight="1">
      <c r="A30" s="269">
        <v>2</v>
      </c>
      <c r="B30" s="82">
        <v>2</v>
      </c>
      <c r="C30" s="82">
        <v>2</v>
      </c>
      <c r="D30" s="84" t="s">
        <v>62</v>
      </c>
      <c r="E30" s="84" t="s">
        <v>63</v>
      </c>
      <c r="F30" s="84" t="s">
        <v>34</v>
      </c>
      <c r="G30" s="86">
        <v>50719</v>
      </c>
      <c r="H30" s="87">
        <v>25</v>
      </c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89" t="s">
        <v>88</v>
      </c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</row>
    <row r="31" spans="1:30" ht="15.75" customHeight="1">
      <c r="A31" s="47">
        <v>2</v>
      </c>
      <c r="B31" s="47">
        <v>2</v>
      </c>
      <c r="C31" s="47">
        <v>2</v>
      </c>
      <c r="D31" s="25" t="s">
        <v>62</v>
      </c>
      <c r="E31" s="25" t="s">
        <v>63</v>
      </c>
      <c r="F31" s="25" t="s">
        <v>25</v>
      </c>
      <c r="G31" s="49">
        <v>50188</v>
      </c>
      <c r="H31" s="51">
        <v>24</v>
      </c>
      <c r="I31" s="306">
        <v>0.53</v>
      </c>
      <c r="J31" s="306">
        <v>0.84</v>
      </c>
      <c r="K31" s="254"/>
      <c r="L31" s="254"/>
      <c r="M31" s="254"/>
      <c r="N31" s="254"/>
      <c r="O31" s="254"/>
      <c r="P31" s="254"/>
      <c r="Q31" s="254"/>
      <c r="R31" s="254"/>
      <c r="S31" s="62">
        <f t="shared" ref="S31:S38" si="2">AVERAGE(I31:R31)</f>
        <v>0.68500000000000005</v>
      </c>
      <c r="T31" s="60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</row>
    <row r="32" spans="1:30" ht="15.75" customHeight="1">
      <c r="A32" s="47">
        <v>2</v>
      </c>
      <c r="B32" s="47">
        <v>2</v>
      </c>
      <c r="C32" s="47">
        <v>3</v>
      </c>
      <c r="D32" s="25" t="s">
        <v>66</v>
      </c>
      <c r="E32" s="25" t="s">
        <v>67</v>
      </c>
      <c r="F32" s="25" t="s">
        <v>68</v>
      </c>
      <c r="G32" s="49">
        <v>50632</v>
      </c>
      <c r="H32" s="51">
        <v>220</v>
      </c>
      <c r="I32" s="306">
        <v>1.91</v>
      </c>
      <c r="J32" s="306" t="s">
        <v>80</v>
      </c>
      <c r="K32" s="306">
        <v>1.9419999999999999</v>
      </c>
      <c r="L32" s="306">
        <v>2.2919999999999998</v>
      </c>
      <c r="M32" s="306">
        <v>1.6</v>
      </c>
      <c r="N32" s="306">
        <v>1.93</v>
      </c>
      <c r="O32" s="306">
        <v>1.9419999999999999</v>
      </c>
      <c r="P32" s="306">
        <v>1.2410000000000001</v>
      </c>
      <c r="Q32" s="306">
        <v>1.72</v>
      </c>
      <c r="R32" s="306">
        <v>0.57299999999999995</v>
      </c>
      <c r="S32" s="62">
        <f t="shared" si="2"/>
        <v>1.6833333333333333</v>
      </c>
      <c r="T32" s="60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</row>
    <row r="33" spans="1:30" ht="15.75" customHeight="1">
      <c r="A33" s="47">
        <v>2</v>
      </c>
      <c r="B33" s="47">
        <v>2</v>
      </c>
      <c r="C33" s="47">
        <v>3</v>
      </c>
      <c r="D33" s="25" t="s">
        <v>66</v>
      </c>
      <c r="E33" s="25" t="s">
        <v>67</v>
      </c>
      <c r="F33" s="25" t="s">
        <v>34</v>
      </c>
      <c r="G33" s="49">
        <v>50558</v>
      </c>
      <c r="H33" s="51">
        <v>227</v>
      </c>
      <c r="I33" s="306" t="s">
        <v>80</v>
      </c>
      <c r="J33" s="306">
        <v>1.401</v>
      </c>
      <c r="K33" s="306">
        <v>0.8</v>
      </c>
      <c r="L33" s="306">
        <v>0.74</v>
      </c>
      <c r="M33" s="306">
        <v>1.34</v>
      </c>
      <c r="N33" s="306">
        <v>1.62</v>
      </c>
      <c r="O33" s="306">
        <v>1.1200000000000001</v>
      </c>
      <c r="P33" s="306">
        <v>1.87</v>
      </c>
      <c r="Q33" s="306">
        <v>1.37</v>
      </c>
      <c r="R33" s="306">
        <v>2.302</v>
      </c>
      <c r="S33" s="62">
        <f t="shared" si="2"/>
        <v>1.3958888888888887</v>
      </c>
      <c r="T33" s="60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</row>
    <row r="34" spans="1:30" ht="15.75" customHeight="1">
      <c r="A34" s="47">
        <v>2</v>
      </c>
      <c r="B34" s="47">
        <v>2</v>
      </c>
      <c r="C34" s="47">
        <v>4</v>
      </c>
      <c r="D34" s="25" t="s">
        <v>69</v>
      </c>
      <c r="E34" s="25" t="s">
        <v>70</v>
      </c>
      <c r="F34" s="25" t="s">
        <v>25</v>
      </c>
      <c r="G34" s="49">
        <v>50754</v>
      </c>
      <c r="H34" s="51">
        <v>205</v>
      </c>
      <c r="I34" s="306" t="s">
        <v>80</v>
      </c>
      <c r="J34" s="306" t="s">
        <v>80</v>
      </c>
      <c r="K34" s="306" t="s">
        <v>80</v>
      </c>
      <c r="L34" s="306" t="s">
        <v>80</v>
      </c>
      <c r="M34" s="306" t="s">
        <v>80</v>
      </c>
      <c r="N34" s="306" t="s">
        <v>80</v>
      </c>
      <c r="O34" s="306">
        <v>1.4319999999999999</v>
      </c>
      <c r="P34" s="306">
        <v>1.464</v>
      </c>
      <c r="Q34" s="306" t="s">
        <v>80</v>
      </c>
      <c r="R34" s="306" t="s">
        <v>80</v>
      </c>
      <c r="S34" s="62">
        <f t="shared" si="2"/>
        <v>1.448</v>
      </c>
      <c r="T34" s="60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</row>
    <row r="35" spans="1:30" ht="15.75" customHeight="1">
      <c r="A35" s="47">
        <v>2</v>
      </c>
      <c r="B35" s="47">
        <v>2</v>
      </c>
      <c r="C35" s="47">
        <v>4</v>
      </c>
      <c r="D35" s="25" t="s">
        <v>69</v>
      </c>
      <c r="E35" s="25" t="s">
        <v>70</v>
      </c>
      <c r="F35" s="25" t="s">
        <v>68</v>
      </c>
      <c r="G35" s="49">
        <v>50820</v>
      </c>
      <c r="H35" s="51">
        <v>9</v>
      </c>
      <c r="I35" s="306">
        <v>1.6259999999999999</v>
      </c>
      <c r="J35" s="254"/>
      <c r="K35" s="254"/>
      <c r="L35" s="254"/>
      <c r="M35" s="254"/>
      <c r="N35" s="254"/>
      <c r="O35" s="254"/>
      <c r="P35" s="254"/>
      <c r="Q35" s="254"/>
      <c r="R35" s="254"/>
      <c r="S35" s="62">
        <f t="shared" si="2"/>
        <v>1.6259999999999999</v>
      </c>
      <c r="T35" s="58" t="s">
        <v>257</v>
      </c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</row>
    <row r="36" spans="1:30" ht="15.75" customHeight="1">
      <c r="A36" s="47">
        <v>2</v>
      </c>
      <c r="B36" s="47">
        <v>2</v>
      </c>
      <c r="C36" s="47">
        <v>5</v>
      </c>
      <c r="D36" s="25" t="s">
        <v>60</v>
      </c>
      <c r="E36" s="25" t="s">
        <v>71</v>
      </c>
      <c r="F36" s="25" t="s">
        <v>31</v>
      </c>
      <c r="G36" s="49">
        <v>50764</v>
      </c>
      <c r="H36" s="51">
        <v>175</v>
      </c>
      <c r="I36" s="306">
        <v>1.7190000000000001</v>
      </c>
      <c r="J36" s="306">
        <v>1.49</v>
      </c>
      <c r="K36" s="306">
        <v>1.27</v>
      </c>
      <c r="L36" s="306">
        <v>1.56</v>
      </c>
      <c r="M36" s="306">
        <v>1.4</v>
      </c>
      <c r="N36" s="306">
        <v>1.2729999999999999</v>
      </c>
      <c r="O36" s="306">
        <v>1.7190000000000001</v>
      </c>
      <c r="P36" s="306">
        <v>1.05</v>
      </c>
      <c r="Q36" s="306">
        <v>1.88</v>
      </c>
      <c r="R36" s="306" t="s">
        <v>80</v>
      </c>
      <c r="S36" s="62">
        <f t="shared" si="2"/>
        <v>1.4845555555555556</v>
      </c>
      <c r="T36" s="60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</row>
    <row r="37" spans="1:30" ht="15.75" customHeight="1">
      <c r="A37" s="47">
        <v>2</v>
      </c>
      <c r="B37" s="47">
        <v>2</v>
      </c>
      <c r="C37" s="47">
        <v>8</v>
      </c>
      <c r="D37" s="25" t="s">
        <v>72</v>
      </c>
      <c r="E37" s="25" t="s">
        <v>73</v>
      </c>
      <c r="F37" s="25" t="s">
        <v>34</v>
      </c>
      <c r="G37" s="49">
        <v>50426</v>
      </c>
      <c r="H37" s="51">
        <v>320</v>
      </c>
      <c r="I37" s="306">
        <v>1.1200000000000001</v>
      </c>
      <c r="J37" s="306" t="s">
        <v>80</v>
      </c>
      <c r="K37" s="306">
        <v>0.84</v>
      </c>
      <c r="L37" s="306" t="s">
        <v>80</v>
      </c>
      <c r="M37" s="306">
        <v>0.56999999999999995</v>
      </c>
      <c r="N37" s="306">
        <v>0.46</v>
      </c>
      <c r="O37" s="306" t="s">
        <v>80</v>
      </c>
      <c r="P37" s="306">
        <v>0.5</v>
      </c>
      <c r="Q37" s="306">
        <v>1.17</v>
      </c>
      <c r="R37" s="306" t="s">
        <v>80</v>
      </c>
      <c r="S37" s="62">
        <f t="shared" si="2"/>
        <v>0.77666666666666673</v>
      </c>
      <c r="T37" s="60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</row>
    <row r="38" spans="1:30" ht="15.75" customHeight="1">
      <c r="A38" s="47">
        <v>2</v>
      </c>
      <c r="B38" s="47">
        <v>2</v>
      </c>
      <c r="C38" s="47">
        <v>8</v>
      </c>
      <c r="D38" s="25" t="s">
        <v>72</v>
      </c>
      <c r="E38" s="25" t="s">
        <v>73</v>
      </c>
      <c r="F38" s="25" t="s">
        <v>34</v>
      </c>
      <c r="G38" s="49">
        <v>50760</v>
      </c>
      <c r="H38" s="51">
        <v>140</v>
      </c>
      <c r="I38" s="306">
        <v>1.3</v>
      </c>
      <c r="J38" s="306" t="s">
        <v>80</v>
      </c>
      <c r="K38" s="306">
        <v>1.22</v>
      </c>
      <c r="L38" s="306">
        <v>1.46</v>
      </c>
      <c r="M38" s="306">
        <v>1.33</v>
      </c>
      <c r="N38" s="306" t="s">
        <v>80</v>
      </c>
      <c r="O38" s="306">
        <v>0.92</v>
      </c>
      <c r="P38" s="306">
        <v>1.22</v>
      </c>
      <c r="Q38" s="254"/>
      <c r="R38" s="254"/>
      <c r="S38" s="62">
        <f t="shared" si="2"/>
        <v>1.2416666666666667</v>
      </c>
      <c r="T38" s="60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</row>
    <row r="39" spans="1:30" ht="15.75" customHeight="1">
      <c r="A39" s="47">
        <v>2</v>
      </c>
      <c r="B39" s="47">
        <v>2</v>
      </c>
      <c r="C39" s="47">
        <v>9</v>
      </c>
      <c r="D39" s="25" t="s">
        <v>60</v>
      </c>
      <c r="E39" s="25" t="s">
        <v>71</v>
      </c>
      <c r="F39" s="25" t="s">
        <v>31</v>
      </c>
      <c r="G39" s="49">
        <v>50764</v>
      </c>
      <c r="H39" s="51">
        <v>48</v>
      </c>
      <c r="I39" s="306" t="s">
        <v>80</v>
      </c>
      <c r="J39" s="306" t="s">
        <v>80</v>
      </c>
      <c r="K39" s="306" t="s">
        <v>80</v>
      </c>
      <c r="L39" s="254"/>
      <c r="M39" s="254"/>
      <c r="N39" s="254"/>
      <c r="O39" s="254"/>
      <c r="P39" s="254"/>
      <c r="Q39" s="254"/>
      <c r="R39" s="254"/>
      <c r="S39" s="62"/>
      <c r="T39" s="58" t="s">
        <v>256</v>
      </c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</row>
    <row r="40" spans="1:30" ht="15.75" customHeight="1">
      <c r="A40" s="47">
        <v>2</v>
      </c>
      <c r="B40" s="47">
        <v>2</v>
      </c>
      <c r="C40" s="47">
        <v>11</v>
      </c>
      <c r="D40" s="25" t="s">
        <v>74</v>
      </c>
      <c r="E40" s="25" t="s">
        <v>75</v>
      </c>
      <c r="F40" s="25" t="s">
        <v>25</v>
      </c>
      <c r="G40" s="49">
        <v>50736</v>
      </c>
      <c r="H40" s="51">
        <v>354</v>
      </c>
      <c r="I40" s="306">
        <v>1.34</v>
      </c>
      <c r="J40" s="306" t="s">
        <v>80</v>
      </c>
      <c r="K40" s="306">
        <v>1.337</v>
      </c>
      <c r="L40" s="306" t="s">
        <v>80</v>
      </c>
      <c r="M40" s="306" t="s">
        <v>80</v>
      </c>
      <c r="N40" s="306" t="s">
        <v>80</v>
      </c>
      <c r="O40" s="306" t="s">
        <v>80</v>
      </c>
      <c r="P40" s="306" t="s">
        <v>80</v>
      </c>
      <c r="Q40" s="306">
        <v>1.7</v>
      </c>
      <c r="R40" s="306">
        <v>1.5</v>
      </c>
      <c r="S40" s="62">
        <f t="shared" ref="S40:S48" si="3">AVERAGE(I40:R40)</f>
        <v>1.4692499999999999</v>
      </c>
      <c r="T40" s="60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</row>
    <row r="41" spans="1:30" ht="15.75" customHeight="1">
      <c r="A41" s="47">
        <v>2</v>
      </c>
      <c r="B41" s="47">
        <v>2</v>
      </c>
      <c r="C41" s="47">
        <v>11</v>
      </c>
      <c r="D41" s="25" t="s">
        <v>74</v>
      </c>
      <c r="E41" s="25" t="s">
        <v>75</v>
      </c>
      <c r="F41" s="25" t="s">
        <v>34</v>
      </c>
      <c r="G41" s="49">
        <v>50505</v>
      </c>
      <c r="H41" s="51">
        <v>15</v>
      </c>
      <c r="I41" s="306">
        <v>1.42</v>
      </c>
      <c r="J41" s="254"/>
      <c r="K41" s="254"/>
      <c r="L41" s="254"/>
      <c r="M41" s="254"/>
      <c r="N41" s="254"/>
      <c r="O41" s="254"/>
      <c r="P41" s="254"/>
      <c r="Q41" s="254"/>
      <c r="R41" s="254"/>
      <c r="S41" s="62">
        <f t="shared" si="3"/>
        <v>1.42</v>
      </c>
      <c r="T41" s="60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</row>
    <row r="42" spans="1:30" ht="15.75" customHeight="1">
      <c r="A42" s="47">
        <v>2</v>
      </c>
      <c r="B42" s="47">
        <v>2</v>
      </c>
      <c r="C42" s="47">
        <v>13</v>
      </c>
      <c r="D42" s="25" t="s">
        <v>60</v>
      </c>
      <c r="E42" s="25" t="s">
        <v>61</v>
      </c>
      <c r="F42" s="25" t="s">
        <v>25</v>
      </c>
      <c r="G42" s="49">
        <v>50749</v>
      </c>
      <c r="H42" s="51">
        <v>200</v>
      </c>
      <c r="I42" s="62">
        <v>1.08</v>
      </c>
      <c r="J42" s="62">
        <v>1.05</v>
      </c>
      <c r="K42" s="62">
        <v>1.8779999999999999</v>
      </c>
      <c r="L42" s="62">
        <v>1.5920000000000001</v>
      </c>
      <c r="M42" s="62">
        <v>2.0499999999999998</v>
      </c>
      <c r="N42" s="62">
        <v>1.61</v>
      </c>
      <c r="O42" s="62">
        <v>1.91</v>
      </c>
      <c r="P42" s="62">
        <v>1.6870000000000001</v>
      </c>
      <c r="Q42" s="254"/>
      <c r="R42" s="254"/>
      <c r="S42" s="62">
        <f t="shared" si="3"/>
        <v>1.6071249999999999</v>
      </c>
      <c r="T42" s="27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</row>
    <row r="43" spans="1:30" ht="15.75" customHeight="1">
      <c r="A43" s="47">
        <v>2</v>
      </c>
      <c r="B43" s="47">
        <v>2</v>
      </c>
      <c r="C43" s="47">
        <v>13</v>
      </c>
      <c r="D43" s="25" t="s">
        <v>76</v>
      </c>
      <c r="E43" s="25" t="s">
        <v>77</v>
      </c>
      <c r="F43" s="25" t="s">
        <v>25</v>
      </c>
      <c r="G43" s="49">
        <v>50748</v>
      </c>
      <c r="H43" s="51">
        <v>296</v>
      </c>
      <c r="I43" s="62">
        <v>0.43</v>
      </c>
      <c r="J43" s="62">
        <v>0.8</v>
      </c>
      <c r="K43" s="62">
        <v>0.81</v>
      </c>
      <c r="L43" s="62">
        <v>0.5</v>
      </c>
      <c r="M43" s="62">
        <v>0.6</v>
      </c>
      <c r="N43" s="62">
        <v>0.54</v>
      </c>
      <c r="O43" s="62">
        <v>0.57399999999999995</v>
      </c>
      <c r="P43" s="62">
        <v>0.46</v>
      </c>
      <c r="Q43" s="254"/>
      <c r="R43" s="254"/>
      <c r="S43" s="62">
        <f t="shared" si="3"/>
        <v>0.58925000000000005</v>
      </c>
      <c r="T43" s="27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</row>
    <row r="44" spans="1:30" ht="15.75" customHeight="1">
      <c r="A44" s="47">
        <v>2</v>
      </c>
      <c r="B44" s="47">
        <v>2</v>
      </c>
      <c r="C44" s="47">
        <v>18</v>
      </c>
      <c r="D44" s="25" t="s">
        <v>72</v>
      </c>
      <c r="E44" s="25" t="s">
        <v>73</v>
      </c>
      <c r="F44" s="25" t="s">
        <v>25</v>
      </c>
      <c r="G44" s="49">
        <v>50706</v>
      </c>
      <c r="H44" s="51">
        <v>71</v>
      </c>
      <c r="I44" s="62">
        <v>0.45</v>
      </c>
      <c r="J44" s="62">
        <v>0.48</v>
      </c>
      <c r="K44" s="62">
        <v>0.66</v>
      </c>
      <c r="L44" s="254"/>
      <c r="M44" s="254"/>
      <c r="N44" s="254"/>
      <c r="O44" s="254"/>
      <c r="P44" s="254"/>
      <c r="Q44" s="254"/>
      <c r="R44" s="254"/>
      <c r="S44" s="62">
        <f t="shared" si="3"/>
        <v>0.52999999999999992</v>
      </c>
      <c r="T44" s="27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</row>
    <row r="45" spans="1:30" ht="15.75" customHeight="1">
      <c r="A45" s="47">
        <v>2</v>
      </c>
      <c r="B45" s="47">
        <v>3</v>
      </c>
      <c r="C45" s="47">
        <v>1</v>
      </c>
      <c r="D45" s="25" t="s">
        <v>78</v>
      </c>
      <c r="E45" s="25" t="s">
        <v>79</v>
      </c>
      <c r="F45" s="25" t="s">
        <v>31</v>
      </c>
      <c r="G45" s="49">
        <v>50801</v>
      </c>
      <c r="H45" s="51">
        <v>371</v>
      </c>
      <c r="I45" s="62" t="s">
        <v>80</v>
      </c>
      <c r="J45" s="62">
        <v>1.244</v>
      </c>
      <c r="K45" s="62">
        <v>0.71</v>
      </c>
      <c r="L45" s="62">
        <v>0.63</v>
      </c>
      <c r="M45" s="62">
        <v>1.1399999999999999</v>
      </c>
      <c r="N45" s="62">
        <v>0.77</v>
      </c>
      <c r="O45" s="62">
        <v>0.66</v>
      </c>
      <c r="P45" s="62" t="s">
        <v>80</v>
      </c>
      <c r="Q45" s="62" t="s">
        <v>80</v>
      </c>
      <c r="R45" s="62">
        <v>0.62</v>
      </c>
      <c r="S45" s="62">
        <f t="shared" si="3"/>
        <v>0.82485714285714284</v>
      </c>
      <c r="T45" s="27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</row>
    <row r="46" spans="1:30" ht="15.75" customHeight="1">
      <c r="A46" s="47">
        <v>2</v>
      </c>
      <c r="B46" s="47">
        <v>3</v>
      </c>
      <c r="C46" s="47">
        <v>1</v>
      </c>
      <c r="D46" s="25" t="s">
        <v>78</v>
      </c>
      <c r="E46" s="25" t="s">
        <v>79</v>
      </c>
      <c r="F46" s="25" t="s">
        <v>68</v>
      </c>
      <c r="G46" s="49">
        <v>50814</v>
      </c>
      <c r="H46" s="51">
        <v>218</v>
      </c>
      <c r="I46" s="62" t="s">
        <v>80</v>
      </c>
      <c r="J46" s="62" t="s">
        <v>80</v>
      </c>
      <c r="K46" s="62" t="s">
        <v>80</v>
      </c>
      <c r="L46" s="62" t="s">
        <v>80</v>
      </c>
      <c r="M46" s="62" t="s">
        <v>80</v>
      </c>
      <c r="N46" s="62" t="s">
        <v>80</v>
      </c>
      <c r="O46" s="62">
        <v>0.63</v>
      </c>
      <c r="P46" s="62">
        <v>0.53</v>
      </c>
      <c r="Q46" s="254"/>
      <c r="R46" s="254"/>
      <c r="S46" s="62">
        <f t="shared" si="3"/>
        <v>0.58000000000000007</v>
      </c>
      <c r="T46" s="27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</row>
    <row r="47" spans="1:30" ht="15.75" customHeight="1">
      <c r="A47" s="47">
        <v>2</v>
      </c>
      <c r="B47" s="47">
        <v>3</v>
      </c>
      <c r="C47" s="47">
        <v>1</v>
      </c>
      <c r="D47" s="25" t="s">
        <v>78</v>
      </c>
      <c r="E47" s="25" t="s">
        <v>79</v>
      </c>
      <c r="F47" s="25" t="s">
        <v>25</v>
      </c>
      <c r="G47" s="49">
        <v>50741</v>
      </c>
      <c r="H47" s="51">
        <v>55</v>
      </c>
      <c r="I47" s="62" t="s">
        <v>80</v>
      </c>
      <c r="J47" s="62">
        <v>0.92</v>
      </c>
      <c r="K47" s="62" t="s">
        <v>80</v>
      </c>
      <c r="L47" s="254"/>
      <c r="M47" s="254"/>
      <c r="N47" s="254"/>
      <c r="O47" s="254"/>
      <c r="P47" s="254"/>
      <c r="Q47" s="254"/>
      <c r="R47" s="254"/>
      <c r="S47" s="62">
        <f t="shared" si="3"/>
        <v>0.92</v>
      </c>
      <c r="T47" s="27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</row>
    <row r="48" spans="1:30" ht="15.75" customHeight="1">
      <c r="A48" s="47">
        <v>2</v>
      </c>
      <c r="B48" s="47">
        <v>3</v>
      </c>
      <c r="C48" s="47">
        <v>1</v>
      </c>
      <c r="D48" s="25" t="s">
        <v>78</v>
      </c>
      <c r="E48" s="25" t="s">
        <v>79</v>
      </c>
      <c r="F48" s="25" t="s">
        <v>31</v>
      </c>
      <c r="G48" s="49">
        <v>50791</v>
      </c>
      <c r="H48" s="51">
        <v>49</v>
      </c>
      <c r="I48" s="62">
        <v>0.91</v>
      </c>
      <c r="J48" s="62"/>
      <c r="K48" s="254"/>
      <c r="L48" s="254"/>
      <c r="M48" s="254"/>
      <c r="N48" s="254"/>
      <c r="O48" s="254"/>
      <c r="P48" s="254"/>
      <c r="Q48" s="254"/>
      <c r="R48" s="254"/>
      <c r="S48" s="62">
        <f t="shared" si="3"/>
        <v>0.91</v>
      </c>
      <c r="T48" s="27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</row>
    <row r="49" spans="1:30" ht="15.75" customHeight="1">
      <c r="A49" s="71">
        <v>2</v>
      </c>
      <c r="B49" s="71">
        <v>3</v>
      </c>
      <c r="C49" s="71">
        <v>1</v>
      </c>
      <c r="D49" s="53" t="s">
        <v>78</v>
      </c>
      <c r="E49" s="53" t="s">
        <v>79</v>
      </c>
      <c r="F49" s="53" t="s">
        <v>34</v>
      </c>
      <c r="G49" s="73">
        <v>50850</v>
      </c>
      <c r="H49" s="74">
        <v>46</v>
      </c>
      <c r="I49" s="314"/>
      <c r="J49" s="314"/>
      <c r="K49" s="80"/>
      <c r="L49" s="80"/>
      <c r="M49" s="80"/>
      <c r="N49" s="80"/>
      <c r="O49" s="80"/>
      <c r="P49" s="80"/>
      <c r="Q49" s="80"/>
      <c r="R49" s="80"/>
      <c r="S49" s="314"/>
      <c r="T49" s="79" t="s">
        <v>248</v>
      </c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</row>
    <row r="50" spans="1:30" ht="15.75" customHeight="1">
      <c r="A50" s="71">
        <v>2</v>
      </c>
      <c r="B50" s="71">
        <v>3</v>
      </c>
      <c r="C50" s="71">
        <v>2</v>
      </c>
      <c r="D50" s="53" t="s">
        <v>81</v>
      </c>
      <c r="E50" s="53" t="s">
        <v>82</v>
      </c>
      <c r="F50" s="53" t="s">
        <v>25</v>
      </c>
      <c r="G50" s="73">
        <v>50723</v>
      </c>
      <c r="H50" s="74">
        <v>44</v>
      </c>
      <c r="I50" s="314"/>
      <c r="J50" s="314"/>
      <c r="K50" s="80"/>
      <c r="L50" s="80"/>
      <c r="M50" s="80"/>
      <c r="N50" s="80"/>
      <c r="O50" s="80"/>
      <c r="P50" s="80"/>
      <c r="Q50" s="80"/>
      <c r="R50" s="80"/>
      <c r="S50" s="314"/>
      <c r="T50" s="79" t="s">
        <v>248</v>
      </c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</row>
    <row r="51" spans="1:30" ht="15.75" customHeight="1">
      <c r="A51" s="71">
        <v>2</v>
      </c>
      <c r="B51" s="71">
        <v>3</v>
      </c>
      <c r="C51" s="71">
        <v>2</v>
      </c>
      <c r="D51" s="53" t="s">
        <v>81</v>
      </c>
      <c r="E51" s="53" t="s">
        <v>82</v>
      </c>
      <c r="F51" s="53" t="s">
        <v>34</v>
      </c>
      <c r="G51" s="73">
        <v>50518</v>
      </c>
      <c r="H51" s="74">
        <v>61</v>
      </c>
      <c r="I51" s="314"/>
      <c r="J51" s="314"/>
      <c r="K51" s="314"/>
      <c r="L51" s="80"/>
      <c r="M51" s="80"/>
      <c r="N51" s="80"/>
      <c r="O51" s="80"/>
      <c r="P51" s="80"/>
      <c r="Q51" s="80"/>
      <c r="R51" s="80"/>
      <c r="S51" s="314"/>
      <c r="T51" s="79" t="s">
        <v>248</v>
      </c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</row>
    <row r="52" spans="1:30" ht="15.75" customHeight="1">
      <c r="A52" s="33">
        <v>2</v>
      </c>
      <c r="B52" s="47">
        <v>3</v>
      </c>
      <c r="C52" s="47">
        <v>2</v>
      </c>
      <c r="D52" s="25" t="s">
        <v>85</v>
      </c>
      <c r="E52" s="25" t="s">
        <v>86</v>
      </c>
      <c r="F52" s="25" t="s">
        <v>68</v>
      </c>
      <c r="G52" s="49">
        <v>50832</v>
      </c>
      <c r="H52" s="51">
        <v>251</v>
      </c>
      <c r="I52" s="315"/>
      <c r="J52" s="315"/>
      <c r="K52" s="62">
        <v>0.61</v>
      </c>
      <c r="L52" s="315"/>
      <c r="M52" s="315"/>
      <c r="N52" s="315"/>
      <c r="O52" s="315"/>
      <c r="P52" s="315"/>
      <c r="Q52" s="315"/>
      <c r="R52" s="315"/>
      <c r="S52" s="62">
        <f>AVERAGE(I52:R52)</f>
        <v>0.61</v>
      </c>
      <c r="T52" s="58" t="s">
        <v>247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</row>
    <row r="53" spans="1:30" ht="15.75" customHeight="1">
      <c r="A53" s="71">
        <v>2</v>
      </c>
      <c r="B53" s="71">
        <v>3</v>
      </c>
      <c r="C53" s="71">
        <v>2</v>
      </c>
      <c r="D53" s="53" t="s">
        <v>81</v>
      </c>
      <c r="E53" s="53" t="s">
        <v>82</v>
      </c>
      <c r="F53" s="53" t="s">
        <v>34</v>
      </c>
      <c r="G53" s="73">
        <v>50628</v>
      </c>
      <c r="H53" s="74">
        <v>28</v>
      </c>
      <c r="I53" s="314"/>
      <c r="J53" s="80"/>
      <c r="K53" s="80"/>
      <c r="L53" s="80"/>
      <c r="M53" s="80"/>
      <c r="N53" s="80"/>
      <c r="O53" s="80"/>
      <c r="P53" s="80"/>
      <c r="Q53" s="80"/>
      <c r="R53" s="80"/>
      <c r="S53" s="314"/>
      <c r="T53" s="79" t="s">
        <v>248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</row>
    <row r="54" spans="1:30" ht="15.75" customHeight="1">
      <c r="A54" s="71">
        <v>2</v>
      </c>
      <c r="B54" s="71">
        <v>3</v>
      </c>
      <c r="C54" s="71">
        <v>2</v>
      </c>
      <c r="D54" s="53" t="s">
        <v>81</v>
      </c>
      <c r="E54" s="53" t="s">
        <v>82</v>
      </c>
      <c r="F54" s="53" t="s">
        <v>34</v>
      </c>
      <c r="G54" s="73">
        <v>50520</v>
      </c>
      <c r="H54" s="74">
        <v>142</v>
      </c>
      <c r="I54" s="314"/>
      <c r="J54" s="314"/>
      <c r="K54" s="314"/>
      <c r="L54" s="314"/>
      <c r="M54" s="314"/>
      <c r="N54" s="314"/>
      <c r="O54" s="80"/>
      <c r="P54" s="80"/>
      <c r="Q54" s="80"/>
      <c r="R54" s="80"/>
      <c r="S54" s="314"/>
      <c r="T54" s="79" t="s">
        <v>248</v>
      </c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</row>
    <row r="55" spans="1:30" ht="15.75" customHeight="1">
      <c r="A55" s="71">
        <v>2</v>
      </c>
      <c r="B55" s="71">
        <v>3</v>
      </c>
      <c r="C55" s="71">
        <v>2</v>
      </c>
      <c r="D55" s="53" t="s">
        <v>81</v>
      </c>
      <c r="E55" s="53" t="s">
        <v>82</v>
      </c>
      <c r="F55" s="53" t="s">
        <v>34</v>
      </c>
      <c r="G55" s="73">
        <v>50483</v>
      </c>
      <c r="H55" s="74">
        <v>3</v>
      </c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314"/>
      <c r="T55" s="79" t="s">
        <v>55</v>
      </c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</row>
    <row r="56" spans="1:30" ht="15.75" customHeight="1">
      <c r="A56" s="77">
        <v>2</v>
      </c>
      <c r="B56" s="77">
        <v>3</v>
      </c>
      <c r="C56" s="77">
        <v>3</v>
      </c>
      <c r="D56" s="70" t="s">
        <v>72</v>
      </c>
      <c r="E56" s="70" t="s">
        <v>73</v>
      </c>
      <c r="F56" s="70" t="s">
        <v>68</v>
      </c>
      <c r="G56" s="99">
        <v>50618</v>
      </c>
      <c r="H56" s="100">
        <v>96</v>
      </c>
      <c r="I56" s="316">
        <v>0.41</v>
      </c>
      <c r="J56" s="316">
        <v>0.38</v>
      </c>
      <c r="K56" s="316">
        <v>0.41</v>
      </c>
      <c r="L56" s="310"/>
      <c r="M56" s="310"/>
      <c r="N56" s="310"/>
      <c r="O56" s="310"/>
      <c r="P56" s="310"/>
      <c r="Q56" s="310"/>
      <c r="R56" s="310"/>
      <c r="S56" s="317">
        <f t="shared" ref="S56:S256" si="4">AVERAGE(I56:R56)</f>
        <v>0.39999999999999997</v>
      </c>
      <c r="T56" s="70" t="s">
        <v>87</v>
      </c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</row>
    <row r="57" spans="1:30" ht="15.75" customHeight="1">
      <c r="A57" s="47">
        <v>2</v>
      </c>
      <c r="B57" s="47">
        <v>3</v>
      </c>
      <c r="C57" s="47">
        <v>4</v>
      </c>
      <c r="D57" s="25" t="s">
        <v>72</v>
      </c>
      <c r="E57" s="25" t="s">
        <v>73</v>
      </c>
      <c r="F57" s="25" t="s">
        <v>31</v>
      </c>
      <c r="G57" s="49">
        <v>50803</v>
      </c>
      <c r="H57" s="51">
        <v>486</v>
      </c>
      <c r="I57" s="306">
        <v>0.61</v>
      </c>
      <c r="J57" s="306">
        <v>0.71</v>
      </c>
      <c r="K57" s="306">
        <v>0.7</v>
      </c>
      <c r="L57" s="254"/>
      <c r="M57" s="254"/>
      <c r="N57" s="306">
        <v>0.6</v>
      </c>
      <c r="O57" s="306">
        <v>0.84</v>
      </c>
      <c r="P57" s="306">
        <v>0.97</v>
      </c>
      <c r="Q57" s="254"/>
      <c r="R57" s="254"/>
      <c r="S57" s="317">
        <f t="shared" si="4"/>
        <v>0.73833333333333329</v>
      </c>
      <c r="T57" s="158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</row>
    <row r="58" spans="1:30" ht="15.75" customHeight="1">
      <c r="A58" s="77">
        <v>2</v>
      </c>
      <c r="B58" s="77">
        <v>3</v>
      </c>
      <c r="C58" s="77">
        <v>4</v>
      </c>
      <c r="D58" s="70" t="s">
        <v>72</v>
      </c>
      <c r="E58" s="70" t="s">
        <v>73</v>
      </c>
      <c r="F58" s="70" t="s">
        <v>68</v>
      </c>
      <c r="G58" s="99">
        <v>50618</v>
      </c>
      <c r="H58" s="100">
        <v>49</v>
      </c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7" t="e">
        <f t="shared" si="4"/>
        <v>#DIV/0!</v>
      </c>
      <c r="T58" s="70" t="s">
        <v>87</v>
      </c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</row>
    <row r="59" spans="1:30" ht="15.75" customHeight="1">
      <c r="A59" s="47">
        <v>2</v>
      </c>
      <c r="B59" s="47">
        <v>3</v>
      </c>
      <c r="C59" s="47">
        <v>5</v>
      </c>
      <c r="D59" s="25" t="s">
        <v>89</v>
      </c>
      <c r="E59" s="25" t="s">
        <v>90</v>
      </c>
      <c r="F59" s="25" t="s">
        <v>34</v>
      </c>
      <c r="G59" s="49">
        <v>50854</v>
      </c>
      <c r="H59" s="51">
        <v>179</v>
      </c>
      <c r="I59" s="306">
        <v>1.56</v>
      </c>
      <c r="J59" s="306">
        <v>1.51</v>
      </c>
      <c r="K59" s="306">
        <v>1.42</v>
      </c>
      <c r="L59" s="306">
        <v>1.56</v>
      </c>
      <c r="M59" s="306">
        <v>1.46</v>
      </c>
      <c r="N59" s="306">
        <v>1.36</v>
      </c>
      <c r="O59" s="306">
        <v>1.54</v>
      </c>
      <c r="P59" s="306">
        <v>1.43</v>
      </c>
      <c r="Q59" s="254"/>
      <c r="R59" s="254"/>
      <c r="S59" s="317">
        <f t="shared" si="4"/>
        <v>1.48</v>
      </c>
      <c r="T59" s="158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</row>
    <row r="60" spans="1:30" ht="15.75" customHeight="1">
      <c r="A60" s="47">
        <v>2</v>
      </c>
      <c r="B60" s="47">
        <v>3</v>
      </c>
      <c r="C60" s="47">
        <v>5</v>
      </c>
      <c r="D60" s="25" t="s">
        <v>89</v>
      </c>
      <c r="E60" s="25" t="s">
        <v>90</v>
      </c>
      <c r="F60" s="25" t="s">
        <v>25</v>
      </c>
      <c r="G60" s="49">
        <v>50846</v>
      </c>
      <c r="H60" s="51">
        <v>114</v>
      </c>
      <c r="I60" s="306">
        <v>2.42</v>
      </c>
      <c r="J60" s="306">
        <v>1.85</v>
      </c>
      <c r="K60" s="306">
        <v>2.1</v>
      </c>
      <c r="L60" s="306">
        <v>1.83</v>
      </c>
      <c r="M60" s="306">
        <v>1.66</v>
      </c>
      <c r="N60" s="306">
        <v>2.11</v>
      </c>
      <c r="O60" s="254"/>
      <c r="P60" s="254"/>
      <c r="Q60" s="254"/>
      <c r="R60" s="254"/>
      <c r="S60" s="317">
        <f t="shared" si="4"/>
        <v>1.9949999999999999</v>
      </c>
      <c r="T60" s="158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</row>
    <row r="61" spans="1:30" ht="15.75" customHeight="1">
      <c r="A61" s="47">
        <v>2</v>
      </c>
      <c r="B61" s="47">
        <v>3</v>
      </c>
      <c r="C61" s="47">
        <v>6</v>
      </c>
      <c r="D61" s="25" t="s">
        <v>58</v>
      </c>
      <c r="E61" s="25" t="s">
        <v>59</v>
      </c>
      <c r="F61" s="25" t="s">
        <v>68</v>
      </c>
      <c r="G61" s="49">
        <v>50816</v>
      </c>
      <c r="H61" s="51">
        <v>983</v>
      </c>
      <c r="I61" s="306">
        <v>1.1599999999999999</v>
      </c>
      <c r="J61" s="306">
        <v>1.23</v>
      </c>
      <c r="K61" s="306">
        <v>1.05</v>
      </c>
      <c r="L61" s="306">
        <v>1.0900000000000001</v>
      </c>
      <c r="M61" s="306">
        <v>1.24</v>
      </c>
      <c r="N61" s="306">
        <v>1.05</v>
      </c>
      <c r="O61" s="306">
        <v>1.0900000000000001</v>
      </c>
      <c r="P61" s="306">
        <v>1.29</v>
      </c>
      <c r="Q61" s="306">
        <v>1.17</v>
      </c>
      <c r="R61" s="254"/>
      <c r="S61" s="317">
        <f t="shared" si="4"/>
        <v>1.152222222222222</v>
      </c>
      <c r="T61" s="158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</row>
    <row r="62" spans="1:30" ht="15.75" customHeight="1">
      <c r="A62" s="47">
        <v>2</v>
      </c>
      <c r="B62" s="47">
        <v>3</v>
      </c>
      <c r="C62" s="47">
        <v>6</v>
      </c>
      <c r="D62" s="25" t="s">
        <v>58</v>
      </c>
      <c r="E62" s="25" t="s">
        <v>59</v>
      </c>
      <c r="F62" s="25" t="s">
        <v>34</v>
      </c>
      <c r="G62" s="49">
        <v>50773</v>
      </c>
      <c r="H62" s="51">
        <v>13</v>
      </c>
      <c r="I62" s="306">
        <v>1.44</v>
      </c>
      <c r="J62" s="254"/>
      <c r="K62" s="254"/>
      <c r="L62" s="254"/>
      <c r="M62" s="254"/>
      <c r="N62" s="254"/>
      <c r="O62" s="254"/>
      <c r="P62" s="254"/>
      <c r="Q62" s="254"/>
      <c r="R62" s="254"/>
      <c r="S62" s="317">
        <f t="shared" si="4"/>
        <v>1.44</v>
      </c>
      <c r="T62" s="158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</row>
    <row r="63" spans="1:30" ht="15.75" customHeight="1">
      <c r="A63" s="47">
        <v>2</v>
      </c>
      <c r="B63" s="47">
        <v>3</v>
      </c>
      <c r="C63" s="47">
        <v>6</v>
      </c>
      <c r="D63" s="25" t="s">
        <v>91</v>
      </c>
      <c r="E63" s="25" t="s">
        <v>92</v>
      </c>
      <c r="F63" s="25" t="s">
        <v>31</v>
      </c>
      <c r="G63" s="49">
        <v>50784</v>
      </c>
      <c r="H63" s="51">
        <v>32</v>
      </c>
      <c r="I63" s="306">
        <v>1.18</v>
      </c>
      <c r="J63" s="254"/>
      <c r="K63" s="254"/>
      <c r="L63" s="254"/>
      <c r="M63" s="254"/>
      <c r="N63" s="254"/>
      <c r="O63" s="254"/>
      <c r="P63" s="254"/>
      <c r="Q63" s="254"/>
      <c r="R63" s="254"/>
      <c r="S63" s="317">
        <f t="shared" si="4"/>
        <v>1.18</v>
      </c>
      <c r="T63" s="158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</row>
    <row r="64" spans="1:30" ht="15.75" customHeight="1">
      <c r="A64" s="47">
        <v>2</v>
      </c>
      <c r="B64" s="47">
        <v>3</v>
      </c>
      <c r="C64" s="47">
        <v>7</v>
      </c>
      <c r="D64" s="25" t="s">
        <v>93</v>
      </c>
      <c r="E64" s="25" t="s">
        <v>94</v>
      </c>
      <c r="F64" s="25" t="s">
        <v>34</v>
      </c>
      <c r="G64" s="49">
        <v>50604</v>
      </c>
      <c r="H64" s="51">
        <v>350</v>
      </c>
      <c r="I64" s="306">
        <v>1.43</v>
      </c>
      <c r="J64" s="306">
        <v>1.91</v>
      </c>
      <c r="K64" s="306">
        <v>1.91</v>
      </c>
      <c r="L64" s="306">
        <v>1.1399999999999999</v>
      </c>
      <c r="M64" s="306">
        <v>1.17</v>
      </c>
      <c r="N64" s="306">
        <v>1.38</v>
      </c>
      <c r="O64" s="306">
        <v>1.66</v>
      </c>
      <c r="P64" s="306">
        <v>1.91</v>
      </c>
      <c r="Q64" s="306">
        <v>1.43</v>
      </c>
      <c r="R64" s="306">
        <v>1.19</v>
      </c>
      <c r="S64" s="317">
        <f t="shared" si="4"/>
        <v>1.5129999999999999</v>
      </c>
      <c r="T64" s="158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</row>
    <row r="65" spans="1:30" ht="15.75" customHeight="1">
      <c r="A65" s="71">
        <v>2</v>
      </c>
      <c r="B65" s="71">
        <v>3</v>
      </c>
      <c r="C65" s="71">
        <v>7</v>
      </c>
      <c r="D65" s="53" t="s">
        <v>72</v>
      </c>
      <c r="E65" s="53" t="s">
        <v>73</v>
      </c>
      <c r="F65" s="53" t="s">
        <v>31</v>
      </c>
      <c r="G65" s="73">
        <v>50803</v>
      </c>
      <c r="H65" s="74">
        <v>132</v>
      </c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317" t="e">
        <f t="shared" si="4"/>
        <v>#DIV/0!</v>
      </c>
      <c r="T65" s="53" t="s">
        <v>55</v>
      </c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</row>
    <row r="66" spans="1:30" ht="15.75" customHeight="1">
      <c r="A66" s="47">
        <v>2</v>
      </c>
      <c r="B66" s="47">
        <v>3</v>
      </c>
      <c r="C66" s="47">
        <v>8</v>
      </c>
      <c r="D66" s="25" t="s">
        <v>95</v>
      </c>
      <c r="E66" s="25" t="s">
        <v>96</v>
      </c>
      <c r="F66" s="25" t="s">
        <v>34</v>
      </c>
      <c r="G66" s="49">
        <v>50886</v>
      </c>
      <c r="H66" s="51">
        <v>289</v>
      </c>
      <c r="I66" s="306">
        <v>0.74</v>
      </c>
      <c r="J66" s="306">
        <v>0.62</v>
      </c>
      <c r="K66" s="306">
        <v>0.46</v>
      </c>
      <c r="L66" s="306">
        <v>0.4</v>
      </c>
      <c r="M66" s="306">
        <v>0.41</v>
      </c>
      <c r="N66" s="306">
        <v>0.41</v>
      </c>
      <c r="O66" s="306">
        <v>0.41</v>
      </c>
      <c r="P66" s="306">
        <v>0.44</v>
      </c>
      <c r="Q66" s="306">
        <v>0.71</v>
      </c>
      <c r="R66" s="306">
        <v>1.04</v>
      </c>
      <c r="S66" s="317">
        <f t="shared" si="4"/>
        <v>0.56399999999999995</v>
      </c>
      <c r="T66" s="158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</row>
    <row r="67" spans="1:30" ht="15.75" customHeight="1">
      <c r="A67" s="47">
        <v>2</v>
      </c>
      <c r="B67" s="47">
        <v>3</v>
      </c>
      <c r="C67" s="47">
        <v>8</v>
      </c>
      <c r="D67" s="25" t="s">
        <v>74</v>
      </c>
      <c r="E67" s="25" t="s">
        <v>75</v>
      </c>
      <c r="F67" s="25" t="s">
        <v>34</v>
      </c>
      <c r="G67" s="49">
        <v>50887</v>
      </c>
      <c r="H67" s="51">
        <v>179</v>
      </c>
      <c r="I67" s="306">
        <v>0.55000000000000004</v>
      </c>
      <c r="J67" s="306">
        <v>0.56000000000000005</v>
      </c>
      <c r="K67" s="306">
        <v>0.27</v>
      </c>
      <c r="L67" s="306">
        <v>0.28000000000000003</v>
      </c>
      <c r="M67" s="306">
        <v>0.31</v>
      </c>
      <c r="N67" s="306">
        <v>0.31</v>
      </c>
      <c r="O67" s="306">
        <v>0.24</v>
      </c>
      <c r="P67" s="306">
        <v>0.21</v>
      </c>
      <c r="Q67" s="306">
        <v>0.2</v>
      </c>
      <c r="R67" s="254"/>
      <c r="S67" s="317">
        <f t="shared" si="4"/>
        <v>0.3255555555555556</v>
      </c>
      <c r="T67" s="158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</row>
    <row r="68" spans="1:30" ht="15.75" customHeight="1">
      <c r="A68" s="47">
        <v>2</v>
      </c>
      <c r="B68" s="47">
        <v>3</v>
      </c>
      <c r="C68" s="47">
        <v>9</v>
      </c>
      <c r="D68" s="25" t="s">
        <v>97</v>
      </c>
      <c r="E68" s="25" t="s">
        <v>98</v>
      </c>
      <c r="F68" s="25" t="s">
        <v>68</v>
      </c>
      <c r="G68" s="49">
        <v>50845</v>
      </c>
      <c r="H68" s="51">
        <v>459</v>
      </c>
      <c r="I68" s="306">
        <v>0.56999999999999995</v>
      </c>
      <c r="J68" s="306">
        <v>0.71</v>
      </c>
      <c r="K68" s="306">
        <v>0.45</v>
      </c>
      <c r="L68" s="306">
        <v>0.6</v>
      </c>
      <c r="M68" s="306">
        <v>0.49</v>
      </c>
      <c r="N68" s="306">
        <v>0.74</v>
      </c>
      <c r="O68" s="306">
        <v>0.96</v>
      </c>
      <c r="P68" s="306">
        <v>0.67</v>
      </c>
      <c r="Q68" s="306">
        <v>0.62</v>
      </c>
      <c r="R68" s="306">
        <v>0.74</v>
      </c>
      <c r="S68" s="317">
        <f t="shared" si="4"/>
        <v>0.65500000000000003</v>
      </c>
      <c r="T68" s="158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</row>
    <row r="69" spans="1:30" ht="15.75" customHeight="1">
      <c r="A69" s="63">
        <v>2</v>
      </c>
      <c r="B69" s="63">
        <v>3</v>
      </c>
      <c r="C69" s="63">
        <v>9</v>
      </c>
      <c r="D69" s="38" t="s">
        <v>97</v>
      </c>
      <c r="E69" s="38" t="s">
        <v>98</v>
      </c>
      <c r="F69" s="38" t="s">
        <v>34</v>
      </c>
      <c r="G69" s="64">
        <v>50590</v>
      </c>
      <c r="H69" s="65">
        <v>3</v>
      </c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317" t="e">
        <f t="shared" si="4"/>
        <v>#DIV/0!</v>
      </c>
      <c r="T69" s="38" t="s">
        <v>43</v>
      </c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</row>
    <row r="70" spans="1:30" ht="15.75" customHeight="1">
      <c r="A70" s="47">
        <v>2</v>
      </c>
      <c r="B70" s="47">
        <v>3</v>
      </c>
      <c r="C70" s="47">
        <v>9</v>
      </c>
      <c r="D70" s="25" t="s">
        <v>99</v>
      </c>
      <c r="E70" s="114"/>
      <c r="F70" s="25" t="s">
        <v>25</v>
      </c>
      <c r="G70" s="49">
        <v>50848</v>
      </c>
      <c r="H70" s="51">
        <v>217</v>
      </c>
      <c r="I70" s="306">
        <v>0.64</v>
      </c>
      <c r="J70" s="306">
        <v>0.9</v>
      </c>
      <c r="K70" s="306">
        <v>0.98</v>
      </c>
      <c r="L70" s="306">
        <v>0.49</v>
      </c>
      <c r="M70" s="306">
        <v>0.67</v>
      </c>
      <c r="N70" s="306">
        <v>0.75</v>
      </c>
      <c r="O70" s="306">
        <v>0.68</v>
      </c>
      <c r="P70" s="306">
        <v>0.55000000000000004</v>
      </c>
      <c r="Q70" s="254"/>
      <c r="R70" s="254"/>
      <c r="S70" s="317">
        <f t="shared" si="4"/>
        <v>0.70749999999999991</v>
      </c>
      <c r="T70" s="158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</row>
    <row r="71" spans="1:30" ht="15.75" customHeight="1">
      <c r="A71" s="71">
        <v>2</v>
      </c>
      <c r="B71" s="71">
        <v>3</v>
      </c>
      <c r="C71" s="71">
        <v>9</v>
      </c>
      <c r="D71" s="53" t="s">
        <v>100</v>
      </c>
      <c r="E71" s="53" t="s">
        <v>101</v>
      </c>
      <c r="F71" s="53" t="s">
        <v>68</v>
      </c>
      <c r="G71" s="73">
        <v>50645</v>
      </c>
      <c r="H71" s="74">
        <v>102</v>
      </c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317" t="e">
        <f t="shared" si="4"/>
        <v>#DIV/0!</v>
      </c>
      <c r="T71" s="53" t="s">
        <v>55</v>
      </c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</row>
    <row r="72" spans="1:30" ht="15.75" customHeight="1">
      <c r="A72" s="47">
        <v>2</v>
      </c>
      <c r="B72" s="47">
        <v>3</v>
      </c>
      <c r="C72" s="47">
        <v>9</v>
      </c>
      <c r="D72" s="25" t="s">
        <v>100</v>
      </c>
      <c r="E72" s="25" t="s">
        <v>101</v>
      </c>
      <c r="F72" s="25" t="s">
        <v>25</v>
      </c>
      <c r="G72" s="49">
        <v>50746</v>
      </c>
      <c r="H72" s="51">
        <v>53</v>
      </c>
      <c r="I72" s="306">
        <v>0.84</v>
      </c>
      <c r="J72" s="306">
        <v>0.92</v>
      </c>
      <c r="K72" s="306">
        <v>0.84</v>
      </c>
      <c r="L72" s="254"/>
      <c r="M72" s="254"/>
      <c r="N72" s="254"/>
      <c r="O72" s="254"/>
      <c r="P72" s="254"/>
      <c r="Q72" s="254"/>
      <c r="R72" s="254"/>
      <c r="S72" s="317">
        <f t="shared" si="4"/>
        <v>0.8666666666666667</v>
      </c>
      <c r="T72" s="158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</row>
    <row r="73" spans="1:30" ht="15.75" customHeight="1">
      <c r="A73" s="47">
        <v>2</v>
      </c>
      <c r="B73" s="47">
        <v>3</v>
      </c>
      <c r="C73" s="47">
        <v>9</v>
      </c>
      <c r="D73" s="25" t="s">
        <v>100</v>
      </c>
      <c r="E73" s="25" t="s">
        <v>101</v>
      </c>
      <c r="F73" s="25" t="s">
        <v>31</v>
      </c>
      <c r="G73" s="49">
        <v>50804</v>
      </c>
      <c r="H73" s="51">
        <v>29</v>
      </c>
      <c r="I73" s="306">
        <v>0.78</v>
      </c>
      <c r="J73" s="254"/>
      <c r="K73" s="254"/>
      <c r="L73" s="254"/>
      <c r="M73" s="254"/>
      <c r="N73" s="254"/>
      <c r="O73" s="254"/>
      <c r="P73" s="254"/>
      <c r="Q73" s="254"/>
      <c r="R73" s="254"/>
      <c r="S73" s="317">
        <f t="shared" si="4"/>
        <v>0.78</v>
      </c>
      <c r="T73" s="158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</row>
    <row r="74" spans="1:30" ht="15.75" customHeight="1">
      <c r="A74" s="47">
        <v>2</v>
      </c>
      <c r="B74" s="47">
        <v>3</v>
      </c>
      <c r="C74" s="47">
        <v>11</v>
      </c>
      <c r="D74" s="25" t="s">
        <v>102</v>
      </c>
      <c r="E74" s="25" t="s">
        <v>103</v>
      </c>
      <c r="F74" s="25" t="s">
        <v>31</v>
      </c>
      <c r="G74" s="49">
        <v>50821</v>
      </c>
      <c r="H74" s="51">
        <v>369</v>
      </c>
      <c r="I74" s="306">
        <v>0.92</v>
      </c>
      <c r="J74" s="254"/>
      <c r="K74" s="306">
        <v>1.1499999999999999</v>
      </c>
      <c r="L74" s="306">
        <v>1.2</v>
      </c>
      <c r="M74" s="254"/>
      <c r="N74" s="254"/>
      <c r="O74" s="306">
        <v>1.27</v>
      </c>
      <c r="P74" s="254"/>
      <c r="Q74" s="254"/>
      <c r="R74" s="254"/>
      <c r="S74" s="317">
        <f t="shared" si="4"/>
        <v>1.1349999999999998</v>
      </c>
      <c r="T74" s="158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</row>
    <row r="75" spans="1:30" ht="15.75" customHeight="1">
      <c r="A75" s="71">
        <v>2</v>
      </c>
      <c r="B75" s="71">
        <v>3</v>
      </c>
      <c r="C75" s="71">
        <v>11</v>
      </c>
      <c r="D75" s="53" t="s">
        <v>102</v>
      </c>
      <c r="E75" s="53" t="s">
        <v>103</v>
      </c>
      <c r="F75" s="53" t="s">
        <v>34</v>
      </c>
      <c r="G75" s="73">
        <v>50415</v>
      </c>
      <c r="H75" s="74">
        <v>4</v>
      </c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317" t="e">
        <f t="shared" si="4"/>
        <v>#DIV/0!</v>
      </c>
      <c r="T75" s="53" t="s">
        <v>55</v>
      </c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</row>
    <row r="76" spans="1:30" ht="15.75" customHeight="1">
      <c r="A76" s="47">
        <v>2</v>
      </c>
      <c r="B76" s="47">
        <v>3</v>
      </c>
      <c r="C76" s="47">
        <v>11</v>
      </c>
      <c r="D76" s="25" t="s">
        <v>102</v>
      </c>
      <c r="E76" s="25" t="s">
        <v>104</v>
      </c>
      <c r="F76" s="25" t="s">
        <v>68</v>
      </c>
      <c r="G76" s="49">
        <v>50658</v>
      </c>
      <c r="H76" s="51">
        <v>136</v>
      </c>
      <c r="I76" s="306">
        <v>1.61</v>
      </c>
      <c r="J76" s="306">
        <v>1.27</v>
      </c>
      <c r="K76" s="306">
        <v>1.03</v>
      </c>
      <c r="L76" s="306">
        <v>0.93</v>
      </c>
      <c r="M76" s="306">
        <v>1.17</v>
      </c>
      <c r="N76" s="254"/>
      <c r="O76" s="254"/>
      <c r="P76" s="254"/>
      <c r="Q76" s="254"/>
      <c r="R76" s="254"/>
      <c r="S76" s="317">
        <f t="shared" si="4"/>
        <v>1.202</v>
      </c>
      <c r="T76" s="158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</row>
    <row r="77" spans="1:30" ht="15.75" customHeight="1">
      <c r="A77" s="47">
        <v>2</v>
      </c>
      <c r="B77" s="47">
        <v>3</v>
      </c>
      <c r="C77" s="47">
        <v>12</v>
      </c>
      <c r="D77" s="25" t="s">
        <v>102</v>
      </c>
      <c r="E77" s="25" t="s">
        <v>103</v>
      </c>
      <c r="F77" s="25" t="s">
        <v>68</v>
      </c>
      <c r="G77" s="49">
        <v>50817</v>
      </c>
      <c r="H77" s="51">
        <v>1429</v>
      </c>
      <c r="I77" s="306">
        <v>1.24</v>
      </c>
      <c r="J77" s="306">
        <v>1.01</v>
      </c>
      <c r="K77" s="306">
        <v>1.03</v>
      </c>
      <c r="L77" s="306">
        <v>0.93</v>
      </c>
      <c r="M77" s="306">
        <v>0.61</v>
      </c>
      <c r="N77" s="306">
        <v>0.81</v>
      </c>
      <c r="O77" s="306">
        <v>0.67</v>
      </c>
      <c r="P77" s="306">
        <v>0.65</v>
      </c>
      <c r="Q77" s="306">
        <v>0.84</v>
      </c>
      <c r="R77" s="306">
        <v>0.45</v>
      </c>
      <c r="S77" s="317">
        <f t="shared" si="4"/>
        <v>0.82400000000000007</v>
      </c>
      <c r="T77" s="158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</row>
    <row r="78" spans="1:30" ht="15.75" customHeight="1">
      <c r="A78" s="47">
        <v>2</v>
      </c>
      <c r="B78" s="47">
        <v>3</v>
      </c>
      <c r="C78" s="47">
        <v>13</v>
      </c>
      <c r="D78" s="25" t="s">
        <v>105</v>
      </c>
      <c r="E78" s="25" t="s">
        <v>106</v>
      </c>
      <c r="F78" s="25" t="s">
        <v>25</v>
      </c>
      <c r="G78" s="49">
        <v>50859</v>
      </c>
      <c r="H78" s="51">
        <v>349</v>
      </c>
      <c r="I78" s="306">
        <v>0.96</v>
      </c>
      <c r="J78" s="306">
        <v>0.85</v>
      </c>
      <c r="K78" s="306">
        <v>0.7</v>
      </c>
      <c r="L78" s="306">
        <v>0.66</v>
      </c>
      <c r="M78" s="306">
        <v>0.68</v>
      </c>
      <c r="N78" s="306">
        <v>0.9</v>
      </c>
      <c r="O78" s="306">
        <v>0.85</v>
      </c>
      <c r="P78" s="306">
        <v>0.7</v>
      </c>
      <c r="Q78" s="306">
        <v>0.96</v>
      </c>
      <c r="R78" s="306">
        <v>1.03</v>
      </c>
      <c r="S78" s="317">
        <f t="shared" si="4"/>
        <v>0.82899999999999996</v>
      </c>
      <c r="T78" s="158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</row>
    <row r="79" spans="1:30" ht="15.75" customHeight="1">
      <c r="A79" s="47">
        <v>2</v>
      </c>
      <c r="B79" s="47">
        <v>3</v>
      </c>
      <c r="C79" s="47">
        <v>13</v>
      </c>
      <c r="D79" s="25" t="s">
        <v>105</v>
      </c>
      <c r="E79" s="25" t="s">
        <v>106</v>
      </c>
      <c r="F79" s="25" t="s">
        <v>25</v>
      </c>
      <c r="G79" s="49">
        <v>50735</v>
      </c>
      <c r="H79" s="51">
        <v>22</v>
      </c>
      <c r="I79" s="306">
        <v>0.86</v>
      </c>
      <c r="J79" s="254"/>
      <c r="K79" s="254"/>
      <c r="L79" s="254"/>
      <c r="M79" s="254"/>
      <c r="N79" s="254"/>
      <c r="O79" s="254"/>
      <c r="P79" s="254"/>
      <c r="Q79" s="254"/>
      <c r="R79" s="254"/>
      <c r="S79" s="317">
        <f t="shared" si="4"/>
        <v>0.86</v>
      </c>
      <c r="T79" s="158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</row>
    <row r="80" spans="1:30" ht="15.75" customHeight="1">
      <c r="A80" s="47">
        <v>2</v>
      </c>
      <c r="B80" s="47">
        <v>3</v>
      </c>
      <c r="C80" s="47">
        <v>13</v>
      </c>
      <c r="D80" s="25" t="s">
        <v>105</v>
      </c>
      <c r="E80" s="25" t="s">
        <v>106</v>
      </c>
      <c r="F80" s="25" t="s">
        <v>25</v>
      </c>
      <c r="G80" s="49">
        <v>50756</v>
      </c>
      <c r="H80" s="51">
        <v>37</v>
      </c>
      <c r="I80" s="62">
        <v>1.21</v>
      </c>
      <c r="J80" s="254"/>
      <c r="K80" s="254"/>
      <c r="L80" s="254"/>
      <c r="M80" s="254"/>
      <c r="N80" s="254"/>
      <c r="O80" s="254"/>
      <c r="P80" s="254"/>
      <c r="Q80" s="254"/>
      <c r="R80" s="254"/>
      <c r="S80" s="317">
        <f t="shared" si="4"/>
        <v>1.21</v>
      </c>
      <c r="T80" s="36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</row>
    <row r="81" spans="1:30" ht="15.75" customHeight="1">
      <c r="A81" s="47">
        <v>2</v>
      </c>
      <c r="B81" s="47">
        <v>3</v>
      </c>
      <c r="C81" s="47">
        <v>13</v>
      </c>
      <c r="D81" s="25" t="s">
        <v>105</v>
      </c>
      <c r="E81" s="25" t="s">
        <v>106</v>
      </c>
      <c r="F81" s="25" t="s">
        <v>68</v>
      </c>
      <c r="G81" s="49">
        <v>50836</v>
      </c>
      <c r="H81" s="51">
        <v>172</v>
      </c>
      <c r="I81" s="62">
        <v>0.96</v>
      </c>
      <c r="J81" s="254"/>
      <c r="K81" s="254"/>
      <c r="L81" s="62">
        <v>0.93</v>
      </c>
      <c r="M81" s="62">
        <v>1.0900000000000001</v>
      </c>
      <c r="N81" s="62">
        <v>0.91</v>
      </c>
      <c r="O81" s="254"/>
      <c r="P81" s="254"/>
      <c r="Q81" s="254"/>
      <c r="R81" s="254"/>
      <c r="S81" s="317">
        <f t="shared" si="4"/>
        <v>0.97250000000000014</v>
      </c>
      <c r="T81" s="33" t="s">
        <v>247</v>
      </c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</row>
    <row r="82" spans="1:30" ht="15.75" customHeight="1">
      <c r="A82" s="47">
        <v>2</v>
      </c>
      <c r="B82" s="47">
        <v>3</v>
      </c>
      <c r="C82" s="47">
        <v>14</v>
      </c>
      <c r="D82" s="25" t="s">
        <v>107</v>
      </c>
      <c r="E82" s="25" t="s">
        <v>108</v>
      </c>
      <c r="F82" s="25" t="s">
        <v>25</v>
      </c>
      <c r="G82" s="49">
        <v>50847</v>
      </c>
      <c r="H82" s="51">
        <v>371</v>
      </c>
      <c r="I82" s="62">
        <v>0.77</v>
      </c>
      <c r="J82" s="62">
        <v>0.57999999999999996</v>
      </c>
      <c r="K82" s="62">
        <v>0.75</v>
      </c>
      <c r="L82" s="62">
        <v>1.28</v>
      </c>
      <c r="M82" s="62">
        <v>0.89</v>
      </c>
      <c r="N82" s="62">
        <v>0.88</v>
      </c>
      <c r="O82" s="62">
        <v>0.7</v>
      </c>
      <c r="P82" s="62">
        <v>1.17</v>
      </c>
      <c r="Q82" s="62">
        <v>0.81</v>
      </c>
      <c r="R82" s="62">
        <v>1.53</v>
      </c>
      <c r="S82" s="317">
        <f t="shared" si="4"/>
        <v>0.93599999999999994</v>
      </c>
      <c r="T82" s="36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</row>
    <row r="83" spans="1:30" ht="15.75" customHeight="1">
      <c r="A83" s="47">
        <v>2</v>
      </c>
      <c r="B83" s="47">
        <v>3</v>
      </c>
      <c r="C83" s="47">
        <v>14</v>
      </c>
      <c r="D83" s="25" t="s">
        <v>107</v>
      </c>
      <c r="E83" s="25" t="s">
        <v>108</v>
      </c>
      <c r="F83" s="25" t="s">
        <v>109</v>
      </c>
      <c r="G83" s="49">
        <v>50743</v>
      </c>
      <c r="H83" s="51">
        <v>88</v>
      </c>
      <c r="I83" s="62">
        <v>0.74</v>
      </c>
      <c r="J83" s="254"/>
      <c r="K83" s="254"/>
      <c r="L83" s="254"/>
      <c r="M83" s="254"/>
      <c r="N83" s="254"/>
      <c r="O83" s="254"/>
      <c r="P83" s="254"/>
      <c r="Q83" s="254"/>
      <c r="R83" s="254"/>
      <c r="S83" s="317">
        <f t="shared" si="4"/>
        <v>0.74</v>
      </c>
      <c r="T83" s="36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</row>
    <row r="84" spans="1:30" ht="15.75" customHeight="1">
      <c r="A84" s="47">
        <v>2</v>
      </c>
      <c r="B84" s="47">
        <v>3</v>
      </c>
      <c r="C84" s="47">
        <v>17</v>
      </c>
      <c r="D84" s="25" t="s">
        <v>60</v>
      </c>
      <c r="E84" s="25" t="s">
        <v>71</v>
      </c>
      <c r="F84" s="25" t="s">
        <v>25</v>
      </c>
      <c r="G84" s="49">
        <v>50747</v>
      </c>
      <c r="H84" s="51">
        <v>1</v>
      </c>
      <c r="I84" s="62">
        <v>1.6</v>
      </c>
      <c r="J84" s="254"/>
      <c r="K84" s="254"/>
      <c r="L84" s="254"/>
      <c r="M84" s="254"/>
      <c r="N84" s="254"/>
      <c r="O84" s="254"/>
      <c r="P84" s="254"/>
      <c r="Q84" s="254"/>
      <c r="R84" s="254"/>
      <c r="S84" s="317">
        <f t="shared" si="4"/>
        <v>1.6</v>
      </c>
      <c r="T84" s="36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</row>
    <row r="85" spans="1:30" ht="15.75" customHeight="1">
      <c r="A85" s="111">
        <v>2</v>
      </c>
      <c r="B85" s="111">
        <v>3</v>
      </c>
      <c r="C85" s="111">
        <v>17</v>
      </c>
      <c r="D85" s="101" t="s">
        <v>60</v>
      </c>
      <c r="E85" s="101" t="s">
        <v>61</v>
      </c>
      <c r="F85" s="101" t="s">
        <v>25</v>
      </c>
      <c r="G85" s="121">
        <v>50733</v>
      </c>
      <c r="H85" s="122">
        <v>114</v>
      </c>
      <c r="I85" s="125">
        <v>1.45</v>
      </c>
      <c r="J85" s="312"/>
      <c r="K85" s="312"/>
      <c r="L85" s="312"/>
      <c r="M85" s="312"/>
      <c r="N85" s="312"/>
      <c r="O85" s="312"/>
      <c r="P85" s="312"/>
      <c r="Q85" s="312"/>
      <c r="R85" s="312"/>
      <c r="S85" s="317">
        <f t="shared" si="4"/>
        <v>1.45</v>
      </c>
      <c r="T85" s="287" t="s">
        <v>111</v>
      </c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</row>
    <row r="86" spans="1:30" ht="15.75" customHeight="1">
      <c r="A86" s="47">
        <v>2</v>
      </c>
      <c r="B86" s="47">
        <v>3</v>
      </c>
      <c r="C86" s="47">
        <v>17</v>
      </c>
      <c r="D86" s="25" t="s">
        <v>60</v>
      </c>
      <c r="E86" s="25" t="s">
        <v>61</v>
      </c>
      <c r="F86" s="25" t="s">
        <v>68</v>
      </c>
      <c r="G86" s="49">
        <v>50636</v>
      </c>
      <c r="H86" s="51">
        <v>36</v>
      </c>
      <c r="I86" s="62">
        <v>1.1599999999999999</v>
      </c>
      <c r="J86" s="62">
        <v>1.6</v>
      </c>
      <c r="K86" s="254"/>
      <c r="L86" s="254"/>
      <c r="M86" s="254"/>
      <c r="N86" s="254"/>
      <c r="O86" s="254"/>
      <c r="P86" s="254"/>
      <c r="Q86" s="254"/>
      <c r="R86" s="254"/>
      <c r="S86" s="317">
        <f t="shared" si="4"/>
        <v>1.38</v>
      </c>
      <c r="T86" s="36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</row>
    <row r="87" spans="1:30" ht="15.75" customHeight="1">
      <c r="A87" s="63">
        <v>2</v>
      </c>
      <c r="B87" s="63">
        <v>3</v>
      </c>
      <c r="C87" s="63">
        <v>17</v>
      </c>
      <c r="D87" s="38" t="s">
        <v>60</v>
      </c>
      <c r="E87" s="38" t="s">
        <v>61</v>
      </c>
      <c r="F87" s="38" t="s">
        <v>68</v>
      </c>
      <c r="G87" s="64">
        <v>50668</v>
      </c>
      <c r="H87" s="65">
        <v>34</v>
      </c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317" t="e">
        <f t="shared" si="4"/>
        <v>#DIV/0!</v>
      </c>
      <c r="T87" s="38" t="s">
        <v>43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</row>
    <row r="88" spans="1:30" ht="15.75" customHeight="1">
      <c r="A88" s="47">
        <v>2</v>
      </c>
      <c r="B88" s="47">
        <v>3</v>
      </c>
      <c r="C88" s="47">
        <v>17</v>
      </c>
      <c r="D88" s="25" t="s">
        <v>60</v>
      </c>
      <c r="E88" s="25" t="s">
        <v>61</v>
      </c>
      <c r="F88" s="25" t="s">
        <v>68</v>
      </c>
      <c r="G88" s="49">
        <v>50626</v>
      </c>
      <c r="H88" s="51">
        <v>8</v>
      </c>
      <c r="I88" s="62">
        <v>1.45</v>
      </c>
      <c r="J88" s="254"/>
      <c r="K88" s="254"/>
      <c r="L88" s="254"/>
      <c r="M88" s="254"/>
      <c r="N88" s="254"/>
      <c r="O88" s="254"/>
      <c r="P88" s="254"/>
      <c r="Q88" s="254"/>
      <c r="R88" s="254"/>
      <c r="S88" s="317">
        <f t="shared" si="4"/>
        <v>1.45</v>
      </c>
      <c r="T88" s="36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</row>
    <row r="89" spans="1:30" ht="15.75" customHeight="1">
      <c r="A89" s="47">
        <v>2</v>
      </c>
      <c r="B89" s="47">
        <v>3</v>
      </c>
      <c r="C89" s="47">
        <v>17</v>
      </c>
      <c r="D89" s="25" t="s">
        <v>60</v>
      </c>
      <c r="E89" s="25" t="s">
        <v>61</v>
      </c>
      <c r="F89" s="25" t="s">
        <v>34</v>
      </c>
      <c r="G89" s="49">
        <v>50595</v>
      </c>
      <c r="H89" s="51">
        <v>45</v>
      </c>
      <c r="I89" s="62">
        <v>1.5</v>
      </c>
      <c r="J89" s="62">
        <v>2.0099999999999998</v>
      </c>
      <c r="K89" s="62">
        <v>2.02</v>
      </c>
      <c r="L89" s="254"/>
      <c r="M89" s="254"/>
      <c r="N89" s="254"/>
      <c r="O89" s="254"/>
      <c r="P89" s="254"/>
      <c r="Q89" s="254"/>
      <c r="R89" s="254"/>
      <c r="S89" s="317">
        <f t="shared" si="4"/>
        <v>1.843333333333333</v>
      </c>
      <c r="T89" s="36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</row>
    <row r="90" spans="1:30" ht="15.75" customHeight="1">
      <c r="A90" s="47">
        <v>2</v>
      </c>
      <c r="B90" s="47">
        <v>3</v>
      </c>
      <c r="C90" s="47">
        <v>17</v>
      </c>
      <c r="D90" s="25" t="s">
        <v>60</v>
      </c>
      <c r="E90" s="25" t="s">
        <v>61</v>
      </c>
      <c r="F90" s="25" t="s">
        <v>68</v>
      </c>
      <c r="G90" s="49">
        <v>50818</v>
      </c>
      <c r="H90" s="51">
        <v>67</v>
      </c>
      <c r="I90" s="62">
        <v>1.1100000000000001</v>
      </c>
      <c r="J90" s="62">
        <v>1.21</v>
      </c>
      <c r="K90" s="62">
        <v>1.21</v>
      </c>
      <c r="L90" s="254"/>
      <c r="M90" s="254"/>
      <c r="N90" s="254"/>
      <c r="O90" s="254"/>
      <c r="P90" s="254"/>
      <c r="Q90" s="254"/>
      <c r="R90" s="254"/>
      <c r="S90" s="317">
        <f t="shared" si="4"/>
        <v>1.1766666666666667</v>
      </c>
      <c r="T90" s="36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</row>
    <row r="91" spans="1:30" ht="15.75" customHeight="1">
      <c r="A91" s="47">
        <v>2</v>
      </c>
      <c r="B91" s="47">
        <v>3</v>
      </c>
      <c r="C91" s="47">
        <v>17</v>
      </c>
      <c r="D91" s="25" t="s">
        <v>60</v>
      </c>
      <c r="E91" s="25" t="s">
        <v>61</v>
      </c>
      <c r="F91" s="25" t="s">
        <v>31</v>
      </c>
      <c r="G91" s="49">
        <v>50810</v>
      </c>
      <c r="H91" s="51">
        <v>127</v>
      </c>
      <c r="I91" s="62">
        <v>1.92</v>
      </c>
      <c r="J91" s="62">
        <v>1.97</v>
      </c>
      <c r="K91" s="62">
        <v>1.63</v>
      </c>
      <c r="L91" s="62">
        <v>1.72</v>
      </c>
      <c r="M91" s="62">
        <v>1.99</v>
      </c>
      <c r="N91" s="62">
        <v>2.71</v>
      </c>
      <c r="O91" s="254"/>
      <c r="P91" s="62">
        <v>2.17</v>
      </c>
      <c r="Q91" s="254"/>
      <c r="R91" s="254"/>
      <c r="S91" s="317">
        <f t="shared" si="4"/>
        <v>2.0157142857142856</v>
      </c>
      <c r="T91" s="36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</row>
    <row r="92" spans="1:30" ht="15.75" customHeight="1">
      <c r="A92" s="47">
        <v>2</v>
      </c>
      <c r="B92" s="47">
        <v>3</v>
      </c>
      <c r="C92" s="47">
        <v>17</v>
      </c>
      <c r="D92" s="25" t="s">
        <v>60</v>
      </c>
      <c r="E92" s="25" t="s">
        <v>61</v>
      </c>
      <c r="F92" s="25" t="s">
        <v>25</v>
      </c>
      <c r="G92" s="49">
        <v>50749</v>
      </c>
      <c r="H92" s="51">
        <v>29</v>
      </c>
      <c r="I92" s="62">
        <v>1.62</v>
      </c>
      <c r="J92" s="254"/>
      <c r="K92" s="254"/>
      <c r="L92" s="254"/>
      <c r="M92" s="254"/>
      <c r="N92" s="254"/>
      <c r="O92" s="254"/>
      <c r="P92" s="254"/>
      <c r="Q92" s="254"/>
      <c r="R92" s="254"/>
      <c r="S92" s="317">
        <f t="shared" si="4"/>
        <v>1.62</v>
      </c>
      <c r="T92" s="36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</row>
    <row r="93" spans="1:30" ht="15.75" customHeight="1">
      <c r="A93" s="47">
        <v>2</v>
      </c>
      <c r="B93" s="47">
        <v>3</v>
      </c>
      <c r="C93" s="47">
        <v>18</v>
      </c>
      <c r="D93" s="25" t="s">
        <v>112</v>
      </c>
      <c r="E93" s="25" t="s">
        <v>113</v>
      </c>
      <c r="F93" s="25" t="s">
        <v>25</v>
      </c>
      <c r="G93" s="49">
        <v>50758</v>
      </c>
      <c r="H93" s="51">
        <v>246</v>
      </c>
      <c r="I93" s="62">
        <v>1.21</v>
      </c>
      <c r="J93" s="62">
        <v>1.05</v>
      </c>
      <c r="K93" s="62">
        <v>1.6</v>
      </c>
      <c r="L93" s="62">
        <v>1.18</v>
      </c>
      <c r="M93" s="254"/>
      <c r="N93" s="62">
        <v>1.27</v>
      </c>
      <c r="O93" s="254"/>
      <c r="P93" s="254"/>
      <c r="Q93" s="62">
        <v>1.4</v>
      </c>
      <c r="R93" s="62">
        <v>1.31</v>
      </c>
      <c r="S93" s="317">
        <f t="shared" si="4"/>
        <v>1.2885714285714287</v>
      </c>
      <c r="T93" s="33" t="s">
        <v>247</v>
      </c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</row>
    <row r="94" spans="1:30" ht="15.75" customHeight="1">
      <c r="A94" s="47">
        <v>2</v>
      </c>
      <c r="B94" s="47">
        <v>3</v>
      </c>
      <c r="C94" s="47">
        <v>18</v>
      </c>
      <c r="D94" s="25" t="s">
        <v>114</v>
      </c>
      <c r="E94" s="25" t="s">
        <v>115</v>
      </c>
      <c r="F94" s="25" t="s">
        <v>25</v>
      </c>
      <c r="G94" s="49">
        <v>50858</v>
      </c>
      <c r="H94" s="51">
        <v>98</v>
      </c>
      <c r="I94" s="62">
        <v>0.45</v>
      </c>
      <c r="J94" s="62">
        <v>0.21</v>
      </c>
      <c r="K94" s="62">
        <v>0.23</v>
      </c>
      <c r="L94" s="254"/>
      <c r="M94" s="254"/>
      <c r="N94" s="254"/>
      <c r="O94" s="254"/>
      <c r="P94" s="254"/>
      <c r="Q94" s="254"/>
      <c r="R94" s="254"/>
      <c r="S94" s="317">
        <f t="shared" si="4"/>
        <v>0.29666666666666669</v>
      </c>
      <c r="T94" s="36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</row>
    <row r="95" spans="1:30" ht="15.75" customHeight="1">
      <c r="A95" s="47">
        <v>2</v>
      </c>
      <c r="B95" s="47">
        <v>3</v>
      </c>
      <c r="C95" s="47">
        <v>18</v>
      </c>
      <c r="D95" s="25" t="s">
        <v>112</v>
      </c>
      <c r="E95" s="25" t="s">
        <v>113</v>
      </c>
      <c r="F95" s="25" t="s">
        <v>25</v>
      </c>
      <c r="G95" s="49">
        <v>50812</v>
      </c>
      <c r="H95" s="51">
        <v>29</v>
      </c>
      <c r="I95" s="306">
        <v>0.96</v>
      </c>
      <c r="J95" s="254"/>
      <c r="K95" s="254"/>
      <c r="L95" s="254"/>
      <c r="M95" s="254"/>
      <c r="N95" s="254"/>
      <c r="O95" s="254"/>
      <c r="P95" s="254"/>
      <c r="Q95" s="254"/>
      <c r="R95" s="254"/>
      <c r="S95" s="317">
        <f t="shared" si="4"/>
        <v>0.96</v>
      </c>
      <c r="T95" s="60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</row>
    <row r="96" spans="1:30" ht="15.75" customHeight="1">
      <c r="A96" s="63">
        <v>2</v>
      </c>
      <c r="B96" s="63">
        <v>3</v>
      </c>
      <c r="C96" s="63">
        <v>18</v>
      </c>
      <c r="D96" s="38" t="s">
        <v>112</v>
      </c>
      <c r="E96" s="38" t="s">
        <v>113</v>
      </c>
      <c r="F96" s="38" t="s">
        <v>116</v>
      </c>
      <c r="G96" s="64">
        <v>50065</v>
      </c>
      <c r="H96" s="65">
        <v>10</v>
      </c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317" t="e">
        <f t="shared" si="4"/>
        <v>#DIV/0!</v>
      </c>
      <c r="T96" s="67" t="s">
        <v>43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</row>
    <row r="97" spans="1:30" ht="15.75" customHeight="1">
      <c r="A97" s="47">
        <v>2</v>
      </c>
      <c r="B97" s="47">
        <v>3</v>
      </c>
      <c r="C97" s="47">
        <v>18</v>
      </c>
      <c r="D97" s="25" t="s">
        <v>114</v>
      </c>
      <c r="E97" s="25" t="s">
        <v>115</v>
      </c>
      <c r="F97" s="25" t="s">
        <v>117</v>
      </c>
      <c r="G97" s="49">
        <v>50535</v>
      </c>
      <c r="H97" s="51">
        <v>24</v>
      </c>
      <c r="I97" s="306">
        <v>0.23</v>
      </c>
      <c r="J97" s="254"/>
      <c r="K97" s="254"/>
      <c r="L97" s="254"/>
      <c r="M97" s="254"/>
      <c r="N97" s="254"/>
      <c r="O97" s="254"/>
      <c r="P97" s="254"/>
      <c r="Q97" s="254"/>
      <c r="R97" s="254"/>
      <c r="S97" s="317">
        <f t="shared" si="4"/>
        <v>0.23</v>
      </c>
      <c r="T97" s="60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</row>
    <row r="98" spans="1:30" ht="15.75" customHeight="1">
      <c r="A98" s="47">
        <v>2</v>
      </c>
      <c r="B98" s="47">
        <v>3</v>
      </c>
      <c r="C98" s="47">
        <v>19</v>
      </c>
      <c r="D98" s="25" t="s">
        <v>32</v>
      </c>
      <c r="E98" s="25" t="s">
        <v>33</v>
      </c>
      <c r="F98" s="25" t="s">
        <v>34</v>
      </c>
      <c r="G98" s="49">
        <v>50563</v>
      </c>
      <c r="H98" s="51">
        <v>338</v>
      </c>
      <c r="I98" s="306">
        <v>1.657</v>
      </c>
      <c r="J98" s="306">
        <v>1.57</v>
      </c>
      <c r="K98" s="306">
        <v>1.27</v>
      </c>
      <c r="L98" s="306">
        <v>0.32</v>
      </c>
      <c r="M98" s="306">
        <v>1.1399999999999999</v>
      </c>
      <c r="N98" s="306">
        <v>1.214</v>
      </c>
      <c r="O98" s="306">
        <v>1.2</v>
      </c>
      <c r="P98" s="306">
        <v>0.87</v>
      </c>
      <c r="Q98" s="306">
        <v>1.1599999999999999</v>
      </c>
      <c r="R98" s="306">
        <v>1</v>
      </c>
      <c r="S98" s="317">
        <f t="shared" si="4"/>
        <v>1.1400999999999999</v>
      </c>
      <c r="T98" s="60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</row>
    <row r="99" spans="1:30" ht="15.75" customHeight="1">
      <c r="A99" s="143">
        <v>2</v>
      </c>
      <c r="B99" s="143">
        <v>3</v>
      </c>
      <c r="C99" s="143">
        <v>19</v>
      </c>
      <c r="D99" s="144" t="s">
        <v>112</v>
      </c>
      <c r="E99" s="144" t="s">
        <v>113</v>
      </c>
      <c r="F99" s="144" t="s">
        <v>34</v>
      </c>
      <c r="G99" s="146">
        <v>50688</v>
      </c>
      <c r="H99" s="147">
        <v>113</v>
      </c>
      <c r="I99" s="318">
        <v>1.75</v>
      </c>
      <c r="J99" s="318">
        <v>1.51</v>
      </c>
      <c r="K99" s="318" t="s">
        <v>80</v>
      </c>
      <c r="L99" s="318">
        <v>1.27</v>
      </c>
      <c r="M99" s="318" t="s">
        <v>80</v>
      </c>
      <c r="N99" s="318" t="s">
        <v>80</v>
      </c>
      <c r="O99" s="318" t="s">
        <v>80</v>
      </c>
      <c r="P99" s="318">
        <v>1.2689999999999999</v>
      </c>
      <c r="Q99" s="149"/>
      <c r="R99" s="149"/>
      <c r="S99" s="317">
        <f t="shared" si="4"/>
        <v>1.4497499999999999</v>
      </c>
      <c r="T99" s="154" t="s">
        <v>118</v>
      </c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</row>
    <row r="100" spans="1:30" ht="15.75" customHeight="1">
      <c r="A100" s="33">
        <v>2</v>
      </c>
      <c r="B100" s="47">
        <v>3</v>
      </c>
      <c r="C100" s="47">
        <v>19</v>
      </c>
      <c r="D100" s="25" t="s">
        <v>112</v>
      </c>
      <c r="E100" s="25" t="s">
        <v>113</v>
      </c>
      <c r="F100" s="25" t="s">
        <v>68</v>
      </c>
      <c r="G100" s="49">
        <v>50146</v>
      </c>
      <c r="H100" s="51">
        <v>9</v>
      </c>
      <c r="I100" s="306">
        <v>1.86</v>
      </c>
      <c r="J100" s="254"/>
      <c r="K100" s="254"/>
      <c r="L100" s="254"/>
      <c r="M100" s="254"/>
      <c r="N100" s="254"/>
      <c r="O100" s="254"/>
      <c r="P100" s="254"/>
      <c r="Q100" s="254"/>
      <c r="R100" s="254"/>
      <c r="S100" s="317">
        <f t="shared" si="4"/>
        <v>1.86</v>
      </c>
      <c r="T100" s="60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</row>
    <row r="101" spans="1:30" ht="15.75" customHeight="1">
      <c r="A101" s="143">
        <v>2</v>
      </c>
      <c r="B101" s="143">
        <v>3</v>
      </c>
      <c r="C101" s="143">
        <v>19</v>
      </c>
      <c r="D101" s="144" t="s">
        <v>112</v>
      </c>
      <c r="E101" s="144" t="s">
        <v>113</v>
      </c>
      <c r="F101" s="144" t="s">
        <v>25</v>
      </c>
      <c r="G101" s="146">
        <v>50758</v>
      </c>
      <c r="H101" s="147">
        <v>133</v>
      </c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317" t="e">
        <f t="shared" si="4"/>
        <v>#DIV/0!</v>
      </c>
      <c r="T101" s="154" t="s">
        <v>258</v>
      </c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</row>
    <row r="102" spans="1:30" ht="15.75" customHeight="1">
      <c r="A102" s="47">
        <v>2</v>
      </c>
      <c r="B102" s="47">
        <v>3</v>
      </c>
      <c r="C102" s="47">
        <v>21</v>
      </c>
      <c r="D102" s="25" t="s">
        <v>120</v>
      </c>
      <c r="E102" s="25" t="s">
        <v>121</v>
      </c>
      <c r="F102" s="25" t="s">
        <v>25</v>
      </c>
      <c r="G102" s="49">
        <v>50745</v>
      </c>
      <c r="H102" s="51">
        <v>131</v>
      </c>
      <c r="I102" s="306">
        <v>1.71</v>
      </c>
      <c r="J102" s="306">
        <v>1.88</v>
      </c>
      <c r="K102" s="306">
        <v>1.97</v>
      </c>
      <c r="L102" s="306">
        <v>1.79</v>
      </c>
      <c r="M102" s="306">
        <v>2.66</v>
      </c>
      <c r="N102" s="306" t="s">
        <v>80</v>
      </c>
      <c r="O102" s="254"/>
      <c r="P102" s="254"/>
      <c r="Q102" s="254"/>
      <c r="R102" s="254"/>
      <c r="S102" s="317">
        <f t="shared" si="4"/>
        <v>2.0019999999999998</v>
      </c>
      <c r="T102" s="60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</row>
    <row r="103" spans="1:30" ht="15.75" customHeight="1">
      <c r="A103" s="47">
        <v>2</v>
      </c>
      <c r="B103" s="47">
        <v>3</v>
      </c>
      <c r="C103" s="47">
        <v>21</v>
      </c>
      <c r="D103" s="25" t="s">
        <v>120</v>
      </c>
      <c r="E103" s="25" t="s">
        <v>121</v>
      </c>
      <c r="F103" s="25" t="s">
        <v>31</v>
      </c>
      <c r="G103" s="49">
        <v>50718</v>
      </c>
      <c r="H103" s="51">
        <v>168</v>
      </c>
      <c r="I103" s="306">
        <v>0.87</v>
      </c>
      <c r="J103" s="306">
        <v>1.2410000000000001</v>
      </c>
      <c r="K103" s="306">
        <v>1.8779999999999999</v>
      </c>
      <c r="L103" s="306">
        <v>2.29</v>
      </c>
      <c r="M103" s="306" t="s">
        <v>80</v>
      </c>
      <c r="N103" s="306" t="s">
        <v>80</v>
      </c>
      <c r="O103" s="306">
        <v>1.91</v>
      </c>
      <c r="P103" s="306" t="s">
        <v>80</v>
      </c>
      <c r="Q103" s="254"/>
      <c r="R103" s="254"/>
      <c r="S103" s="317">
        <f t="shared" si="4"/>
        <v>1.6377999999999999</v>
      </c>
      <c r="T103" s="60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</row>
    <row r="104" spans="1:30" ht="15.75" customHeight="1">
      <c r="A104" s="47">
        <v>2</v>
      </c>
      <c r="B104" s="47">
        <v>3</v>
      </c>
      <c r="C104" s="47">
        <v>21</v>
      </c>
      <c r="D104" s="25" t="s">
        <v>120</v>
      </c>
      <c r="E104" s="25" t="s">
        <v>121</v>
      </c>
      <c r="F104" s="25" t="s">
        <v>25</v>
      </c>
      <c r="G104" s="49">
        <v>50681</v>
      </c>
      <c r="H104" s="51">
        <v>9</v>
      </c>
      <c r="I104" s="306">
        <v>2.81</v>
      </c>
      <c r="J104" s="254"/>
      <c r="K104" s="254"/>
      <c r="L104" s="254"/>
      <c r="M104" s="254"/>
      <c r="N104" s="254"/>
      <c r="O104" s="254"/>
      <c r="P104" s="254"/>
      <c r="Q104" s="254"/>
      <c r="R104" s="254"/>
      <c r="S104" s="317">
        <f t="shared" si="4"/>
        <v>2.81</v>
      </c>
      <c r="T104" s="60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</row>
    <row r="105" spans="1:30" ht="15.75" customHeight="1">
      <c r="A105" s="47">
        <v>2</v>
      </c>
      <c r="B105" s="47">
        <v>3</v>
      </c>
      <c r="C105" s="47">
        <v>22</v>
      </c>
      <c r="D105" s="25" t="s">
        <v>122</v>
      </c>
      <c r="E105" s="25" t="s">
        <v>123</v>
      </c>
      <c r="F105" s="25" t="s">
        <v>34</v>
      </c>
      <c r="G105" s="49">
        <v>50732</v>
      </c>
      <c r="H105" s="51">
        <v>274</v>
      </c>
      <c r="I105" s="306">
        <v>1.84</v>
      </c>
      <c r="J105" s="306">
        <v>1.27</v>
      </c>
      <c r="K105" s="306">
        <v>1.327</v>
      </c>
      <c r="L105" s="306">
        <v>1.64</v>
      </c>
      <c r="M105" s="306">
        <v>1.31</v>
      </c>
      <c r="N105" s="306">
        <v>1.64</v>
      </c>
      <c r="O105" s="306">
        <v>1.623</v>
      </c>
      <c r="P105" s="306">
        <v>1.64</v>
      </c>
      <c r="Q105" s="306">
        <v>1.36</v>
      </c>
      <c r="R105" s="306">
        <v>1.5329999999999999</v>
      </c>
      <c r="S105" s="317">
        <f t="shared" si="4"/>
        <v>1.5183</v>
      </c>
      <c r="T105" s="60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</row>
    <row r="106" spans="1:30" ht="15.75" customHeight="1">
      <c r="A106" s="47">
        <v>2</v>
      </c>
      <c r="B106" s="47">
        <v>3</v>
      </c>
      <c r="C106" s="47">
        <v>22</v>
      </c>
      <c r="D106" s="25" t="s">
        <v>122</v>
      </c>
      <c r="E106" s="25" t="s">
        <v>123</v>
      </c>
      <c r="F106" s="25" t="s">
        <v>34</v>
      </c>
      <c r="G106" s="49">
        <v>50545</v>
      </c>
      <c r="H106" s="51">
        <v>13</v>
      </c>
      <c r="I106" s="306">
        <v>1.3660000000000001</v>
      </c>
      <c r="J106" s="306">
        <v>0.90700000000000003</v>
      </c>
      <c r="K106" s="306">
        <v>0.93400000000000005</v>
      </c>
      <c r="L106" s="306">
        <v>1.0900000000000001</v>
      </c>
      <c r="M106" s="306">
        <v>1.272</v>
      </c>
      <c r="N106" s="254"/>
      <c r="O106" s="254"/>
      <c r="P106" s="254"/>
      <c r="Q106" s="254"/>
      <c r="R106" s="254"/>
      <c r="S106" s="317">
        <f t="shared" si="4"/>
        <v>1.1138000000000001</v>
      </c>
      <c r="T106" s="60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</row>
    <row r="107" spans="1:30" ht="15.75" customHeight="1">
      <c r="A107" s="47">
        <v>2</v>
      </c>
      <c r="B107" s="47">
        <v>3</v>
      </c>
      <c r="C107" s="47">
        <v>22</v>
      </c>
      <c r="D107" s="25" t="s">
        <v>122</v>
      </c>
      <c r="E107" s="25" t="s">
        <v>123</v>
      </c>
      <c r="F107" s="25" t="s">
        <v>25</v>
      </c>
      <c r="G107" s="49">
        <v>50833</v>
      </c>
      <c r="H107" s="51">
        <v>204</v>
      </c>
      <c r="I107" s="306">
        <v>0.76</v>
      </c>
      <c r="J107" s="306">
        <v>1.08</v>
      </c>
      <c r="K107" s="306">
        <v>1.02</v>
      </c>
      <c r="L107" s="306">
        <v>1.01</v>
      </c>
      <c r="M107" s="306">
        <v>1.23</v>
      </c>
      <c r="N107" s="306">
        <v>1.6</v>
      </c>
      <c r="O107" s="306">
        <v>1.22</v>
      </c>
      <c r="P107" s="306">
        <v>1.37</v>
      </c>
      <c r="Q107" s="254"/>
      <c r="R107" s="254"/>
      <c r="S107" s="317">
        <f t="shared" si="4"/>
        <v>1.1612499999999999</v>
      </c>
      <c r="T107" s="60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</row>
    <row r="108" spans="1:30" ht="15.75" customHeight="1">
      <c r="A108" s="47">
        <v>2</v>
      </c>
      <c r="B108" s="47">
        <v>3</v>
      </c>
      <c r="C108" s="47">
        <v>22</v>
      </c>
      <c r="D108" s="25" t="s">
        <v>122</v>
      </c>
      <c r="E108" s="25" t="s">
        <v>123</v>
      </c>
      <c r="F108" s="25" t="s">
        <v>25</v>
      </c>
      <c r="G108" s="49">
        <v>50725</v>
      </c>
      <c r="H108" s="51">
        <v>62</v>
      </c>
      <c r="I108" s="306">
        <v>1.51</v>
      </c>
      <c r="J108" s="306">
        <v>1.2629999999999999</v>
      </c>
      <c r="K108" s="306">
        <v>1.53</v>
      </c>
      <c r="L108" s="254"/>
      <c r="M108" s="254"/>
      <c r="N108" s="254"/>
      <c r="O108" s="254"/>
      <c r="P108" s="254"/>
      <c r="Q108" s="254"/>
      <c r="R108" s="254"/>
      <c r="S108" s="317">
        <f t="shared" si="4"/>
        <v>1.4343333333333332</v>
      </c>
      <c r="T108" s="60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</row>
    <row r="109" spans="1:30" ht="15.75" customHeight="1">
      <c r="A109" s="47">
        <v>2</v>
      </c>
      <c r="B109" s="47">
        <v>4</v>
      </c>
      <c r="C109" s="47">
        <v>2</v>
      </c>
      <c r="D109" s="25" t="s">
        <v>124</v>
      </c>
      <c r="E109" s="25" t="s">
        <v>125</v>
      </c>
      <c r="F109" s="25" t="s">
        <v>31</v>
      </c>
      <c r="G109" s="49">
        <v>50761</v>
      </c>
      <c r="H109" s="51">
        <v>250</v>
      </c>
      <c r="I109" s="306">
        <v>1.5</v>
      </c>
      <c r="J109" s="306">
        <v>1.1000000000000001</v>
      </c>
      <c r="K109" s="306">
        <v>1.37</v>
      </c>
      <c r="L109" s="306" t="s">
        <v>80</v>
      </c>
      <c r="M109" s="306">
        <v>1.1399999999999999</v>
      </c>
      <c r="N109" s="306">
        <v>1.34</v>
      </c>
      <c r="O109" s="306">
        <v>0.9</v>
      </c>
      <c r="P109" s="306">
        <v>0.86199999999999999</v>
      </c>
      <c r="Q109" s="306">
        <v>0.9</v>
      </c>
      <c r="R109" s="306">
        <v>0.66</v>
      </c>
      <c r="S109" s="317">
        <f t="shared" si="4"/>
        <v>1.0857777777777777</v>
      </c>
      <c r="T109" s="60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</row>
    <row r="110" spans="1:30" ht="15.75" customHeight="1">
      <c r="A110" s="47">
        <v>2</v>
      </c>
      <c r="B110" s="47">
        <v>4</v>
      </c>
      <c r="C110" s="47">
        <v>2</v>
      </c>
      <c r="D110" s="25" t="s">
        <v>124</v>
      </c>
      <c r="E110" s="25" t="s">
        <v>125</v>
      </c>
      <c r="F110" s="25" t="s">
        <v>25</v>
      </c>
      <c r="G110" s="49">
        <v>50113</v>
      </c>
      <c r="H110" s="51">
        <v>172</v>
      </c>
      <c r="I110" s="306">
        <v>1.67</v>
      </c>
      <c r="J110" s="306">
        <v>1.62</v>
      </c>
      <c r="K110" s="306">
        <v>1.33</v>
      </c>
      <c r="L110" s="306">
        <v>1.4350000000000001</v>
      </c>
      <c r="M110" s="306">
        <v>1.1299999999999999</v>
      </c>
      <c r="N110" s="306">
        <v>1.26</v>
      </c>
      <c r="O110" s="306">
        <v>1.22</v>
      </c>
      <c r="P110" s="306">
        <v>1.08</v>
      </c>
      <c r="Q110" s="254"/>
      <c r="R110" s="254"/>
      <c r="S110" s="317">
        <f t="shared" si="4"/>
        <v>1.3431250000000001</v>
      </c>
      <c r="T110" s="60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</row>
    <row r="111" spans="1:30" ht="15.75" customHeight="1">
      <c r="A111" s="63">
        <v>2</v>
      </c>
      <c r="B111" s="63">
        <v>4</v>
      </c>
      <c r="C111" s="63">
        <v>2</v>
      </c>
      <c r="D111" s="38" t="s">
        <v>124</v>
      </c>
      <c r="E111" s="38" t="s">
        <v>125</v>
      </c>
      <c r="F111" s="38" t="s">
        <v>25</v>
      </c>
      <c r="G111" s="64">
        <v>50659</v>
      </c>
      <c r="H111" s="65">
        <v>63</v>
      </c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317" t="e">
        <f t="shared" si="4"/>
        <v>#DIV/0!</v>
      </c>
      <c r="T111" s="67" t="s">
        <v>43</v>
      </c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</row>
    <row r="112" spans="1:30" ht="15.75" customHeight="1">
      <c r="A112" s="159">
        <v>2</v>
      </c>
      <c r="B112" s="159">
        <v>4</v>
      </c>
      <c r="C112" s="159">
        <v>2</v>
      </c>
      <c r="D112" s="153" t="s">
        <v>126</v>
      </c>
      <c r="E112" s="153" t="s">
        <v>127</v>
      </c>
      <c r="F112" s="153" t="s">
        <v>25</v>
      </c>
      <c r="G112" s="161">
        <v>50767</v>
      </c>
      <c r="H112" s="162">
        <v>145</v>
      </c>
      <c r="I112" s="319">
        <v>1.81</v>
      </c>
      <c r="J112" s="320"/>
      <c r="K112" s="320"/>
      <c r="L112" s="320"/>
      <c r="M112" s="320"/>
      <c r="N112" s="320"/>
      <c r="O112" s="320"/>
      <c r="P112" s="320"/>
      <c r="Q112" s="320"/>
      <c r="R112" s="320"/>
      <c r="S112" s="317">
        <f t="shared" si="4"/>
        <v>1.81</v>
      </c>
      <c r="T112" s="163" t="s">
        <v>128</v>
      </c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</row>
    <row r="113" spans="1:30" ht="15.75" customHeight="1">
      <c r="A113" s="47">
        <v>2</v>
      </c>
      <c r="B113" s="47">
        <v>4</v>
      </c>
      <c r="C113" s="47">
        <v>3</v>
      </c>
      <c r="D113" s="25" t="s">
        <v>60</v>
      </c>
      <c r="E113" s="25" t="s">
        <v>61</v>
      </c>
      <c r="F113" s="25" t="s">
        <v>31</v>
      </c>
      <c r="G113" s="49">
        <v>50810</v>
      </c>
      <c r="H113" s="51">
        <v>482</v>
      </c>
      <c r="I113" s="306">
        <v>1.46</v>
      </c>
      <c r="J113" s="306">
        <v>1.67</v>
      </c>
      <c r="K113" s="306">
        <v>1.65</v>
      </c>
      <c r="L113" s="306">
        <v>1.84</v>
      </c>
      <c r="M113" s="306">
        <v>2.19</v>
      </c>
      <c r="N113" s="306">
        <v>1.609</v>
      </c>
      <c r="O113" s="306">
        <v>1.7</v>
      </c>
      <c r="P113" s="306">
        <v>2.04</v>
      </c>
      <c r="Q113" s="306">
        <v>1.98</v>
      </c>
      <c r="R113" s="306" t="s">
        <v>80</v>
      </c>
      <c r="S113" s="317">
        <f t="shared" si="4"/>
        <v>1.7932222222222221</v>
      </c>
      <c r="T113" s="60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</row>
    <row r="114" spans="1:30" ht="15.75" customHeight="1">
      <c r="A114" s="47">
        <v>2</v>
      </c>
      <c r="B114" s="47">
        <v>4</v>
      </c>
      <c r="C114" s="47">
        <v>4</v>
      </c>
      <c r="D114" s="25" t="s">
        <v>129</v>
      </c>
      <c r="E114" s="25" t="s">
        <v>130</v>
      </c>
      <c r="F114" s="25" t="s">
        <v>31</v>
      </c>
      <c r="G114" s="49">
        <v>50827</v>
      </c>
      <c r="H114" s="51">
        <v>654</v>
      </c>
      <c r="I114" s="306" t="s">
        <v>80</v>
      </c>
      <c r="J114" s="306" t="s">
        <v>80</v>
      </c>
      <c r="K114" s="306">
        <v>0.57999999999999996</v>
      </c>
      <c r="L114" s="306">
        <v>0.6</v>
      </c>
      <c r="M114" s="306">
        <v>0.77</v>
      </c>
      <c r="N114" s="306">
        <v>0.84</v>
      </c>
      <c r="O114" s="306">
        <v>0.62</v>
      </c>
      <c r="P114" s="306">
        <v>0.95</v>
      </c>
      <c r="Q114" s="306">
        <v>0.73</v>
      </c>
      <c r="R114" s="306">
        <v>0.8</v>
      </c>
      <c r="S114" s="317">
        <f t="shared" si="4"/>
        <v>0.73624999999999996</v>
      </c>
      <c r="T114" s="60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</row>
    <row r="115" spans="1:30" ht="15.75" customHeight="1">
      <c r="A115" s="159">
        <v>2</v>
      </c>
      <c r="B115" s="159">
        <v>4</v>
      </c>
      <c r="C115" s="159">
        <v>4</v>
      </c>
      <c r="D115" s="153" t="s">
        <v>60</v>
      </c>
      <c r="E115" s="153" t="s">
        <v>61</v>
      </c>
      <c r="F115" s="153" t="s">
        <v>31</v>
      </c>
      <c r="G115" s="161">
        <v>50860</v>
      </c>
      <c r="H115" s="162">
        <v>214</v>
      </c>
      <c r="I115" s="319">
        <v>0.78</v>
      </c>
      <c r="J115" s="319">
        <v>1.75</v>
      </c>
      <c r="K115" s="319">
        <v>0.74</v>
      </c>
      <c r="L115" s="319">
        <v>1.34</v>
      </c>
      <c r="M115" s="319">
        <v>1.05</v>
      </c>
      <c r="N115" s="319">
        <v>1.08</v>
      </c>
      <c r="O115" s="319" t="s">
        <v>80</v>
      </c>
      <c r="P115" s="319">
        <v>1.35</v>
      </c>
      <c r="Q115" s="319">
        <v>0.9</v>
      </c>
      <c r="R115" s="319" t="s">
        <v>80</v>
      </c>
      <c r="S115" s="317">
        <f t="shared" si="4"/>
        <v>1.12375</v>
      </c>
      <c r="T115" s="163" t="s">
        <v>131</v>
      </c>
      <c r="U115" s="271"/>
      <c r="V115" s="271"/>
      <c r="W115" s="271"/>
      <c r="X115" s="271"/>
      <c r="Y115" s="271"/>
      <c r="Z115" s="271"/>
      <c r="AA115" s="271"/>
      <c r="AB115" s="271"/>
      <c r="AC115" s="271"/>
      <c r="AD115" s="271"/>
    </row>
    <row r="116" spans="1:30" ht="15.75" customHeight="1">
      <c r="A116" s="47">
        <v>2</v>
      </c>
      <c r="B116" s="47">
        <v>4</v>
      </c>
      <c r="C116" s="47">
        <v>5</v>
      </c>
      <c r="D116" s="25" t="s">
        <v>56</v>
      </c>
      <c r="E116" s="25" t="s">
        <v>57</v>
      </c>
      <c r="F116" s="25" t="s">
        <v>31</v>
      </c>
      <c r="G116" s="49">
        <v>50712</v>
      </c>
      <c r="H116" s="51">
        <v>621</v>
      </c>
      <c r="I116" s="306">
        <v>0.69</v>
      </c>
      <c r="J116" s="306">
        <v>2.8010000000000002</v>
      </c>
      <c r="K116" s="306">
        <v>0.6</v>
      </c>
      <c r="L116" s="306">
        <v>0.69</v>
      </c>
      <c r="M116" s="306">
        <v>0.6</v>
      </c>
      <c r="N116" s="306">
        <v>0.85699999999999998</v>
      </c>
      <c r="O116" s="306">
        <v>0.9</v>
      </c>
      <c r="P116" s="306">
        <v>0.73</v>
      </c>
      <c r="Q116" s="306">
        <v>1.63</v>
      </c>
      <c r="R116" s="306">
        <v>1.46</v>
      </c>
      <c r="S116" s="317">
        <f t="shared" si="4"/>
        <v>1.0958000000000001</v>
      </c>
      <c r="T116" s="60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</row>
    <row r="117" spans="1:30" ht="15.75" customHeight="1">
      <c r="A117" s="47">
        <v>2</v>
      </c>
      <c r="B117" s="47">
        <v>4</v>
      </c>
      <c r="C117" s="47">
        <v>6</v>
      </c>
      <c r="D117" s="25" t="s">
        <v>132</v>
      </c>
      <c r="E117" s="25" t="s">
        <v>133</v>
      </c>
      <c r="F117" s="25" t="s">
        <v>109</v>
      </c>
      <c r="G117" s="49">
        <v>50716</v>
      </c>
      <c r="H117" s="51">
        <v>82</v>
      </c>
      <c r="I117" s="306">
        <v>0.3</v>
      </c>
      <c r="J117" s="306">
        <v>0.46</v>
      </c>
      <c r="K117" s="306">
        <v>0.35</v>
      </c>
      <c r="L117" s="306"/>
      <c r="M117" s="254"/>
      <c r="N117" s="254"/>
      <c r="O117" s="254"/>
      <c r="P117" s="254"/>
      <c r="Q117" s="254"/>
      <c r="R117" s="254"/>
      <c r="S117" s="317">
        <f t="shared" si="4"/>
        <v>0.36999999999999994</v>
      </c>
      <c r="T117" s="60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</row>
    <row r="118" spans="1:30" ht="15.75" customHeight="1">
      <c r="A118" s="71">
        <v>2</v>
      </c>
      <c r="B118" s="71">
        <v>4</v>
      </c>
      <c r="C118" s="71">
        <v>6</v>
      </c>
      <c r="D118" s="53" t="s">
        <v>132</v>
      </c>
      <c r="E118" s="53" t="s">
        <v>133</v>
      </c>
      <c r="F118" s="53" t="s">
        <v>109</v>
      </c>
      <c r="G118" s="73">
        <v>50789</v>
      </c>
      <c r="H118" s="74">
        <v>327</v>
      </c>
      <c r="I118" s="172">
        <v>1.9039999999999999</v>
      </c>
      <c r="J118" s="172">
        <v>1.5</v>
      </c>
      <c r="K118" s="172">
        <v>1.98</v>
      </c>
      <c r="L118" s="172">
        <v>1.2</v>
      </c>
      <c r="M118" s="172">
        <v>1.478</v>
      </c>
      <c r="N118" s="172">
        <v>1.0569999999999999</v>
      </c>
      <c r="O118" s="172">
        <v>1.083</v>
      </c>
      <c r="P118" s="172">
        <v>1.43</v>
      </c>
      <c r="Q118" s="172">
        <v>0.98</v>
      </c>
      <c r="R118" s="172">
        <v>0.28000000000000003</v>
      </c>
      <c r="S118" s="317">
        <f t="shared" si="4"/>
        <v>1.2892000000000001</v>
      </c>
      <c r="T118" s="79" t="s">
        <v>248</v>
      </c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</row>
    <row r="119" spans="1:30" ht="15.75" customHeight="1">
      <c r="A119" s="47">
        <v>2</v>
      </c>
      <c r="B119" s="47">
        <v>4</v>
      </c>
      <c r="C119" s="47">
        <v>6</v>
      </c>
      <c r="D119" s="25" t="s">
        <v>132</v>
      </c>
      <c r="E119" s="25" t="s">
        <v>133</v>
      </c>
      <c r="F119" s="25" t="s">
        <v>34</v>
      </c>
      <c r="G119" s="49">
        <v>50710</v>
      </c>
      <c r="H119" s="51">
        <v>15</v>
      </c>
      <c r="I119" s="62">
        <v>1.67</v>
      </c>
      <c r="J119" s="62" t="s">
        <v>80</v>
      </c>
      <c r="K119" s="62">
        <v>1.52</v>
      </c>
      <c r="L119" s="254"/>
      <c r="M119" s="254"/>
      <c r="N119" s="254"/>
      <c r="O119" s="254"/>
      <c r="P119" s="254"/>
      <c r="Q119" s="254"/>
      <c r="R119" s="254"/>
      <c r="S119" s="317">
        <f t="shared" si="4"/>
        <v>1.595</v>
      </c>
      <c r="T119" s="27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</row>
    <row r="120" spans="1:30" ht="15.75" customHeight="1">
      <c r="A120" s="47">
        <v>2</v>
      </c>
      <c r="B120" s="47">
        <v>4</v>
      </c>
      <c r="C120" s="47">
        <v>7</v>
      </c>
      <c r="D120" s="25" t="s">
        <v>134</v>
      </c>
      <c r="E120" s="25" t="s">
        <v>135</v>
      </c>
      <c r="F120" s="25" t="s">
        <v>25</v>
      </c>
      <c r="G120" s="49">
        <v>50268</v>
      </c>
      <c r="H120" s="51">
        <v>411</v>
      </c>
      <c r="I120" s="62">
        <v>0.47</v>
      </c>
      <c r="J120" s="62">
        <v>0.49</v>
      </c>
      <c r="K120" s="62">
        <v>1.59</v>
      </c>
      <c r="L120" s="62" t="s">
        <v>80</v>
      </c>
      <c r="M120" s="62">
        <v>0.84</v>
      </c>
      <c r="N120" s="62">
        <v>1.07</v>
      </c>
      <c r="O120" s="62">
        <v>1.3</v>
      </c>
      <c r="P120" s="62">
        <v>1.44</v>
      </c>
      <c r="Q120" s="62">
        <v>1.36</v>
      </c>
      <c r="R120" s="62">
        <v>0.68</v>
      </c>
      <c r="S120" s="317">
        <f t="shared" si="4"/>
        <v>1.0266666666666664</v>
      </c>
      <c r="T120" s="27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</row>
    <row r="121" spans="1:30" ht="15.75" customHeight="1">
      <c r="A121" s="71">
        <v>2</v>
      </c>
      <c r="B121" s="71">
        <v>4</v>
      </c>
      <c r="C121" s="71">
        <v>7</v>
      </c>
      <c r="D121" s="53" t="s">
        <v>134</v>
      </c>
      <c r="E121" s="53" t="s">
        <v>135</v>
      </c>
      <c r="F121" s="53" t="s">
        <v>68</v>
      </c>
      <c r="G121" s="73">
        <v>50169</v>
      </c>
      <c r="H121" s="74">
        <v>10</v>
      </c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317" t="e">
        <f t="shared" si="4"/>
        <v>#DIV/0!</v>
      </c>
      <c r="T121" s="79" t="s">
        <v>55</v>
      </c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</row>
    <row r="122" spans="1:30" ht="15.75" customHeight="1">
      <c r="A122" s="47">
        <v>2</v>
      </c>
      <c r="B122" s="47">
        <v>4</v>
      </c>
      <c r="C122" s="47">
        <v>9</v>
      </c>
      <c r="D122" s="25" t="s">
        <v>136</v>
      </c>
      <c r="E122" s="25" t="s">
        <v>137</v>
      </c>
      <c r="F122" s="25" t="s">
        <v>68</v>
      </c>
      <c r="G122" s="49">
        <v>50830</v>
      </c>
      <c r="H122" s="51">
        <v>329</v>
      </c>
      <c r="I122" s="62">
        <v>0.78</v>
      </c>
      <c r="J122" s="62" t="s">
        <v>80</v>
      </c>
      <c r="K122" s="62">
        <v>1.1000000000000001</v>
      </c>
      <c r="L122" s="62">
        <v>1</v>
      </c>
      <c r="M122" s="62">
        <v>0.9</v>
      </c>
      <c r="N122" s="62">
        <v>0.73</v>
      </c>
      <c r="O122" s="62">
        <v>0.9</v>
      </c>
      <c r="P122" s="62">
        <v>1.7</v>
      </c>
      <c r="Q122" s="62">
        <v>0.83</v>
      </c>
      <c r="R122" s="62">
        <v>0.89</v>
      </c>
      <c r="S122" s="317">
        <f t="shared" si="4"/>
        <v>0.98111111111111116</v>
      </c>
      <c r="T122" s="27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</row>
    <row r="123" spans="1:30" ht="15.75" customHeight="1">
      <c r="A123" s="47">
        <v>2</v>
      </c>
      <c r="B123" s="47">
        <v>4</v>
      </c>
      <c r="C123" s="47">
        <v>9</v>
      </c>
      <c r="D123" s="25" t="s">
        <v>136</v>
      </c>
      <c r="E123" s="25" t="s">
        <v>137</v>
      </c>
      <c r="F123" s="25" t="s">
        <v>25</v>
      </c>
      <c r="G123" s="49">
        <v>50757</v>
      </c>
      <c r="H123" s="51">
        <v>10</v>
      </c>
      <c r="I123" s="62">
        <v>0.73</v>
      </c>
      <c r="J123" s="254"/>
      <c r="K123" s="254"/>
      <c r="L123" s="254"/>
      <c r="M123" s="254"/>
      <c r="N123" s="254"/>
      <c r="O123" s="254"/>
      <c r="P123" s="254"/>
      <c r="Q123" s="254"/>
      <c r="R123" s="254"/>
      <c r="S123" s="317">
        <f t="shared" si="4"/>
        <v>0.73</v>
      </c>
      <c r="T123" s="27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</row>
    <row r="124" spans="1:30" ht="15.75" customHeight="1">
      <c r="A124" s="47">
        <v>2</v>
      </c>
      <c r="B124" s="47">
        <v>4</v>
      </c>
      <c r="C124" s="47">
        <v>10</v>
      </c>
      <c r="D124" s="25" t="s">
        <v>138</v>
      </c>
      <c r="E124" s="25" t="s">
        <v>139</v>
      </c>
      <c r="F124" s="25" t="s">
        <v>68</v>
      </c>
      <c r="G124" s="49">
        <v>50828</v>
      </c>
      <c r="H124" s="51">
        <v>954</v>
      </c>
      <c r="I124" s="62" t="s">
        <v>80</v>
      </c>
      <c r="J124" s="62">
        <v>0.88</v>
      </c>
      <c r="K124" s="62">
        <v>0.85</v>
      </c>
      <c r="L124" s="62">
        <v>0.88</v>
      </c>
      <c r="M124" s="62">
        <v>0.72</v>
      </c>
      <c r="N124" s="62">
        <v>0.84</v>
      </c>
      <c r="O124" s="62">
        <v>0.8</v>
      </c>
      <c r="P124" s="62">
        <v>0.6</v>
      </c>
      <c r="Q124" s="62">
        <v>0.64</v>
      </c>
      <c r="R124" s="62">
        <v>0.68</v>
      </c>
      <c r="S124" s="317">
        <f t="shared" si="4"/>
        <v>0.76555555555555543</v>
      </c>
      <c r="T124" s="27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</row>
    <row r="125" spans="1:30" ht="15.75" customHeight="1">
      <c r="A125" s="47">
        <v>2</v>
      </c>
      <c r="B125" s="47">
        <v>4</v>
      </c>
      <c r="C125" s="47">
        <v>10</v>
      </c>
      <c r="D125" s="25" t="s">
        <v>140</v>
      </c>
      <c r="E125" s="25" t="s">
        <v>141</v>
      </c>
      <c r="F125" s="25" t="s">
        <v>25</v>
      </c>
      <c r="G125" s="49">
        <v>50763</v>
      </c>
      <c r="H125" s="51">
        <v>19</v>
      </c>
      <c r="I125" s="62">
        <v>1.7</v>
      </c>
      <c r="J125" s="254"/>
      <c r="K125" s="254"/>
      <c r="L125" s="254"/>
      <c r="M125" s="254"/>
      <c r="N125" s="254"/>
      <c r="O125" s="254"/>
      <c r="P125" s="254"/>
      <c r="Q125" s="254"/>
      <c r="R125" s="254"/>
      <c r="S125" s="317">
        <f t="shared" si="4"/>
        <v>1.7</v>
      </c>
      <c r="T125" s="27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</row>
    <row r="126" spans="1:30" ht="15.75" customHeight="1">
      <c r="A126" s="47">
        <v>2</v>
      </c>
      <c r="B126" s="47">
        <v>4</v>
      </c>
      <c r="C126" s="47">
        <v>10</v>
      </c>
      <c r="D126" s="25" t="s">
        <v>138</v>
      </c>
      <c r="E126" s="25" t="s">
        <v>139</v>
      </c>
      <c r="F126" s="25" t="s">
        <v>68</v>
      </c>
      <c r="G126" s="49">
        <v>50295</v>
      </c>
      <c r="H126" s="51">
        <v>11</v>
      </c>
      <c r="I126" s="62">
        <v>1.1000000000000001</v>
      </c>
      <c r="J126" s="62">
        <v>0.87</v>
      </c>
      <c r="K126" s="254"/>
      <c r="L126" s="254"/>
      <c r="M126" s="254"/>
      <c r="N126" s="254"/>
      <c r="O126" s="254"/>
      <c r="P126" s="254"/>
      <c r="Q126" s="254"/>
      <c r="R126" s="254"/>
      <c r="S126" s="317">
        <f t="shared" si="4"/>
        <v>0.9850000000000001</v>
      </c>
      <c r="T126" s="27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</row>
    <row r="127" spans="1:30" ht="15.75" customHeight="1">
      <c r="A127" s="47">
        <v>2</v>
      </c>
      <c r="B127" s="47">
        <v>4</v>
      </c>
      <c r="C127" s="47">
        <v>10</v>
      </c>
      <c r="D127" s="25" t="s">
        <v>140</v>
      </c>
      <c r="E127" s="25" t="s">
        <v>141</v>
      </c>
      <c r="F127" s="25" t="s">
        <v>68</v>
      </c>
      <c r="G127" s="49">
        <v>50638</v>
      </c>
      <c r="H127" s="51">
        <v>52</v>
      </c>
      <c r="I127" s="62">
        <v>0.74</v>
      </c>
      <c r="J127" s="62">
        <v>1.4</v>
      </c>
      <c r="K127" s="62">
        <v>1.1399999999999999</v>
      </c>
      <c r="L127" s="254"/>
      <c r="M127" s="254"/>
      <c r="N127" s="254"/>
      <c r="O127" s="254"/>
      <c r="P127" s="254"/>
      <c r="Q127" s="254"/>
      <c r="R127" s="254"/>
      <c r="S127" s="317">
        <f t="shared" si="4"/>
        <v>1.093333333333333</v>
      </c>
      <c r="T127" s="27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</row>
    <row r="128" spans="1:30" ht="15.75" customHeight="1">
      <c r="A128" s="47">
        <v>2</v>
      </c>
      <c r="B128" s="47">
        <v>4</v>
      </c>
      <c r="C128" s="47">
        <v>10</v>
      </c>
      <c r="D128" s="25" t="s">
        <v>138</v>
      </c>
      <c r="E128" s="25" t="s">
        <v>139</v>
      </c>
      <c r="F128" s="25" t="s">
        <v>25</v>
      </c>
      <c r="G128" s="49">
        <v>50750</v>
      </c>
      <c r="H128" s="51">
        <v>82</v>
      </c>
      <c r="I128" s="62">
        <v>1.4</v>
      </c>
      <c r="J128" s="254"/>
      <c r="K128" s="254"/>
      <c r="L128" s="254"/>
      <c r="M128" s="254"/>
      <c r="N128" s="254"/>
      <c r="O128" s="254"/>
      <c r="P128" s="254"/>
      <c r="Q128" s="254"/>
      <c r="R128" s="254"/>
      <c r="S128" s="317">
        <f t="shared" si="4"/>
        <v>1.4</v>
      </c>
      <c r="T128" s="27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</row>
    <row r="129" spans="1:30" ht="15.75" customHeight="1">
      <c r="A129" s="63">
        <v>2</v>
      </c>
      <c r="B129" s="63">
        <v>4</v>
      </c>
      <c r="C129" s="63">
        <v>11</v>
      </c>
      <c r="D129" s="38" t="s">
        <v>142</v>
      </c>
      <c r="E129" s="38" t="s">
        <v>143</v>
      </c>
      <c r="F129" s="38" t="s">
        <v>144</v>
      </c>
      <c r="G129" s="64">
        <v>50769</v>
      </c>
      <c r="H129" s="65">
        <v>2</v>
      </c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317" t="e">
        <f t="shared" si="4"/>
        <v>#DIV/0!</v>
      </c>
      <c r="T129" s="67" t="s">
        <v>43</v>
      </c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</row>
    <row r="130" spans="1:30" ht="15.75" customHeight="1">
      <c r="A130" s="47">
        <v>2</v>
      </c>
      <c r="B130" s="47">
        <v>4</v>
      </c>
      <c r="C130" s="47">
        <v>13</v>
      </c>
      <c r="D130" s="25" t="s">
        <v>32</v>
      </c>
      <c r="E130" s="25" t="s">
        <v>33</v>
      </c>
      <c r="F130" s="25" t="s">
        <v>68</v>
      </c>
      <c r="G130" s="49">
        <v>50819</v>
      </c>
      <c r="H130" s="51">
        <v>1285</v>
      </c>
      <c r="I130" s="62">
        <v>1.54</v>
      </c>
      <c r="J130" s="62">
        <v>1.1000000000000001</v>
      </c>
      <c r="K130" s="62">
        <v>1.54</v>
      </c>
      <c r="L130" s="62">
        <v>0.84</v>
      </c>
      <c r="M130" s="62">
        <v>1.23</v>
      </c>
      <c r="N130" s="62">
        <v>1.47</v>
      </c>
      <c r="O130" s="62">
        <v>1.5</v>
      </c>
      <c r="P130" s="62">
        <v>1</v>
      </c>
      <c r="Q130" s="62">
        <v>1.55</v>
      </c>
      <c r="R130" s="62">
        <v>0.97</v>
      </c>
      <c r="S130" s="317">
        <f t="shared" si="4"/>
        <v>1.274</v>
      </c>
      <c r="T130" s="27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</row>
    <row r="131" spans="1:30" ht="15.75" customHeight="1">
      <c r="A131" s="47">
        <v>2</v>
      </c>
      <c r="B131" s="47">
        <v>4</v>
      </c>
      <c r="C131" s="47">
        <v>14</v>
      </c>
      <c r="D131" s="25" t="s">
        <v>145</v>
      </c>
      <c r="E131" s="25" t="s">
        <v>146</v>
      </c>
      <c r="F131" s="25" t="s">
        <v>31</v>
      </c>
      <c r="G131" s="49">
        <v>50809</v>
      </c>
      <c r="H131" s="51">
        <v>664</v>
      </c>
      <c r="I131" s="62">
        <v>1.64</v>
      </c>
      <c r="J131" s="62">
        <v>1.43</v>
      </c>
      <c r="K131" s="62">
        <v>1.7</v>
      </c>
      <c r="L131" s="62">
        <v>2.25</v>
      </c>
      <c r="M131" s="62">
        <v>1.38</v>
      </c>
      <c r="N131" s="62">
        <v>1.93</v>
      </c>
      <c r="O131" s="62">
        <v>1.5</v>
      </c>
      <c r="P131" s="62">
        <v>1.37</v>
      </c>
      <c r="Q131" s="62">
        <v>1.78</v>
      </c>
      <c r="R131" s="62">
        <v>1.29</v>
      </c>
      <c r="S131" s="317">
        <f t="shared" si="4"/>
        <v>1.627</v>
      </c>
      <c r="T131" s="27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</row>
    <row r="132" spans="1:30" ht="15.75" customHeight="1">
      <c r="A132" s="63">
        <v>2</v>
      </c>
      <c r="B132" s="63">
        <v>4</v>
      </c>
      <c r="C132" s="63">
        <v>15</v>
      </c>
      <c r="D132" s="38" t="s">
        <v>147</v>
      </c>
      <c r="E132" s="38" t="s">
        <v>148</v>
      </c>
      <c r="F132" s="38" t="s">
        <v>25</v>
      </c>
      <c r="G132" s="64">
        <v>50376</v>
      </c>
      <c r="H132" s="65">
        <v>6</v>
      </c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317" t="e">
        <f t="shared" si="4"/>
        <v>#DIV/0!</v>
      </c>
      <c r="T132" s="67" t="s">
        <v>43</v>
      </c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</row>
    <row r="133" spans="1:30" ht="15.75" customHeight="1">
      <c r="A133" s="47">
        <v>2</v>
      </c>
      <c r="B133" s="47">
        <v>4</v>
      </c>
      <c r="C133" s="47">
        <v>15</v>
      </c>
      <c r="D133" s="25" t="s">
        <v>149</v>
      </c>
      <c r="E133" s="25" t="s">
        <v>150</v>
      </c>
      <c r="F133" s="25" t="s">
        <v>31</v>
      </c>
      <c r="G133" s="49">
        <v>50815</v>
      </c>
      <c r="H133" s="51">
        <v>81</v>
      </c>
      <c r="I133" s="62">
        <v>1.82</v>
      </c>
      <c r="J133" s="62">
        <v>2.13</v>
      </c>
      <c r="K133" s="62">
        <v>1.72</v>
      </c>
      <c r="L133" s="254"/>
      <c r="M133" s="254"/>
      <c r="N133" s="254"/>
      <c r="O133" s="254"/>
      <c r="P133" s="254"/>
      <c r="Q133" s="254"/>
      <c r="R133" s="254"/>
      <c r="S133" s="317">
        <f t="shared" si="4"/>
        <v>1.89</v>
      </c>
      <c r="T133" s="27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</row>
    <row r="134" spans="1:30" ht="15.75" customHeight="1">
      <c r="A134" s="71">
        <v>2</v>
      </c>
      <c r="B134" s="71">
        <v>4</v>
      </c>
      <c r="C134" s="71">
        <v>15</v>
      </c>
      <c r="D134" s="53" t="s">
        <v>145</v>
      </c>
      <c r="E134" s="53" t="s">
        <v>146</v>
      </c>
      <c r="F134" s="53" t="s">
        <v>31</v>
      </c>
      <c r="G134" s="73">
        <v>50711</v>
      </c>
      <c r="H134" s="74">
        <v>100</v>
      </c>
      <c r="I134" s="172" t="s">
        <v>80</v>
      </c>
      <c r="J134" s="172" t="s">
        <v>80</v>
      </c>
      <c r="K134" s="172" t="s">
        <v>80</v>
      </c>
      <c r="L134" s="98"/>
      <c r="M134" s="98"/>
      <c r="N134" s="98"/>
      <c r="O134" s="98"/>
      <c r="P134" s="98"/>
      <c r="Q134" s="98"/>
      <c r="R134" s="98"/>
      <c r="S134" s="317" t="e">
        <f t="shared" si="4"/>
        <v>#DIV/0!</v>
      </c>
      <c r="T134" s="79" t="s">
        <v>248</v>
      </c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</row>
    <row r="135" spans="1:30" ht="15.75" customHeight="1">
      <c r="A135" s="47">
        <v>2</v>
      </c>
      <c r="B135" s="47">
        <v>4</v>
      </c>
      <c r="C135" s="47">
        <v>15</v>
      </c>
      <c r="D135" s="25" t="s">
        <v>145</v>
      </c>
      <c r="E135" s="25" t="s">
        <v>146</v>
      </c>
      <c r="F135" s="25" t="s">
        <v>68</v>
      </c>
      <c r="G135" s="49">
        <v>50701</v>
      </c>
      <c r="H135" s="51">
        <v>70</v>
      </c>
      <c r="I135" s="62">
        <v>1.1599999999999999</v>
      </c>
      <c r="J135" s="62">
        <v>0.57999999999999996</v>
      </c>
      <c r="K135" s="62">
        <v>0.53</v>
      </c>
      <c r="L135" s="254"/>
      <c r="M135" s="254"/>
      <c r="N135" s="254"/>
      <c r="O135" s="254"/>
      <c r="P135" s="254"/>
      <c r="Q135" s="254"/>
      <c r="R135" s="254"/>
      <c r="S135" s="317">
        <f t="shared" si="4"/>
        <v>0.75666666666666649</v>
      </c>
      <c r="T135" s="27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</row>
    <row r="136" spans="1:30" ht="15.75" customHeight="1">
      <c r="A136" s="47">
        <v>2</v>
      </c>
      <c r="B136" s="47">
        <v>4</v>
      </c>
      <c r="C136" s="47">
        <v>15</v>
      </c>
      <c r="D136" s="25" t="s">
        <v>151</v>
      </c>
      <c r="E136" s="25" t="s">
        <v>152</v>
      </c>
      <c r="F136" s="25" t="s">
        <v>144</v>
      </c>
      <c r="G136" s="49">
        <v>50776</v>
      </c>
      <c r="H136" s="51">
        <v>28</v>
      </c>
      <c r="I136" s="62">
        <v>1.31</v>
      </c>
      <c r="J136" s="254"/>
      <c r="K136" s="254"/>
      <c r="L136" s="254"/>
      <c r="M136" s="254"/>
      <c r="N136" s="254"/>
      <c r="O136" s="254"/>
      <c r="P136" s="254"/>
      <c r="Q136" s="254"/>
      <c r="R136" s="254"/>
      <c r="S136" s="317">
        <f t="shared" si="4"/>
        <v>1.31</v>
      </c>
      <c r="T136" s="27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</row>
    <row r="137" spans="1:30" ht="15.75" customHeight="1">
      <c r="A137" s="63">
        <v>2</v>
      </c>
      <c r="B137" s="63">
        <v>4</v>
      </c>
      <c r="C137" s="63">
        <v>15</v>
      </c>
      <c r="D137" s="38" t="s">
        <v>151</v>
      </c>
      <c r="E137" s="38" t="s">
        <v>152</v>
      </c>
      <c r="F137" s="38" t="s">
        <v>31</v>
      </c>
      <c r="G137" s="64">
        <v>50811</v>
      </c>
      <c r="H137" s="65">
        <v>4</v>
      </c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317" t="e">
        <f t="shared" si="4"/>
        <v>#DIV/0!</v>
      </c>
      <c r="T137" s="67" t="s">
        <v>43</v>
      </c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</row>
    <row r="138" spans="1:30" ht="15.75" customHeight="1">
      <c r="A138" s="47">
        <v>2</v>
      </c>
      <c r="B138" s="47">
        <v>4</v>
      </c>
      <c r="C138" s="47">
        <v>15</v>
      </c>
      <c r="D138" s="25" t="s">
        <v>153</v>
      </c>
      <c r="E138" s="25" t="s">
        <v>154</v>
      </c>
      <c r="F138" s="25" t="s">
        <v>155</v>
      </c>
      <c r="G138" s="49">
        <v>50851</v>
      </c>
      <c r="H138" s="51">
        <v>15</v>
      </c>
      <c r="I138" s="62">
        <v>1</v>
      </c>
      <c r="J138" s="254"/>
      <c r="K138" s="254"/>
      <c r="L138" s="254"/>
      <c r="M138" s="254"/>
      <c r="N138" s="254"/>
      <c r="O138" s="254"/>
      <c r="P138" s="254"/>
      <c r="Q138" s="254"/>
      <c r="R138" s="254"/>
      <c r="S138" s="317">
        <f t="shared" si="4"/>
        <v>1</v>
      </c>
      <c r="T138" s="27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</row>
    <row r="139" spans="1:30" ht="15.75" customHeight="1">
      <c r="A139" s="47">
        <v>2</v>
      </c>
      <c r="B139" s="47">
        <v>4</v>
      </c>
      <c r="C139" s="47">
        <v>15</v>
      </c>
      <c r="D139" s="25" t="s">
        <v>156</v>
      </c>
      <c r="E139" s="25" t="s">
        <v>157</v>
      </c>
      <c r="F139" s="25" t="s">
        <v>31</v>
      </c>
      <c r="G139" s="49">
        <v>50805</v>
      </c>
      <c r="H139" s="51">
        <v>15</v>
      </c>
      <c r="I139" s="62">
        <v>1.1399999999999999</v>
      </c>
      <c r="J139" s="254"/>
      <c r="K139" s="254"/>
      <c r="L139" s="254"/>
      <c r="M139" s="254"/>
      <c r="N139" s="254"/>
      <c r="O139" s="254"/>
      <c r="P139" s="254"/>
      <c r="Q139" s="254"/>
      <c r="R139" s="254"/>
      <c r="S139" s="317">
        <f t="shared" si="4"/>
        <v>1.1399999999999999</v>
      </c>
      <c r="T139" s="27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</row>
    <row r="140" spans="1:30" ht="15.75" customHeight="1">
      <c r="A140" s="47">
        <v>2</v>
      </c>
      <c r="B140" s="47">
        <v>4</v>
      </c>
      <c r="C140" s="47">
        <v>15</v>
      </c>
      <c r="D140" s="25" t="s">
        <v>158</v>
      </c>
      <c r="E140" s="25" t="s">
        <v>159</v>
      </c>
      <c r="F140" s="25" t="s">
        <v>31</v>
      </c>
      <c r="G140" s="49">
        <v>50849</v>
      </c>
      <c r="H140" s="51">
        <v>27</v>
      </c>
      <c r="I140" s="306">
        <v>0.95</v>
      </c>
      <c r="J140" s="254"/>
      <c r="K140" s="254"/>
      <c r="L140" s="254"/>
      <c r="M140" s="254"/>
      <c r="N140" s="254"/>
      <c r="O140" s="254"/>
      <c r="P140" s="254"/>
      <c r="Q140" s="254"/>
      <c r="R140" s="254"/>
      <c r="S140" s="317">
        <f t="shared" si="4"/>
        <v>0.95</v>
      </c>
      <c r="T140" s="158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</row>
    <row r="141" spans="1:30" ht="15.75" customHeight="1">
      <c r="A141" s="47">
        <v>2</v>
      </c>
      <c r="B141" s="47">
        <v>4</v>
      </c>
      <c r="C141" s="47">
        <v>15</v>
      </c>
      <c r="D141" s="25" t="s">
        <v>160</v>
      </c>
      <c r="E141" s="25" t="s">
        <v>161</v>
      </c>
      <c r="F141" s="25" t="s">
        <v>34</v>
      </c>
      <c r="G141" s="49">
        <v>50707</v>
      </c>
      <c r="H141" s="51">
        <v>30</v>
      </c>
      <c r="I141" s="306">
        <v>0.86</v>
      </c>
      <c r="J141" s="254"/>
      <c r="K141" s="254"/>
      <c r="L141" s="254"/>
      <c r="M141" s="254"/>
      <c r="N141" s="254"/>
      <c r="O141" s="254"/>
      <c r="P141" s="254"/>
      <c r="Q141" s="254"/>
      <c r="R141" s="254"/>
      <c r="S141" s="317">
        <f t="shared" si="4"/>
        <v>0.86</v>
      </c>
      <c r="T141" s="158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</row>
    <row r="142" spans="1:30" ht="15.75" customHeight="1">
      <c r="A142" s="47">
        <v>2</v>
      </c>
      <c r="B142" s="47">
        <v>4</v>
      </c>
      <c r="C142" s="47">
        <v>15</v>
      </c>
      <c r="D142" s="25" t="s">
        <v>162</v>
      </c>
      <c r="E142" s="25" t="s">
        <v>163</v>
      </c>
      <c r="F142" s="25" t="s">
        <v>34</v>
      </c>
      <c r="G142" s="49">
        <v>50840</v>
      </c>
      <c r="H142" s="51">
        <v>1</v>
      </c>
      <c r="I142" s="306">
        <v>0.45</v>
      </c>
      <c r="J142" s="254"/>
      <c r="K142" s="254"/>
      <c r="L142" s="254"/>
      <c r="M142" s="254"/>
      <c r="N142" s="254"/>
      <c r="O142" s="254"/>
      <c r="P142" s="254"/>
      <c r="Q142" s="254"/>
      <c r="R142" s="254"/>
      <c r="S142" s="317">
        <f t="shared" si="4"/>
        <v>0.45</v>
      </c>
      <c r="T142" s="158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</row>
    <row r="143" spans="1:30" ht="15.75" customHeight="1">
      <c r="A143" s="71">
        <v>2</v>
      </c>
      <c r="B143" s="71">
        <v>4</v>
      </c>
      <c r="C143" s="71">
        <v>15</v>
      </c>
      <c r="D143" s="53" t="s">
        <v>164</v>
      </c>
      <c r="E143" s="53" t="s">
        <v>165</v>
      </c>
      <c r="F143" s="53" t="s">
        <v>166</v>
      </c>
      <c r="G143" s="73">
        <v>50775</v>
      </c>
      <c r="H143" s="74">
        <v>1</v>
      </c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317" t="e">
        <f t="shared" si="4"/>
        <v>#DIV/0!</v>
      </c>
      <c r="T143" s="53" t="s">
        <v>55</v>
      </c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</row>
    <row r="144" spans="1:30" ht="15.75" customHeight="1">
      <c r="A144" s="63">
        <v>2</v>
      </c>
      <c r="B144" s="63">
        <v>4</v>
      </c>
      <c r="C144" s="63">
        <v>15</v>
      </c>
      <c r="D144" s="38" t="s">
        <v>149</v>
      </c>
      <c r="E144" s="38" t="s">
        <v>150</v>
      </c>
      <c r="F144" s="38" t="s">
        <v>68</v>
      </c>
      <c r="G144" s="64">
        <v>50669</v>
      </c>
      <c r="H144" s="65">
        <v>4</v>
      </c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317" t="e">
        <f t="shared" si="4"/>
        <v>#DIV/0!</v>
      </c>
      <c r="T144" s="38" t="s">
        <v>43</v>
      </c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</row>
    <row r="145" spans="1:30" ht="15.75" customHeight="1">
      <c r="A145" s="63">
        <v>2</v>
      </c>
      <c r="B145" s="63">
        <v>4</v>
      </c>
      <c r="C145" s="63">
        <v>15</v>
      </c>
      <c r="D145" s="38" t="s">
        <v>149</v>
      </c>
      <c r="E145" s="38" t="s">
        <v>150</v>
      </c>
      <c r="F145" s="38" t="s">
        <v>34</v>
      </c>
      <c r="G145" s="64">
        <v>50433</v>
      </c>
      <c r="H145" s="65">
        <v>3</v>
      </c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317" t="e">
        <f t="shared" si="4"/>
        <v>#DIV/0!</v>
      </c>
      <c r="T145" s="38" t="s">
        <v>43</v>
      </c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</row>
    <row r="146" spans="1:30" ht="15.75" customHeight="1">
      <c r="A146" s="47">
        <v>2</v>
      </c>
      <c r="B146" s="47">
        <v>4</v>
      </c>
      <c r="C146" s="47">
        <v>16</v>
      </c>
      <c r="D146" s="25" t="s">
        <v>167</v>
      </c>
      <c r="E146" s="25" t="s">
        <v>168</v>
      </c>
      <c r="F146" s="25" t="s">
        <v>31</v>
      </c>
      <c r="G146" s="49">
        <v>50865</v>
      </c>
      <c r="H146" s="51">
        <v>628</v>
      </c>
      <c r="I146" s="306">
        <v>1.1200000000000001</v>
      </c>
      <c r="J146" s="306">
        <v>1.44</v>
      </c>
      <c r="K146" s="306">
        <v>1.0900000000000001</v>
      </c>
      <c r="L146" s="306">
        <v>1.06</v>
      </c>
      <c r="M146" s="306">
        <v>1.33</v>
      </c>
      <c r="N146" s="306">
        <v>1.22</v>
      </c>
      <c r="O146" s="306">
        <v>1.02</v>
      </c>
      <c r="P146" s="306">
        <v>1.07</v>
      </c>
      <c r="Q146" s="306">
        <v>1.44</v>
      </c>
      <c r="R146" s="306">
        <v>1.1399999999999999</v>
      </c>
      <c r="S146" s="317">
        <f t="shared" si="4"/>
        <v>1.1930000000000001</v>
      </c>
      <c r="T146" s="158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</row>
    <row r="147" spans="1:30" ht="15.75" customHeight="1">
      <c r="A147" s="47">
        <v>2</v>
      </c>
      <c r="B147" s="47">
        <v>4</v>
      </c>
      <c r="C147" s="47">
        <v>16</v>
      </c>
      <c r="D147" s="25" t="s">
        <v>145</v>
      </c>
      <c r="E147" s="25" t="s">
        <v>146</v>
      </c>
      <c r="F147" s="25" t="s">
        <v>31</v>
      </c>
      <c r="G147" s="49">
        <v>50866</v>
      </c>
      <c r="H147" s="51">
        <v>86</v>
      </c>
      <c r="I147" s="306">
        <v>1.6</v>
      </c>
      <c r="J147" s="306">
        <v>1.1000000000000001</v>
      </c>
      <c r="K147" s="254"/>
      <c r="L147" s="254"/>
      <c r="M147" s="254"/>
      <c r="N147" s="254"/>
      <c r="O147" s="254"/>
      <c r="P147" s="254"/>
      <c r="Q147" s="254"/>
      <c r="R147" s="254"/>
      <c r="S147" s="317">
        <f t="shared" si="4"/>
        <v>1.35</v>
      </c>
      <c r="T147" s="33" t="s">
        <v>247</v>
      </c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</row>
    <row r="148" spans="1:30" ht="15.75" customHeight="1">
      <c r="A148" s="33">
        <v>2</v>
      </c>
      <c r="B148" s="47">
        <v>4</v>
      </c>
      <c r="C148" s="47">
        <v>17</v>
      </c>
      <c r="D148" s="25" t="s">
        <v>169</v>
      </c>
      <c r="E148" s="25" t="s">
        <v>170</v>
      </c>
      <c r="F148" s="25" t="s">
        <v>34</v>
      </c>
      <c r="G148" s="49">
        <v>50596</v>
      </c>
      <c r="H148" s="51">
        <v>110</v>
      </c>
      <c r="I148" s="306">
        <v>1.67</v>
      </c>
      <c r="J148" s="306">
        <v>1.3</v>
      </c>
      <c r="K148" s="306">
        <v>1.56</v>
      </c>
      <c r="L148" s="306">
        <v>1.54</v>
      </c>
      <c r="M148" s="306">
        <v>1.43</v>
      </c>
      <c r="N148" s="306">
        <v>1.91</v>
      </c>
      <c r="O148" s="254"/>
      <c r="P148" s="254"/>
      <c r="Q148" s="254"/>
      <c r="R148" s="254"/>
      <c r="S148" s="317">
        <f t="shared" si="4"/>
        <v>1.5683333333333331</v>
      </c>
      <c r="T148" s="158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</row>
    <row r="149" spans="1:30" ht="15.75" customHeight="1">
      <c r="A149" s="47">
        <v>2</v>
      </c>
      <c r="B149" s="47">
        <v>4</v>
      </c>
      <c r="C149" s="47">
        <v>17</v>
      </c>
      <c r="D149" s="25" t="s">
        <v>169</v>
      </c>
      <c r="E149" s="25" t="s">
        <v>170</v>
      </c>
      <c r="F149" s="25" t="s">
        <v>34</v>
      </c>
      <c r="G149" s="49">
        <v>50571</v>
      </c>
      <c r="H149" s="51">
        <v>223</v>
      </c>
      <c r="I149" s="306">
        <v>1</v>
      </c>
      <c r="J149" s="306">
        <v>0.91</v>
      </c>
      <c r="K149" s="306">
        <v>1.22</v>
      </c>
      <c r="L149" s="306">
        <v>1.5</v>
      </c>
      <c r="M149" s="306">
        <v>0.9</v>
      </c>
      <c r="N149" s="254"/>
      <c r="O149" s="306">
        <v>0.76</v>
      </c>
      <c r="P149" s="254"/>
      <c r="Q149" s="254"/>
      <c r="R149" s="254"/>
      <c r="S149" s="317">
        <f t="shared" si="4"/>
        <v>1.0483333333333333</v>
      </c>
      <c r="T149" s="158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</row>
    <row r="150" spans="1:30" ht="15.75" customHeight="1">
      <c r="A150" s="47">
        <v>2</v>
      </c>
      <c r="B150" s="47">
        <v>4</v>
      </c>
      <c r="C150" s="47">
        <v>18</v>
      </c>
      <c r="D150" s="25" t="s">
        <v>171</v>
      </c>
      <c r="E150" s="25" t="s">
        <v>172</v>
      </c>
      <c r="F150" s="25" t="s">
        <v>25</v>
      </c>
      <c r="G150" s="49">
        <v>50831</v>
      </c>
      <c r="H150" s="51">
        <v>249</v>
      </c>
      <c r="I150" s="306">
        <v>1.6</v>
      </c>
      <c r="J150" s="306">
        <v>1.5</v>
      </c>
      <c r="K150" s="306">
        <v>1.47</v>
      </c>
      <c r="L150" s="306">
        <v>1.89</v>
      </c>
      <c r="M150" s="306">
        <v>1.8</v>
      </c>
      <c r="N150" s="306">
        <v>1.55</v>
      </c>
      <c r="O150" s="306">
        <v>1.64</v>
      </c>
      <c r="P150" s="254"/>
      <c r="Q150" s="306">
        <v>1.82</v>
      </c>
      <c r="R150" s="306">
        <v>1.8</v>
      </c>
      <c r="S150" s="317">
        <f t="shared" si="4"/>
        <v>1.6744444444444446</v>
      </c>
      <c r="T150" s="158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</row>
    <row r="151" spans="1:30" ht="15.75" customHeight="1">
      <c r="A151" s="47">
        <v>2</v>
      </c>
      <c r="B151" s="47">
        <v>4</v>
      </c>
      <c r="C151" s="47">
        <v>19</v>
      </c>
      <c r="D151" s="25" t="s">
        <v>107</v>
      </c>
      <c r="E151" s="25" t="s">
        <v>108</v>
      </c>
      <c r="F151" s="25" t="s">
        <v>31</v>
      </c>
      <c r="G151" s="49">
        <v>50862</v>
      </c>
      <c r="H151" s="51">
        <v>714</v>
      </c>
      <c r="I151" s="306">
        <v>1.05</v>
      </c>
      <c r="J151" s="306">
        <v>1.2</v>
      </c>
      <c r="K151" s="306">
        <v>1.24</v>
      </c>
      <c r="L151" s="306">
        <v>1.06</v>
      </c>
      <c r="M151" s="306">
        <v>1.56</v>
      </c>
      <c r="N151" s="306">
        <v>1.3</v>
      </c>
      <c r="O151" s="306">
        <v>1.28</v>
      </c>
      <c r="P151" s="306">
        <v>1.07</v>
      </c>
      <c r="Q151" s="254"/>
      <c r="R151" s="254"/>
      <c r="S151" s="317">
        <f t="shared" si="4"/>
        <v>1.2200000000000002</v>
      </c>
      <c r="T151" s="158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</row>
    <row r="152" spans="1:30" ht="15.75" customHeight="1">
      <c r="A152" s="47">
        <v>2</v>
      </c>
      <c r="B152" s="47">
        <v>4</v>
      </c>
      <c r="C152" s="47">
        <v>20</v>
      </c>
      <c r="D152" s="25" t="s">
        <v>173</v>
      </c>
      <c r="E152" s="25" t="s">
        <v>174</v>
      </c>
      <c r="F152" s="25" t="s">
        <v>25</v>
      </c>
      <c r="G152" s="49">
        <v>50678</v>
      </c>
      <c r="H152" s="51">
        <v>4</v>
      </c>
      <c r="I152" s="306">
        <v>1.41</v>
      </c>
      <c r="J152" s="254"/>
      <c r="K152" s="254"/>
      <c r="L152" s="254"/>
      <c r="M152" s="254"/>
      <c r="N152" s="254"/>
      <c r="O152" s="254"/>
      <c r="P152" s="254"/>
      <c r="Q152" s="254"/>
      <c r="R152" s="254"/>
      <c r="S152" s="317">
        <f t="shared" si="4"/>
        <v>1.41</v>
      </c>
      <c r="T152" s="158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</row>
    <row r="153" spans="1:30" ht="15.75" customHeight="1">
      <c r="A153" s="47">
        <v>2</v>
      </c>
      <c r="B153" s="47">
        <v>4</v>
      </c>
      <c r="C153" s="47">
        <v>20</v>
      </c>
      <c r="D153" s="25" t="s">
        <v>175</v>
      </c>
      <c r="E153" s="25" t="s">
        <v>176</v>
      </c>
      <c r="F153" s="25" t="s">
        <v>31</v>
      </c>
      <c r="G153" s="49">
        <v>50867</v>
      </c>
      <c r="H153" s="51">
        <v>303</v>
      </c>
      <c r="I153" s="306">
        <v>0.56999999999999995</v>
      </c>
      <c r="J153" s="306">
        <v>0.9</v>
      </c>
      <c r="K153" s="306">
        <v>0.84</v>
      </c>
      <c r="L153" s="306">
        <v>0.82</v>
      </c>
      <c r="M153" s="306">
        <v>0.9</v>
      </c>
      <c r="N153" s="306">
        <v>0.96</v>
      </c>
      <c r="O153" s="306">
        <v>0.77</v>
      </c>
      <c r="P153" s="306">
        <v>0.88</v>
      </c>
      <c r="Q153" s="254"/>
      <c r="R153" s="254"/>
      <c r="S153" s="317">
        <f t="shared" si="4"/>
        <v>0.83</v>
      </c>
      <c r="T153" s="158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</row>
    <row r="154" spans="1:30" ht="15.75" customHeight="1">
      <c r="A154" s="47">
        <v>2</v>
      </c>
      <c r="B154" s="47">
        <v>4</v>
      </c>
      <c r="C154" s="47">
        <v>21</v>
      </c>
      <c r="D154" s="25" t="s">
        <v>177</v>
      </c>
      <c r="E154" s="25" t="s">
        <v>178</v>
      </c>
      <c r="F154" s="25" t="s">
        <v>31</v>
      </c>
      <c r="G154" s="49">
        <v>50861</v>
      </c>
      <c r="H154" s="51">
        <v>714</v>
      </c>
      <c r="I154" s="254"/>
      <c r="J154" s="254"/>
      <c r="K154" s="254"/>
      <c r="L154" s="254"/>
      <c r="M154" s="306">
        <v>0.83</v>
      </c>
      <c r="N154" s="306">
        <v>1</v>
      </c>
      <c r="O154" s="306">
        <v>0.65</v>
      </c>
      <c r="P154" s="306">
        <v>0.9</v>
      </c>
      <c r="Q154" s="306">
        <v>0.83</v>
      </c>
      <c r="R154" s="254"/>
      <c r="S154" s="317">
        <f t="shared" si="4"/>
        <v>0.84199999999999997</v>
      </c>
      <c r="T154" s="33" t="s">
        <v>247</v>
      </c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</row>
    <row r="155" spans="1:30" ht="15.75" customHeight="1">
      <c r="A155" s="47">
        <v>2</v>
      </c>
      <c r="B155" s="47">
        <v>4</v>
      </c>
      <c r="C155" s="47">
        <v>22</v>
      </c>
      <c r="D155" s="25" t="s">
        <v>179</v>
      </c>
      <c r="E155" s="25" t="s">
        <v>180</v>
      </c>
      <c r="F155" s="25" t="s">
        <v>31</v>
      </c>
      <c r="G155" s="49">
        <v>50843</v>
      </c>
      <c r="H155" s="51">
        <v>330</v>
      </c>
      <c r="I155" s="306">
        <v>1.08</v>
      </c>
      <c r="J155" s="306">
        <v>1.5</v>
      </c>
      <c r="K155" s="306">
        <v>1.48</v>
      </c>
      <c r="L155" s="306">
        <v>1.26</v>
      </c>
      <c r="M155" s="306">
        <v>1.23</v>
      </c>
      <c r="N155" s="306">
        <v>1.2</v>
      </c>
      <c r="O155" s="306">
        <v>1.37</v>
      </c>
      <c r="P155" s="306">
        <v>1.4</v>
      </c>
      <c r="Q155" s="306">
        <v>1.22</v>
      </c>
      <c r="R155" s="306">
        <v>1.07</v>
      </c>
      <c r="S155" s="317">
        <f t="shared" si="4"/>
        <v>1.2810000000000001</v>
      </c>
      <c r="T155" s="158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</row>
    <row r="156" spans="1:30" ht="15.75" customHeight="1">
      <c r="A156" s="47">
        <v>2</v>
      </c>
      <c r="B156" s="47">
        <v>5</v>
      </c>
      <c r="C156" s="47">
        <v>1</v>
      </c>
      <c r="D156" s="25" t="s">
        <v>95</v>
      </c>
      <c r="E156" s="25" t="s">
        <v>96</v>
      </c>
      <c r="F156" s="25" t="s">
        <v>68</v>
      </c>
      <c r="G156" s="49">
        <v>50620</v>
      </c>
      <c r="H156" s="51">
        <v>260</v>
      </c>
      <c r="I156" s="62">
        <v>1.66</v>
      </c>
      <c r="J156" s="62">
        <v>1.76</v>
      </c>
      <c r="K156" s="62">
        <v>1.85</v>
      </c>
      <c r="L156" s="62">
        <v>1.84</v>
      </c>
      <c r="M156" s="62">
        <v>1.96</v>
      </c>
      <c r="N156" s="254"/>
      <c r="O156" s="254"/>
      <c r="P156" s="254"/>
      <c r="Q156" s="254"/>
      <c r="R156" s="254"/>
      <c r="S156" s="317">
        <f t="shared" si="4"/>
        <v>1.8140000000000001</v>
      </c>
      <c r="T156" s="36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</row>
    <row r="157" spans="1:30" ht="15.75" customHeight="1">
      <c r="A157" s="47">
        <v>2</v>
      </c>
      <c r="B157" s="47">
        <v>5</v>
      </c>
      <c r="C157" s="47">
        <v>1</v>
      </c>
      <c r="D157" s="25" t="s">
        <v>181</v>
      </c>
      <c r="E157" s="25" t="s">
        <v>182</v>
      </c>
      <c r="F157" s="25" t="s">
        <v>31</v>
      </c>
      <c r="G157" s="49">
        <v>50782</v>
      </c>
      <c r="H157" s="51">
        <v>162</v>
      </c>
      <c r="I157" s="62">
        <v>0.87</v>
      </c>
      <c r="J157" s="62">
        <v>1.42</v>
      </c>
      <c r="K157" s="62">
        <v>1.72</v>
      </c>
      <c r="L157" s="62">
        <v>1.43</v>
      </c>
      <c r="M157" s="62">
        <v>1.37</v>
      </c>
      <c r="N157" s="254"/>
      <c r="O157" s="254"/>
      <c r="P157" s="254"/>
      <c r="Q157" s="254"/>
      <c r="R157" s="254"/>
      <c r="S157" s="317">
        <f t="shared" si="4"/>
        <v>1.3619999999999999</v>
      </c>
      <c r="T157" s="36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</row>
    <row r="158" spans="1:30" ht="15.75" customHeight="1">
      <c r="A158" s="71">
        <v>2</v>
      </c>
      <c r="B158" s="71">
        <v>5</v>
      </c>
      <c r="C158" s="71">
        <v>2</v>
      </c>
      <c r="D158" s="53" t="s">
        <v>56</v>
      </c>
      <c r="E158" s="53" t="s">
        <v>57</v>
      </c>
      <c r="F158" s="53" t="s">
        <v>68</v>
      </c>
      <c r="G158" s="73">
        <v>50664</v>
      </c>
      <c r="H158" s="74">
        <v>125</v>
      </c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317" t="e">
        <f t="shared" si="4"/>
        <v>#DIV/0!</v>
      </c>
      <c r="T158" s="53" t="s">
        <v>248</v>
      </c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</row>
    <row r="159" spans="1:30" ht="15.75" customHeight="1">
      <c r="A159" s="47">
        <v>2</v>
      </c>
      <c r="B159" s="47">
        <v>5</v>
      </c>
      <c r="C159" s="47">
        <v>3</v>
      </c>
      <c r="D159" s="25" t="s">
        <v>37</v>
      </c>
      <c r="E159" s="25" t="s">
        <v>38</v>
      </c>
      <c r="F159" s="25" t="s">
        <v>31</v>
      </c>
      <c r="G159" s="49">
        <v>50785</v>
      </c>
      <c r="H159" s="51">
        <v>128</v>
      </c>
      <c r="I159" s="62">
        <v>1</v>
      </c>
      <c r="J159" s="62">
        <v>1.1599999999999999</v>
      </c>
      <c r="K159" s="62">
        <v>1.51</v>
      </c>
      <c r="L159" s="62">
        <v>1.1499999999999999</v>
      </c>
      <c r="M159" s="62">
        <v>1.1599999999999999</v>
      </c>
      <c r="N159" s="62">
        <v>1.21</v>
      </c>
      <c r="O159" s="62">
        <v>1.05</v>
      </c>
      <c r="P159" s="62">
        <v>1.2</v>
      </c>
      <c r="Q159" s="254"/>
      <c r="R159" s="254"/>
      <c r="S159" s="317">
        <f t="shared" si="4"/>
        <v>1.18</v>
      </c>
      <c r="T159" s="36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</row>
    <row r="160" spans="1:30" ht="15.75" customHeight="1">
      <c r="A160" s="47">
        <v>2</v>
      </c>
      <c r="B160" s="47">
        <v>5</v>
      </c>
      <c r="C160" s="47">
        <v>4</v>
      </c>
      <c r="D160" s="25" t="s">
        <v>35</v>
      </c>
      <c r="E160" s="25" t="s">
        <v>36</v>
      </c>
      <c r="F160" s="25" t="s">
        <v>31</v>
      </c>
      <c r="G160" s="49">
        <v>50806</v>
      </c>
      <c r="H160" s="51">
        <v>284</v>
      </c>
      <c r="I160" s="62">
        <v>1.46</v>
      </c>
      <c r="J160" s="62">
        <v>1.1000000000000001</v>
      </c>
      <c r="K160" s="254"/>
      <c r="L160" s="62">
        <v>1.43</v>
      </c>
      <c r="M160" s="62">
        <v>1.72</v>
      </c>
      <c r="N160" s="62">
        <v>1.87</v>
      </c>
      <c r="O160" s="62">
        <v>1.35</v>
      </c>
      <c r="P160" s="62">
        <v>1.33</v>
      </c>
      <c r="Q160" s="62">
        <v>1.42</v>
      </c>
      <c r="R160" s="62">
        <v>1.87</v>
      </c>
      <c r="S160" s="317">
        <f t="shared" si="4"/>
        <v>1.5055555555555555</v>
      </c>
      <c r="T160" s="33" t="s">
        <v>247</v>
      </c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</row>
    <row r="161" spans="1:30" ht="15.75" customHeight="1">
      <c r="A161" s="47">
        <v>2</v>
      </c>
      <c r="B161" s="47">
        <v>5</v>
      </c>
      <c r="C161" s="47">
        <v>4</v>
      </c>
      <c r="D161" s="25" t="s">
        <v>35</v>
      </c>
      <c r="E161" s="25" t="s">
        <v>36</v>
      </c>
      <c r="F161" s="25" t="s">
        <v>68</v>
      </c>
      <c r="G161" s="49">
        <v>50829</v>
      </c>
      <c r="H161" s="51">
        <v>418</v>
      </c>
      <c r="I161" s="62">
        <v>1.56</v>
      </c>
      <c r="J161" s="62">
        <v>1.19</v>
      </c>
      <c r="K161" s="62">
        <v>1.95</v>
      </c>
      <c r="L161" s="62">
        <v>1.6</v>
      </c>
      <c r="M161" s="62">
        <v>0.93</v>
      </c>
      <c r="N161" s="62">
        <v>1.55</v>
      </c>
      <c r="O161" s="62">
        <v>1.1200000000000001</v>
      </c>
      <c r="P161" s="62">
        <v>0.86</v>
      </c>
      <c r="Q161" s="254"/>
      <c r="R161" s="62">
        <v>1.0900000000000001</v>
      </c>
      <c r="S161" s="317">
        <f t="shared" si="4"/>
        <v>1.3166666666666669</v>
      </c>
      <c r="T161" s="33" t="s">
        <v>247</v>
      </c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</row>
    <row r="162" spans="1:30" ht="15.75" customHeight="1">
      <c r="A162" s="47">
        <v>2</v>
      </c>
      <c r="B162" s="47">
        <v>5</v>
      </c>
      <c r="C162" s="47">
        <v>5</v>
      </c>
      <c r="D162" s="25" t="s">
        <v>183</v>
      </c>
      <c r="E162" s="25" t="s">
        <v>184</v>
      </c>
      <c r="F162" s="25" t="s">
        <v>31</v>
      </c>
      <c r="G162" s="49">
        <v>50808</v>
      </c>
      <c r="H162" s="51">
        <v>363</v>
      </c>
      <c r="I162" s="62">
        <v>1.17</v>
      </c>
      <c r="J162" s="254"/>
      <c r="K162" s="62">
        <v>1.08</v>
      </c>
      <c r="L162" s="254"/>
      <c r="M162" s="62">
        <v>1.3</v>
      </c>
      <c r="N162" s="62">
        <v>1.1200000000000001</v>
      </c>
      <c r="O162" s="62">
        <v>1.46</v>
      </c>
      <c r="P162" s="62">
        <v>1.2</v>
      </c>
      <c r="Q162" s="62">
        <v>1.05</v>
      </c>
      <c r="R162" s="62">
        <v>1.2</v>
      </c>
      <c r="S162" s="317">
        <f t="shared" si="4"/>
        <v>1.1975</v>
      </c>
      <c r="T162" s="33" t="s">
        <v>247</v>
      </c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</row>
    <row r="163" spans="1:30" ht="15.75" customHeight="1">
      <c r="A163" s="47">
        <v>2</v>
      </c>
      <c r="B163" s="47">
        <v>5</v>
      </c>
      <c r="C163" s="47">
        <v>5</v>
      </c>
      <c r="D163" s="25" t="s">
        <v>183</v>
      </c>
      <c r="E163" s="25" t="s">
        <v>184</v>
      </c>
      <c r="F163" s="25" t="s">
        <v>25</v>
      </c>
      <c r="G163" s="49">
        <v>50774</v>
      </c>
      <c r="H163" s="51">
        <v>2</v>
      </c>
      <c r="I163" s="62">
        <v>1.48</v>
      </c>
      <c r="J163" s="62">
        <v>1.1499999999999999</v>
      </c>
      <c r="K163" s="254"/>
      <c r="L163" s="254"/>
      <c r="M163" s="254"/>
      <c r="N163" s="254"/>
      <c r="O163" s="254"/>
      <c r="P163" s="254"/>
      <c r="Q163" s="254"/>
      <c r="R163" s="254"/>
      <c r="S163" s="317">
        <f t="shared" si="4"/>
        <v>1.3149999999999999</v>
      </c>
      <c r="T163" s="36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</row>
    <row r="164" spans="1:30" ht="15.75" customHeight="1">
      <c r="A164" s="47">
        <v>2</v>
      </c>
      <c r="B164" s="47">
        <v>5</v>
      </c>
      <c r="C164" s="47">
        <v>6</v>
      </c>
      <c r="D164" s="25" t="s">
        <v>49</v>
      </c>
      <c r="E164" s="25" t="s">
        <v>50</v>
      </c>
      <c r="F164" s="25" t="s">
        <v>68</v>
      </c>
      <c r="G164" s="49">
        <v>50838</v>
      </c>
      <c r="H164" s="51">
        <v>1374</v>
      </c>
      <c r="I164" s="254"/>
      <c r="J164" s="254"/>
      <c r="K164" s="62">
        <v>0.79</v>
      </c>
      <c r="L164" s="62">
        <v>0.74</v>
      </c>
      <c r="M164" s="62">
        <v>0.61</v>
      </c>
      <c r="N164" s="62">
        <v>1.1299999999999999</v>
      </c>
      <c r="O164" s="62">
        <v>0.74</v>
      </c>
      <c r="P164" s="62">
        <v>0.9</v>
      </c>
      <c r="Q164" s="62">
        <v>0.4</v>
      </c>
      <c r="R164" s="62">
        <v>1.01</v>
      </c>
      <c r="S164" s="317">
        <f t="shared" si="4"/>
        <v>0.79</v>
      </c>
      <c r="T164" s="36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</row>
    <row r="165" spans="1:30" ht="15.75" customHeight="1">
      <c r="A165" s="47">
        <v>2</v>
      </c>
      <c r="B165" s="47">
        <v>5</v>
      </c>
      <c r="C165" s="47">
        <v>7</v>
      </c>
      <c r="D165" s="25" t="s">
        <v>185</v>
      </c>
      <c r="E165" s="25" t="s">
        <v>186</v>
      </c>
      <c r="F165" s="25" t="s">
        <v>31</v>
      </c>
      <c r="G165" s="49">
        <v>50844</v>
      </c>
      <c r="H165" s="51">
        <v>515</v>
      </c>
      <c r="I165" s="62">
        <v>0.94</v>
      </c>
      <c r="J165" s="62">
        <v>1.01</v>
      </c>
      <c r="K165" s="62">
        <v>1.61</v>
      </c>
      <c r="L165" s="62">
        <v>1.25</v>
      </c>
      <c r="M165" s="62">
        <v>1.18</v>
      </c>
      <c r="N165" s="62">
        <v>1.35</v>
      </c>
      <c r="O165" s="62">
        <v>1.22</v>
      </c>
      <c r="P165" s="62">
        <v>1.22</v>
      </c>
      <c r="Q165" s="62">
        <v>1.34</v>
      </c>
      <c r="R165" s="254"/>
      <c r="S165" s="317">
        <f t="shared" si="4"/>
        <v>1.2355555555555557</v>
      </c>
      <c r="T165" s="36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</row>
    <row r="166" spans="1:30" ht="15.75" customHeight="1">
      <c r="A166" s="47">
        <v>2</v>
      </c>
      <c r="B166" s="47">
        <v>5</v>
      </c>
      <c r="C166" s="47">
        <v>8</v>
      </c>
      <c r="D166" s="25" t="s">
        <v>187</v>
      </c>
      <c r="E166" s="25" t="s">
        <v>188</v>
      </c>
      <c r="F166" s="25" t="s">
        <v>68</v>
      </c>
      <c r="G166" s="49">
        <v>50881</v>
      </c>
      <c r="H166" s="51">
        <v>738</v>
      </c>
      <c r="I166" s="62">
        <v>0.69</v>
      </c>
      <c r="J166" s="62">
        <v>0.44</v>
      </c>
      <c r="K166" s="62">
        <v>0.53</v>
      </c>
      <c r="L166" s="62">
        <v>0.48</v>
      </c>
      <c r="M166" s="62">
        <v>1.01</v>
      </c>
      <c r="N166" s="62">
        <v>0.67</v>
      </c>
      <c r="O166" s="254"/>
      <c r="P166" s="62">
        <v>0.37</v>
      </c>
      <c r="Q166" s="62">
        <v>0.54</v>
      </c>
      <c r="R166" s="62">
        <v>0.61</v>
      </c>
      <c r="S166" s="317">
        <f t="shared" si="4"/>
        <v>0.59333333333333327</v>
      </c>
      <c r="T166" s="36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</row>
    <row r="167" spans="1:30" ht="15.75" customHeight="1">
      <c r="A167" s="47">
        <v>2</v>
      </c>
      <c r="B167" s="47">
        <v>5</v>
      </c>
      <c r="C167" s="47">
        <v>8</v>
      </c>
      <c r="D167" s="25" t="s">
        <v>102</v>
      </c>
      <c r="E167" s="25" t="s">
        <v>103</v>
      </c>
      <c r="F167" s="25" t="s">
        <v>68</v>
      </c>
      <c r="G167" s="49">
        <v>50882</v>
      </c>
      <c r="H167" s="51">
        <v>549</v>
      </c>
      <c r="I167" s="62">
        <v>0.49</v>
      </c>
      <c r="J167" s="62">
        <v>0.34</v>
      </c>
      <c r="K167" s="62">
        <v>0.26</v>
      </c>
      <c r="L167" s="62">
        <v>0.46</v>
      </c>
      <c r="M167" s="62">
        <v>0.55000000000000004</v>
      </c>
      <c r="N167" s="62">
        <v>0.51</v>
      </c>
      <c r="O167" s="62">
        <v>0.24</v>
      </c>
      <c r="P167" s="62">
        <v>0.52</v>
      </c>
      <c r="Q167" s="62">
        <v>0.44</v>
      </c>
      <c r="R167" s="254"/>
      <c r="S167" s="317">
        <f t="shared" si="4"/>
        <v>0.42333333333333339</v>
      </c>
      <c r="T167" s="36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</row>
    <row r="168" spans="1:30" ht="15.75" customHeight="1">
      <c r="A168" s="47">
        <v>2</v>
      </c>
      <c r="B168" s="47">
        <v>5</v>
      </c>
      <c r="C168" s="47">
        <v>9</v>
      </c>
      <c r="D168" s="25" t="s">
        <v>189</v>
      </c>
      <c r="E168" s="25" t="s">
        <v>190</v>
      </c>
      <c r="F168" s="25" t="s">
        <v>31</v>
      </c>
      <c r="G168" s="49">
        <v>50798</v>
      </c>
      <c r="H168" s="51">
        <v>182</v>
      </c>
      <c r="I168" s="254"/>
      <c r="J168" s="62">
        <v>1.17</v>
      </c>
      <c r="K168" s="254"/>
      <c r="L168" s="254"/>
      <c r="M168" s="62">
        <v>0.94</v>
      </c>
      <c r="N168" s="62">
        <v>0.76</v>
      </c>
      <c r="O168" s="254"/>
      <c r="P168" s="254"/>
      <c r="Q168" s="254"/>
      <c r="R168" s="254"/>
      <c r="S168" s="317">
        <f t="shared" si="4"/>
        <v>0.95666666666666667</v>
      </c>
      <c r="T168" s="33" t="s">
        <v>247</v>
      </c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</row>
    <row r="169" spans="1:30" ht="15.75" customHeight="1">
      <c r="A169" s="47">
        <v>2</v>
      </c>
      <c r="B169" s="47">
        <v>5</v>
      </c>
      <c r="C169" s="47">
        <v>9</v>
      </c>
      <c r="D169" s="25" t="s">
        <v>189</v>
      </c>
      <c r="E169" s="25" t="s">
        <v>190</v>
      </c>
      <c r="F169" s="25" t="s">
        <v>31</v>
      </c>
      <c r="G169" s="49">
        <v>50856</v>
      </c>
      <c r="H169" s="51">
        <v>162</v>
      </c>
      <c r="I169" s="254"/>
      <c r="J169" s="254"/>
      <c r="K169" s="254"/>
      <c r="L169" s="254"/>
      <c r="M169" s="62">
        <v>0.88</v>
      </c>
      <c r="N169" s="62">
        <v>0.9</v>
      </c>
      <c r="O169" s="254"/>
      <c r="P169" s="254"/>
      <c r="Q169" s="254"/>
      <c r="R169" s="254"/>
      <c r="S169" s="317">
        <f t="shared" si="4"/>
        <v>0.89</v>
      </c>
      <c r="T169" s="33" t="s">
        <v>247</v>
      </c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</row>
    <row r="170" spans="1:30" ht="15.75" customHeight="1">
      <c r="A170" s="47">
        <v>2</v>
      </c>
      <c r="B170" s="47">
        <v>5</v>
      </c>
      <c r="C170" s="47">
        <v>9</v>
      </c>
      <c r="D170" s="25" t="s">
        <v>189</v>
      </c>
      <c r="E170" s="25" t="s">
        <v>190</v>
      </c>
      <c r="F170" s="25" t="s">
        <v>68</v>
      </c>
      <c r="G170" s="49">
        <v>50698</v>
      </c>
      <c r="H170" s="51">
        <v>87</v>
      </c>
      <c r="I170" s="62">
        <v>0.85</v>
      </c>
      <c r="J170" s="62">
        <v>0.83</v>
      </c>
      <c r="K170" s="62">
        <v>1.5</v>
      </c>
      <c r="L170" s="62">
        <v>0.64</v>
      </c>
      <c r="M170" s="254"/>
      <c r="N170" s="254"/>
      <c r="O170" s="254"/>
      <c r="P170" s="254"/>
      <c r="Q170" s="254"/>
      <c r="R170" s="254"/>
      <c r="S170" s="317">
        <f t="shared" si="4"/>
        <v>0.95499999999999996</v>
      </c>
      <c r="T170" s="33" t="s">
        <v>247</v>
      </c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</row>
    <row r="171" spans="1:30" ht="15.75" customHeight="1">
      <c r="A171" s="63">
        <v>2</v>
      </c>
      <c r="B171" s="63">
        <v>5</v>
      </c>
      <c r="C171" s="63">
        <v>10</v>
      </c>
      <c r="D171" s="38" t="s">
        <v>112</v>
      </c>
      <c r="E171" s="38" t="s">
        <v>113</v>
      </c>
      <c r="F171" s="38" t="s">
        <v>31</v>
      </c>
      <c r="G171" s="64">
        <v>50538</v>
      </c>
      <c r="H171" s="173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317" t="e">
        <f t="shared" si="4"/>
        <v>#DIV/0!</v>
      </c>
      <c r="T171" s="38" t="s">
        <v>43</v>
      </c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</row>
    <row r="172" spans="1:30" ht="15.75" customHeight="1">
      <c r="A172" s="47">
        <v>2</v>
      </c>
      <c r="B172" s="47">
        <v>5</v>
      </c>
      <c r="C172" s="47">
        <v>10</v>
      </c>
      <c r="D172" s="25" t="s">
        <v>191</v>
      </c>
      <c r="E172" s="25" t="s">
        <v>192</v>
      </c>
      <c r="F172" s="25" t="s">
        <v>68</v>
      </c>
      <c r="G172" s="49">
        <v>50837</v>
      </c>
      <c r="H172" s="51">
        <v>330</v>
      </c>
      <c r="I172" s="62">
        <v>0.57999999999999996</v>
      </c>
      <c r="J172" s="62">
        <v>0.61</v>
      </c>
      <c r="K172" s="62">
        <v>0.55000000000000004</v>
      </c>
      <c r="L172" s="62">
        <v>0.93</v>
      </c>
      <c r="M172" s="254"/>
      <c r="N172" s="254"/>
      <c r="O172" s="62">
        <v>0.57999999999999996</v>
      </c>
      <c r="P172" s="254"/>
      <c r="Q172" s="254"/>
      <c r="R172" s="62">
        <v>0.77</v>
      </c>
      <c r="S172" s="317">
        <f t="shared" si="4"/>
        <v>0.66999999999999993</v>
      </c>
      <c r="T172" s="36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</row>
    <row r="173" spans="1:30" ht="15.75" customHeight="1">
      <c r="A173" s="159">
        <v>2</v>
      </c>
      <c r="B173" s="159">
        <v>5</v>
      </c>
      <c r="C173" s="159">
        <v>12</v>
      </c>
      <c r="D173" s="153" t="s">
        <v>49</v>
      </c>
      <c r="E173" s="153" t="s">
        <v>50</v>
      </c>
      <c r="F173" s="153" t="s">
        <v>31</v>
      </c>
      <c r="G173" s="161">
        <v>50566</v>
      </c>
      <c r="H173" s="162">
        <v>90</v>
      </c>
      <c r="I173" s="321">
        <v>1.37</v>
      </c>
      <c r="J173" s="322"/>
      <c r="K173" s="322"/>
      <c r="L173" s="322"/>
      <c r="M173" s="322"/>
      <c r="N173" s="322"/>
      <c r="O173" s="322"/>
      <c r="P173" s="322"/>
      <c r="Q173" s="322"/>
      <c r="R173" s="322"/>
      <c r="S173" s="317">
        <f t="shared" si="4"/>
        <v>1.37</v>
      </c>
      <c r="T173" s="295" t="s">
        <v>193</v>
      </c>
      <c r="U173" s="271"/>
      <c r="V173" s="271"/>
      <c r="W173" s="271"/>
      <c r="X173" s="271"/>
      <c r="Y173" s="271"/>
      <c r="Z173" s="271"/>
      <c r="AA173" s="271"/>
      <c r="AB173" s="271"/>
      <c r="AC173" s="271"/>
      <c r="AD173" s="271"/>
    </row>
    <row r="174" spans="1:30" ht="15.75" customHeight="1">
      <c r="A174" s="47">
        <v>2</v>
      </c>
      <c r="B174" s="47">
        <v>5</v>
      </c>
      <c r="C174" s="47">
        <v>12</v>
      </c>
      <c r="D174" s="25" t="s">
        <v>49</v>
      </c>
      <c r="E174" s="25" t="s">
        <v>50</v>
      </c>
      <c r="F174" s="25" t="s">
        <v>34</v>
      </c>
      <c r="G174" s="49">
        <v>50476</v>
      </c>
      <c r="H174" s="51">
        <v>192</v>
      </c>
      <c r="I174" s="62">
        <v>1.81</v>
      </c>
      <c r="J174" s="62">
        <v>0.56999999999999995</v>
      </c>
      <c r="K174" s="62">
        <v>0.85</v>
      </c>
      <c r="L174" s="62">
        <v>1.35</v>
      </c>
      <c r="M174" s="254"/>
      <c r="N174" s="254"/>
      <c r="O174" s="62">
        <v>0.65</v>
      </c>
      <c r="P174" s="254"/>
      <c r="Q174" s="254"/>
      <c r="R174" s="254"/>
      <c r="S174" s="317">
        <f t="shared" si="4"/>
        <v>1.046</v>
      </c>
      <c r="T174" s="36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</row>
    <row r="175" spans="1:30" ht="15.75" customHeight="1">
      <c r="A175" s="71">
        <v>2</v>
      </c>
      <c r="B175" s="71">
        <v>5</v>
      </c>
      <c r="C175" s="71">
        <v>12</v>
      </c>
      <c r="D175" s="53" t="s">
        <v>49</v>
      </c>
      <c r="E175" s="53" t="s">
        <v>194</v>
      </c>
      <c r="F175" s="53" t="s">
        <v>34</v>
      </c>
      <c r="G175" s="73">
        <v>50634</v>
      </c>
      <c r="H175" s="74">
        <v>74</v>
      </c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317" t="e">
        <f t="shared" si="4"/>
        <v>#DIV/0!</v>
      </c>
      <c r="T175" s="53" t="s">
        <v>55</v>
      </c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</row>
    <row r="176" spans="1:30" ht="15.75" customHeight="1">
      <c r="A176" s="47">
        <v>2</v>
      </c>
      <c r="B176" s="47">
        <v>5</v>
      </c>
      <c r="C176" s="47">
        <v>12</v>
      </c>
      <c r="D176" s="25" t="s">
        <v>49</v>
      </c>
      <c r="E176" s="25" t="s">
        <v>50</v>
      </c>
      <c r="F176" s="25" t="s">
        <v>68</v>
      </c>
      <c r="G176" s="49">
        <v>50633</v>
      </c>
      <c r="H176" s="51">
        <v>158</v>
      </c>
      <c r="I176" s="62">
        <v>0.75</v>
      </c>
      <c r="J176" s="62">
        <v>0.72</v>
      </c>
      <c r="K176" s="62">
        <v>0.43</v>
      </c>
      <c r="L176" s="62">
        <v>0.86</v>
      </c>
      <c r="M176" s="62">
        <v>0.63</v>
      </c>
      <c r="N176" s="62">
        <v>0.97</v>
      </c>
      <c r="O176" s="254"/>
      <c r="P176" s="254"/>
      <c r="Q176" s="254"/>
      <c r="R176" s="254"/>
      <c r="S176" s="317">
        <f t="shared" si="4"/>
        <v>0.72666666666666657</v>
      </c>
      <c r="T176" s="36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</row>
    <row r="177" spans="1:30" ht="15.75" customHeight="1">
      <c r="A177" s="47">
        <v>2</v>
      </c>
      <c r="B177" s="47">
        <v>5</v>
      </c>
      <c r="C177" s="47">
        <v>13</v>
      </c>
      <c r="D177" s="25" t="s">
        <v>37</v>
      </c>
      <c r="E177" s="25" t="s">
        <v>38</v>
      </c>
      <c r="F177" s="25" t="s">
        <v>25</v>
      </c>
      <c r="G177" s="49">
        <v>50342</v>
      </c>
      <c r="H177" s="51">
        <v>3</v>
      </c>
      <c r="I177" s="62">
        <v>1.35</v>
      </c>
      <c r="J177" s="254"/>
      <c r="K177" s="254"/>
      <c r="L177" s="254"/>
      <c r="M177" s="254"/>
      <c r="N177" s="254"/>
      <c r="O177" s="254"/>
      <c r="P177" s="254"/>
      <c r="Q177" s="254"/>
      <c r="R177" s="254"/>
      <c r="S177" s="317">
        <f t="shared" si="4"/>
        <v>1.35</v>
      </c>
      <c r="T177" s="36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</row>
    <row r="178" spans="1:30" ht="15.75" customHeight="1">
      <c r="A178" s="47">
        <v>2</v>
      </c>
      <c r="B178" s="47">
        <v>5</v>
      </c>
      <c r="C178" s="47">
        <v>13</v>
      </c>
      <c r="D178" s="25" t="s">
        <v>37</v>
      </c>
      <c r="E178" s="25" t="s">
        <v>38</v>
      </c>
      <c r="F178" s="25" t="s">
        <v>31</v>
      </c>
      <c r="G178" s="49">
        <v>50785</v>
      </c>
      <c r="H178" s="51">
        <v>131</v>
      </c>
      <c r="I178" s="62">
        <v>1.35</v>
      </c>
      <c r="J178" s="62">
        <v>0.95</v>
      </c>
      <c r="K178" s="62">
        <v>0.93</v>
      </c>
      <c r="L178" s="62">
        <v>1.1299999999999999</v>
      </c>
      <c r="M178" s="62">
        <v>1.01</v>
      </c>
      <c r="N178" s="254"/>
      <c r="O178" s="254"/>
      <c r="P178" s="254"/>
      <c r="Q178" s="254"/>
      <c r="R178" s="254"/>
      <c r="S178" s="317">
        <f t="shared" si="4"/>
        <v>1.0739999999999998</v>
      </c>
      <c r="T178" s="36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</row>
    <row r="179" spans="1:30" ht="15.75" customHeight="1">
      <c r="A179" s="47">
        <v>2</v>
      </c>
      <c r="B179" s="47">
        <v>5</v>
      </c>
      <c r="C179" s="47">
        <v>13</v>
      </c>
      <c r="D179" s="25" t="s">
        <v>37</v>
      </c>
      <c r="E179" s="25" t="s">
        <v>38</v>
      </c>
      <c r="F179" s="25" t="s">
        <v>25</v>
      </c>
      <c r="G179" s="49">
        <v>50694</v>
      </c>
      <c r="H179" s="51">
        <v>161</v>
      </c>
      <c r="I179" s="62">
        <v>1.5</v>
      </c>
      <c r="J179" s="306" t="s">
        <v>55</v>
      </c>
      <c r="K179" s="62">
        <v>1.54</v>
      </c>
      <c r="L179" s="254"/>
      <c r="M179" s="254"/>
      <c r="N179" s="254"/>
      <c r="O179" s="254"/>
      <c r="P179" s="254"/>
      <c r="Q179" s="254"/>
      <c r="R179" s="254"/>
      <c r="S179" s="317">
        <f t="shared" si="4"/>
        <v>1.52</v>
      </c>
      <c r="T179" s="36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</row>
    <row r="180" spans="1:30" ht="15.75" customHeight="1">
      <c r="A180" s="47">
        <v>2</v>
      </c>
      <c r="B180" s="47">
        <v>5</v>
      </c>
      <c r="C180" s="47">
        <v>13</v>
      </c>
      <c r="D180" s="25" t="s">
        <v>37</v>
      </c>
      <c r="E180" s="25" t="s">
        <v>38</v>
      </c>
      <c r="F180" s="25" t="s">
        <v>68</v>
      </c>
      <c r="G180" s="49">
        <v>50600</v>
      </c>
      <c r="H180" s="51">
        <v>36</v>
      </c>
      <c r="I180" s="62">
        <v>0.98</v>
      </c>
      <c r="J180" s="254"/>
      <c r="K180" s="254"/>
      <c r="L180" s="254"/>
      <c r="M180" s="254"/>
      <c r="N180" s="254"/>
      <c r="O180" s="254"/>
      <c r="P180" s="254"/>
      <c r="Q180" s="254"/>
      <c r="R180" s="254"/>
      <c r="S180" s="317">
        <f t="shared" si="4"/>
        <v>0.98</v>
      </c>
      <c r="T180" s="36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</row>
    <row r="181" spans="1:30" ht="15.75" customHeight="1">
      <c r="A181" s="47">
        <v>2</v>
      </c>
      <c r="B181" s="47">
        <v>5</v>
      </c>
      <c r="C181" s="47">
        <v>13</v>
      </c>
      <c r="D181" s="25" t="s">
        <v>37</v>
      </c>
      <c r="E181" s="25" t="s">
        <v>38</v>
      </c>
      <c r="F181" s="25" t="s">
        <v>34</v>
      </c>
      <c r="G181" s="49">
        <v>50663</v>
      </c>
      <c r="H181" s="51">
        <v>14</v>
      </c>
      <c r="I181" s="62">
        <v>0.66</v>
      </c>
      <c r="J181" s="254"/>
      <c r="K181" s="254"/>
      <c r="L181" s="254"/>
      <c r="M181" s="254"/>
      <c r="N181" s="254"/>
      <c r="O181" s="254"/>
      <c r="P181" s="254"/>
      <c r="Q181" s="254"/>
      <c r="R181" s="254"/>
      <c r="S181" s="317">
        <f t="shared" si="4"/>
        <v>0.66</v>
      </c>
      <c r="T181" s="36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</row>
    <row r="182" spans="1:30" ht="15.75" customHeight="1">
      <c r="A182" s="47">
        <v>2</v>
      </c>
      <c r="B182" s="47">
        <v>5</v>
      </c>
      <c r="C182" s="47">
        <v>13</v>
      </c>
      <c r="D182" s="25" t="s">
        <v>37</v>
      </c>
      <c r="E182" s="25" t="s">
        <v>38</v>
      </c>
      <c r="F182" s="25" t="s">
        <v>68</v>
      </c>
      <c r="G182" s="49">
        <v>50696</v>
      </c>
      <c r="H182" s="51">
        <v>45</v>
      </c>
      <c r="I182" s="62">
        <v>1.08</v>
      </c>
      <c r="J182" s="254"/>
      <c r="K182" s="254"/>
      <c r="L182" s="254"/>
      <c r="M182" s="254"/>
      <c r="N182" s="254"/>
      <c r="O182" s="254"/>
      <c r="P182" s="254"/>
      <c r="Q182" s="254"/>
      <c r="R182" s="254"/>
      <c r="S182" s="317">
        <f t="shared" si="4"/>
        <v>1.08</v>
      </c>
      <c r="T182" s="36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</row>
    <row r="183" spans="1:30" ht="15.75" customHeight="1">
      <c r="A183" s="47">
        <v>2</v>
      </c>
      <c r="B183" s="47">
        <v>6</v>
      </c>
      <c r="C183" s="47">
        <v>1</v>
      </c>
      <c r="D183" s="25" t="s">
        <v>195</v>
      </c>
      <c r="E183" s="25" t="s">
        <v>196</v>
      </c>
      <c r="F183" s="25" t="s">
        <v>34</v>
      </c>
      <c r="G183" s="49">
        <v>50703</v>
      </c>
      <c r="H183" s="51">
        <v>190</v>
      </c>
      <c r="I183" s="62">
        <v>1.23</v>
      </c>
      <c r="J183" s="62">
        <v>1.22</v>
      </c>
      <c r="K183" s="62">
        <v>1.54</v>
      </c>
      <c r="L183" s="62">
        <v>1.64</v>
      </c>
      <c r="M183" s="62">
        <v>1.67</v>
      </c>
      <c r="N183" s="62">
        <v>1.54</v>
      </c>
      <c r="O183" s="62">
        <v>1.07</v>
      </c>
      <c r="P183" s="254"/>
      <c r="Q183" s="254"/>
      <c r="R183" s="254"/>
      <c r="S183" s="317">
        <f t="shared" si="4"/>
        <v>1.4157142857142857</v>
      </c>
      <c r="T183" s="36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</row>
    <row r="184" spans="1:30" ht="15.75" customHeight="1">
      <c r="A184" s="47">
        <v>2</v>
      </c>
      <c r="B184" s="47">
        <v>6</v>
      </c>
      <c r="C184" s="47">
        <v>2</v>
      </c>
      <c r="D184" s="25" t="s">
        <v>197</v>
      </c>
      <c r="E184" s="25" t="s">
        <v>198</v>
      </c>
      <c r="F184" s="25" t="s">
        <v>25</v>
      </c>
      <c r="G184" s="49">
        <v>50771</v>
      </c>
      <c r="H184" s="51">
        <v>9</v>
      </c>
      <c r="I184" s="62">
        <v>1.3</v>
      </c>
      <c r="J184" s="254"/>
      <c r="K184" s="254"/>
      <c r="L184" s="254"/>
      <c r="M184" s="254"/>
      <c r="N184" s="254"/>
      <c r="O184" s="254"/>
      <c r="P184" s="254"/>
      <c r="Q184" s="254"/>
      <c r="R184" s="254"/>
      <c r="S184" s="317">
        <f t="shared" si="4"/>
        <v>1.3</v>
      </c>
      <c r="T184" s="36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</row>
    <row r="185" spans="1:30" ht="15.75" customHeight="1">
      <c r="A185" s="47">
        <v>2</v>
      </c>
      <c r="B185" s="47">
        <v>6</v>
      </c>
      <c r="C185" s="47">
        <v>2</v>
      </c>
      <c r="D185" s="25" t="s">
        <v>37</v>
      </c>
      <c r="E185" s="25" t="s">
        <v>38</v>
      </c>
      <c r="F185" s="25" t="s">
        <v>34</v>
      </c>
      <c r="G185" s="49">
        <v>50622</v>
      </c>
      <c r="H185" s="51">
        <v>47</v>
      </c>
      <c r="I185" s="62">
        <v>0.74</v>
      </c>
      <c r="J185" s="254"/>
      <c r="K185" s="254"/>
      <c r="L185" s="254"/>
      <c r="M185" s="254"/>
      <c r="N185" s="254"/>
      <c r="O185" s="254"/>
      <c r="P185" s="254"/>
      <c r="Q185" s="254"/>
      <c r="R185" s="254"/>
      <c r="S185" s="317">
        <f t="shared" si="4"/>
        <v>0.74</v>
      </c>
      <c r="T185" s="36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</row>
    <row r="186" spans="1:30" ht="15.75" customHeight="1">
      <c r="A186" s="71">
        <v>2</v>
      </c>
      <c r="B186" s="71">
        <v>6</v>
      </c>
      <c r="C186" s="71">
        <v>2</v>
      </c>
      <c r="D186" s="53" t="s">
        <v>37</v>
      </c>
      <c r="E186" s="53" t="s">
        <v>38</v>
      </c>
      <c r="F186" s="53" t="s">
        <v>25</v>
      </c>
      <c r="G186" s="73">
        <v>50694</v>
      </c>
      <c r="H186" s="74">
        <v>81</v>
      </c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317" t="e">
        <f t="shared" si="4"/>
        <v>#DIV/0!</v>
      </c>
      <c r="T186" s="79" t="s">
        <v>55</v>
      </c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</row>
    <row r="187" spans="1:30" ht="15.75" customHeight="1">
      <c r="A187" s="71">
        <v>2</v>
      </c>
      <c r="B187" s="71">
        <v>6</v>
      </c>
      <c r="C187" s="71">
        <v>2</v>
      </c>
      <c r="D187" s="53" t="s">
        <v>199</v>
      </c>
      <c r="E187" s="53" t="s">
        <v>200</v>
      </c>
      <c r="F187" s="53" t="s">
        <v>34</v>
      </c>
      <c r="G187" s="73">
        <v>50603</v>
      </c>
      <c r="H187" s="74">
        <v>65</v>
      </c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317" t="e">
        <f t="shared" si="4"/>
        <v>#DIV/0!</v>
      </c>
      <c r="T187" s="79" t="s">
        <v>55</v>
      </c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</row>
    <row r="188" spans="1:30" ht="15.75" customHeight="1">
      <c r="A188" s="71">
        <v>2</v>
      </c>
      <c r="B188" s="71">
        <v>6</v>
      </c>
      <c r="C188" s="71">
        <v>2</v>
      </c>
      <c r="D188" s="53" t="s">
        <v>199</v>
      </c>
      <c r="E188" s="53" t="s">
        <v>200</v>
      </c>
      <c r="F188" s="53" t="s">
        <v>34</v>
      </c>
      <c r="G188" s="73">
        <v>50656</v>
      </c>
      <c r="H188" s="74">
        <v>23</v>
      </c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317" t="e">
        <f t="shared" si="4"/>
        <v>#DIV/0!</v>
      </c>
      <c r="T188" s="79" t="s">
        <v>55</v>
      </c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</row>
    <row r="189" spans="1:30" ht="15.75" customHeight="1">
      <c r="A189" s="47">
        <v>2</v>
      </c>
      <c r="B189" s="47">
        <v>6</v>
      </c>
      <c r="C189" s="47">
        <v>3</v>
      </c>
      <c r="D189" s="25" t="s">
        <v>201</v>
      </c>
      <c r="E189" s="25" t="s">
        <v>202</v>
      </c>
      <c r="F189" s="25" t="s">
        <v>34</v>
      </c>
      <c r="G189" s="49">
        <v>50601</v>
      </c>
      <c r="H189" s="51">
        <v>146</v>
      </c>
      <c r="I189" s="306">
        <v>0.97</v>
      </c>
      <c r="J189" s="306">
        <v>1.1100000000000001</v>
      </c>
      <c r="K189" s="306">
        <v>1.51</v>
      </c>
      <c r="L189" s="306">
        <v>1.27</v>
      </c>
      <c r="M189" s="306">
        <v>1.34</v>
      </c>
      <c r="N189" s="306">
        <v>0.83</v>
      </c>
      <c r="O189" s="254"/>
      <c r="P189" s="254"/>
      <c r="Q189" s="254"/>
      <c r="R189" s="254"/>
      <c r="S189" s="317">
        <f t="shared" si="4"/>
        <v>1.1716666666666666</v>
      </c>
      <c r="T189" s="60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</row>
    <row r="190" spans="1:30" ht="15.75" customHeight="1">
      <c r="A190" s="47">
        <v>2</v>
      </c>
      <c r="B190" s="47">
        <v>6</v>
      </c>
      <c r="C190" s="47">
        <v>3</v>
      </c>
      <c r="D190" s="25" t="s">
        <v>201</v>
      </c>
      <c r="E190" s="25" t="s">
        <v>202</v>
      </c>
      <c r="F190" s="25" t="s">
        <v>25</v>
      </c>
      <c r="G190" s="49">
        <v>50525</v>
      </c>
      <c r="H190" s="51">
        <v>42</v>
      </c>
      <c r="I190" s="306">
        <v>1.29</v>
      </c>
      <c r="J190" s="306">
        <v>1.22</v>
      </c>
      <c r="K190" s="254"/>
      <c r="L190" s="254"/>
      <c r="M190" s="254"/>
      <c r="N190" s="254"/>
      <c r="O190" s="254"/>
      <c r="P190" s="254"/>
      <c r="Q190" s="254"/>
      <c r="R190" s="254"/>
      <c r="S190" s="317">
        <f t="shared" si="4"/>
        <v>1.2549999999999999</v>
      </c>
      <c r="T190" s="60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</row>
    <row r="191" spans="1:30" ht="15.75" customHeight="1">
      <c r="A191" s="47">
        <v>2</v>
      </c>
      <c r="B191" s="47">
        <v>6</v>
      </c>
      <c r="C191" s="47">
        <v>3</v>
      </c>
      <c r="D191" s="25" t="s">
        <v>199</v>
      </c>
      <c r="E191" s="25" t="s">
        <v>200</v>
      </c>
      <c r="F191" s="25" t="s">
        <v>34</v>
      </c>
      <c r="G191" s="49">
        <v>50603</v>
      </c>
      <c r="H191" s="51">
        <v>32</v>
      </c>
      <c r="I191" s="306">
        <v>2.0099999999999998</v>
      </c>
      <c r="J191" s="306">
        <v>1.85</v>
      </c>
      <c r="K191" s="254"/>
      <c r="L191" s="254"/>
      <c r="M191" s="254"/>
      <c r="N191" s="254"/>
      <c r="O191" s="254"/>
      <c r="P191" s="254"/>
      <c r="Q191" s="254"/>
      <c r="R191" s="254"/>
      <c r="S191" s="317">
        <f t="shared" si="4"/>
        <v>1.93</v>
      </c>
      <c r="T191" s="60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</row>
    <row r="192" spans="1:30" ht="15.75" customHeight="1">
      <c r="A192" s="47">
        <v>2</v>
      </c>
      <c r="B192" s="47">
        <v>6</v>
      </c>
      <c r="C192" s="47">
        <v>4</v>
      </c>
      <c r="D192" s="25" t="s">
        <v>203</v>
      </c>
      <c r="E192" s="25" t="s">
        <v>204</v>
      </c>
      <c r="F192" s="25" t="s">
        <v>68</v>
      </c>
      <c r="G192" s="49">
        <v>50835</v>
      </c>
      <c r="H192" s="51">
        <v>580</v>
      </c>
      <c r="I192" s="306">
        <v>1.31</v>
      </c>
      <c r="J192" s="306">
        <v>0.98</v>
      </c>
      <c r="K192" s="306">
        <v>0.85</v>
      </c>
      <c r="L192" s="306">
        <v>0.95</v>
      </c>
      <c r="M192" s="306">
        <v>0.8</v>
      </c>
      <c r="N192" s="306">
        <v>0.95</v>
      </c>
      <c r="O192" s="306">
        <v>0.91500000000000004</v>
      </c>
      <c r="P192" s="306">
        <v>0.64</v>
      </c>
      <c r="Q192" s="306">
        <v>0.92</v>
      </c>
      <c r="R192" s="306">
        <v>0.85799999999999998</v>
      </c>
      <c r="S192" s="317">
        <f t="shared" si="4"/>
        <v>0.9173</v>
      </c>
      <c r="T192" s="60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</row>
    <row r="193" spans="1:30" ht="15.75" customHeight="1">
      <c r="A193" s="47">
        <v>2</v>
      </c>
      <c r="B193" s="47">
        <v>6</v>
      </c>
      <c r="C193" s="47">
        <v>5</v>
      </c>
      <c r="D193" s="25" t="s">
        <v>203</v>
      </c>
      <c r="E193" s="25" t="s">
        <v>204</v>
      </c>
      <c r="F193" s="25" t="s">
        <v>68</v>
      </c>
      <c r="G193" s="49">
        <v>50835</v>
      </c>
      <c r="H193" s="51">
        <v>308</v>
      </c>
      <c r="I193" s="306">
        <v>0.82</v>
      </c>
      <c r="J193" s="306">
        <v>1.02</v>
      </c>
      <c r="K193" s="306" t="s">
        <v>80</v>
      </c>
      <c r="L193" s="306" t="s">
        <v>80</v>
      </c>
      <c r="M193" s="306">
        <v>0.57999999999999996</v>
      </c>
      <c r="N193" s="306">
        <v>0.69</v>
      </c>
      <c r="O193" s="306">
        <v>0.66100000000000003</v>
      </c>
      <c r="P193" s="306">
        <v>0.81</v>
      </c>
      <c r="Q193" s="254"/>
      <c r="R193" s="254"/>
      <c r="S193" s="317">
        <f t="shared" si="4"/>
        <v>0.76349999999999996</v>
      </c>
      <c r="T193" s="60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</row>
    <row r="194" spans="1:30" ht="15.75" customHeight="1">
      <c r="A194" s="47">
        <v>2</v>
      </c>
      <c r="B194" s="47">
        <v>6</v>
      </c>
      <c r="C194" s="47">
        <v>5</v>
      </c>
      <c r="D194" s="25" t="s">
        <v>167</v>
      </c>
      <c r="E194" s="25" t="s">
        <v>168</v>
      </c>
      <c r="F194" s="25" t="s">
        <v>25</v>
      </c>
      <c r="G194" s="49">
        <v>50744</v>
      </c>
      <c r="H194" s="51">
        <v>1</v>
      </c>
      <c r="I194" s="62">
        <v>1.78</v>
      </c>
      <c r="J194" s="254"/>
      <c r="K194" s="254"/>
      <c r="L194" s="254"/>
      <c r="M194" s="254"/>
      <c r="N194" s="254"/>
      <c r="O194" s="254"/>
      <c r="P194" s="254"/>
      <c r="Q194" s="254"/>
      <c r="R194" s="254"/>
      <c r="S194" s="317">
        <f t="shared" si="4"/>
        <v>1.78</v>
      </c>
      <c r="T194" s="27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</row>
    <row r="195" spans="1:30" ht="15.75" customHeight="1">
      <c r="A195" s="47">
        <v>2</v>
      </c>
      <c r="B195" s="47">
        <v>7</v>
      </c>
      <c r="C195" s="47">
        <v>1</v>
      </c>
      <c r="D195" s="25" t="s">
        <v>177</v>
      </c>
      <c r="E195" s="25" t="s">
        <v>178</v>
      </c>
      <c r="F195" s="25" t="s">
        <v>68</v>
      </c>
      <c r="G195" s="49">
        <v>50852</v>
      </c>
      <c r="H195" s="51">
        <v>256</v>
      </c>
      <c r="I195" s="62">
        <v>1.23</v>
      </c>
      <c r="J195" s="62">
        <v>0.95</v>
      </c>
      <c r="K195" s="62">
        <v>1.1100000000000001</v>
      </c>
      <c r="L195" s="62">
        <v>1.39</v>
      </c>
      <c r="M195" s="62">
        <v>0.86</v>
      </c>
      <c r="N195" s="62">
        <v>0.94</v>
      </c>
      <c r="O195" s="62">
        <v>0.77</v>
      </c>
      <c r="P195" s="62">
        <v>0.62</v>
      </c>
      <c r="Q195" s="254"/>
      <c r="R195" s="254"/>
      <c r="S195" s="317">
        <f t="shared" si="4"/>
        <v>0.98375000000000001</v>
      </c>
      <c r="T195" s="27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</row>
    <row r="196" spans="1:30" ht="15.75" customHeight="1">
      <c r="A196" s="33">
        <v>2</v>
      </c>
      <c r="B196" s="47">
        <v>7</v>
      </c>
      <c r="C196" s="47">
        <v>2</v>
      </c>
      <c r="D196" s="25" t="s">
        <v>205</v>
      </c>
      <c r="E196" s="25" t="s">
        <v>206</v>
      </c>
      <c r="F196" s="25" t="s">
        <v>34</v>
      </c>
      <c r="G196" s="49">
        <v>50853</v>
      </c>
      <c r="H196" s="51">
        <v>642</v>
      </c>
      <c r="I196" s="62">
        <v>1.46</v>
      </c>
      <c r="J196" s="62">
        <v>1.28</v>
      </c>
      <c r="K196" s="62">
        <v>1.73</v>
      </c>
      <c r="L196" s="62">
        <v>1.18</v>
      </c>
      <c r="M196" s="62">
        <v>0.93</v>
      </c>
      <c r="N196" s="62">
        <v>1.92</v>
      </c>
      <c r="O196" s="62">
        <v>1.21</v>
      </c>
      <c r="P196" s="62">
        <v>1.17</v>
      </c>
      <c r="Q196" s="62">
        <v>1.04</v>
      </c>
      <c r="R196" s="62">
        <v>0.61</v>
      </c>
      <c r="S196" s="317">
        <f t="shared" si="4"/>
        <v>1.2530000000000001</v>
      </c>
      <c r="T196" s="27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</row>
    <row r="197" spans="1:30" ht="15.75" customHeight="1">
      <c r="A197" s="71">
        <v>2</v>
      </c>
      <c r="B197" s="71">
        <v>7</v>
      </c>
      <c r="C197" s="71">
        <v>3</v>
      </c>
      <c r="D197" s="53" t="s">
        <v>208</v>
      </c>
      <c r="E197" s="53" t="s">
        <v>209</v>
      </c>
      <c r="F197" s="53" t="s">
        <v>68</v>
      </c>
      <c r="G197" s="73">
        <v>50635</v>
      </c>
      <c r="H197" s="74">
        <v>311</v>
      </c>
      <c r="I197" s="314"/>
      <c r="J197" s="314"/>
      <c r="K197" s="314"/>
      <c r="L197" s="314"/>
      <c r="M197" s="314"/>
      <c r="N197" s="314"/>
      <c r="O197" s="314"/>
      <c r="P197" s="314"/>
      <c r="Q197" s="314"/>
      <c r="R197" s="314"/>
      <c r="S197" s="317" t="e">
        <f t="shared" si="4"/>
        <v>#DIV/0!</v>
      </c>
      <c r="T197" s="79" t="s">
        <v>248</v>
      </c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</row>
    <row r="198" spans="1:30" ht="15.75" customHeight="1">
      <c r="A198" s="47">
        <v>2</v>
      </c>
      <c r="B198" s="47">
        <v>7</v>
      </c>
      <c r="C198" s="47">
        <v>3</v>
      </c>
      <c r="D198" s="25" t="s">
        <v>81</v>
      </c>
      <c r="E198" s="25" t="s">
        <v>82</v>
      </c>
      <c r="F198" s="25" t="s">
        <v>34</v>
      </c>
      <c r="G198" s="49">
        <v>50555</v>
      </c>
      <c r="H198" s="51">
        <v>5</v>
      </c>
      <c r="I198" s="62">
        <v>1.34</v>
      </c>
      <c r="J198" s="254"/>
      <c r="K198" s="254"/>
      <c r="L198" s="254"/>
      <c r="M198" s="254"/>
      <c r="N198" s="254"/>
      <c r="O198" s="254"/>
      <c r="P198" s="254"/>
      <c r="Q198" s="254"/>
      <c r="R198" s="254"/>
      <c r="S198" s="317">
        <f t="shared" si="4"/>
        <v>1.34</v>
      </c>
      <c r="T198" s="27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</row>
    <row r="199" spans="1:30" ht="15.75" customHeight="1">
      <c r="A199" s="71">
        <v>2</v>
      </c>
      <c r="B199" s="71">
        <v>7</v>
      </c>
      <c r="C199" s="71">
        <v>3</v>
      </c>
      <c r="D199" s="53" t="s">
        <v>208</v>
      </c>
      <c r="E199" s="53" t="s">
        <v>209</v>
      </c>
      <c r="F199" s="53" t="s">
        <v>34</v>
      </c>
      <c r="G199" s="73">
        <v>50617</v>
      </c>
      <c r="H199" s="74">
        <v>75</v>
      </c>
      <c r="I199" s="172">
        <v>2.3199999999999998</v>
      </c>
      <c r="J199" s="98"/>
      <c r="K199" s="98"/>
      <c r="L199" s="98"/>
      <c r="M199" s="98"/>
      <c r="N199" s="98"/>
      <c r="O199" s="98"/>
      <c r="P199" s="98"/>
      <c r="Q199" s="98"/>
      <c r="R199" s="98"/>
      <c r="S199" s="317">
        <f t="shared" si="4"/>
        <v>2.3199999999999998</v>
      </c>
      <c r="T199" s="79" t="s">
        <v>248</v>
      </c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</row>
    <row r="200" spans="1:30" ht="15.75" customHeight="1">
      <c r="A200" s="71">
        <v>2</v>
      </c>
      <c r="B200" s="71">
        <v>7</v>
      </c>
      <c r="C200" s="71">
        <v>4</v>
      </c>
      <c r="D200" s="53" t="s">
        <v>210</v>
      </c>
      <c r="E200" s="53" t="s">
        <v>211</v>
      </c>
      <c r="F200" s="53" t="s">
        <v>34</v>
      </c>
      <c r="G200" s="73">
        <v>50578</v>
      </c>
      <c r="H200" s="74">
        <v>4</v>
      </c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317" t="e">
        <f t="shared" si="4"/>
        <v>#DIV/0!</v>
      </c>
      <c r="T200" s="79" t="s">
        <v>55</v>
      </c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</row>
    <row r="201" spans="1:30" ht="15.75" customHeight="1">
      <c r="A201" s="71">
        <v>2</v>
      </c>
      <c r="B201" s="71">
        <v>7</v>
      </c>
      <c r="C201" s="71">
        <v>4</v>
      </c>
      <c r="D201" s="53" t="s">
        <v>212</v>
      </c>
      <c r="E201" s="53" t="s">
        <v>213</v>
      </c>
      <c r="F201" s="53" t="s">
        <v>34</v>
      </c>
      <c r="G201" s="73">
        <v>50579</v>
      </c>
      <c r="H201" s="74">
        <v>1</v>
      </c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317" t="e">
        <f t="shared" si="4"/>
        <v>#DIV/0!</v>
      </c>
      <c r="T201" s="79" t="s">
        <v>55</v>
      </c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</row>
    <row r="202" spans="1:30" ht="15.75" customHeight="1">
      <c r="A202" s="71">
        <v>2</v>
      </c>
      <c r="B202" s="71">
        <v>7</v>
      </c>
      <c r="C202" s="71">
        <v>4</v>
      </c>
      <c r="D202" s="53" t="s">
        <v>214</v>
      </c>
      <c r="E202" s="53" t="s">
        <v>215</v>
      </c>
      <c r="F202" s="53" t="s">
        <v>34</v>
      </c>
      <c r="G202" s="73">
        <v>50580</v>
      </c>
      <c r="H202" s="74">
        <v>25</v>
      </c>
      <c r="I202" s="172"/>
      <c r="J202" s="98"/>
      <c r="K202" s="98"/>
      <c r="L202" s="98"/>
      <c r="M202" s="98"/>
      <c r="N202" s="98"/>
      <c r="O202" s="98"/>
      <c r="P202" s="98"/>
      <c r="Q202" s="98"/>
      <c r="R202" s="98"/>
      <c r="S202" s="317" t="e">
        <f t="shared" si="4"/>
        <v>#DIV/0!</v>
      </c>
      <c r="T202" s="79" t="s">
        <v>248</v>
      </c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</row>
    <row r="203" spans="1:30" ht="15.75" customHeight="1">
      <c r="A203" s="47">
        <v>2</v>
      </c>
      <c r="B203" s="47">
        <v>7</v>
      </c>
      <c r="C203" s="47">
        <v>4</v>
      </c>
      <c r="D203" s="25" t="s">
        <v>216</v>
      </c>
      <c r="E203" s="25" t="s">
        <v>217</v>
      </c>
      <c r="F203" s="25" t="s">
        <v>34</v>
      </c>
      <c r="G203" s="49">
        <v>50584</v>
      </c>
      <c r="H203" s="51">
        <v>92</v>
      </c>
      <c r="I203" s="62">
        <v>1.337</v>
      </c>
      <c r="J203" s="62">
        <v>1.43</v>
      </c>
      <c r="K203" s="62">
        <v>1.27</v>
      </c>
      <c r="L203" s="62" t="s">
        <v>80</v>
      </c>
      <c r="M203" s="254"/>
      <c r="N203" s="254"/>
      <c r="O203" s="254"/>
      <c r="P203" s="254"/>
      <c r="Q203" s="254"/>
      <c r="R203" s="254"/>
      <c r="S203" s="317">
        <f t="shared" si="4"/>
        <v>1.3456666666666666</v>
      </c>
      <c r="T203" s="27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</row>
    <row r="204" spans="1:30" ht="15.75" customHeight="1">
      <c r="A204" s="47">
        <v>2</v>
      </c>
      <c r="B204" s="47">
        <v>7</v>
      </c>
      <c r="C204" s="47">
        <v>4</v>
      </c>
      <c r="D204" s="25" t="s">
        <v>218</v>
      </c>
      <c r="E204" s="25" t="s">
        <v>219</v>
      </c>
      <c r="F204" s="25" t="s">
        <v>34</v>
      </c>
      <c r="G204" s="49">
        <v>50547</v>
      </c>
      <c r="H204" s="51">
        <v>73</v>
      </c>
      <c r="I204" s="62">
        <v>2.12</v>
      </c>
      <c r="J204" s="62">
        <v>1.23</v>
      </c>
      <c r="K204" s="62">
        <v>1.2</v>
      </c>
      <c r="L204" s="254"/>
      <c r="M204" s="254"/>
      <c r="N204" s="254"/>
      <c r="O204" s="254"/>
      <c r="P204" s="254"/>
      <c r="Q204" s="254"/>
      <c r="R204" s="254"/>
      <c r="S204" s="317">
        <f t="shared" si="4"/>
        <v>1.5166666666666666</v>
      </c>
      <c r="T204" s="27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</row>
    <row r="205" spans="1:30" ht="15.75" customHeight="1">
      <c r="A205" s="47">
        <v>2</v>
      </c>
      <c r="B205" s="47">
        <v>7</v>
      </c>
      <c r="C205" s="47">
        <v>4</v>
      </c>
      <c r="D205" s="25" t="s">
        <v>218</v>
      </c>
      <c r="E205" s="25" t="s">
        <v>219</v>
      </c>
      <c r="F205" s="25" t="s">
        <v>25</v>
      </c>
      <c r="G205" s="49">
        <v>50389</v>
      </c>
      <c r="H205" s="51">
        <v>14</v>
      </c>
      <c r="I205" s="62">
        <v>1.655</v>
      </c>
      <c r="J205" s="254"/>
      <c r="K205" s="254"/>
      <c r="L205" s="254"/>
      <c r="M205" s="254"/>
      <c r="N205" s="254"/>
      <c r="O205" s="254"/>
      <c r="P205" s="254"/>
      <c r="Q205" s="254"/>
      <c r="R205" s="254"/>
      <c r="S205" s="317">
        <f t="shared" si="4"/>
        <v>1.655</v>
      </c>
      <c r="T205" s="27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</row>
    <row r="206" spans="1:30" ht="15.75" customHeight="1">
      <c r="A206" s="47">
        <v>2</v>
      </c>
      <c r="B206" s="47">
        <v>7</v>
      </c>
      <c r="C206" s="47">
        <v>4</v>
      </c>
      <c r="D206" s="25" t="s">
        <v>218</v>
      </c>
      <c r="E206" s="25" t="s">
        <v>219</v>
      </c>
      <c r="F206" s="25" t="s">
        <v>25</v>
      </c>
      <c r="G206" s="49">
        <v>50676</v>
      </c>
      <c r="H206" s="51">
        <v>3</v>
      </c>
      <c r="I206" s="62">
        <v>3.13</v>
      </c>
      <c r="J206" s="254"/>
      <c r="K206" s="254"/>
      <c r="L206" s="254"/>
      <c r="M206" s="254"/>
      <c r="N206" s="254"/>
      <c r="O206" s="254"/>
      <c r="P206" s="254"/>
      <c r="Q206" s="254"/>
      <c r="R206" s="254"/>
      <c r="S206" s="317">
        <f t="shared" si="4"/>
        <v>3.13</v>
      </c>
      <c r="T206" s="27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</row>
    <row r="207" spans="1:30" ht="15.75" customHeight="1">
      <c r="A207" s="71">
        <v>2</v>
      </c>
      <c r="B207" s="71">
        <v>7</v>
      </c>
      <c r="C207" s="71">
        <v>5</v>
      </c>
      <c r="D207" s="53" t="s">
        <v>160</v>
      </c>
      <c r="E207" s="53" t="s">
        <v>161</v>
      </c>
      <c r="F207" s="53" t="s">
        <v>25</v>
      </c>
      <c r="G207" s="73">
        <v>50863</v>
      </c>
      <c r="H207" s="74">
        <v>168</v>
      </c>
      <c r="I207" s="172"/>
      <c r="J207" s="172"/>
      <c r="K207" s="172"/>
      <c r="L207" s="172"/>
      <c r="M207" s="172"/>
      <c r="N207" s="98"/>
      <c r="O207" s="98"/>
      <c r="P207" s="98"/>
      <c r="Q207" s="98"/>
      <c r="R207" s="98"/>
      <c r="S207" s="317" t="e">
        <f t="shared" si="4"/>
        <v>#DIV/0!</v>
      </c>
      <c r="T207" s="79" t="s">
        <v>248</v>
      </c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</row>
    <row r="208" spans="1:30" ht="15.75" customHeight="1">
      <c r="A208" s="47">
        <v>2</v>
      </c>
      <c r="B208" s="47">
        <v>7</v>
      </c>
      <c r="C208" s="47">
        <v>5</v>
      </c>
      <c r="D208" s="25" t="s">
        <v>189</v>
      </c>
      <c r="E208" s="25" t="s">
        <v>190</v>
      </c>
      <c r="F208" s="25" t="s">
        <v>25</v>
      </c>
      <c r="G208" s="49">
        <v>50864</v>
      </c>
      <c r="H208" s="51">
        <v>279</v>
      </c>
      <c r="I208" s="62">
        <v>0.92</v>
      </c>
      <c r="J208" s="62">
        <v>1.91</v>
      </c>
      <c r="K208" s="62">
        <v>1.25</v>
      </c>
      <c r="L208" s="62">
        <v>1.46</v>
      </c>
      <c r="M208" s="62">
        <v>1.1100000000000001</v>
      </c>
      <c r="N208" s="62">
        <v>1.64</v>
      </c>
      <c r="O208" s="62">
        <v>1.52</v>
      </c>
      <c r="P208" s="62">
        <v>2.0299999999999998</v>
      </c>
      <c r="Q208" s="254"/>
      <c r="R208" s="254"/>
      <c r="S208" s="317">
        <f t="shared" si="4"/>
        <v>1.48</v>
      </c>
      <c r="T208" s="27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</row>
    <row r="209" spans="1:30" ht="15.75" customHeight="1">
      <c r="A209" s="47">
        <v>2</v>
      </c>
      <c r="B209" s="47">
        <v>7</v>
      </c>
      <c r="C209" s="47">
        <v>6</v>
      </c>
      <c r="D209" s="25" t="s">
        <v>100</v>
      </c>
      <c r="E209" s="25" t="s">
        <v>101</v>
      </c>
      <c r="F209" s="25" t="s">
        <v>31</v>
      </c>
      <c r="G209" s="49">
        <v>50692</v>
      </c>
      <c r="H209" s="51">
        <v>462</v>
      </c>
      <c r="I209" s="62">
        <v>0.81</v>
      </c>
      <c r="J209" s="62">
        <v>0.56999999999999995</v>
      </c>
      <c r="K209" s="62">
        <v>0.26</v>
      </c>
      <c r="L209" s="62">
        <v>0.39</v>
      </c>
      <c r="M209" s="62">
        <v>0.38</v>
      </c>
      <c r="N209" s="62" t="s">
        <v>80</v>
      </c>
      <c r="O209" s="62">
        <v>0.43</v>
      </c>
      <c r="P209" s="62">
        <v>0.56000000000000005</v>
      </c>
      <c r="Q209" s="62">
        <v>0.16</v>
      </c>
      <c r="R209" s="62">
        <v>0.25</v>
      </c>
      <c r="S209" s="317">
        <f t="shared" si="4"/>
        <v>0.42333333333333334</v>
      </c>
      <c r="T209" s="27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</row>
    <row r="210" spans="1:30" ht="15.75" customHeight="1">
      <c r="A210" s="47">
        <v>2</v>
      </c>
      <c r="B210" s="47">
        <v>7</v>
      </c>
      <c r="C210" s="47">
        <v>7</v>
      </c>
      <c r="D210" s="25" t="s">
        <v>58</v>
      </c>
      <c r="E210" s="25" t="s">
        <v>59</v>
      </c>
      <c r="F210" s="25" t="s">
        <v>25</v>
      </c>
      <c r="G210" s="49">
        <v>50868</v>
      </c>
      <c r="H210" s="51">
        <v>416</v>
      </c>
      <c r="I210" s="62">
        <v>1.53</v>
      </c>
      <c r="J210" s="62">
        <v>1.72</v>
      </c>
      <c r="K210" s="62">
        <v>1.89</v>
      </c>
      <c r="L210" s="62" t="s">
        <v>80</v>
      </c>
      <c r="M210" s="62">
        <v>2.5099999999999998</v>
      </c>
      <c r="N210" s="62" t="s">
        <v>80</v>
      </c>
      <c r="O210" s="62" t="s">
        <v>80</v>
      </c>
      <c r="P210" s="62">
        <v>1.52</v>
      </c>
      <c r="Q210" s="62" t="s">
        <v>80</v>
      </c>
      <c r="R210" s="62">
        <v>0.97</v>
      </c>
      <c r="S210" s="317">
        <f t="shared" si="4"/>
        <v>1.6900000000000002</v>
      </c>
      <c r="T210" s="27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</row>
    <row r="211" spans="1:30" ht="15.75" customHeight="1">
      <c r="A211" s="159">
        <v>2</v>
      </c>
      <c r="B211" s="159">
        <v>7</v>
      </c>
      <c r="C211" s="159">
        <v>7</v>
      </c>
      <c r="D211" s="153" t="s">
        <v>97</v>
      </c>
      <c r="E211" s="153" t="s">
        <v>220</v>
      </c>
      <c r="F211" s="153" t="s">
        <v>25</v>
      </c>
      <c r="G211" s="161">
        <v>50869</v>
      </c>
      <c r="H211" s="162">
        <v>214</v>
      </c>
      <c r="I211" s="164">
        <v>0.67</v>
      </c>
      <c r="J211" s="164">
        <v>0.41</v>
      </c>
      <c r="K211" s="164">
        <v>0.41</v>
      </c>
      <c r="L211" s="164">
        <v>0.57999999999999996</v>
      </c>
      <c r="M211" s="320"/>
      <c r="N211" s="320"/>
      <c r="O211" s="320"/>
      <c r="P211" s="320"/>
      <c r="Q211" s="320"/>
      <c r="R211" s="320"/>
      <c r="S211" s="317">
        <f t="shared" si="4"/>
        <v>0.51749999999999996</v>
      </c>
      <c r="T211" s="163" t="s">
        <v>221</v>
      </c>
      <c r="U211" s="271"/>
      <c r="V211" s="271"/>
      <c r="W211" s="271"/>
      <c r="X211" s="271"/>
      <c r="Y211" s="271"/>
      <c r="Z211" s="271"/>
      <c r="AA211" s="271"/>
      <c r="AB211" s="271"/>
      <c r="AC211" s="271"/>
      <c r="AD211" s="271"/>
    </row>
    <row r="212" spans="1:30" ht="15.75" customHeight="1">
      <c r="A212" s="47">
        <v>2</v>
      </c>
      <c r="B212" s="47">
        <v>7</v>
      </c>
      <c r="C212" s="47">
        <v>9</v>
      </c>
      <c r="D212" s="25" t="s">
        <v>222</v>
      </c>
      <c r="E212" s="25" t="s">
        <v>223</v>
      </c>
      <c r="F212" s="25" t="s">
        <v>25</v>
      </c>
      <c r="G212" s="49">
        <v>50870</v>
      </c>
      <c r="H212" s="51">
        <v>93</v>
      </c>
      <c r="I212" s="62">
        <v>0.84799999999999998</v>
      </c>
      <c r="J212" s="62">
        <v>0.75</v>
      </c>
      <c r="K212" s="62">
        <v>0.37</v>
      </c>
      <c r="L212" s="62">
        <v>0.97</v>
      </c>
      <c r="M212" s="254"/>
      <c r="N212" s="254"/>
      <c r="O212" s="254"/>
      <c r="P212" s="254"/>
      <c r="Q212" s="254"/>
      <c r="R212" s="254"/>
      <c r="S212" s="317">
        <f t="shared" si="4"/>
        <v>0.73449999999999993</v>
      </c>
      <c r="T212" s="27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</row>
    <row r="213" spans="1:30" ht="15.75" customHeight="1">
      <c r="A213" s="47">
        <v>2</v>
      </c>
      <c r="B213" s="47">
        <v>7</v>
      </c>
      <c r="C213" s="47">
        <v>9</v>
      </c>
      <c r="D213" s="25" t="s">
        <v>138</v>
      </c>
      <c r="E213" s="25" t="s">
        <v>139</v>
      </c>
      <c r="F213" s="25" t="s">
        <v>25</v>
      </c>
      <c r="G213" s="49">
        <v>50871</v>
      </c>
      <c r="H213" s="51">
        <v>433</v>
      </c>
      <c r="I213" s="62">
        <v>0.87</v>
      </c>
      <c r="J213" s="62">
        <v>1.08</v>
      </c>
      <c r="K213" s="62">
        <v>0.4</v>
      </c>
      <c r="L213" s="62">
        <v>0.79</v>
      </c>
      <c r="M213" s="62">
        <v>1</v>
      </c>
      <c r="N213" s="62">
        <v>0.92</v>
      </c>
      <c r="O213" s="62">
        <v>0.57999999999999996</v>
      </c>
      <c r="P213" s="62">
        <v>0.221</v>
      </c>
      <c r="Q213" s="62">
        <v>0.7</v>
      </c>
      <c r="R213" s="62">
        <v>0.38</v>
      </c>
      <c r="S213" s="317">
        <f t="shared" si="4"/>
        <v>0.69410000000000005</v>
      </c>
      <c r="T213" s="27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</row>
    <row r="214" spans="1:30" ht="15.75" customHeight="1">
      <c r="A214" s="323">
        <v>2</v>
      </c>
      <c r="B214" s="323">
        <v>7</v>
      </c>
      <c r="C214" s="323">
        <v>11</v>
      </c>
      <c r="D214" s="324" t="s">
        <v>224</v>
      </c>
      <c r="E214" s="324" t="s">
        <v>225</v>
      </c>
      <c r="F214" s="324" t="s">
        <v>25</v>
      </c>
      <c r="G214" s="325">
        <v>50872</v>
      </c>
      <c r="H214" s="326">
        <v>200</v>
      </c>
      <c r="I214" s="327"/>
      <c r="J214" s="328"/>
      <c r="K214" s="328"/>
      <c r="L214" s="328"/>
      <c r="M214" s="328"/>
      <c r="N214" s="328"/>
      <c r="O214" s="328"/>
      <c r="P214" s="328"/>
      <c r="Q214" s="328"/>
      <c r="R214" s="328"/>
      <c r="S214" s="317" t="e">
        <f t="shared" si="4"/>
        <v>#DIV/0!</v>
      </c>
      <c r="T214" s="329" t="s">
        <v>259</v>
      </c>
      <c r="U214" s="271"/>
      <c r="V214" s="271"/>
      <c r="W214" s="271"/>
      <c r="X214" s="271"/>
      <c r="Y214" s="271"/>
      <c r="Z214" s="271"/>
      <c r="AA214" s="271"/>
      <c r="AB214" s="271"/>
      <c r="AC214" s="271"/>
      <c r="AD214" s="271"/>
    </row>
    <row r="215" spans="1:30" ht="15.75" customHeight="1">
      <c r="A215" s="71">
        <v>2</v>
      </c>
      <c r="B215" s="71">
        <v>7</v>
      </c>
      <c r="C215" s="71">
        <v>11</v>
      </c>
      <c r="D215" s="53" t="s">
        <v>212</v>
      </c>
      <c r="E215" s="53" t="s">
        <v>213</v>
      </c>
      <c r="F215" s="53" t="s">
        <v>25</v>
      </c>
      <c r="G215" s="73">
        <v>50873</v>
      </c>
      <c r="H215" s="74">
        <v>186</v>
      </c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317" t="e">
        <f t="shared" si="4"/>
        <v>#DIV/0!</v>
      </c>
      <c r="T215" s="79" t="s">
        <v>55</v>
      </c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</row>
    <row r="216" spans="1:30" ht="15.75" customHeight="1">
      <c r="A216" s="47">
        <v>2</v>
      </c>
      <c r="B216" s="47">
        <v>7</v>
      </c>
      <c r="C216" s="47">
        <v>11</v>
      </c>
      <c r="D216" s="25" t="s">
        <v>74</v>
      </c>
      <c r="E216" s="25" t="s">
        <v>75</v>
      </c>
      <c r="F216" s="25" t="s">
        <v>25</v>
      </c>
      <c r="G216" s="49">
        <v>50885</v>
      </c>
      <c r="H216" s="51">
        <v>222</v>
      </c>
      <c r="I216" s="62">
        <v>0.35</v>
      </c>
      <c r="J216" s="62">
        <v>0.33</v>
      </c>
      <c r="K216" s="62">
        <v>0.41</v>
      </c>
      <c r="L216" s="62">
        <v>0.3</v>
      </c>
      <c r="M216" s="62">
        <v>0.39</v>
      </c>
      <c r="N216" s="62">
        <v>0.5</v>
      </c>
      <c r="O216" s="62">
        <v>0.23</v>
      </c>
      <c r="P216" s="62">
        <v>0.16900000000000001</v>
      </c>
      <c r="Q216" s="62">
        <v>0.4</v>
      </c>
      <c r="R216" s="62">
        <v>0.24</v>
      </c>
      <c r="S216" s="317">
        <f t="shared" si="4"/>
        <v>0.33189999999999997</v>
      </c>
      <c r="T216" s="27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</row>
    <row r="217" spans="1:30" ht="15.75" customHeight="1">
      <c r="A217" s="47">
        <v>2</v>
      </c>
      <c r="B217" s="47">
        <v>7</v>
      </c>
      <c r="C217" s="47">
        <v>12</v>
      </c>
      <c r="D217" s="25" t="s">
        <v>226</v>
      </c>
      <c r="E217" s="25" t="s">
        <v>227</v>
      </c>
      <c r="F217" s="25" t="s">
        <v>34</v>
      </c>
      <c r="G217" s="49">
        <v>50662</v>
      </c>
      <c r="H217" s="51">
        <v>31</v>
      </c>
      <c r="I217" s="62">
        <v>0.94</v>
      </c>
      <c r="J217" s="254"/>
      <c r="K217" s="254"/>
      <c r="L217" s="254"/>
      <c r="M217" s="254"/>
      <c r="N217" s="254"/>
      <c r="O217" s="254"/>
      <c r="P217" s="254"/>
      <c r="Q217" s="254"/>
      <c r="R217" s="254"/>
      <c r="S217" s="317">
        <f t="shared" si="4"/>
        <v>0.94</v>
      </c>
      <c r="T217" s="27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</row>
    <row r="218" spans="1:30" ht="15.75" customHeight="1">
      <c r="A218" s="47">
        <v>2</v>
      </c>
      <c r="B218" s="47">
        <v>7</v>
      </c>
      <c r="C218" s="47">
        <v>12</v>
      </c>
      <c r="D218" s="25" t="s">
        <v>212</v>
      </c>
      <c r="E218" s="25" t="s">
        <v>213</v>
      </c>
      <c r="F218" s="25" t="s">
        <v>48</v>
      </c>
      <c r="G218" s="49">
        <v>10995</v>
      </c>
      <c r="H218" s="51">
        <v>170</v>
      </c>
      <c r="I218" s="62">
        <v>1.44</v>
      </c>
      <c r="J218" s="62">
        <v>1.91</v>
      </c>
      <c r="K218" s="62">
        <v>0.98</v>
      </c>
      <c r="L218" s="62">
        <v>1</v>
      </c>
      <c r="M218" s="62">
        <v>1.1599999999999999</v>
      </c>
      <c r="N218" s="62">
        <v>1.82</v>
      </c>
      <c r="O218" s="254"/>
      <c r="P218" s="254"/>
      <c r="Q218" s="254"/>
      <c r="R218" s="254"/>
      <c r="S218" s="317">
        <f t="shared" si="4"/>
        <v>1.385</v>
      </c>
      <c r="T218" s="27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</row>
    <row r="219" spans="1:30" ht="15.75" customHeight="1">
      <c r="A219" s="47">
        <v>2</v>
      </c>
      <c r="B219" s="47">
        <v>7</v>
      </c>
      <c r="C219" s="47">
        <v>13</v>
      </c>
      <c r="D219" s="25" t="s">
        <v>66</v>
      </c>
      <c r="E219" s="25" t="s">
        <v>67</v>
      </c>
      <c r="F219" s="25" t="s">
        <v>31</v>
      </c>
      <c r="G219" s="49">
        <v>50323</v>
      </c>
      <c r="H219" s="51">
        <v>143</v>
      </c>
      <c r="I219" s="62">
        <v>1.96</v>
      </c>
      <c r="J219" s="62">
        <v>0.9</v>
      </c>
      <c r="K219" s="62">
        <v>2</v>
      </c>
      <c r="L219" s="62">
        <v>2.2999999999999998</v>
      </c>
      <c r="M219" s="62">
        <v>2.2999999999999998</v>
      </c>
      <c r="N219" s="62">
        <v>1.83</v>
      </c>
      <c r="O219" s="254"/>
      <c r="P219" s="254"/>
      <c r="Q219" s="254"/>
      <c r="R219" s="254"/>
      <c r="S219" s="317">
        <f t="shared" si="4"/>
        <v>1.8816666666666666</v>
      </c>
      <c r="T219" s="27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</row>
    <row r="220" spans="1:30" ht="15.75" customHeight="1">
      <c r="A220" s="47">
        <v>2</v>
      </c>
      <c r="B220" s="47">
        <v>7</v>
      </c>
      <c r="C220" s="47">
        <v>13</v>
      </c>
      <c r="D220" s="25" t="s">
        <v>66</v>
      </c>
      <c r="E220" s="25" t="s">
        <v>67</v>
      </c>
      <c r="F220" s="25" t="s">
        <v>31</v>
      </c>
      <c r="G220" s="49">
        <v>50726</v>
      </c>
      <c r="H220" s="51">
        <v>166</v>
      </c>
      <c r="I220" s="62">
        <v>1.97</v>
      </c>
      <c r="J220" s="62">
        <v>2.37</v>
      </c>
      <c r="K220" s="62">
        <v>2.44</v>
      </c>
      <c r="L220" s="62">
        <v>1.3</v>
      </c>
      <c r="M220" s="62">
        <v>1.27</v>
      </c>
      <c r="N220" s="62">
        <v>1.04</v>
      </c>
      <c r="O220" s="62">
        <v>0.94</v>
      </c>
      <c r="P220" s="62">
        <v>2.5499999999999998</v>
      </c>
      <c r="Q220" s="254"/>
      <c r="R220" s="254"/>
      <c r="S220" s="317">
        <f t="shared" si="4"/>
        <v>1.7349999999999999</v>
      </c>
      <c r="T220" s="27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</row>
    <row r="221" spans="1:30" ht="15.75" customHeight="1">
      <c r="A221" s="47">
        <v>2</v>
      </c>
      <c r="B221" s="47">
        <v>7</v>
      </c>
      <c r="C221" s="47">
        <v>13</v>
      </c>
      <c r="D221" s="25" t="s">
        <v>66</v>
      </c>
      <c r="E221" s="25" t="s">
        <v>67</v>
      </c>
      <c r="F221" s="25" t="s">
        <v>34</v>
      </c>
      <c r="G221" s="49">
        <v>50087</v>
      </c>
      <c r="H221" s="51">
        <v>132</v>
      </c>
      <c r="I221" s="62">
        <v>2.72</v>
      </c>
      <c r="J221" s="62">
        <v>2.34</v>
      </c>
      <c r="K221" s="62" t="s">
        <v>80</v>
      </c>
      <c r="L221" s="62">
        <v>1.51</v>
      </c>
      <c r="M221" s="62">
        <v>1.63</v>
      </c>
      <c r="N221" s="62">
        <v>2.13</v>
      </c>
      <c r="O221" s="62">
        <v>1.9</v>
      </c>
      <c r="P221" s="62">
        <v>2.23</v>
      </c>
      <c r="Q221" s="254"/>
      <c r="R221" s="254"/>
      <c r="S221" s="317">
        <f t="shared" si="4"/>
        <v>2.0657142857142854</v>
      </c>
      <c r="T221" s="27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</row>
    <row r="222" spans="1:30" ht="15.75" customHeight="1">
      <c r="A222" s="47">
        <v>2</v>
      </c>
      <c r="B222" s="47">
        <v>7</v>
      </c>
      <c r="C222" s="47">
        <v>13</v>
      </c>
      <c r="D222" s="25" t="s">
        <v>66</v>
      </c>
      <c r="E222" s="25" t="s">
        <v>67</v>
      </c>
      <c r="F222" s="25" t="s">
        <v>31</v>
      </c>
      <c r="G222" s="49">
        <v>50724</v>
      </c>
      <c r="H222" s="51">
        <v>224</v>
      </c>
      <c r="I222" s="62">
        <v>1.4279999999999999</v>
      </c>
      <c r="J222" s="62">
        <v>1.84</v>
      </c>
      <c r="K222" s="62">
        <v>1.73</v>
      </c>
      <c r="L222" s="62">
        <v>1.96</v>
      </c>
      <c r="M222" s="62" t="s">
        <v>80</v>
      </c>
      <c r="N222" s="62" t="s">
        <v>80</v>
      </c>
      <c r="O222" s="62">
        <v>2.0099999999999998</v>
      </c>
      <c r="P222" s="62" t="s">
        <v>80</v>
      </c>
      <c r="Q222" s="62">
        <v>1.43</v>
      </c>
      <c r="R222" s="62">
        <v>1.26</v>
      </c>
      <c r="S222" s="317">
        <f t="shared" si="4"/>
        <v>1.6654285714285713</v>
      </c>
      <c r="T222" s="27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</row>
    <row r="223" spans="1:30" ht="15.75" customHeight="1">
      <c r="A223" s="71">
        <v>2</v>
      </c>
      <c r="B223" s="71">
        <v>7</v>
      </c>
      <c r="C223" s="71">
        <v>14</v>
      </c>
      <c r="D223" s="53" t="s">
        <v>228</v>
      </c>
      <c r="E223" s="53" t="s">
        <v>229</v>
      </c>
      <c r="F223" s="53" t="s">
        <v>25</v>
      </c>
      <c r="G223" s="73">
        <v>50855</v>
      </c>
      <c r="H223" s="74">
        <v>26</v>
      </c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317" t="e">
        <f t="shared" si="4"/>
        <v>#DIV/0!</v>
      </c>
      <c r="T223" s="79" t="s">
        <v>55</v>
      </c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</row>
    <row r="224" spans="1:30" ht="15.75" customHeight="1">
      <c r="A224" s="47">
        <v>2</v>
      </c>
      <c r="B224" s="47">
        <v>7</v>
      </c>
      <c r="C224" s="47">
        <v>16</v>
      </c>
      <c r="D224" s="25" t="s">
        <v>138</v>
      </c>
      <c r="E224" s="25" t="s">
        <v>139</v>
      </c>
      <c r="F224" s="25" t="s">
        <v>25</v>
      </c>
      <c r="G224" s="49">
        <v>50879</v>
      </c>
      <c r="H224" s="51">
        <v>477</v>
      </c>
      <c r="I224" s="62">
        <v>0.113</v>
      </c>
      <c r="J224" s="62">
        <v>0.32</v>
      </c>
      <c r="K224" s="62">
        <v>0.33</v>
      </c>
      <c r="L224" s="62">
        <v>0.52</v>
      </c>
      <c r="M224" s="62">
        <v>0.57999999999999996</v>
      </c>
      <c r="N224" s="62">
        <v>0.95</v>
      </c>
      <c r="O224" s="62">
        <v>0.4</v>
      </c>
      <c r="P224" s="62">
        <v>0.68</v>
      </c>
      <c r="Q224" s="62">
        <v>1.2</v>
      </c>
      <c r="R224" s="62">
        <v>0.5</v>
      </c>
      <c r="S224" s="317">
        <f t="shared" si="4"/>
        <v>0.55930000000000002</v>
      </c>
      <c r="T224" s="27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</row>
    <row r="225" spans="1:30" ht="15.75" customHeight="1">
      <c r="A225" s="47">
        <v>2</v>
      </c>
      <c r="B225" s="47">
        <v>7</v>
      </c>
      <c r="C225" s="47">
        <v>16</v>
      </c>
      <c r="D225" s="25" t="s">
        <v>122</v>
      </c>
      <c r="E225" s="25" t="s">
        <v>123</v>
      </c>
      <c r="F225" s="25" t="s">
        <v>25</v>
      </c>
      <c r="G225" s="49">
        <v>50888</v>
      </c>
      <c r="H225" s="51">
        <v>135</v>
      </c>
      <c r="I225" s="62">
        <v>0.57999999999999996</v>
      </c>
      <c r="J225" s="62">
        <v>0.5</v>
      </c>
      <c r="K225" s="62">
        <v>0.6</v>
      </c>
      <c r="L225" s="62">
        <v>0.55000000000000004</v>
      </c>
      <c r="M225" s="62">
        <v>0.63</v>
      </c>
      <c r="N225" s="62">
        <v>0.56999999999999995</v>
      </c>
      <c r="O225" s="254"/>
      <c r="P225" s="254"/>
      <c r="Q225" s="254"/>
      <c r="R225" s="254"/>
      <c r="S225" s="317">
        <f t="shared" si="4"/>
        <v>0.57166666666666666</v>
      </c>
      <c r="T225" s="27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</row>
    <row r="226" spans="1:30" ht="15.75" customHeight="1">
      <c r="A226" s="47">
        <v>2</v>
      </c>
      <c r="B226" s="47">
        <v>7</v>
      </c>
      <c r="C226" s="47">
        <v>17</v>
      </c>
      <c r="D226" s="25" t="s">
        <v>66</v>
      </c>
      <c r="E226" s="25" t="s">
        <v>67</v>
      </c>
      <c r="F226" s="25" t="s">
        <v>34</v>
      </c>
      <c r="G226" s="49">
        <v>50459</v>
      </c>
      <c r="H226" s="51">
        <v>126</v>
      </c>
      <c r="I226" s="62">
        <v>2.2400000000000002</v>
      </c>
      <c r="J226" s="62">
        <v>1.75</v>
      </c>
      <c r="K226" s="62" t="s">
        <v>80</v>
      </c>
      <c r="L226" s="62" t="s">
        <v>80</v>
      </c>
      <c r="M226" s="62" t="s">
        <v>80</v>
      </c>
      <c r="N226" s="62" t="s">
        <v>80</v>
      </c>
      <c r="O226" s="254"/>
      <c r="P226" s="254"/>
      <c r="Q226" s="254"/>
      <c r="R226" s="254"/>
      <c r="S226" s="317">
        <f t="shared" si="4"/>
        <v>1.9950000000000001</v>
      </c>
      <c r="T226" s="27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</row>
    <row r="227" spans="1:30" ht="15.75" customHeight="1">
      <c r="A227" s="47">
        <v>2</v>
      </c>
      <c r="B227" s="47">
        <v>7</v>
      </c>
      <c r="C227" s="47">
        <v>17</v>
      </c>
      <c r="D227" s="25" t="s">
        <v>66</v>
      </c>
      <c r="E227" s="25" t="s">
        <v>67</v>
      </c>
      <c r="F227" s="25" t="s">
        <v>34</v>
      </c>
      <c r="G227" s="49">
        <v>50602</v>
      </c>
      <c r="H227" s="51">
        <v>42</v>
      </c>
      <c r="I227" s="62">
        <v>2.08</v>
      </c>
      <c r="J227" s="62">
        <v>1.01</v>
      </c>
      <c r="K227" s="254"/>
      <c r="L227" s="254"/>
      <c r="M227" s="254"/>
      <c r="N227" s="254"/>
      <c r="O227" s="254"/>
      <c r="P227" s="254"/>
      <c r="Q227" s="254"/>
      <c r="R227" s="254"/>
      <c r="S227" s="317">
        <f t="shared" si="4"/>
        <v>1.5449999999999999</v>
      </c>
      <c r="T227" s="27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</row>
    <row r="228" spans="1:30" ht="15.75" customHeight="1">
      <c r="A228" s="47">
        <v>2</v>
      </c>
      <c r="B228" s="47">
        <v>7</v>
      </c>
      <c r="C228" s="47">
        <v>18</v>
      </c>
      <c r="D228" s="25" t="s">
        <v>230</v>
      </c>
      <c r="E228" s="25" t="s">
        <v>231</v>
      </c>
      <c r="F228" s="25" t="s">
        <v>48</v>
      </c>
      <c r="G228" s="49">
        <v>50206</v>
      </c>
      <c r="H228" s="51">
        <v>73</v>
      </c>
      <c r="I228" s="254"/>
      <c r="J228" s="254"/>
      <c r="K228" s="254"/>
      <c r="L228" s="254"/>
      <c r="M228" s="254"/>
      <c r="N228" s="254"/>
      <c r="O228" s="254"/>
      <c r="P228" s="254"/>
      <c r="Q228" s="254"/>
      <c r="R228" s="254"/>
      <c r="S228" s="317" t="e">
        <f t="shared" si="4"/>
        <v>#DIV/0!</v>
      </c>
      <c r="T228" s="58" t="s">
        <v>255</v>
      </c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</row>
    <row r="229" spans="1:30" ht="15.75" customHeight="1">
      <c r="A229" s="47">
        <v>2</v>
      </c>
      <c r="B229" s="47">
        <v>7</v>
      </c>
      <c r="C229" s="47">
        <v>18</v>
      </c>
      <c r="D229" s="25" t="s">
        <v>232</v>
      </c>
      <c r="E229" s="114"/>
      <c r="F229" s="25" t="s">
        <v>68</v>
      </c>
      <c r="G229" s="49">
        <v>50779</v>
      </c>
      <c r="H229" s="51">
        <v>91</v>
      </c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317" t="e">
        <f t="shared" si="4"/>
        <v>#DIV/0!</v>
      </c>
      <c r="T229" s="58" t="s">
        <v>255</v>
      </c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</row>
    <row r="230" spans="1:30" ht="15.75" customHeight="1">
      <c r="A230" s="47">
        <v>2</v>
      </c>
      <c r="B230" s="47">
        <v>8</v>
      </c>
      <c r="C230" s="47">
        <v>2</v>
      </c>
      <c r="D230" s="25" t="s">
        <v>233</v>
      </c>
      <c r="E230" s="25" t="s">
        <v>234</v>
      </c>
      <c r="F230" s="25" t="s">
        <v>48</v>
      </c>
      <c r="G230" s="49">
        <v>50778</v>
      </c>
      <c r="H230" s="51">
        <v>118</v>
      </c>
      <c r="I230" s="62">
        <v>0.97</v>
      </c>
      <c r="J230" s="62">
        <v>1.58</v>
      </c>
      <c r="K230" s="254"/>
      <c r="L230" s="254"/>
      <c r="M230" s="254"/>
      <c r="N230" s="254"/>
      <c r="O230" s="254"/>
      <c r="P230" s="254"/>
      <c r="Q230" s="254"/>
      <c r="R230" s="254"/>
      <c r="S230" s="317">
        <f t="shared" si="4"/>
        <v>1.2749999999999999</v>
      </c>
      <c r="T230" s="27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</row>
    <row r="231" spans="1:30" ht="15.75" customHeight="1">
      <c r="A231" s="71">
        <v>2</v>
      </c>
      <c r="B231" s="71">
        <v>8</v>
      </c>
      <c r="C231" s="71">
        <v>2</v>
      </c>
      <c r="D231" s="53" t="s">
        <v>233</v>
      </c>
      <c r="E231" s="53" t="s">
        <v>234</v>
      </c>
      <c r="F231" s="53" t="s">
        <v>34</v>
      </c>
      <c r="G231" s="73">
        <v>50587</v>
      </c>
      <c r="H231" s="74">
        <v>47</v>
      </c>
      <c r="I231" s="172"/>
      <c r="J231" s="172"/>
      <c r="K231" s="98"/>
      <c r="L231" s="98"/>
      <c r="M231" s="98"/>
      <c r="N231" s="98"/>
      <c r="O231" s="98"/>
      <c r="P231" s="98"/>
      <c r="Q231" s="98"/>
      <c r="R231" s="98"/>
      <c r="S231" s="317" t="e">
        <f t="shared" si="4"/>
        <v>#DIV/0!</v>
      </c>
      <c r="T231" s="79" t="s">
        <v>260</v>
      </c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</row>
    <row r="232" spans="1:30" ht="15.75" customHeight="1">
      <c r="A232" s="71">
        <v>2</v>
      </c>
      <c r="B232" s="71">
        <v>8</v>
      </c>
      <c r="C232" s="71">
        <v>3</v>
      </c>
      <c r="D232" s="53" t="s">
        <v>134</v>
      </c>
      <c r="E232" s="53" t="s">
        <v>135</v>
      </c>
      <c r="F232" s="53" t="s">
        <v>25</v>
      </c>
      <c r="G232" s="73">
        <v>50268</v>
      </c>
      <c r="H232" s="74">
        <v>210</v>
      </c>
      <c r="I232" s="330"/>
      <c r="J232" s="330"/>
      <c r="K232" s="330"/>
      <c r="L232" s="330"/>
      <c r="M232" s="330"/>
      <c r="N232" s="330"/>
      <c r="O232" s="330"/>
      <c r="P232" s="330"/>
      <c r="Q232" s="98"/>
      <c r="R232" s="98"/>
      <c r="S232" s="317" t="e">
        <f t="shared" si="4"/>
        <v>#DIV/0!</v>
      </c>
      <c r="T232" s="79" t="s">
        <v>260</v>
      </c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</row>
    <row r="233" spans="1:30" ht="15.75" customHeight="1">
      <c r="A233" s="47">
        <v>2</v>
      </c>
      <c r="B233" s="47">
        <v>8</v>
      </c>
      <c r="C233" s="47">
        <v>4</v>
      </c>
      <c r="D233" s="25" t="s">
        <v>132</v>
      </c>
      <c r="E233" s="25" t="s">
        <v>133</v>
      </c>
      <c r="F233" s="25" t="s">
        <v>68</v>
      </c>
      <c r="G233" s="49">
        <v>50454</v>
      </c>
      <c r="H233" s="51">
        <v>273</v>
      </c>
      <c r="I233" s="306">
        <v>0.79</v>
      </c>
      <c r="J233" s="306">
        <v>0.67</v>
      </c>
      <c r="K233" s="306">
        <v>0.52</v>
      </c>
      <c r="L233" s="306">
        <v>0.55100000000000005</v>
      </c>
      <c r="M233" s="306">
        <v>0.72</v>
      </c>
      <c r="N233" s="306">
        <v>0.71</v>
      </c>
      <c r="O233" s="254"/>
      <c r="P233" s="254"/>
      <c r="Q233" s="254"/>
      <c r="R233" s="254"/>
      <c r="S233" s="317">
        <f t="shared" si="4"/>
        <v>0.66016666666666668</v>
      </c>
      <c r="T233" s="60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</row>
    <row r="234" spans="1:30" ht="15.75" customHeight="1">
      <c r="A234" s="47">
        <v>2</v>
      </c>
      <c r="B234" s="47">
        <v>8</v>
      </c>
      <c r="C234" s="47">
        <v>4</v>
      </c>
      <c r="D234" s="25" t="s">
        <v>132</v>
      </c>
      <c r="E234" s="25" t="s">
        <v>133</v>
      </c>
      <c r="F234" s="25" t="s">
        <v>34</v>
      </c>
      <c r="G234" s="49">
        <v>50570</v>
      </c>
      <c r="H234" s="51">
        <v>226</v>
      </c>
      <c r="I234" s="306">
        <v>0.51</v>
      </c>
      <c r="J234" s="306">
        <v>0.52</v>
      </c>
      <c r="K234" s="306">
        <v>0.39300000000000002</v>
      </c>
      <c r="L234" s="306">
        <v>0.55000000000000004</v>
      </c>
      <c r="M234" s="306">
        <v>0.56999999999999995</v>
      </c>
      <c r="N234" s="306">
        <v>0.51</v>
      </c>
      <c r="O234" s="306">
        <v>0.35899999999999999</v>
      </c>
      <c r="P234" s="306">
        <v>0.55000000000000004</v>
      </c>
      <c r="Q234" s="254"/>
      <c r="R234" s="254"/>
      <c r="S234" s="317">
        <f t="shared" si="4"/>
        <v>0.49524999999999997</v>
      </c>
      <c r="T234" s="60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</row>
    <row r="235" spans="1:30" ht="15.75" customHeight="1">
      <c r="A235" s="47">
        <v>2</v>
      </c>
      <c r="B235" s="47">
        <v>8</v>
      </c>
      <c r="C235" s="47">
        <v>5</v>
      </c>
      <c r="D235" s="25" t="s">
        <v>142</v>
      </c>
      <c r="E235" s="25" t="s">
        <v>143</v>
      </c>
      <c r="F235" s="25" t="s">
        <v>31</v>
      </c>
      <c r="G235" s="49">
        <v>50824</v>
      </c>
      <c r="H235" s="51">
        <v>67</v>
      </c>
      <c r="I235" s="306">
        <v>0.85</v>
      </c>
      <c r="J235" s="254"/>
      <c r="K235" s="254"/>
      <c r="L235" s="254"/>
      <c r="M235" s="254"/>
      <c r="N235" s="254"/>
      <c r="O235" s="254"/>
      <c r="P235" s="254"/>
      <c r="Q235" s="254"/>
      <c r="R235" s="254"/>
      <c r="S235" s="317">
        <f t="shared" si="4"/>
        <v>0.85</v>
      </c>
      <c r="T235" s="60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</row>
    <row r="236" spans="1:30" ht="15.75" customHeight="1">
      <c r="A236" s="47">
        <v>2</v>
      </c>
      <c r="B236" s="47">
        <v>8</v>
      </c>
      <c r="C236" s="47">
        <v>5</v>
      </c>
      <c r="D236" s="53" t="s">
        <v>142</v>
      </c>
      <c r="E236" s="53" t="s">
        <v>143</v>
      </c>
      <c r="F236" s="53" t="s">
        <v>25</v>
      </c>
      <c r="G236" s="73">
        <v>50766</v>
      </c>
      <c r="H236" s="74">
        <v>26</v>
      </c>
      <c r="I236" s="330"/>
      <c r="J236" s="98"/>
      <c r="K236" s="98"/>
      <c r="L236" s="98"/>
      <c r="M236" s="98"/>
      <c r="N236" s="98"/>
      <c r="O236" s="98"/>
      <c r="P236" s="98"/>
      <c r="Q236" s="98"/>
      <c r="R236" s="98"/>
      <c r="S236" s="317" t="e">
        <f t="shared" si="4"/>
        <v>#DIV/0!</v>
      </c>
      <c r="T236" s="79" t="s">
        <v>207</v>
      </c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</row>
    <row r="237" spans="1:30" ht="15.75" customHeight="1">
      <c r="A237" s="47">
        <v>2</v>
      </c>
      <c r="B237" s="47">
        <v>8</v>
      </c>
      <c r="C237" s="47">
        <v>6</v>
      </c>
      <c r="D237" s="25" t="s">
        <v>37</v>
      </c>
      <c r="E237" s="25" t="s">
        <v>38</v>
      </c>
      <c r="F237" s="25" t="s">
        <v>31</v>
      </c>
      <c r="G237" s="49">
        <v>50826</v>
      </c>
      <c r="H237" s="51">
        <v>185</v>
      </c>
      <c r="I237" s="306">
        <v>0.86</v>
      </c>
      <c r="J237" s="306">
        <v>0.75</v>
      </c>
      <c r="K237" s="306">
        <v>1.0900000000000001</v>
      </c>
      <c r="L237" s="306">
        <v>0.85</v>
      </c>
      <c r="M237" s="306">
        <v>0.79300000000000004</v>
      </c>
      <c r="N237" s="306">
        <v>0.8</v>
      </c>
      <c r="O237" s="254"/>
      <c r="P237" s="254"/>
      <c r="Q237" s="254"/>
      <c r="R237" s="254"/>
      <c r="S237" s="317">
        <f t="shared" si="4"/>
        <v>0.85716666666666663</v>
      </c>
      <c r="T237" s="60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</row>
    <row r="238" spans="1:30" ht="15.75" customHeight="1">
      <c r="A238" s="47">
        <v>2</v>
      </c>
      <c r="B238" s="47">
        <v>8</v>
      </c>
      <c r="C238" s="47">
        <v>6</v>
      </c>
      <c r="D238" s="25" t="s">
        <v>58</v>
      </c>
      <c r="E238" s="25" t="s">
        <v>59</v>
      </c>
      <c r="F238" s="25" t="s">
        <v>31</v>
      </c>
      <c r="G238" s="49">
        <v>50839</v>
      </c>
      <c r="H238" s="51">
        <v>215</v>
      </c>
      <c r="I238" s="306">
        <v>2.1</v>
      </c>
      <c r="J238" s="306">
        <v>1.46</v>
      </c>
      <c r="K238" s="306">
        <v>1.35</v>
      </c>
      <c r="L238" s="306">
        <v>1.55</v>
      </c>
      <c r="M238" s="306">
        <v>1</v>
      </c>
      <c r="N238" s="306">
        <v>1.3</v>
      </c>
      <c r="O238" s="254"/>
      <c r="P238" s="254"/>
      <c r="Q238" s="254"/>
      <c r="R238" s="254"/>
      <c r="S238" s="317">
        <f t="shared" si="4"/>
        <v>1.46</v>
      </c>
      <c r="T238" s="60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</row>
    <row r="239" spans="1:30" ht="15.75" customHeight="1">
      <c r="A239" s="47">
        <v>2</v>
      </c>
      <c r="B239" s="47">
        <v>8</v>
      </c>
      <c r="C239" s="47">
        <v>6</v>
      </c>
      <c r="D239" s="25" t="s">
        <v>173</v>
      </c>
      <c r="E239" s="25" t="s">
        <v>174</v>
      </c>
      <c r="F239" s="25" t="s">
        <v>31</v>
      </c>
      <c r="G239" s="49">
        <v>50825</v>
      </c>
      <c r="H239" s="51">
        <v>132</v>
      </c>
      <c r="I239" s="306">
        <v>3.24</v>
      </c>
      <c r="J239" s="306">
        <v>2.82</v>
      </c>
      <c r="K239" s="306">
        <v>2.57</v>
      </c>
      <c r="L239" s="306">
        <v>2.3199999999999998</v>
      </c>
      <c r="M239" s="306">
        <v>1.88</v>
      </c>
      <c r="N239" s="306">
        <v>2.14</v>
      </c>
      <c r="O239" s="254"/>
      <c r="P239" s="254"/>
      <c r="Q239" s="254"/>
      <c r="R239" s="254"/>
      <c r="S239" s="317">
        <f t="shared" si="4"/>
        <v>2.4950000000000006</v>
      </c>
      <c r="T239" s="60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</row>
    <row r="240" spans="1:30" ht="15.75" customHeight="1">
      <c r="A240" s="47">
        <v>2</v>
      </c>
      <c r="B240" s="47">
        <v>8</v>
      </c>
      <c r="C240" s="47">
        <v>7</v>
      </c>
      <c r="D240" s="25" t="s">
        <v>171</v>
      </c>
      <c r="E240" s="25" t="s">
        <v>172</v>
      </c>
      <c r="F240" s="25" t="s">
        <v>25</v>
      </c>
      <c r="G240" s="49">
        <v>50878</v>
      </c>
      <c r="H240" s="51">
        <v>396</v>
      </c>
      <c r="I240" s="306">
        <v>1</v>
      </c>
      <c r="J240" s="306">
        <v>0.77</v>
      </c>
      <c r="K240" s="306">
        <v>1.17</v>
      </c>
      <c r="L240" s="306">
        <v>1.5</v>
      </c>
      <c r="M240" s="306">
        <v>0.97</v>
      </c>
      <c r="N240" s="306">
        <v>1.27</v>
      </c>
      <c r="O240" s="254"/>
      <c r="P240" s="254"/>
      <c r="Q240" s="254"/>
      <c r="R240" s="254"/>
      <c r="S240" s="317">
        <f t="shared" si="4"/>
        <v>1.1133333333333333</v>
      </c>
      <c r="T240" s="60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</row>
    <row r="241" spans="1:30" ht="15.75" customHeight="1">
      <c r="A241" s="63">
        <v>2</v>
      </c>
      <c r="B241" s="63">
        <v>8</v>
      </c>
      <c r="C241" s="63">
        <v>8</v>
      </c>
      <c r="D241" s="38" t="s">
        <v>235</v>
      </c>
      <c r="E241" s="38" t="s">
        <v>236</v>
      </c>
      <c r="F241" s="38" t="s">
        <v>34</v>
      </c>
      <c r="G241" s="64">
        <v>50569</v>
      </c>
      <c r="H241" s="65">
        <v>7</v>
      </c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317" t="e">
        <f t="shared" si="4"/>
        <v>#DIV/0!</v>
      </c>
      <c r="T241" s="67" t="s">
        <v>43</v>
      </c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</row>
    <row r="242" spans="1:30" ht="15.75" customHeight="1">
      <c r="A242" s="47">
        <v>2</v>
      </c>
      <c r="B242" s="47">
        <v>8</v>
      </c>
      <c r="C242" s="47">
        <v>8</v>
      </c>
      <c r="D242" s="25" t="s">
        <v>85</v>
      </c>
      <c r="E242" s="25" t="s">
        <v>86</v>
      </c>
      <c r="F242" s="25" t="s">
        <v>31</v>
      </c>
      <c r="G242" s="49">
        <v>50796</v>
      </c>
      <c r="H242" s="51">
        <v>256</v>
      </c>
      <c r="I242" s="306">
        <v>0.83</v>
      </c>
      <c r="J242" s="306">
        <v>0.9</v>
      </c>
      <c r="K242" s="254"/>
      <c r="L242" s="254"/>
      <c r="M242" s="254"/>
      <c r="N242" s="254"/>
      <c r="O242" s="254"/>
      <c r="P242" s="254"/>
      <c r="Q242" s="254"/>
      <c r="R242" s="254"/>
      <c r="S242" s="317">
        <f t="shared" si="4"/>
        <v>0.86499999999999999</v>
      </c>
      <c r="T242" s="60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</row>
    <row r="243" spans="1:30" ht="15.75" customHeight="1">
      <c r="A243" s="47">
        <v>2</v>
      </c>
      <c r="B243" s="47">
        <v>8</v>
      </c>
      <c r="C243" s="47">
        <v>10</v>
      </c>
      <c r="D243" s="25" t="s">
        <v>169</v>
      </c>
      <c r="E243" s="25" t="s">
        <v>170</v>
      </c>
      <c r="F243" s="25" t="s">
        <v>25</v>
      </c>
      <c r="G243" s="49">
        <v>50883</v>
      </c>
      <c r="H243" s="51">
        <v>158</v>
      </c>
      <c r="I243" s="306">
        <v>0.4</v>
      </c>
      <c r="J243" s="306">
        <v>0.5</v>
      </c>
      <c r="K243" s="306">
        <v>0.8</v>
      </c>
      <c r="L243" s="306">
        <v>0.5</v>
      </c>
      <c r="M243" s="306">
        <v>0.35</v>
      </c>
      <c r="N243" s="306">
        <v>0.77</v>
      </c>
      <c r="O243" s="306">
        <v>0.89</v>
      </c>
      <c r="P243" s="306">
        <v>0.88</v>
      </c>
      <c r="Q243" s="254"/>
      <c r="R243" s="254"/>
      <c r="S243" s="317">
        <f t="shared" si="4"/>
        <v>0.63624999999999998</v>
      </c>
      <c r="T243" s="60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</row>
    <row r="244" spans="1:30" ht="15.75" customHeight="1">
      <c r="A244" s="33">
        <v>2</v>
      </c>
      <c r="B244" s="47">
        <v>8</v>
      </c>
      <c r="C244" s="47">
        <v>10</v>
      </c>
      <c r="D244" s="25" t="s">
        <v>218</v>
      </c>
      <c r="E244" s="25" t="s">
        <v>219</v>
      </c>
      <c r="F244" s="25" t="s">
        <v>25</v>
      </c>
      <c r="G244" s="49">
        <v>50884</v>
      </c>
      <c r="H244" s="51">
        <v>262</v>
      </c>
      <c r="I244" s="306">
        <v>0.59</v>
      </c>
      <c r="J244" s="306">
        <v>0.54</v>
      </c>
      <c r="K244" s="306">
        <v>0.59</v>
      </c>
      <c r="L244" s="306">
        <v>0.34</v>
      </c>
      <c r="M244" s="306">
        <v>0.6</v>
      </c>
      <c r="N244" s="306">
        <v>0.7</v>
      </c>
      <c r="O244" s="306">
        <v>0.5</v>
      </c>
      <c r="P244" s="306">
        <v>0.7</v>
      </c>
      <c r="Q244" s="254"/>
      <c r="R244" s="254"/>
      <c r="S244" s="317">
        <f t="shared" si="4"/>
        <v>0.56999999999999995</v>
      </c>
      <c r="T244" s="60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</row>
    <row r="245" spans="1:30" ht="15.75" customHeight="1">
      <c r="A245" s="71">
        <v>2</v>
      </c>
      <c r="B245" s="71">
        <v>8</v>
      </c>
      <c r="C245" s="71">
        <v>11</v>
      </c>
      <c r="D245" s="53" t="s">
        <v>237</v>
      </c>
      <c r="E245" s="53" t="s">
        <v>238</v>
      </c>
      <c r="F245" s="53" t="s">
        <v>25</v>
      </c>
      <c r="G245" s="73">
        <v>50751</v>
      </c>
      <c r="H245" s="74">
        <v>239</v>
      </c>
      <c r="I245" s="330">
        <v>1.44</v>
      </c>
      <c r="J245" s="330"/>
      <c r="K245" s="330"/>
      <c r="L245" s="98"/>
      <c r="M245" s="330"/>
      <c r="N245" s="330"/>
      <c r="O245" s="330"/>
      <c r="P245" s="330"/>
      <c r="Q245" s="98"/>
      <c r="R245" s="98"/>
      <c r="S245" s="317">
        <f t="shared" si="4"/>
        <v>1.44</v>
      </c>
      <c r="T245" s="79" t="s">
        <v>261</v>
      </c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</row>
    <row r="246" spans="1:30" ht="15.75" customHeight="1">
      <c r="A246" s="47">
        <v>2</v>
      </c>
      <c r="B246" s="47">
        <v>8</v>
      </c>
      <c r="C246" s="47">
        <v>11</v>
      </c>
      <c r="D246" s="25" t="s">
        <v>237</v>
      </c>
      <c r="E246" s="25" t="s">
        <v>238</v>
      </c>
      <c r="F246" s="25" t="s">
        <v>68</v>
      </c>
      <c r="G246" s="49">
        <v>50737</v>
      </c>
      <c r="H246" s="51">
        <v>31</v>
      </c>
      <c r="I246" s="306">
        <v>1.71</v>
      </c>
      <c r="J246" s="254"/>
      <c r="K246" s="254"/>
      <c r="L246" s="254"/>
      <c r="M246" s="254"/>
      <c r="N246" s="254"/>
      <c r="O246" s="254"/>
      <c r="P246" s="254"/>
      <c r="Q246" s="254"/>
      <c r="R246" s="254"/>
      <c r="S246" s="317">
        <f t="shared" si="4"/>
        <v>1.71</v>
      </c>
      <c r="T246" s="60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</row>
    <row r="247" spans="1:30" ht="15.75" customHeight="1">
      <c r="A247" s="71">
        <v>2</v>
      </c>
      <c r="B247" s="71">
        <v>8</v>
      </c>
      <c r="C247" s="71">
        <v>11</v>
      </c>
      <c r="D247" s="53" t="s">
        <v>237</v>
      </c>
      <c r="E247" s="53" t="s">
        <v>238</v>
      </c>
      <c r="F247" s="53" t="s">
        <v>34</v>
      </c>
      <c r="G247" s="73">
        <v>50543</v>
      </c>
      <c r="H247" s="74">
        <v>38</v>
      </c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317" t="e">
        <f t="shared" si="4"/>
        <v>#DIV/0!</v>
      </c>
      <c r="T247" s="79" t="s">
        <v>55</v>
      </c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</row>
    <row r="248" spans="1:30" ht="15.75" customHeight="1">
      <c r="A248" s="71">
        <v>2</v>
      </c>
      <c r="B248" s="71">
        <v>8</v>
      </c>
      <c r="C248" s="71">
        <v>11</v>
      </c>
      <c r="D248" s="53" t="s">
        <v>237</v>
      </c>
      <c r="E248" s="53" t="s">
        <v>238</v>
      </c>
      <c r="F248" s="53" t="s">
        <v>34</v>
      </c>
      <c r="G248" s="73">
        <v>50738</v>
      </c>
      <c r="H248" s="74">
        <v>54</v>
      </c>
      <c r="I248" s="330"/>
      <c r="J248" s="330"/>
      <c r="K248" s="98"/>
      <c r="L248" s="98"/>
      <c r="M248" s="98"/>
      <c r="N248" s="98"/>
      <c r="O248" s="98"/>
      <c r="P248" s="98"/>
      <c r="Q248" s="98"/>
      <c r="R248" s="98"/>
      <c r="S248" s="317" t="e">
        <f t="shared" si="4"/>
        <v>#DIV/0!</v>
      </c>
      <c r="T248" s="79" t="s">
        <v>248</v>
      </c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</row>
    <row r="249" spans="1:30" ht="15.75" customHeight="1">
      <c r="A249" s="71">
        <v>2</v>
      </c>
      <c r="B249" s="71">
        <v>8</v>
      </c>
      <c r="C249" s="71">
        <v>11</v>
      </c>
      <c r="D249" s="53" t="s">
        <v>237</v>
      </c>
      <c r="E249" s="53" t="s">
        <v>238</v>
      </c>
      <c r="F249" s="53" t="s">
        <v>68</v>
      </c>
      <c r="G249" s="73">
        <v>50644</v>
      </c>
      <c r="H249" s="74">
        <v>14</v>
      </c>
      <c r="I249" s="330"/>
      <c r="J249" s="98"/>
      <c r="K249" s="98"/>
      <c r="L249" s="98"/>
      <c r="M249" s="98"/>
      <c r="N249" s="98"/>
      <c r="O249" s="98"/>
      <c r="P249" s="98"/>
      <c r="Q249" s="98"/>
      <c r="R249" s="98"/>
      <c r="S249" s="317" t="e">
        <f t="shared" si="4"/>
        <v>#DIV/0!</v>
      </c>
      <c r="T249" s="79" t="s">
        <v>248</v>
      </c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</row>
    <row r="250" spans="1:30" ht="15.75" customHeight="1">
      <c r="A250" s="63">
        <v>2</v>
      </c>
      <c r="B250" s="63">
        <v>8</v>
      </c>
      <c r="C250" s="63">
        <v>11</v>
      </c>
      <c r="D250" s="38" t="s">
        <v>237</v>
      </c>
      <c r="E250" s="38" t="s">
        <v>238</v>
      </c>
      <c r="F250" s="38" t="s">
        <v>25</v>
      </c>
      <c r="G250" s="64">
        <v>50275</v>
      </c>
      <c r="H250" s="65">
        <v>24</v>
      </c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317" t="e">
        <f t="shared" si="4"/>
        <v>#DIV/0!</v>
      </c>
      <c r="T250" s="67" t="s">
        <v>43</v>
      </c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</row>
    <row r="251" spans="1:30" ht="15.75" customHeight="1">
      <c r="A251" s="63">
        <v>2</v>
      </c>
      <c r="B251" s="63">
        <v>8</v>
      </c>
      <c r="C251" s="63">
        <v>11</v>
      </c>
      <c r="D251" s="38" t="s">
        <v>237</v>
      </c>
      <c r="E251" s="38" t="s">
        <v>238</v>
      </c>
      <c r="F251" s="38" t="s">
        <v>34</v>
      </c>
      <c r="G251" s="64">
        <v>50709</v>
      </c>
      <c r="H251" s="65">
        <v>31</v>
      </c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317" t="e">
        <f t="shared" si="4"/>
        <v>#DIV/0!</v>
      </c>
      <c r="T251" s="67" t="s">
        <v>43</v>
      </c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</row>
    <row r="252" spans="1:30" ht="15.75" customHeight="1">
      <c r="A252" s="35">
        <v>2</v>
      </c>
      <c r="B252" s="35">
        <v>8</v>
      </c>
      <c r="C252" s="35">
        <v>12</v>
      </c>
      <c r="D252" s="16" t="s">
        <v>239</v>
      </c>
      <c r="E252" s="16" t="s">
        <v>240</v>
      </c>
      <c r="F252" s="16" t="s">
        <v>25</v>
      </c>
      <c r="G252" s="37">
        <v>30885</v>
      </c>
      <c r="H252" s="39">
        <v>408</v>
      </c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317" t="e">
        <f t="shared" si="4"/>
        <v>#DIV/0!</v>
      </c>
      <c r="T252" s="45" t="s">
        <v>26</v>
      </c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</row>
    <row r="253" spans="1:30" ht="15.75" customHeight="1">
      <c r="A253" s="47">
        <v>2</v>
      </c>
      <c r="B253" s="47">
        <v>8</v>
      </c>
      <c r="C253" s="47">
        <v>13</v>
      </c>
      <c r="D253" s="25" t="s">
        <v>134</v>
      </c>
      <c r="E253" s="25" t="s">
        <v>135</v>
      </c>
      <c r="F253" s="25" t="s">
        <v>25</v>
      </c>
      <c r="G253" s="49">
        <v>50142</v>
      </c>
      <c r="H253" s="51">
        <v>224</v>
      </c>
      <c r="I253" s="306"/>
      <c r="J253" s="306"/>
      <c r="K253" s="306"/>
      <c r="L253" s="306"/>
      <c r="M253" s="306"/>
      <c r="N253" s="306"/>
      <c r="O253" s="306"/>
      <c r="P253" s="306">
        <v>1.65</v>
      </c>
      <c r="Q253" s="254"/>
      <c r="R253" s="254"/>
      <c r="S253" s="317">
        <f t="shared" si="4"/>
        <v>1.65</v>
      </c>
      <c r="T253" s="58" t="s">
        <v>261</v>
      </c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</row>
    <row r="254" spans="1:30" ht="15.75" customHeight="1">
      <c r="A254" s="47">
        <v>2</v>
      </c>
      <c r="B254" s="47">
        <v>8</v>
      </c>
      <c r="C254" s="47">
        <v>13</v>
      </c>
      <c r="D254" s="25" t="s">
        <v>136</v>
      </c>
      <c r="E254" s="25" t="s">
        <v>137</v>
      </c>
      <c r="F254" s="25" t="s">
        <v>25</v>
      </c>
      <c r="G254" s="49">
        <v>50857</v>
      </c>
      <c r="H254" s="51">
        <v>106</v>
      </c>
      <c r="I254" s="306">
        <v>1.92</v>
      </c>
      <c r="J254" s="306">
        <v>2.2200000000000002</v>
      </c>
      <c r="K254" s="306">
        <v>1.4</v>
      </c>
      <c r="L254" s="306">
        <v>1.3</v>
      </c>
      <c r="M254" s="254"/>
      <c r="N254" s="254"/>
      <c r="O254" s="254"/>
      <c r="P254" s="254"/>
      <c r="Q254" s="254"/>
      <c r="R254" s="254"/>
      <c r="S254" s="317">
        <f t="shared" si="4"/>
        <v>1.7100000000000002</v>
      </c>
      <c r="T254" s="60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</row>
    <row r="255" spans="1:30" ht="15.75" customHeight="1">
      <c r="A255" s="47">
        <v>2</v>
      </c>
      <c r="B255" s="47">
        <v>8</v>
      </c>
      <c r="C255" s="47">
        <v>14</v>
      </c>
      <c r="D255" s="25" t="s">
        <v>241</v>
      </c>
      <c r="E255" s="25" t="s">
        <v>242</v>
      </c>
      <c r="F255" s="25" t="s">
        <v>25</v>
      </c>
      <c r="G255" s="49">
        <v>50876</v>
      </c>
      <c r="H255" s="51">
        <v>420</v>
      </c>
      <c r="I255" s="306">
        <v>0.65</v>
      </c>
      <c r="J255" s="306">
        <v>0.76</v>
      </c>
      <c r="K255" s="306">
        <v>0.82</v>
      </c>
      <c r="L255" s="306">
        <v>0.76</v>
      </c>
      <c r="M255" s="306">
        <v>0.72</v>
      </c>
      <c r="N255" s="306">
        <v>0.74</v>
      </c>
      <c r="O255" s="306">
        <v>0.74</v>
      </c>
      <c r="P255" s="306">
        <v>0.83</v>
      </c>
      <c r="Q255" s="306">
        <v>0.8</v>
      </c>
      <c r="R255" s="306"/>
      <c r="S255" s="317">
        <f t="shared" si="4"/>
        <v>0.75777777777777777</v>
      </c>
      <c r="T255" s="60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</row>
    <row r="256" spans="1:30" ht="15.75" customHeight="1">
      <c r="A256" s="47">
        <v>2</v>
      </c>
      <c r="B256" s="47">
        <v>8</v>
      </c>
      <c r="C256" s="47">
        <v>15</v>
      </c>
      <c r="D256" s="25" t="s">
        <v>203</v>
      </c>
      <c r="E256" s="25" t="s">
        <v>204</v>
      </c>
      <c r="F256" s="25" t="s">
        <v>31</v>
      </c>
      <c r="G256" s="49">
        <v>50841</v>
      </c>
      <c r="H256" s="51">
        <v>390</v>
      </c>
      <c r="I256" s="306"/>
      <c r="J256" s="306"/>
      <c r="K256" s="306"/>
      <c r="L256" s="306"/>
      <c r="M256" s="306">
        <v>0.91</v>
      </c>
      <c r="N256" s="306">
        <v>1.05</v>
      </c>
      <c r="O256" s="306">
        <v>1.1000000000000001</v>
      </c>
      <c r="P256" s="306">
        <v>0.8</v>
      </c>
      <c r="Q256" s="306">
        <v>0.9</v>
      </c>
      <c r="R256" s="306">
        <v>0.75</v>
      </c>
      <c r="S256" s="317">
        <f t="shared" si="4"/>
        <v>0.91833333333333345</v>
      </c>
      <c r="T256" s="60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</row>
    <row r="257" spans="1:30" ht="15.75" customHeight="1">
      <c r="A257" s="71">
        <v>2</v>
      </c>
      <c r="B257" s="71">
        <v>8</v>
      </c>
      <c r="C257" s="71">
        <v>15</v>
      </c>
      <c r="D257" s="53" t="s">
        <v>203</v>
      </c>
      <c r="E257" s="53" t="s">
        <v>204</v>
      </c>
      <c r="F257" s="53" t="s">
        <v>25</v>
      </c>
      <c r="G257" s="73">
        <v>50657</v>
      </c>
      <c r="H257" s="74">
        <v>8</v>
      </c>
      <c r="I257" s="332">
        <v>1.2</v>
      </c>
      <c r="J257" s="80"/>
      <c r="K257" s="80"/>
      <c r="L257" s="80"/>
      <c r="M257" s="80"/>
      <c r="N257" s="80"/>
      <c r="O257" s="80"/>
      <c r="P257" s="80"/>
      <c r="Q257" s="80"/>
      <c r="R257" s="80"/>
      <c r="S257" s="317"/>
      <c r="T257" s="79" t="s">
        <v>248</v>
      </c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</row>
    <row r="258" spans="1:30" ht="15.75" customHeight="1">
      <c r="A258" s="71">
        <v>2</v>
      </c>
      <c r="B258" s="71">
        <v>8</v>
      </c>
      <c r="C258" s="71">
        <v>15</v>
      </c>
      <c r="D258" s="53" t="s">
        <v>203</v>
      </c>
      <c r="E258" s="53" t="s">
        <v>204</v>
      </c>
      <c r="F258" s="53" t="s">
        <v>31</v>
      </c>
      <c r="G258" s="73">
        <v>50777</v>
      </c>
      <c r="H258" s="74">
        <v>9</v>
      </c>
      <c r="I258" s="332">
        <v>0.95</v>
      </c>
      <c r="J258" s="80"/>
      <c r="K258" s="80"/>
      <c r="L258" s="80"/>
      <c r="M258" s="80"/>
      <c r="N258" s="80"/>
      <c r="O258" s="80"/>
      <c r="P258" s="80"/>
      <c r="Q258" s="80"/>
      <c r="R258" s="80"/>
      <c r="S258" s="317"/>
      <c r="T258" s="79" t="s">
        <v>248</v>
      </c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</row>
    <row r="259" spans="1:30" ht="15.75" customHeight="1">
      <c r="A259" s="71">
        <v>2</v>
      </c>
      <c r="B259" s="71">
        <v>8</v>
      </c>
      <c r="C259" s="71">
        <v>15</v>
      </c>
      <c r="D259" s="53" t="s">
        <v>203</v>
      </c>
      <c r="E259" s="53" t="s">
        <v>204</v>
      </c>
      <c r="F259" s="53" t="s">
        <v>31</v>
      </c>
      <c r="G259" s="73">
        <v>50799</v>
      </c>
      <c r="H259" s="74">
        <v>7</v>
      </c>
      <c r="I259" s="332">
        <v>0.97</v>
      </c>
      <c r="J259" s="80"/>
      <c r="K259" s="80"/>
      <c r="L259" s="80"/>
      <c r="M259" s="80"/>
      <c r="N259" s="80"/>
      <c r="O259" s="80"/>
      <c r="P259" s="80"/>
      <c r="Q259" s="80"/>
      <c r="R259" s="80"/>
      <c r="S259" s="317"/>
      <c r="T259" s="79" t="s">
        <v>248</v>
      </c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</row>
    <row r="260" spans="1:30" ht="15.75" customHeight="1">
      <c r="A260" s="63">
        <v>2</v>
      </c>
      <c r="B260" s="63">
        <v>12</v>
      </c>
      <c r="C260" s="63">
        <v>22</v>
      </c>
      <c r="D260" s="38" t="s">
        <v>243</v>
      </c>
      <c r="E260" s="38" t="s">
        <v>244</v>
      </c>
      <c r="F260" s="38" t="s">
        <v>109</v>
      </c>
      <c r="G260" s="64">
        <v>30655</v>
      </c>
      <c r="H260" s="65">
        <v>6</v>
      </c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317" t="e">
        <f>AVERAGE(I260:R260)</f>
        <v>#DIV/0!</v>
      </c>
      <c r="T260" s="67" t="s">
        <v>43</v>
      </c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</row>
    <row r="261" spans="1:30" ht="15.75" customHeight="1">
      <c r="A261" s="36"/>
      <c r="B261" s="36"/>
      <c r="C261" s="36"/>
      <c r="D261" s="36"/>
      <c r="E261" s="36"/>
      <c r="F261" s="36"/>
      <c r="G261" s="36"/>
      <c r="H261" s="36"/>
      <c r="I261" s="336"/>
      <c r="J261" s="336"/>
      <c r="K261" s="336"/>
      <c r="L261" s="336"/>
      <c r="M261" s="336"/>
      <c r="N261" s="336"/>
      <c r="O261" s="336"/>
      <c r="P261" s="336"/>
      <c r="Q261" s="336"/>
      <c r="R261" s="336"/>
      <c r="S261" s="315"/>
      <c r="T261" s="60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</row>
    <row r="262" spans="1:30" ht="15.75" customHeight="1">
      <c r="A262" s="36"/>
      <c r="B262" s="36"/>
      <c r="C262" s="36"/>
      <c r="D262" s="36"/>
      <c r="E262" s="36"/>
      <c r="F262" s="36"/>
      <c r="G262" s="36"/>
      <c r="H262" s="36"/>
      <c r="I262" s="336"/>
      <c r="J262" s="336"/>
      <c r="K262" s="336"/>
      <c r="L262" s="336"/>
      <c r="M262" s="336"/>
      <c r="N262" s="336"/>
      <c r="O262" s="336"/>
      <c r="P262" s="336"/>
      <c r="Q262" s="336"/>
      <c r="R262" s="336"/>
      <c r="S262" s="315"/>
      <c r="T262" s="60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</row>
    <row r="263" spans="1:30" ht="15.75" customHeight="1">
      <c r="A263" s="672" t="s">
        <v>245</v>
      </c>
      <c r="B263" s="672"/>
      <c r="C263" s="672"/>
      <c r="D263" s="672"/>
      <c r="E263" s="672"/>
      <c r="F263" s="672"/>
      <c r="G263" s="672"/>
      <c r="H263" s="672"/>
      <c r="I263" s="672"/>
      <c r="J263" s="672"/>
      <c r="K263" s="672"/>
      <c r="L263" s="672"/>
      <c r="M263" s="337"/>
      <c r="N263" s="337"/>
      <c r="O263" s="337"/>
      <c r="P263" s="337"/>
      <c r="Q263" s="337"/>
      <c r="R263" s="337"/>
      <c r="S263" s="337"/>
      <c r="T263" s="293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</row>
    <row r="264" spans="1:30" ht="15.75" customHeight="1">
      <c r="A264" s="189"/>
      <c r="B264" s="189"/>
      <c r="C264" s="189"/>
      <c r="D264" s="189"/>
      <c r="E264" s="189"/>
      <c r="F264" s="189"/>
      <c r="G264" s="189"/>
      <c r="H264" s="189"/>
      <c r="I264" s="338"/>
      <c r="J264" s="338"/>
      <c r="K264" s="338"/>
      <c r="L264" s="338"/>
      <c r="M264" s="337"/>
      <c r="N264" s="337"/>
      <c r="O264" s="337"/>
      <c r="P264" s="337"/>
      <c r="Q264" s="337"/>
      <c r="R264" s="337"/>
      <c r="S264" s="337"/>
      <c r="T264" s="293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</row>
    <row r="265" spans="1:30">
      <c r="A265" s="189"/>
      <c r="B265" s="189"/>
      <c r="C265" s="189"/>
      <c r="D265" s="189"/>
      <c r="E265" s="189"/>
      <c r="F265" s="189"/>
      <c r="G265" s="189"/>
      <c r="H265" s="189"/>
      <c r="I265" s="338"/>
      <c r="J265" s="338"/>
      <c r="K265" s="338"/>
      <c r="L265" s="338"/>
      <c r="M265" s="337"/>
      <c r="N265" s="337"/>
      <c r="O265" s="337"/>
      <c r="P265" s="337"/>
      <c r="Q265" s="337"/>
      <c r="R265" s="337"/>
      <c r="S265" s="337"/>
      <c r="T265" s="293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</row>
    <row r="266" spans="1:30">
      <c r="A266" s="189"/>
      <c r="B266" s="189"/>
      <c r="C266" s="189"/>
      <c r="D266" s="189"/>
      <c r="E266" s="189"/>
      <c r="F266" s="189"/>
      <c r="G266" s="189"/>
      <c r="H266" s="189"/>
      <c r="I266" s="338"/>
      <c r="J266" s="338"/>
      <c r="K266" s="338"/>
      <c r="L266" s="338"/>
      <c r="M266" s="338"/>
      <c r="N266" s="338"/>
      <c r="O266" s="338"/>
      <c r="P266" s="338"/>
      <c r="Q266" s="338"/>
      <c r="R266" s="338"/>
      <c r="S266" s="338"/>
      <c r="T266" s="230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</row>
    <row r="267" spans="1:30">
      <c r="A267" s="189"/>
      <c r="B267" s="189"/>
      <c r="C267" s="189"/>
      <c r="D267" s="189"/>
      <c r="E267" s="189"/>
      <c r="F267" s="189"/>
      <c r="G267" s="189"/>
      <c r="H267" s="189"/>
      <c r="I267" s="338"/>
      <c r="J267" s="338"/>
      <c r="K267" s="338"/>
      <c r="L267" s="338"/>
      <c r="M267" s="338"/>
      <c r="N267" s="338"/>
      <c r="O267" s="338"/>
      <c r="P267" s="338"/>
      <c r="Q267" s="338"/>
      <c r="R267" s="338"/>
      <c r="S267" s="338"/>
      <c r="T267" s="230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</row>
    <row r="268" spans="1:30">
      <c r="A268" s="189"/>
      <c r="B268" s="189"/>
      <c r="C268" s="189"/>
      <c r="D268" s="189"/>
      <c r="E268" s="189"/>
      <c r="F268" s="189"/>
      <c r="G268" s="189"/>
      <c r="H268" s="189"/>
      <c r="I268" s="338"/>
      <c r="J268" s="338"/>
      <c r="K268" s="338"/>
      <c r="L268" s="338"/>
      <c r="M268" s="338"/>
      <c r="N268" s="338"/>
      <c r="O268" s="338"/>
      <c r="P268" s="338"/>
      <c r="Q268" s="338"/>
      <c r="R268" s="338"/>
      <c r="S268" s="338"/>
      <c r="T268" s="230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</row>
    <row r="269" spans="1:30">
      <c r="A269" s="189"/>
      <c r="B269" s="189"/>
      <c r="C269" s="189"/>
      <c r="D269" s="189"/>
      <c r="E269" s="189"/>
      <c r="F269" s="189"/>
      <c r="G269" s="189"/>
      <c r="H269" s="189"/>
      <c r="I269" s="338"/>
      <c r="J269" s="338"/>
      <c r="K269" s="338"/>
      <c r="L269" s="338"/>
      <c r="M269" s="338"/>
      <c r="N269" s="338"/>
      <c r="O269" s="338"/>
      <c r="P269" s="338"/>
      <c r="Q269" s="338"/>
      <c r="R269" s="338"/>
      <c r="S269" s="338"/>
      <c r="T269" s="230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</row>
    <row r="270" spans="1:30">
      <c r="A270" s="189"/>
      <c r="B270" s="189"/>
      <c r="C270" s="189"/>
      <c r="D270" s="189"/>
      <c r="E270" s="189"/>
      <c r="F270" s="189"/>
      <c r="G270" s="189"/>
      <c r="H270" s="189"/>
      <c r="I270" s="338"/>
      <c r="J270" s="338"/>
      <c r="K270" s="338"/>
      <c r="L270" s="338"/>
      <c r="M270" s="338"/>
      <c r="N270" s="338"/>
      <c r="O270" s="338"/>
      <c r="P270" s="338"/>
      <c r="Q270" s="338"/>
      <c r="R270" s="338"/>
      <c r="S270" s="338"/>
      <c r="T270" s="230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</row>
    <row r="271" spans="1:30">
      <c r="A271" s="189"/>
      <c r="B271" s="189"/>
      <c r="C271" s="189"/>
      <c r="D271" s="189"/>
      <c r="E271" s="189"/>
      <c r="F271" s="189"/>
      <c r="G271" s="189"/>
      <c r="H271" s="189"/>
      <c r="I271" s="338"/>
      <c r="J271" s="338"/>
      <c r="K271" s="338"/>
      <c r="L271" s="338"/>
      <c r="M271" s="338"/>
      <c r="N271" s="338"/>
      <c r="O271" s="338"/>
      <c r="P271" s="338"/>
      <c r="Q271" s="338"/>
      <c r="R271" s="338"/>
      <c r="S271" s="338"/>
      <c r="T271" s="230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</row>
    <row r="272" spans="1:30">
      <c r="A272" s="189"/>
      <c r="B272" s="189"/>
      <c r="C272" s="189"/>
      <c r="D272" s="189"/>
      <c r="E272" s="189"/>
      <c r="F272" s="189"/>
      <c r="G272" s="189"/>
      <c r="H272" s="189"/>
      <c r="I272" s="338"/>
      <c r="J272" s="338"/>
      <c r="K272" s="338"/>
      <c r="L272" s="338"/>
      <c r="M272" s="338"/>
      <c r="N272" s="338"/>
      <c r="O272" s="338"/>
      <c r="P272" s="338"/>
      <c r="Q272" s="338"/>
      <c r="R272" s="338"/>
      <c r="S272" s="338"/>
      <c r="T272" s="230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</row>
    <row r="273" spans="1:30">
      <c r="A273" s="189"/>
      <c r="B273" s="189"/>
      <c r="C273" s="189"/>
      <c r="D273" s="189"/>
      <c r="E273" s="189"/>
      <c r="F273" s="189"/>
      <c r="G273" s="189"/>
      <c r="H273" s="189"/>
      <c r="I273" s="338"/>
      <c r="J273" s="338"/>
      <c r="K273" s="338"/>
      <c r="L273" s="338"/>
      <c r="M273" s="338"/>
      <c r="N273" s="338"/>
      <c r="O273" s="338"/>
      <c r="P273" s="338"/>
      <c r="Q273" s="338"/>
      <c r="R273" s="338"/>
      <c r="S273" s="338"/>
      <c r="T273" s="230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</row>
    <row r="274" spans="1:30">
      <c r="A274" s="189"/>
      <c r="B274" s="189"/>
      <c r="C274" s="189"/>
      <c r="D274" s="189"/>
      <c r="E274" s="189"/>
      <c r="F274" s="189"/>
      <c r="G274" s="189"/>
      <c r="H274" s="189"/>
      <c r="I274" s="338"/>
      <c r="J274" s="338"/>
      <c r="K274" s="338"/>
      <c r="L274" s="338"/>
      <c r="M274" s="338"/>
      <c r="N274" s="338"/>
      <c r="O274" s="338"/>
      <c r="P274" s="338"/>
      <c r="Q274" s="338"/>
      <c r="R274" s="338"/>
      <c r="S274" s="338"/>
      <c r="T274" s="230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</row>
    <row r="275" spans="1:30">
      <c r="A275" s="189"/>
      <c r="B275" s="189"/>
      <c r="C275" s="189"/>
      <c r="D275" s="189"/>
      <c r="E275" s="189"/>
      <c r="F275" s="189"/>
      <c r="G275" s="189"/>
      <c r="H275" s="189"/>
      <c r="I275" s="338"/>
      <c r="J275" s="338"/>
      <c r="K275" s="338"/>
      <c r="L275" s="338"/>
      <c r="M275" s="338"/>
      <c r="N275" s="338"/>
      <c r="O275" s="338"/>
      <c r="P275" s="338"/>
      <c r="Q275" s="338"/>
      <c r="R275" s="338"/>
      <c r="S275" s="338"/>
      <c r="T275" s="230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</row>
    <row r="276" spans="1:30">
      <c r="A276" s="189"/>
      <c r="B276" s="189"/>
      <c r="C276" s="189"/>
      <c r="D276" s="189"/>
      <c r="E276" s="189"/>
      <c r="F276" s="189"/>
      <c r="G276" s="189"/>
      <c r="H276" s="189"/>
      <c r="I276" s="338"/>
      <c r="J276" s="338"/>
      <c r="K276" s="338"/>
      <c r="L276" s="338"/>
      <c r="M276" s="338"/>
      <c r="N276" s="338"/>
      <c r="O276" s="338"/>
      <c r="P276" s="338"/>
      <c r="Q276" s="338"/>
      <c r="R276" s="338"/>
      <c r="S276" s="338"/>
      <c r="T276" s="230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</row>
    <row r="277" spans="1:30">
      <c r="A277" s="189"/>
      <c r="B277" s="189"/>
      <c r="C277" s="189"/>
      <c r="D277" s="189"/>
      <c r="E277" s="189"/>
      <c r="F277" s="189"/>
      <c r="G277" s="189"/>
      <c r="H277" s="189"/>
      <c r="I277" s="338"/>
      <c r="J277" s="338"/>
      <c r="K277" s="338"/>
      <c r="L277" s="338"/>
      <c r="M277" s="338"/>
      <c r="N277" s="338"/>
      <c r="O277" s="338"/>
      <c r="P277" s="338"/>
      <c r="Q277" s="338"/>
      <c r="R277" s="338"/>
      <c r="S277" s="338"/>
      <c r="T277" s="230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</row>
    <row r="278" spans="1:30">
      <c r="A278" s="189"/>
      <c r="B278" s="189"/>
      <c r="C278" s="189"/>
      <c r="D278" s="189"/>
      <c r="E278" s="189"/>
      <c r="F278" s="189"/>
      <c r="G278" s="189"/>
      <c r="H278" s="189"/>
      <c r="I278" s="338"/>
      <c r="J278" s="338"/>
      <c r="K278" s="338"/>
      <c r="L278" s="338"/>
      <c r="M278" s="338"/>
      <c r="N278" s="338"/>
      <c r="O278" s="338"/>
      <c r="P278" s="338"/>
      <c r="Q278" s="338"/>
      <c r="R278" s="338"/>
      <c r="S278" s="338"/>
      <c r="T278" s="230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</row>
    <row r="279" spans="1:30">
      <c r="A279" s="189"/>
      <c r="B279" s="189"/>
      <c r="C279" s="189"/>
      <c r="D279" s="189"/>
      <c r="E279" s="189"/>
      <c r="F279" s="189"/>
      <c r="G279" s="189"/>
      <c r="H279" s="189"/>
      <c r="I279" s="338"/>
      <c r="J279" s="338"/>
      <c r="K279" s="338"/>
      <c r="L279" s="338"/>
      <c r="M279" s="338"/>
      <c r="N279" s="338"/>
      <c r="O279" s="338"/>
      <c r="P279" s="338"/>
      <c r="Q279" s="338"/>
      <c r="R279" s="338"/>
      <c r="S279" s="338"/>
      <c r="T279" s="230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</row>
    <row r="280" spans="1:30">
      <c r="A280" s="189"/>
      <c r="B280" s="189"/>
      <c r="C280" s="189"/>
      <c r="D280" s="189"/>
      <c r="E280" s="189"/>
      <c r="F280" s="189"/>
      <c r="G280" s="189"/>
      <c r="H280" s="189"/>
      <c r="I280" s="338"/>
      <c r="J280" s="338"/>
      <c r="K280" s="338"/>
      <c r="L280" s="338"/>
      <c r="M280" s="338"/>
      <c r="N280" s="338"/>
      <c r="O280" s="338"/>
      <c r="P280" s="338"/>
      <c r="Q280" s="338"/>
      <c r="R280" s="338"/>
      <c r="S280" s="338"/>
      <c r="T280" s="230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</row>
    <row r="281" spans="1:30">
      <c r="A281" s="189"/>
      <c r="B281" s="189"/>
      <c r="C281" s="189"/>
      <c r="D281" s="189"/>
      <c r="E281" s="189"/>
      <c r="F281" s="189"/>
      <c r="G281" s="189"/>
      <c r="H281" s="189"/>
      <c r="I281" s="338"/>
      <c r="J281" s="338"/>
      <c r="K281" s="338"/>
      <c r="L281" s="338"/>
      <c r="M281" s="338"/>
      <c r="N281" s="338"/>
      <c r="O281" s="338"/>
      <c r="P281" s="338"/>
      <c r="Q281" s="338"/>
      <c r="R281" s="338"/>
      <c r="S281" s="338"/>
      <c r="T281" s="230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</row>
    <row r="282" spans="1:30">
      <c r="A282" s="189"/>
      <c r="B282" s="189"/>
      <c r="C282" s="189"/>
      <c r="D282" s="189"/>
      <c r="E282" s="189"/>
      <c r="F282" s="189"/>
      <c r="G282" s="189"/>
      <c r="H282" s="189"/>
      <c r="I282" s="338"/>
      <c r="J282" s="338"/>
      <c r="K282" s="338"/>
      <c r="L282" s="338"/>
      <c r="M282" s="338"/>
      <c r="N282" s="338"/>
      <c r="O282" s="338"/>
      <c r="P282" s="338"/>
      <c r="Q282" s="338"/>
      <c r="R282" s="338"/>
      <c r="S282" s="338"/>
      <c r="T282" s="230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</row>
    <row r="283" spans="1:30">
      <c r="A283" s="189"/>
      <c r="B283" s="189"/>
      <c r="C283" s="189"/>
      <c r="D283" s="189"/>
      <c r="E283" s="189"/>
      <c r="F283" s="189"/>
      <c r="G283" s="189"/>
      <c r="H283" s="189"/>
      <c r="I283" s="338"/>
      <c r="J283" s="338"/>
      <c r="K283" s="338"/>
      <c r="L283" s="338"/>
      <c r="M283" s="338"/>
      <c r="N283" s="338"/>
      <c r="O283" s="338"/>
      <c r="P283" s="338"/>
      <c r="Q283" s="338"/>
      <c r="R283" s="338"/>
      <c r="S283" s="338"/>
      <c r="T283" s="230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</row>
    <row r="284" spans="1:30">
      <c r="A284" s="189"/>
      <c r="B284" s="189"/>
      <c r="C284" s="189"/>
      <c r="D284" s="189"/>
      <c r="E284" s="189"/>
      <c r="F284" s="189"/>
      <c r="G284" s="189"/>
      <c r="H284" s="189"/>
      <c r="I284" s="338"/>
      <c r="J284" s="338"/>
      <c r="K284" s="338"/>
      <c r="L284" s="338"/>
      <c r="M284" s="338"/>
      <c r="N284" s="338"/>
      <c r="O284" s="338"/>
      <c r="P284" s="338"/>
      <c r="Q284" s="338"/>
      <c r="R284" s="338"/>
      <c r="S284" s="338"/>
      <c r="T284" s="230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</row>
    <row r="285" spans="1:30">
      <c r="A285" s="189"/>
      <c r="B285" s="189"/>
      <c r="C285" s="189"/>
      <c r="D285" s="189"/>
      <c r="E285" s="189"/>
      <c r="F285" s="189"/>
      <c r="G285" s="189"/>
      <c r="H285" s="189"/>
      <c r="I285" s="338"/>
      <c r="J285" s="338"/>
      <c r="K285" s="338"/>
      <c r="L285" s="338"/>
      <c r="M285" s="338"/>
      <c r="N285" s="338"/>
      <c r="O285" s="338"/>
      <c r="P285" s="338"/>
      <c r="Q285" s="338"/>
      <c r="R285" s="338"/>
      <c r="S285" s="338"/>
      <c r="T285" s="230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</row>
    <row r="286" spans="1:30">
      <c r="A286" s="189"/>
      <c r="B286" s="189"/>
      <c r="C286" s="189"/>
      <c r="D286" s="189"/>
      <c r="E286" s="189"/>
      <c r="F286" s="189"/>
      <c r="G286" s="189"/>
      <c r="H286" s="189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230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</row>
    <row r="287" spans="1:30">
      <c r="A287" s="189"/>
      <c r="B287" s="189"/>
      <c r="C287" s="189"/>
      <c r="D287" s="189"/>
      <c r="E287" s="189"/>
      <c r="F287" s="189"/>
      <c r="G287" s="189"/>
      <c r="H287" s="189"/>
      <c r="I287" s="338"/>
      <c r="J287" s="338"/>
      <c r="K287" s="338"/>
      <c r="L287" s="338"/>
      <c r="M287" s="338"/>
      <c r="N287" s="338"/>
      <c r="O287" s="338"/>
      <c r="P287" s="338"/>
      <c r="Q287" s="338"/>
      <c r="R287" s="338"/>
      <c r="S287" s="338"/>
      <c r="T287" s="230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</row>
    <row r="288" spans="1:30">
      <c r="A288" s="189"/>
      <c r="B288" s="189"/>
      <c r="C288" s="189"/>
      <c r="D288" s="189"/>
      <c r="E288" s="189"/>
      <c r="F288" s="189"/>
      <c r="G288" s="189"/>
      <c r="H288" s="189"/>
      <c r="I288" s="338"/>
      <c r="J288" s="338"/>
      <c r="K288" s="338"/>
      <c r="L288" s="338"/>
      <c r="M288" s="338"/>
      <c r="N288" s="338"/>
      <c r="O288" s="338"/>
      <c r="P288" s="338"/>
      <c r="Q288" s="338"/>
      <c r="R288" s="338"/>
      <c r="S288" s="338"/>
      <c r="T288" s="230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</row>
    <row r="289" spans="1:30">
      <c r="A289" s="189"/>
      <c r="B289" s="189"/>
      <c r="C289" s="189"/>
      <c r="D289" s="189"/>
      <c r="E289" s="189"/>
      <c r="F289" s="189"/>
      <c r="G289" s="189"/>
      <c r="H289" s="189"/>
      <c r="I289" s="338"/>
      <c r="J289" s="338"/>
      <c r="K289" s="338"/>
      <c r="L289" s="338"/>
      <c r="M289" s="338"/>
      <c r="N289" s="338"/>
      <c r="O289" s="338"/>
      <c r="P289" s="338"/>
      <c r="Q289" s="338"/>
      <c r="R289" s="338"/>
      <c r="S289" s="338"/>
      <c r="T289" s="230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</row>
    <row r="290" spans="1:30">
      <c r="A290" s="189"/>
      <c r="B290" s="189"/>
      <c r="C290" s="189"/>
      <c r="D290" s="189"/>
      <c r="E290" s="189"/>
      <c r="F290" s="189"/>
      <c r="G290" s="189"/>
      <c r="H290" s="189"/>
      <c r="I290" s="338"/>
      <c r="J290" s="338"/>
      <c r="K290" s="338"/>
      <c r="L290" s="338"/>
      <c r="M290" s="338"/>
      <c r="N290" s="338"/>
      <c r="O290" s="338"/>
      <c r="P290" s="338"/>
      <c r="Q290" s="338"/>
      <c r="R290" s="338"/>
      <c r="S290" s="338"/>
      <c r="T290" s="230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</row>
    <row r="291" spans="1:30">
      <c r="A291" s="189"/>
      <c r="B291" s="189"/>
      <c r="C291" s="189"/>
      <c r="D291" s="189"/>
      <c r="E291" s="189"/>
      <c r="F291" s="189"/>
      <c r="G291" s="189"/>
      <c r="H291" s="189"/>
      <c r="I291" s="338"/>
      <c r="J291" s="338"/>
      <c r="K291" s="338"/>
      <c r="L291" s="338"/>
      <c r="M291" s="338"/>
      <c r="N291" s="338"/>
      <c r="O291" s="338"/>
      <c r="P291" s="338"/>
      <c r="Q291" s="338"/>
      <c r="R291" s="338"/>
      <c r="S291" s="338"/>
      <c r="T291" s="230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</row>
    <row r="292" spans="1:30">
      <c r="A292" s="189"/>
      <c r="B292" s="189"/>
      <c r="C292" s="189"/>
      <c r="D292" s="189"/>
      <c r="E292" s="189"/>
      <c r="F292" s="189"/>
      <c r="G292" s="189"/>
      <c r="H292" s="189"/>
      <c r="I292" s="338"/>
      <c r="J292" s="338"/>
      <c r="K292" s="338"/>
      <c r="L292" s="338"/>
      <c r="M292" s="338"/>
      <c r="N292" s="338"/>
      <c r="O292" s="338"/>
      <c r="P292" s="338"/>
      <c r="Q292" s="338"/>
      <c r="R292" s="338"/>
      <c r="S292" s="338"/>
      <c r="T292" s="230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</row>
    <row r="293" spans="1:30">
      <c r="A293" s="189"/>
      <c r="B293" s="189"/>
      <c r="C293" s="189"/>
      <c r="D293" s="189"/>
      <c r="E293" s="189"/>
      <c r="F293" s="189"/>
      <c r="G293" s="189"/>
      <c r="H293" s="189"/>
      <c r="I293" s="338"/>
      <c r="J293" s="338"/>
      <c r="K293" s="338"/>
      <c r="L293" s="338"/>
      <c r="M293" s="338"/>
      <c r="N293" s="338"/>
      <c r="O293" s="338"/>
      <c r="P293" s="338"/>
      <c r="Q293" s="338"/>
      <c r="R293" s="338"/>
      <c r="S293" s="338"/>
      <c r="T293" s="230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</row>
    <row r="294" spans="1:30">
      <c r="A294" s="189"/>
      <c r="B294" s="189"/>
      <c r="C294" s="189"/>
      <c r="D294" s="189"/>
      <c r="E294" s="189"/>
      <c r="F294" s="189"/>
      <c r="G294" s="189"/>
      <c r="H294" s="189"/>
      <c r="I294" s="338"/>
      <c r="J294" s="338"/>
      <c r="K294" s="338"/>
      <c r="L294" s="338"/>
      <c r="M294" s="338"/>
      <c r="N294" s="338"/>
      <c r="O294" s="338"/>
      <c r="P294" s="338"/>
      <c r="Q294" s="338"/>
      <c r="R294" s="338"/>
      <c r="S294" s="338"/>
      <c r="T294" s="230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</row>
    <row r="295" spans="1:30">
      <c r="A295" s="189"/>
      <c r="B295" s="189"/>
      <c r="C295" s="189"/>
      <c r="D295" s="189"/>
      <c r="E295" s="189"/>
      <c r="F295" s="189"/>
      <c r="G295" s="189"/>
      <c r="H295" s="189"/>
      <c r="I295" s="338"/>
      <c r="J295" s="338"/>
      <c r="K295" s="338"/>
      <c r="L295" s="338"/>
      <c r="M295" s="338"/>
      <c r="N295" s="338"/>
      <c r="O295" s="338"/>
      <c r="P295" s="338"/>
      <c r="Q295" s="338"/>
      <c r="R295" s="338"/>
      <c r="S295" s="338"/>
      <c r="T295" s="230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</row>
    <row r="296" spans="1:30">
      <c r="A296" s="189"/>
      <c r="B296" s="189"/>
      <c r="C296" s="189"/>
      <c r="D296" s="189"/>
      <c r="E296" s="189"/>
      <c r="F296" s="189"/>
      <c r="G296" s="189"/>
      <c r="H296" s="189"/>
      <c r="I296" s="338"/>
      <c r="J296" s="338"/>
      <c r="K296" s="338"/>
      <c r="L296" s="338"/>
      <c r="M296" s="338"/>
      <c r="N296" s="338"/>
      <c r="O296" s="338"/>
      <c r="P296" s="338"/>
      <c r="Q296" s="338"/>
      <c r="R296" s="338"/>
      <c r="S296" s="338"/>
      <c r="T296" s="230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</row>
    <row r="297" spans="1:30">
      <c r="A297" s="189"/>
      <c r="B297" s="189"/>
      <c r="C297" s="189"/>
      <c r="D297" s="189"/>
      <c r="E297" s="189"/>
      <c r="F297" s="189"/>
      <c r="G297" s="189"/>
      <c r="H297" s="189"/>
      <c r="I297" s="338"/>
      <c r="J297" s="338"/>
      <c r="K297" s="338"/>
      <c r="L297" s="338"/>
      <c r="M297" s="338"/>
      <c r="N297" s="338"/>
      <c r="O297" s="338"/>
      <c r="P297" s="338"/>
      <c r="Q297" s="338"/>
      <c r="R297" s="338"/>
      <c r="S297" s="338"/>
      <c r="T297" s="230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</row>
    <row r="298" spans="1:30">
      <c r="A298" s="189"/>
      <c r="B298" s="189"/>
      <c r="C298" s="189"/>
      <c r="D298" s="189"/>
      <c r="E298" s="189"/>
      <c r="F298" s="189"/>
      <c r="G298" s="189"/>
      <c r="H298" s="189"/>
      <c r="I298" s="338"/>
      <c r="J298" s="338"/>
      <c r="K298" s="338"/>
      <c r="L298" s="338"/>
      <c r="M298" s="338"/>
      <c r="N298" s="338"/>
      <c r="O298" s="338"/>
      <c r="P298" s="338"/>
      <c r="Q298" s="338"/>
      <c r="R298" s="338"/>
      <c r="S298" s="338"/>
      <c r="T298" s="230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</row>
    <row r="299" spans="1:30">
      <c r="A299" s="189"/>
      <c r="B299" s="189"/>
      <c r="C299" s="189"/>
      <c r="D299" s="189"/>
      <c r="E299" s="189"/>
      <c r="F299" s="189"/>
      <c r="G299" s="189"/>
      <c r="H299" s="189"/>
      <c r="I299" s="338"/>
      <c r="J299" s="338"/>
      <c r="K299" s="338"/>
      <c r="L299" s="338"/>
      <c r="M299" s="338"/>
      <c r="N299" s="338"/>
      <c r="O299" s="338"/>
      <c r="P299" s="338"/>
      <c r="Q299" s="338"/>
      <c r="R299" s="338"/>
      <c r="S299" s="338"/>
      <c r="T299" s="230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</row>
    <row r="300" spans="1:30">
      <c r="A300" s="189"/>
      <c r="B300" s="189"/>
      <c r="C300" s="189"/>
      <c r="D300" s="189"/>
      <c r="E300" s="189"/>
      <c r="F300" s="189"/>
      <c r="G300" s="189"/>
      <c r="H300" s="189"/>
      <c r="I300" s="338"/>
      <c r="J300" s="338"/>
      <c r="K300" s="338"/>
      <c r="L300" s="338"/>
      <c r="M300" s="338"/>
      <c r="N300" s="338"/>
      <c r="O300" s="338"/>
      <c r="P300" s="338"/>
      <c r="Q300" s="338"/>
      <c r="R300" s="338"/>
      <c r="S300" s="338"/>
      <c r="T300" s="230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</row>
    <row r="301" spans="1:30">
      <c r="A301" s="189"/>
      <c r="B301" s="189"/>
      <c r="C301" s="189"/>
      <c r="D301" s="189"/>
      <c r="E301" s="189"/>
      <c r="F301" s="189"/>
      <c r="G301" s="189"/>
      <c r="H301" s="189"/>
      <c r="I301" s="338"/>
      <c r="J301" s="338"/>
      <c r="K301" s="338"/>
      <c r="L301" s="338"/>
      <c r="M301" s="338"/>
      <c r="N301" s="338"/>
      <c r="O301" s="338"/>
      <c r="P301" s="338"/>
      <c r="Q301" s="338"/>
      <c r="R301" s="338"/>
      <c r="S301" s="338"/>
      <c r="T301" s="230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</row>
    <row r="302" spans="1:30">
      <c r="A302" s="189"/>
      <c r="B302" s="189"/>
      <c r="C302" s="189"/>
      <c r="D302" s="189"/>
      <c r="E302" s="189"/>
      <c r="F302" s="189"/>
      <c r="G302" s="189"/>
      <c r="H302" s="189"/>
      <c r="I302" s="338"/>
      <c r="J302" s="338"/>
      <c r="K302" s="338"/>
      <c r="L302" s="338"/>
      <c r="M302" s="338"/>
      <c r="N302" s="338"/>
      <c r="O302" s="338"/>
      <c r="P302" s="338"/>
      <c r="Q302" s="338"/>
      <c r="R302" s="338"/>
      <c r="S302" s="338"/>
      <c r="T302" s="230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</row>
    <row r="303" spans="1:30">
      <c r="A303" s="189"/>
      <c r="B303" s="189"/>
      <c r="C303" s="189"/>
      <c r="D303" s="189"/>
      <c r="E303" s="189"/>
      <c r="F303" s="189"/>
      <c r="G303" s="189"/>
      <c r="H303" s="189"/>
      <c r="I303" s="338"/>
      <c r="J303" s="338"/>
      <c r="K303" s="338"/>
      <c r="L303" s="338"/>
      <c r="M303" s="338"/>
      <c r="N303" s="338"/>
      <c r="O303" s="338"/>
      <c r="P303" s="338"/>
      <c r="Q303" s="338"/>
      <c r="R303" s="338"/>
      <c r="S303" s="338"/>
      <c r="T303" s="230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</row>
    <row r="304" spans="1:30">
      <c r="A304" s="189"/>
      <c r="B304" s="189"/>
      <c r="C304" s="189"/>
      <c r="D304" s="189"/>
      <c r="E304" s="189"/>
      <c r="F304" s="189"/>
      <c r="G304" s="189"/>
      <c r="H304" s="189"/>
      <c r="I304" s="338"/>
      <c r="J304" s="338"/>
      <c r="K304" s="338"/>
      <c r="L304" s="338"/>
      <c r="M304" s="338"/>
      <c r="N304" s="338"/>
      <c r="O304" s="338"/>
      <c r="P304" s="338"/>
      <c r="Q304" s="338"/>
      <c r="R304" s="338"/>
      <c r="S304" s="338"/>
      <c r="T304" s="230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</row>
    <row r="305" spans="1:30">
      <c r="A305" s="189"/>
      <c r="B305" s="189"/>
      <c r="C305" s="189"/>
      <c r="D305" s="189"/>
      <c r="E305" s="189"/>
      <c r="F305" s="189"/>
      <c r="G305" s="189"/>
      <c r="H305" s="189"/>
      <c r="I305" s="338"/>
      <c r="J305" s="338"/>
      <c r="K305" s="338"/>
      <c r="L305" s="338"/>
      <c r="M305" s="338"/>
      <c r="N305" s="338"/>
      <c r="O305" s="338"/>
      <c r="P305" s="338"/>
      <c r="Q305" s="338"/>
      <c r="R305" s="338"/>
      <c r="S305" s="338"/>
      <c r="T305" s="230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</row>
    <row r="306" spans="1:30">
      <c r="A306" s="189"/>
      <c r="B306" s="189"/>
      <c r="C306" s="189"/>
      <c r="D306" s="189"/>
      <c r="E306" s="189"/>
      <c r="F306" s="189"/>
      <c r="G306" s="189"/>
      <c r="H306" s="189"/>
      <c r="I306" s="338"/>
      <c r="J306" s="338"/>
      <c r="K306" s="338"/>
      <c r="L306" s="338"/>
      <c r="M306" s="338"/>
      <c r="N306" s="338"/>
      <c r="O306" s="338"/>
      <c r="P306" s="338"/>
      <c r="Q306" s="338"/>
      <c r="R306" s="338"/>
      <c r="S306" s="338"/>
      <c r="T306" s="230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</row>
    <row r="307" spans="1:30">
      <c r="A307" s="189"/>
      <c r="B307" s="189"/>
      <c r="C307" s="189"/>
      <c r="D307" s="189"/>
      <c r="E307" s="189"/>
      <c r="F307" s="189"/>
      <c r="G307" s="189"/>
      <c r="H307" s="189"/>
      <c r="I307" s="338"/>
      <c r="J307" s="338"/>
      <c r="K307" s="338"/>
      <c r="L307" s="338"/>
      <c r="M307" s="338"/>
      <c r="N307" s="338"/>
      <c r="O307" s="338"/>
      <c r="P307" s="338"/>
      <c r="Q307" s="338"/>
      <c r="R307" s="338"/>
      <c r="S307" s="338"/>
      <c r="T307" s="230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</row>
    <row r="308" spans="1:30">
      <c r="A308" s="189"/>
      <c r="B308" s="189"/>
      <c r="C308" s="189"/>
      <c r="D308" s="189"/>
      <c r="E308" s="189"/>
      <c r="F308" s="189"/>
      <c r="G308" s="189"/>
      <c r="H308" s="189"/>
      <c r="I308" s="338"/>
      <c r="J308" s="338"/>
      <c r="K308" s="338"/>
      <c r="L308" s="338"/>
      <c r="M308" s="338"/>
      <c r="N308" s="338"/>
      <c r="O308" s="338"/>
      <c r="P308" s="338"/>
      <c r="Q308" s="338"/>
      <c r="R308" s="338"/>
      <c r="S308" s="338"/>
      <c r="T308" s="230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</row>
    <row r="309" spans="1:30">
      <c r="A309" s="189"/>
      <c r="B309" s="189"/>
      <c r="C309" s="189"/>
      <c r="D309" s="189"/>
      <c r="E309" s="189"/>
      <c r="F309" s="189"/>
      <c r="G309" s="189"/>
      <c r="H309" s="189"/>
      <c r="I309" s="338"/>
      <c r="J309" s="338"/>
      <c r="K309" s="338"/>
      <c r="L309" s="338"/>
      <c r="M309" s="338"/>
      <c r="N309" s="338"/>
      <c r="O309" s="338"/>
      <c r="P309" s="338"/>
      <c r="Q309" s="338"/>
      <c r="R309" s="338"/>
      <c r="S309" s="338"/>
      <c r="T309" s="230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</row>
    <row r="310" spans="1:30">
      <c r="A310" s="189"/>
      <c r="B310" s="189"/>
      <c r="C310" s="189"/>
      <c r="D310" s="189"/>
      <c r="E310" s="189"/>
      <c r="F310" s="189"/>
      <c r="G310" s="189"/>
      <c r="H310" s="189"/>
      <c r="I310" s="338"/>
      <c r="J310" s="338"/>
      <c r="K310" s="338"/>
      <c r="L310" s="338"/>
      <c r="M310" s="338"/>
      <c r="N310" s="338"/>
      <c r="O310" s="338"/>
      <c r="P310" s="338"/>
      <c r="Q310" s="338"/>
      <c r="R310" s="338"/>
      <c r="S310" s="338"/>
      <c r="T310" s="230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</row>
    <row r="311" spans="1:30">
      <c r="A311" s="189"/>
      <c r="B311" s="189"/>
      <c r="C311" s="189"/>
      <c r="D311" s="189"/>
      <c r="E311" s="189"/>
      <c r="F311" s="189"/>
      <c r="G311" s="189"/>
      <c r="H311" s="189"/>
      <c r="I311" s="338"/>
      <c r="J311" s="338"/>
      <c r="K311" s="338"/>
      <c r="L311" s="338"/>
      <c r="M311" s="338"/>
      <c r="N311" s="338"/>
      <c r="O311" s="338"/>
      <c r="P311" s="338"/>
      <c r="Q311" s="338"/>
      <c r="R311" s="338"/>
      <c r="S311" s="338"/>
      <c r="T311" s="230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</row>
    <row r="312" spans="1:30">
      <c r="A312" s="189"/>
      <c r="B312" s="189"/>
      <c r="C312" s="189"/>
      <c r="D312" s="189"/>
      <c r="E312" s="189"/>
      <c r="F312" s="189"/>
      <c r="G312" s="189"/>
      <c r="H312" s="189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230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</row>
    <row r="313" spans="1:30">
      <c r="A313" s="189"/>
      <c r="B313" s="189"/>
      <c r="C313" s="189"/>
      <c r="D313" s="189"/>
      <c r="E313" s="189"/>
      <c r="F313" s="189"/>
      <c r="G313" s="189"/>
      <c r="H313" s="189"/>
      <c r="I313" s="338"/>
      <c r="J313" s="338"/>
      <c r="K313" s="338"/>
      <c r="L313" s="338"/>
      <c r="M313" s="338"/>
      <c r="N313" s="338"/>
      <c r="O313" s="338"/>
      <c r="P313" s="338"/>
      <c r="Q313" s="338"/>
      <c r="R313" s="338"/>
      <c r="S313" s="338"/>
      <c r="T313" s="230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</row>
    <row r="314" spans="1:30">
      <c r="A314" s="189"/>
      <c r="B314" s="189"/>
      <c r="C314" s="189"/>
      <c r="D314" s="189"/>
      <c r="E314" s="189"/>
      <c r="F314" s="189"/>
      <c r="G314" s="189"/>
      <c r="H314" s="189"/>
      <c r="I314" s="338"/>
      <c r="J314" s="338"/>
      <c r="K314" s="338"/>
      <c r="L314" s="338"/>
      <c r="M314" s="338"/>
      <c r="N314" s="338"/>
      <c r="O314" s="338"/>
      <c r="P314" s="338"/>
      <c r="Q314" s="338"/>
      <c r="R314" s="338"/>
      <c r="S314" s="338"/>
      <c r="T314" s="230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</row>
    <row r="315" spans="1:30">
      <c r="A315" s="189"/>
      <c r="B315" s="189"/>
      <c r="C315" s="189"/>
      <c r="D315" s="189"/>
      <c r="E315" s="189"/>
      <c r="F315" s="189"/>
      <c r="G315" s="189"/>
      <c r="H315" s="189"/>
      <c r="I315" s="338"/>
      <c r="J315" s="338"/>
      <c r="K315" s="338"/>
      <c r="L315" s="338"/>
      <c r="M315" s="338"/>
      <c r="N315" s="338"/>
      <c r="O315" s="338"/>
      <c r="P315" s="338"/>
      <c r="Q315" s="338"/>
      <c r="R315" s="338"/>
      <c r="S315" s="338"/>
      <c r="T315" s="230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</row>
    <row r="316" spans="1:30">
      <c r="A316" s="189"/>
      <c r="B316" s="189"/>
      <c r="C316" s="189"/>
      <c r="D316" s="189"/>
      <c r="E316" s="189"/>
      <c r="F316" s="189"/>
      <c r="G316" s="189"/>
      <c r="H316" s="189"/>
      <c r="I316" s="338"/>
      <c r="J316" s="338"/>
      <c r="K316" s="338"/>
      <c r="L316" s="338"/>
      <c r="M316" s="338"/>
      <c r="N316" s="338"/>
      <c r="O316" s="338"/>
      <c r="P316" s="338"/>
      <c r="Q316" s="338"/>
      <c r="R316" s="338"/>
      <c r="S316" s="338"/>
      <c r="T316" s="230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</row>
    <row r="317" spans="1:30">
      <c r="A317" s="189"/>
      <c r="B317" s="189"/>
      <c r="C317" s="189"/>
      <c r="D317" s="189"/>
      <c r="E317" s="189"/>
      <c r="F317" s="189"/>
      <c r="G317" s="189"/>
      <c r="H317" s="189"/>
      <c r="I317" s="338"/>
      <c r="J317" s="338"/>
      <c r="K317" s="338"/>
      <c r="L317" s="338"/>
      <c r="M317" s="338"/>
      <c r="N317" s="338"/>
      <c r="O317" s="338"/>
      <c r="P317" s="338"/>
      <c r="Q317" s="338"/>
      <c r="R317" s="338"/>
      <c r="S317" s="338"/>
      <c r="T317" s="230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</row>
    <row r="318" spans="1:30">
      <c r="A318" s="189"/>
      <c r="B318" s="189"/>
      <c r="C318" s="189"/>
      <c r="D318" s="189"/>
      <c r="E318" s="189"/>
      <c r="F318" s="189"/>
      <c r="G318" s="189"/>
      <c r="H318" s="189"/>
      <c r="I318" s="338"/>
      <c r="J318" s="338"/>
      <c r="K318" s="338"/>
      <c r="L318" s="338"/>
      <c r="M318" s="338"/>
      <c r="N318" s="338"/>
      <c r="O318" s="338"/>
      <c r="P318" s="338"/>
      <c r="Q318" s="338"/>
      <c r="R318" s="338"/>
      <c r="S318" s="338"/>
      <c r="T318" s="230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</row>
    <row r="319" spans="1:30">
      <c r="A319" s="189"/>
      <c r="B319" s="189"/>
      <c r="C319" s="189"/>
      <c r="D319" s="189"/>
      <c r="E319" s="189"/>
      <c r="F319" s="189"/>
      <c r="G319" s="189"/>
      <c r="H319" s="189"/>
      <c r="I319" s="338"/>
      <c r="J319" s="338"/>
      <c r="K319" s="338"/>
      <c r="L319" s="338"/>
      <c r="M319" s="338"/>
      <c r="N319" s="338"/>
      <c r="O319" s="338"/>
      <c r="P319" s="338"/>
      <c r="Q319" s="338"/>
      <c r="R319" s="338"/>
      <c r="S319" s="338"/>
      <c r="T319" s="230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</row>
    <row r="320" spans="1:30">
      <c r="A320" s="189"/>
      <c r="B320" s="189"/>
      <c r="C320" s="189"/>
      <c r="D320" s="189"/>
      <c r="E320" s="189"/>
      <c r="F320" s="189"/>
      <c r="G320" s="189"/>
      <c r="H320" s="189"/>
      <c r="I320" s="338"/>
      <c r="J320" s="338"/>
      <c r="K320" s="338"/>
      <c r="L320" s="338"/>
      <c r="M320" s="338"/>
      <c r="N320" s="338"/>
      <c r="O320" s="338"/>
      <c r="P320" s="338"/>
      <c r="Q320" s="338"/>
      <c r="R320" s="338"/>
      <c r="S320" s="338"/>
      <c r="T320" s="230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</row>
    <row r="321" spans="1:30">
      <c r="A321" s="189"/>
      <c r="B321" s="189"/>
      <c r="C321" s="189"/>
      <c r="D321" s="189"/>
      <c r="E321" s="189"/>
      <c r="F321" s="189"/>
      <c r="G321" s="189"/>
      <c r="H321" s="189"/>
      <c r="I321" s="338"/>
      <c r="J321" s="338"/>
      <c r="K321" s="338"/>
      <c r="L321" s="338"/>
      <c r="M321" s="338"/>
      <c r="N321" s="338"/>
      <c r="O321" s="338"/>
      <c r="P321" s="338"/>
      <c r="Q321" s="338"/>
      <c r="R321" s="338"/>
      <c r="S321" s="338"/>
      <c r="T321" s="230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</row>
    <row r="322" spans="1:30">
      <c r="A322" s="189"/>
      <c r="B322" s="189"/>
      <c r="C322" s="189"/>
      <c r="D322" s="189"/>
      <c r="E322" s="189"/>
      <c r="F322" s="189"/>
      <c r="G322" s="189"/>
      <c r="H322" s="189"/>
      <c r="I322" s="338"/>
      <c r="J322" s="338"/>
      <c r="K322" s="338"/>
      <c r="L322" s="338"/>
      <c r="M322" s="338"/>
      <c r="N322" s="338"/>
      <c r="O322" s="338"/>
      <c r="P322" s="338"/>
      <c r="Q322" s="338"/>
      <c r="R322" s="338"/>
      <c r="S322" s="338"/>
      <c r="T322" s="230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</row>
    <row r="323" spans="1:30">
      <c r="A323" s="189"/>
      <c r="B323" s="189"/>
      <c r="C323" s="189"/>
      <c r="D323" s="189"/>
      <c r="E323" s="189"/>
      <c r="F323" s="189"/>
      <c r="G323" s="189"/>
      <c r="H323" s="189"/>
      <c r="I323" s="338"/>
      <c r="J323" s="338"/>
      <c r="K323" s="338"/>
      <c r="L323" s="338"/>
      <c r="M323" s="338"/>
      <c r="N323" s="338"/>
      <c r="O323" s="338"/>
      <c r="P323" s="338"/>
      <c r="Q323" s="338"/>
      <c r="R323" s="338"/>
      <c r="S323" s="338"/>
      <c r="T323" s="230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</row>
    <row r="324" spans="1:30">
      <c r="A324" s="189"/>
      <c r="B324" s="189"/>
      <c r="C324" s="189"/>
      <c r="D324" s="189"/>
      <c r="E324" s="189"/>
      <c r="F324" s="189"/>
      <c r="G324" s="189"/>
      <c r="H324" s="189"/>
      <c r="I324" s="338"/>
      <c r="J324" s="338"/>
      <c r="K324" s="338"/>
      <c r="L324" s="338"/>
      <c r="M324" s="338"/>
      <c r="N324" s="338"/>
      <c r="O324" s="338"/>
      <c r="P324" s="338"/>
      <c r="Q324" s="338"/>
      <c r="R324" s="338"/>
      <c r="S324" s="338"/>
      <c r="T324" s="230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</row>
    <row r="325" spans="1:30">
      <c r="A325" s="189"/>
      <c r="B325" s="189"/>
      <c r="C325" s="189"/>
      <c r="D325" s="189"/>
      <c r="E325" s="189"/>
      <c r="F325" s="189"/>
      <c r="G325" s="189"/>
      <c r="H325" s="189"/>
      <c r="I325" s="338"/>
      <c r="J325" s="338"/>
      <c r="K325" s="338"/>
      <c r="L325" s="338"/>
      <c r="M325" s="338"/>
      <c r="N325" s="338"/>
      <c r="O325" s="338"/>
      <c r="P325" s="338"/>
      <c r="Q325" s="338"/>
      <c r="R325" s="338"/>
      <c r="S325" s="338"/>
      <c r="T325" s="230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</row>
    <row r="326" spans="1:30">
      <c r="A326" s="189"/>
      <c r="B326" s="189"/>
      <c r="C326" s="189"/>
      <c r="D326" s="189"/>
      <c r="E326" s="189"/>
      <c r="F326" s="189"/>
      <c r="G326" s="189"/>
      <c r="H326" s="189"/>
      <c r="I326" s="338"/>
      <c r="J326" s="338"/>
      <c r="K326" s="338"/>
      <c r="L326" s="338"/>
      <c r="M326" s="338"/>
      <c r="N326" s="338"/>
      <c r="O326" s="338"/>
      <c r="P326" s="338"/>
      <c r="Q326" s="338"/>
      <c r="R326" s="338"/>
      <c r="S326" s="338"/>
      <c r="T326" s="230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</row>
    <row r="327" spans="1:30">
      <c r="A327" s="189"/>
      <c r="B327" s="189"/>
      <c r="C327" s="189"/>
      <c r="D327" s="189"/>
      <c r="E327" s="189"/>
      <c r="F327" s="189"/>
      <c r="G327" s="189"/>
      <c r="H327" s="189"/>
      <c r="I327" s="338"/>
      <c r="J327" s="338"/>
      <c r="K327" s="338"/>
      <c r="L327" s="338"/>
      <c r="M327" s="338"/>
      <c r="N327" s="338"/>
      <c r="O327" s="338"/>
      <c r="P327" s="338"/>
      <c r="Q327" s="338"/>
      <c r="R327" s="338"/>
      <c r="S327" s="338"/>
      <c r="T327" s="230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</row>
    <row r="328" spans="1:30">
      <c r="A328" s="189"/>
      <c r="B328" s="189"/>
      <c r="C328" s="189"/>
      <c r="D328" s="189"/>
      <c r="E328" s="189"/>
      <c r="F328" s="189"/>
      <c r="G328" s="189"/>
      <c r="H328" s="189"/>
      <c r="I328" s="338"/>
      <c r="J328" s="338"/>
      <c r="K328" s="338"/>
      <c r="L328" s="338"/>
      <c r="M328" s="338"/>
      <c r="N328" s="338"/>
      <c r="O328" s="338"/>
      <c r="P328" s="338"/>
      <c r="Q328" s="338"/>
      <c r="R328" s="338"/>
      <c r="S328" s="338"/>
      <c r="T328" s="230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</row>
    <row r="329" spans="1:30">
      <c r="A329" s="189"/>
      <c r="B329" s="189"/>
      <c r="C329" s="189"/>
      <c r="D329" s="189"/>
      <c r="E329" s="189"/>
      <c r="F329" s="189"/>
      <c r="G329" s="189"/>
      <c r="H329" s="189"/>
      <c r="I329" s="338"/>
      <c r="J329" s="338"/>
      <c r="K329" s="338"/>
      <c r="L329" s="338"/>
      <c r="M329" s="338"/>
      <c r="N329" s="338"/>
      <c r="O329" s="338"/>
      <c r="P329" s="338"/>
      <c r="Q329" s="338"/>
      <c r="R329" s="338"/>
      <c r="S329" s="338"/>
      <c r="T329" s="230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</row>
    <row r="330" spans="1:30">
      <c r="A330" s="189"/>
      <c r="B330" s="189"/>
      <c r="C330" s="189"/>
      <c r="D330" s="189"/>
      <c r="E330" s="189"/>
      <c r="F330" s="189"/>
      <c r="G330" s="189"/>
      <c r="H330" s="189"/>
      <c r="I330" s="338"/>
      <c r="J330" s="338"/>
      <c r="K330" s="338"/>
      <c r="L330" s="338"/>
      <c r="M330" s="338"/>
      <c r="N330" s="338"/>
      <c r="O330" s="338"/>
      <c r="P330" s="338"/>
      <c r="Q330" s="338"/>
      <c r="R330" s="338"/>
      <c r="S330" s="338"/>
      <c r="T330" s="230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</row>
    <row r="331" spans="1:30">
      <c r="A331" s="189"/>
      <c r="B331" s="189"/>
      <c r="C331" s="189"/>
      <c r="D331" s="189"/>
      <c r="E331" s="189"/>
      <c r="F331" s="189"/>
      <c r="G331" s="189"/>
      <c r="H331" s="189"/>
      <c r="I331" s="338"/>
      <c r="J331" s="338"/>
      <c r="K331" s="338"/>
      <c r="L331" s="338"/>
      <c r="M331" s="338"/>
      <c r="N331" s="338"/>
      <c r="O331" s="338"/>
      <c r="P331" s="338"/>
      <c r="Q331" s="338"/>
      <c r="R331" s="338"/>
      <c r="S331" s="338"/>
      <c r="T331" s="230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</row>
    <row r="332" spans="1:30">
      <c r="A332" s="189"/>
      <c r="B332" s="189"/>
      <c r="C332" s="189"/>
      <c r="D332" s="189"/>
      <c r="E332" s="189"/>
      <c r="F332" s="189"/>
      <c r="G332" s="189"/>
      <c r="H332" s="189"/>
      <c r="I332" s="338"/>
      <c r="J332" s="338"/>
      <c r="K332" s="338"/>
      <c r="L332" s="338"/>
      <c r="M332" s="338"/>
      <c r="N332" s="338"/>
      <c r="O332" s="338"/>
      <c r="P332" s="338"/>
      <c r="Q332" s="338"/>
      <c r="R332" s="338"/>
      <c r="S332" s="338"/>
      <c r="T332" s="230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</row>
    <row r="333" spans="1:30">
      <c r="A333" s="189"/>
      <c r="B333" s="189"/>
      <c r="C333" s="189"/>
      <c r="D333" s="189"/>
      <c r="E333" s="189"/>
      <c r="F333" s="189"/>
      <c r="G333" s="189"/>
      <c r="H333" s="189"/>
      <c r="I333" s="338"/>
      <c r="J333" s="338"/>
      <c r="K333" s="338"/>
      <c r="L333" s="338"/>
      <c r="M333" s="338"/>
      <c r="N333" s="338"/>
      <c r="O333" s="338"/>
      <c r="P333" s="338"/>
      <c r="Q333" s="338"/>
      <c r="R333" s="338"/>
      <c r="S333" s="338"/>
      <c r="T333" s="230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</row>
    <row r="334" spans="1:30">
      <c r="A334" s="189"/>
      <c r="B334" s="189"/>
      <c r="C334" s="189"/>
      <c r="D334" s="189"/>
      <c r="E334" s="189"/>
      <c r="F334" s="189"/>
      <c r="G334" s="189"/>
      <c r="H334" s="189"/>
      <c r="I334" s="338"/>
      <c r="J334" s="338"/>
      <c r="K334" s="338"/>
      <c r="L334" s="338"/>
      <c r="M334" s="338"/>
      <c r="N334" s="338"/>
      <c r="O334" s="338"/>
      <c r="P334" s="338"/>
      <c r="Q334" s="338"/>
      <c r="R334" s="338"/>
      <c r="S334" s="338"/>
      <c r="T334" s="230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</row>
    <row r="335" spans="1:30">
      <c r="A335" s="189"/>
      <c r="B335" s="189"/>
      <c r="C335" s="189"/>
      <c r="D335" s="189"/>
      <c r="E335" s="189"/>
      <c r="F335" s="189"/>
      <c r="G335" s="189"/>
      <c r="H335" s="189"/>
      <c r="I335" s="338"/>
      <c r="J335" s="338"/>
      <c r="K335" s="338"/>
      <c r="L335" s="338"/>
      <c r="M335" s="338"/>
      <c r="N335" s="338"/>
      <c r="O335" s="338"/>
      <c r="P335" s="338"/>
      <c r="Q335" s="338"/>
      <c r="R335" s="338"/>
      <c r="S335" s="338"/>
      <c r="T335" s="230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</row>
    <row r="336" spans="1:30">
      <c r="A336" s="189"/>
      <c r="B336" s="189"/>
      <c r="C336" s="189"/>
      <c r="D336" s="189"/>
      <c r="E336" s="189"/>
      <c r="F336" s="189"/>
      <c r="G336" s="189"/>
      <c r="H336" s="189"/>
      <c r="I336" s="338"/>
      <c r="J336" s="338"/>
      <c r="K336" s="338"/>
      <c r="L336" s="338"/>
      <c r="M336" s="338"/>
      <c r="N336" s="338"/>
      <c r="O336" s="338"/>
      <c r="P336" s="338"/>
      <c r="Q336" s="338"/>
      <c r="R336" s="338"/>
      <c r="S336" s="338"/>
      <c r="T336" s="230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</row>
    <row r="337" spans="1:30">
      <c r="A337" s="189"/>
      <c r="B337" s="189"/>
      <c r="C337" s="189"/>
      <c r="D337" s="189"/>
      <c r="E337" s="189"/>
      <c r="F337" s="189"/>
      <c r="G337" s="189"/>
      <c r="H337" s="189"/>
      <c r="I337" s="338"/>
      <c r="J337" s="338"/>
      <c r="K337" s="338"/>
      <c r="L337" s="338"/>
      <c r="M337" s="338"/>
      <c r="N337" s="338"/>
      <c r="O337" s="338"/>
      <c r="P337" s="338"/>
      <c r="Q337" s="338"/>
      <c r="R337" s="338"/>
      <c r="S337" s="338"/>
      <c r="T337" s="230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</row>
    <row r="338" spans="1:30">
      <c r="A338" s="189"/>
      <c r="B338" s="189"/>
      <c r="C338" s="189"/>
      <c r="D338" s="189"/>
      <c r="E338" s="189"/>
      <c r="F338" s="189"/>
      <c r="G338" s="189"/>
      <c r="H338" s="189"/>
      <c r="I338" s="338"/>
      <c r="J338" s="338"/>
      <c r="K338" s="338"/>
      <c r="L338" s="338"/>
      <c r="M338" s="338"/>
      <c r="N338" s="338"/>
      <c r="O338" s="338"/>
      <c r="P338" s="338"/>
      <c r="Q338" s="338"/>
      <c r="R338" s="338"/>
      <c r="S338" s="338"/>
      <c r="T338" s="230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</row>
    <row r="339" spans="1:30">
      <c r="A339" s="189"/>
      <c r="B339" s="189"/>
      <c r="C339" s="189"/>
      <c r="D339" s="189"/>
      <c r="E339" s="189"/>
      <c r="F339" s="189"/>
      <c r="G339" s="189"/>
      <c r="H339" s="189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230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</row>
    <row r="340" spans="1:30">
      <c r="A340" s="189"/>
      <c r="B340" s="189"/>
      <c r="C340" s="189"/>
      <c r="D340" s="189"/>
      <c r="E340" s="189"/>
      <c r="F340" s="189"/>
      <c r="G340" s="189"/>
      <c r="H340" s="189"/>
      <c r="I340" s="338"/>
      <c r="J340" s="338"/>
      <c r="K340" s="338"/>
      <c r="L340" s="338"/>
      <c r="M340" s="338"/>
      <c r="N340" s="338"/>
      <c r="O340" s="338"/>
      <c r="P340" s="338"/>
      <c r="Q340" s="338"/>
      <c r="R340" s="338"/>
      <c r="S340" s="338"/>
      <c r="T340" s="230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</row>
    <row r="341" spans="1:30">
      <c r="A341" s="189"/>
      <c r="B341" s="189"/>
      <c r="C341" s="189"/>
      <c r="D341" s="189"/>
      <c r="E341" s="189"/>
      <c r="F341" s="189"/>
      <c r="G341" s="189"/>
      <c r="H341" s="189"/>
      <c r="I341" s="338"/>
      <c r="J341" s="338"/>
      <c r="K341" s="338"/>
      <c r="L341" s="338"/>
      <c r="M341" s="338"/>
      <c r="N341" s="338"/>
      <c r="O341" s="338"/>
      <c r="P341" s="338"/>
      <c r="Q341" s="338"/>
      <c r="R341" s="338"/>
      <c r="S341" s="338"/>
      <c r="T341" s="230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</row>
    <row r="342" spans="1:30">
      <c r="A342" s="189"/>
      <c r="B342" s="189"/>
      <c r="C342" s="189"/>
      <c r="D342" s="189"/>
      <c r="E342" s="189"/>
      <c r="F342" s="189"/>
      <c r="G342" s="189"/>
      <c r="H342" s="189"/>
      <c r="I342" s="338"/>
      <c r="J342" s="338"/>
      <c r="K342" s="338"/>
      <c r="L342" s="338"/>
      <c r="M342" s="338"/>
      <c r="N342" s="338"/>
      <c r="O342" s="338"/>
      <c r="P342" s="338"/>
      <c r="Q342" s="338"/>
      <c r="R342" s="338"/>
      <c r="S342" s="338"/>
      <c r="T342" s="230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</row>
    <row r="343" spans="1:30">
      <c r="A343" s="189"/>
      <c r="B343" s="189"/>
      <c r="C343" s="189"/>
      <c r="D343" s="189"/>
      <c r="E343" s="189"/>
      <c r="F343" s="189"/>
      <c r="G343" s="189"/>
      <c r="H343" s="189"/>
      <c r="I343" s="338"/>
      <c r="J343" s="338"/>
      <c r="K343" s="338"/>
      <c r="L343" s="338"/>
      <c r="M343" s="338"/>
      <c r="N343" s="338"/>
      <c r="O343" s="338"/>
      <c r="P343" s="338"/>
      <c r="Q343" s="338"/>
      <c r="R343" s="338"/>
      <c r="S343" s="338"/>
      <c r="T343" s="230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</row>
    <row r="344" spans="1:30">
      <c r="A344" s="189"/>
      <c r="B344" s="189"/>
      <c r="C344" s="189"/>
      <c r="D344" s="189"/>
      <c r="E344" s="189"/>
      <c r="F344" s="189"/>
      <c r="G344" s="189"/>
      <c r="H344" s="189"/>
      <c r="I344" s="338"/>
      <c r="J344" s="338"/>
      <c r="K344" s="338"/>
      <c r="L344" s="338"/>
      <c r="M344" s="338"/>
      <c r="N344" s="338"/>
      <c r="O344" s="338"/>
      <c r="P344" s="338"/>
      <c r="Q344" s="338"/>
      <c r="R344" s="338"/>
      <c r="S344" s="338"/>
      <c r="T344" s="230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</row>
    <row r="345" spans="1:30">
      <c r="A345" s="189"/>
      <c r="B345" s="189"/>
      <c r="C345" s="189"/>
      <c r="D345" s="189"/>
      <c r="E345" s="189"/>
      <c r="F345" s="189"/>
      <c r="G345" s="189"/>
      <c r="H345" s="189"/>
      <c r="I345" s="338"/>
      <c r="J345" s="338"/>
      <c r="K345" s="338"/>
      <c r="L345" s="338"/>
      <c r="M345" s="338"/>
      <c r="N345" s="338"/>
      <c r="O345" s="338"/>
      <c r="P345" s="338"/>
      <c r="Q345" s="338"/>
      <c r="R345" s="338"/>
      <c r="S345" s="338"/>
      <c r="T345" s="230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</row>
    <row r="346" spans="1:30">
      <c r="A346" s="189"/>
      <c r="B346" s="189"/>
      <c r="C346" s="189"/>
      <c r="D346" s="189"/>
      <c r="E346" s="189"/>
      <c r="F346" s="189"/>
      <c r="G346" s="189"/>
      <c r="H346" s="189"/>
      <c r="I346" s="338"/>
      <c r="J346" s="338"/>
      <c r="K346" s="338"/>
      <c r="L346" s="338"/>
      <c r="M346" s="338"/>
      <c r="N346" s="338"/>
      <c r="O346" s="338"/>
      <c r="P346" s="338"/>
      <c r="Q346" s="338"/>
      <c r="R346" s="338"/>
      <c r="S346" s="338"/>
      <c r="T346" s="230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</row>
    <row r="347" spans="1:30">
      <c r="A347" s="189"/>
      <c r="B347" s="189"/>
      <c r="C347" s="189"/>
      <c r="D347" s="189"/>
      <c r="E347" s="189"/>
      <c r="F347" s="189"/>
      <c r="G347" s="189"/>
      <c r="H347" s="189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230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</row>
    <row r="348" spans="1:30">
      <c r="A348" s="189"/>
      <c r="B348" s="189"/>
      <c r="C348" s="189"/>
      <c r="D348" s="189"/>
      <c r="E348" s="189"/>
      <c r="F348" s="189"/>
      <c r="G348" s="189"/>
      <c r="H348" s="189"/>
      <c r="I348" s="338"/>
      <c r="J348" s="338"/>
      <c r="K348" s="338"/>
      <c r="L348" s="338"/>
      <c r="M348" s="338"/>
      <c r="N348" s="338"/>
      <c r="O348" s="338"/>
      <c r="P348" s="338"/>
      <c r="Q348" s="338"/>
      <c r="R348" s="338"/>
      <c r="S348" s="338"/>
      <c r="T348" s="230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</row>
    <row r="349" spans="1:30">
      <c r="A349" s="189"/>
      <c r="B349" s="189"/>
      <c r="C349" s="189"/>
      <c r="D349" s="189"/>
      <c r="E349" s="189"/>
      <c r="F349" s="189"/>
      <c r="G349" s="189"/>
      <c r="H349" s="189"/>
      <c r="I349" s="338"/>
      <c r="J349" s="338"/>
      <c r="K349" s="338"/>
      <c r="L349" s="338"/>
      <c r="M349" s="338"/>
      <c r="N349" s="338"/>
      <c r="O349" s="338"/>
      <c r="P349" s="338"/>
      <c r="Q349" s="338"/>
      <c r="R349" s="338"/>
      <c r="S349" s="338"/>
      <c r="T349" s="230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</row>
    <row r="350" spans="1:30">
      <c r="A350" s="189"/>
      <c r="B350" s="189"/>
      <c r="C350" s="189"/>
      <c r="D350" s="189"/>
      <c r="E350" s="189"/>
      <c r="F350" s="189"/>
      <c r="G350" s="189"/>
      <c r="H350" s="189"/>
      <c r="I350" s="338"/>
      <c r="J350" s="338"/>
      <c r="K350" s="338"/>
      <c r="L350" s="338"/>
      <c r="M350" s="338"/>
      <c r="N350" s="338"/>
      <c r="O350" s="338"/>
      <c r="P350" s="338"/>
      <c r="Q350" s="338"/>
      <c r="R350" s="338"/>
      <c r="S350" s="338"/>
      <c r="T350" s="230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</row>
    <row r="351" spans="1:30">
      <c r="A351" s="189"/>
      <c r="B351" s="189"/>
      <c r="C351" s="189"/>
      <c r="D351" s="189"/>
      <c r="E351" s="189"/>
      <c r="F351" s="189"/>
      <c r="G351" s="189"/>
      <c r="H351" s="189"/>
      <c r="I351" s="338"/>
      <c r="J351" s="338"/>
      <c r="K351" s="338"/>
      <c r="L351" s="338"/>
      <c r="M351" s="338"/>
      <c r="N351" s="338"/>
      <c r="O351" s="338"/>
      <c r="P351" s="338"/>
      <c r="Q351" s="338"/>
      <c r="R351" s="338"/>
      <c r="S351" s="338"/>
      <c r="T351" s="230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</row>
    <row r="352" spans="1:30">
      <c r="A352" s="189"/>
      <c r="B352" s="189"/>
      <c r="C352" s="189"/>
      <c r="D352" s="189"/>
      <c r="E352" s="189"/>
      <c r="F352" s="189"/>
      <c r="G352" s="189"/>
      <c r="H352" s="189"/>
      <c r="I352" s="338"/>
      <c r="J352" s="338"/>
      <c r="K352" s="338"/>
      <c r="L352" s="338"/>
      <c r="M352" s="338"/>
      <c r="N352" s="338"/>
      <c r="O352" s="338"/>
      <c r="P352" s="338"/>
      <c r="Q352" s="338"/>
      <c r="R352" s="338"/>
      <c r="S352" s="338"/>
      <c r="T352" s="230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</row>
    <row r="353" spans="1:30">
      <c r="A353" s="189"/>
      <c r="B353" s="189"/>
      <c r="C353" s="189"/>
      <c r="D353" s="189"/>
      <c r="E353" s="189"/>
      <c r="F353" s="189"/>
      <c r="G353" s="189"/>
      <c r="H353" s="189"/>
      <c r="I353" s="338"/>
      <c r="J353" s="338"/>
      <c r="K353" s="338"/>
      <c r="L353" s="338"/>
      <c r="M353" s="338"/>
      <c r="N353" s="338"/>
      <c r="O353" s="338"/>
      <c r="P353" s="338"/>
      <c r="Q353" s="338"/>
      <c r="R353" s="338"/>
      <c r="S353" s="338"/>
      <c r="T353" s="230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</row>
    <row r="354" spans="1:30">
      <c r="A354" s="189"/>
      <c r="B354" s="189"/>
      <c r="C354" s="189"/>
      <c r="D354" s="189"/>
      <c r="E354" s="189"/>
      <c r="F354" s="189"/>
      <c r="G354" s="189"/>
      <c r="H354" s="189"/>
      <c r="I354" s="338"/>
      <c r="J354" s="338"/>
      <c r="K354" s="338"/>
      <c r="L354" s="338"/>
      <c r="M354" s="338"/>
      <c r="N354" s="338"/>
      <c r="O354" s="338"/>
      <c r="P354" s="338"/>
      <c r="Q354" s="338"/>
      <c r="R354" s="338"/>
      <c r="S354" s="338"/>
      <c r="T354" s="230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</row>
    <row r="355" spans="1:30">
      <c r="A355" s="189"/>
      <c r="B355" s="189"/>
      <c r="C355" s="189"/>
      <c r="D355" s="189"/>
      <c r="E355" s="189"/>
      <c r="F355" s="189"/>
      <c r="G355" s="189"/>
      <c r="H355" s="189"/>
      <c r="I355" s="338"/>
      <c r="J355" s="338"/>
      <c r="K355" s="338"/>
      <c r="L355" s="338"/>
      <c r="M355" s="338"/>
      <c r="N355" s="338"/>
      <c r="O355" s="338"/>
      <c r="P355" s="338"/>
      <c r="Q355" s="338"/>
      <c r="R355" s="338"/>
      <c r="S355" s="338"/>
      <c r="T355" s="230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</row>
    <row r="356" spans="1:30">
      <c r="A356" s="189"/>
      <c r="B356" s="189"/>
      <c r="C356" s="189"/>
      <c r="D356" s="189"/>
      <c r="E356" s="189"/>
      <c r="F356" s="189"/>
      <c r="G356" s="189"/>
      <c r="H356" s="189"/>
      <c r="I356" s="338"/>
      <c r="J356" s="338"/>
      <c r="K356" s="338"/>
      <c r="L356" s="338"/>
      <c r="M356" s="338"/>
      <c r="N356" s="338"/>
      <c r="O356" s="338"/>
      <c r="P356" s="338"/>
      <c r="Q356" s="338"/>
      <c r="R356" s="338"/>
      <c r="S356" s="338"/>
      <c r="T356" s="230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</row>
    <row r="357" spans="1:30">
      <c r="A357" s="189"/>
      <c r="B357" s="189"/>
      <c r="C357" s="189"/>
      <c r="D357" s="189"/>
      <c r="E357" s="189"/>
      <c r="F357" s="189"/>
      <c r="G357" s="189"/>
      <c r="H357" s="189"/>
      <c r="I357" s="338"/>
      <c r="J357" s="338"/>
      <c r="K357" s="338"/>
      <c r="L357" s="338"/>
      <c r="M357" s="338"/>
      <c r="N357" s="338"/>
      <c r="O357" s="338"/>
      <c r="P357" s="338"/>
      <c r="Q357" s="338"/>
      <c r="R357" s="338"/>
      <c r="S357" s="338"/>
      <c r="T357" s="230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</row>
    <row r="358" spans="1:30">
      <c r="A358" s="189"/>
      <c r="B358" s="189"/>
      <c r="C358" s="189"/>
      <c r="D358" s="189"/>
      <c r="E358" s="189"/>
      <c r="F358" s="189"/>
      <c r="G358" s="189"/>
      <c r="H358" s="189"/>
      <c r="I358" s="338"/>
      <c r="J358" s="338"/>
      <c r="K358" s="338"/>
      <c r="L358" s="338"/>
      <c r="M358" s="338"/>
      <c r="N358" s="338"/>
      <c r="O358" s="338"/>
      <c r="P358" s="338"/>
      <c r="Q358" s="338"/>
      <c r="R358" s="338"/>
      <c r="S358" s="338"/>
      <c r="T358" s="230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</row>
    <row r="359" spans="1:30">
      <c r="A359" s="189"/>
      <c r="B359" s="189"/>
      <c r="C359" s="189"/>
      <c r="D359" s="189"/>
      <c r="E359" s="189"/>
      <c r="F359" s="189"/>
      <c r="G359" s="189"/>
      <c r="H359" s="189"/>
      <c r="I359" s="338"/>
      <c r="J359" s="338"/>
      <c r="K359" s="338"/>
      <c r="L359" s="338"/>
      <c r="M359" s="338"/>
      <c r="N359" s="338"/>
      <c r="O359" s="338"/>
      <c r="P359" s="338"/>
      <c r="Q359" s="338"/>
      <c r="R359" s="338"/>
      <c r="S359" s="338"/>
      <c r="T359" s="230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</row>
    <row r="360" spans="1:30">
      <c r="A360" s="189"/>
      <c r="B360" s="189"/>
      <c r="C360" s="189"/>
      <c r="D360" s="189"/>
      <c r="E360" s="189"/>
      <c r="F360" s="189"/>
      <c r="G360" s="189"/>
      <c r="H360" s="189"/>
      <c r="I360" s="338"/>
      <c r="J360" s="338"/>
      <c r="K360" s="338"/>
      <c r="L360" s="338"/>
      <c r="M360" s="338"/>
      <c r="N360" s="338"/>
      <c r="O360" s="338"/>
      <c r="P360" s="338"/>
      <c r="Q360" s="338"/>
      <c r="R360" s="338"/>
      <c r="S360" s="338"/>
      <c r="T360" s="230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</row>
    <row r="361" spans="1:30">
      <c r="A361" s="189"/>
      <c r="B361" s="189"/>
      <c r="C361" s="189"/>
      <c r="D361" s="189"/>
      <c r="E361" s="189"/>
      <c r="F361" s="189"/>
      <c r="G361" s="189"/>
      <c r="H361" s="189"/>
      <c r="I361" s="338"/>
      <c r="J361" s="338"/>
      <c r="K361" s="338"/>
      <c r="L361" s="338"/>
      <c r="M361" s="338"/>
      <c r="N361" s="338"/>
      <c r="O361" s="338"/>
      <c r="P361" s="338"/>
      <c r="Q361" s="338"/>
      <c r="R361" s="338"/>
      <c r="S361" s="338"/>
      <c r="T361" s="230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</row>
    <row r="362" spans="1:30">
      <c r="A362" s="189"/>
      <c r="B362" s="189"/>
      <c r="C362" s="189"/>
      <c r="D362" s="189"/>
      <c r="E362" s="189"/>
      <c r="F362" s="189"/>
      <c r="G362" s="189"/>
      <c r="H362" s="189"/>
      <c r="I362" s="338"/>
      <c r="J362" s="338"/>
      <c r="K362" s="338"/>
      <c r="L362" s="338"/>
      <c r="M362" s="338"/>
      <c r="N362" s="338"/>
      <c r="O362" s="338"/>
      <c r="P362" s="338"/>
      <c r="Q362" s="338"/>
      <c r="R362" s="338"/>
      <c r="S362" s="338"/>
      <c r="T362" s="230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</row>
    <row r="363" spans="1:30">
      <c r="A363" s="189"/>
      <c r="B363" s="189"/>
      <c r="C363" s="189"/>
      <c r="D363" s="189"/>
      <c r="E363" s="189"/>
      <c r="F363" s="189"/>
      <c r="G363" s="189"/>
      <c r="H363" s="189"/>
      <c r="I363" s="338"/>
      <c r="J363" s="338"/>
      <c r="K363" s="338"/>
      <c r="L363" s="338"/>
      <c r="M363" s="338"/>
      <c r="N363" s="338"/>
      <c r="O363" s="338"/>
      <c r="P363" s="338"/>
      <c r="Q363" s="338"/>
      <c r="R363" s="338"/>
      <c r="S363" s="338"/>
      <c r="T363" s="230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</row>
    <row r="364" spans="1:30">
      <c r="A364" s="189"/>
      <c r="B364" s="189"/>
      <c r="C364" s="189"/>
      <c r="D364" s="189"/>
      <c r="E364" s="189"/>
      <c r="F364" s="189"/>
      <c r="G364" s="189"/>
      <c r="H364" s="189"/>
      <c r="I364" s="338"/>
      <c r="J364" s="338"/>
      <c r="K364" s="338"/>
      <c r="L364" s="338"/>
      <c r="M364" s="338"/>
      <c r="N364" s="338"/>
      <c r="O364" s="338"/>
      <c r="P364" s="338"/>
      <c r="Q364" s="338"/>
      <c r="R364" s="338"/>
      <c r="S364" s="338"/>
      <c r="T364" s="230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</row>
    <row r="365" spans="1:30">
      <c r="A365" s="189"/>
      <c r="B365" s="189"/>
      <c r="C365" s="189"/>
      <c r="D365" s="189"/>
      <c r="E365" s="189"/>
      <c r="F365" s="189"/>
      <c r="G365" s="189"/>
      <c r="H365" s="189"/>
      <c r="I365" s="338"/>
      <c r="J365" s="338"/>
      <c r="K365" s="338"/>
      <c r="L365" s="338"/>
      <c r="M365" s="338"/>
      <c r="N365" s="338"/>
      <c r="O365" s="338"/>
      <c r="P365" s="338"/>
      <c r="Q365" s="338"/>
      <c r="R365" s="338"/>
      <c r="S365" s="338"/>
      <c r="T365" s="230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</row>
    <row r="366" spans="1:30">
      <c r="A366" s="189"/>
      <c r="B366" s="189"/>
      <c r="C366" s="189"/>
      <c r="D366" s="189"/>
      <c r="E366" s="189"/>
      <c r="F366" s="189"/>
      <c r="G366" s="189"/>
      <c r="H366" s="189"/>
      <c r="I366" s="338"/>
      <c r="J366" s="338"/>
      <c r="K366" s="338"/>
      <c r="L366" s="338"/>
      <c r="M366" s="338"/>
      <c r="N366" s="338"/>
      <c r="O366" s="338"/>
      <c r="P366" s="338"/>
      <c r="Q366" s="338"/>
      <c r="R366" s="338"/>
      <c r="S366" s="338"/>
      <c r="T366" s="230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</row>
    <row r="367" spans="1:30">
      <c r="A367" s="189"/>
      <c r="B367" s="189"/>
      <c r="C367" s="189"/>
      <c r="D367" s="189"/>
      <c r="E367" s="189"/>
      <c r="F367" s="189"/>
      <c r="G367" s="189"/>
      <c r="H367" s="189"/>
      <c r="I367" s="338"/>
      <c r="J367" s="338"/>
      <c r="K367" s="338"/>
      <c r="L367" s="338"/>
      <c r="M367" s="338"/>
      <c r="N367" s="338"/>
      <c r="O367" s="338"/>
      <c r="P367" s="338"/>
      <c r="Q367" s="338"/>
      <c r="R367" s="338"/>
      <c r="S367" s="338"/>
      <c r="T367" s="230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</row>
    <row r="368" spans="1:30">
      <c r="A368" s="189"/>
      <c r="B368" s="189"/>
      <c r="C368" s="189"/>
      <c r="D368" s="189"/>
      <c r="E368" s="189"/>
      <c r="F368" s="189"/>
      <c r="G368" s="189"/>
      <c r="H368" s="189"/>
      <c r="I368" s="338"/>
      <c r="J368" s="338"/>
      <c r="K368" s="338"/>
      <c r="L368" s="338"/>
      <c r="M368" s="338"/>
      <c r="N368" s="338"/>
      <c r="O368" s="338"/>
      <c r="P368" s="338"/>
      <c r="Q368" s="338"/>
      <c r="R368" s="338"/>
      <c r="S368" s="338"/>
      <c r="T368" s="230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</row>
    <row r="369" spans="1:30">
      <c r="A369" s="189"/>
      <c r="B369" s="189"/>
      <c r="C369" s="189"/>
      <c r="D369" s="189"/>
      <c r="E369" s="189"/>
      <c r="F369" s="189"/>
      <c r="G369" s="189"/>
      <c r="H369" s="189"/>
      <c r="I369" s="338"/>
      <c r="J369" s="338"/>
      <c r="K369" s="338"/>
      <c r="L369" s="338"/>
      <c r="M369" s="338"/>
      <c r="N369" s="338"/>
      <c r="O369" s="338"/>
      <c r="P369" s="338"/>
      <c r="Q369" s="338"/>
      <c r="R369" s="338"/>
      <c r="S369" s="338"/>
      <c r="T369" s="230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</row>
    <row r="370" spans="1:30">
      <c r="A370" s="189"/>
      <c r="B370" s="189"/>
      <c r="C370" s="189"/>
      <c r="D370" s="189"/>
      <c r="E370" s="189"/>
      <c r="F370" s="189"/>
      <c r="G370" s="189"/>
      <c r="H370" s="189"/>
      <c r="I370" s="338"/>
      <c r="J370" s="338"/>
      <c r="K370" s="338"/>
      <c r="L370" s="338"/>
      <c r="M370" s="338"/>
      <c r="N370" s="338"/>
      <c r="O370" s="338"/>
      <c r="P370" s="338"/>
      <c r="Q370" s="338"/>
      <c r="R370" s="338"/>
      <c r="S370" s="338"/>
      <c r="T370" s="230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</row>
    <row r="371" spans="1:30">
      <c r="A371" s="189"/>
      <c r="B371" s="189"/>
      <c r="C371" s="189"/>
      <c r="D371" s="189"/>
      <c r="E371" s="189"/>
      <c r="F371" s="189"/>
      <c r="G371" s="189"/>
      <c r="H371" s="189"/>
      <c r="I371" s="338"/>
      <c r="J371" s="338"/>
      <c r="K371" s="338"/>
      <c r="L371" s="338"/>
      <c r="M371" s="338"/>
      <c r="N371" s="338"/>
      <c r="O371" s="338"/>
      <c r="P371" s="338"/>
      <c r="Q371" s="338"/>
      <c r="R371" s="338"/>
      <c r="S371" s="338"/>
      <c r="T371" s="230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</row>
    <row r="372" spans="1:30">
      <c r="A372" s="189"/>
      <c r="B372" s="189"/>
      <c r="C372" s="189"/>
      <c r="D372" s="189"/>
      <c r="E372" s="189"/>
      <c r="F372" s="189"/>
      <c r="G372" s="189"/>
      <c r="H372" s="189"/>
      <c r="I372" s="338"/>
      <c r="J372" s="338"/>
      <c r="K372" s="338"/>
      <c r="L372" s="338"/>
      <c r="M372" s="338"/>
      <c r="N372" s="338"/>
      <c r="O372" s="338"/>
      <c r="P372" s="338"/>
      <c r="Q372" s="338"/>
      <c r="R372" s="338"/>
      <c r="S372" s="338"/>
      <c r="T372" s="230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</row>
    <row r="373" spans="1:30">
      <c r="A373" s="189"/>
      <c r="B373" s="189"/>
      <c r="C373" s="189"/>
      <c r="D373" s="189"/>
      <c r="E373" s="189"/>
      <c r="F373" s="189"/>
      <c r="G373" s="189"/>
      <c r="H373" s="189"/>
      <c r="I373" s="338"/>
      <c r="J373" s="338"/>
      <c r="K373" s="338"/>
      <c r="L373" s="338"/>
      <c r="M373" s="338"/>
      <c r="N373" s="338"/>
      <c r="O373" s="338"/>
      <c r="P373" s="338"/>
      <c r="Q373" s="338"/>
      <c r="R373" s="338"/>
      <c r="S373" s="338"/>
      <c r="T373" s="230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</row>
    <row r="374" spans="1:30">
      <c r="A374" s="189"/>
      <c r="B374" s="189"/>
      <c r="C374" s="189"/>
      <c r="D374" s="189"/>
      <c r="E374" s="189"/>
      <c r="F374" s="189"/>
      <c r="G374" s="189"/>
      <c r="H374" s="189"/>
      <c r="I374" s="338"/>
      <c r="J374" s="338"/>
      <c r="K374" s="338"/>
      <c r="L374" s="338"/>
      <c r="M374" s="338"/>
      <c r="N374" s="338"/>
      <c r="O374" s="338"/>
      <c r="P374" s="338"/>
      <c r="Q374" s="338"/>
      <c r="R374" s="338"/>
      <c r="S374" s="338"/>
      <c r="T374" s="230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</row>
    <row r="375" spans="1:30">
      <c r="A375" s="189"/>
      <c r="B375" s="189"/>
      <c r="C375" s="189"/>
      <c r="D375" s="189"/>
      <c r="E375" s="189"/>
      <c r="F375" s="189"/>
      <c r="G375" s="189"/>
      <c r="H375" s="189"/>
      <c r="I375" s="338"/>
      <c r="J375" s="338"/>
      <c r="K375" s="338"/>
      <c r="L375" s="338"/>
      <c r="M375" s="338"/>
      <c r="N375" s="338"/>
      <c r="O375" s="338"/>
      <c r="P375" s="338"/>
      <c r="Q375" s="338"/>
      <c r="R375" s="338"/>
      <c r="S375" s="338"/>
      <c r="T375" s="230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</row>
    <row r="376" spans="1:30">
      <c r="A376" s="189"/>
      <c r="B376" s="189"/>
      <c r="C376" s="189"/>
      <c r="D376" s="189"/>
      <c r="E376" s="189"/>
      <c r="F376" s="189"/>
      <c r="G376" s="189"/>
      <c r="H376" s="189"/>
      <c r="I376" s="338"/>
      <c r="J376" s="338"/>
      <c r="K376" s="338"/>
      <c r="L376" s="338"/>
      <c r="M376" s="338"/>
      <c r="N376" s="338"/>
      <c r="O376" s="338"/>
      <c r="P376" s="338"/>
      <c r="Q376" s="338"/>
      <c r="R376" s="338"/>
      <c r="S376" s="338"/>
      <c r="T376" s="230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</row>
    <row r="377" spans="1:30">
      <c r="A377" s="189"/>
      <c r="B377" s="189"/>
      <c r="C377" s="189"/>
      <c r="D377" s="189"/>
      <c r="E377" s="189"/>
      <c r="F377" s="189"/>
      <c r="G377" s="189"/>
      <c r="H377" s="189"/>
      <c r="I377" s="338"/>
      <c r="J377" s="338"/>
      <c r="K377" s="338"/>
      <c r="L377" s="338"/>
      <c r="M377" s="338"/>
      <c r="N377" s="338"/>
      <c r="O377" s="338"/>
      <c r="P377" s="338"/>
      <c r="Q377" s="338"/>
      <c r="R377" s="338"/>
      <c r="S377" s="338"/>
      <c r="T377" s="230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</row>
    <row r="378" spans="1:30">
      <c r="A378" s="189"/>
      <c r="B378" s="189"/>
      <c r="C378" s="189"/>
      <c r="D378" s="189"/>
      <c r="E378" s="189"/>
      <c r="F378" s="189"/>
      <c r="G378" s="189"/>
      <c r="H378" s="189"/>
      <c r="I378" s="338"/>
      <c r="J378" s="338"/>
      <c r="K378" s="338"/>
      <c r="L378" s="338"/>
      <c r="M378" s="338"/>
      <c r="N378" s="338"/>
      <c r="O378" s="338"/>
      <c r="P378" s="338"/>
      <c r="Q378" s="338"/>
      <c r="R378" s="338"/>
      <c r="S378" s="338"/>
      <c r="T378" s="230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</row>
    <row r="379" spans="1:30">
      <c r="A379" s="189"/>
      <c r="B379" s="189"/>
      <c r="C379" s="189"/>
      <c r="D379" s="189"/>
      <c r="E379" s="189"/>
      <c r="F379" s="189"/>
      <c r="G379" s="189"/>
      <c r="H379" s="189"/>
      <c r="I379" s="338"/>
      <c r="J379" s="338"/>
      <c r="K379" s="338"/>
      <c r="L379" s="338"/>
      <c r="M379" s="338"/>
      <c r="N379" s="338"/>
      <c r="O379" s="338"/>
      <c r="P379" s="338"/>
      <c r="Q379" s="338"/>
      <c r="R379" s="338"/>
      <c r="S379" s="338"/>
      <c r="T379" s="230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</row>
    <row r="380" spans="1:30">
      <c r="A380" s="189"/>
      <c r="B380" s="189"/>
      <c r="C380" s="189"/>
      <c r="D380" s="189"/>
      <c r="E380" s="189"/>
      <c r="F380" s="189"/>
      <c r="G380" s="189"/>
      <c r="H380" s="189"/>
      <c r="I380" s="338"/>
      <c r="J380" s="338"/>
      <c r="K380" s="338"/>
      <c r="L380" s="338"/>
      <c r="M380" s="338"/>
      <c r="N380" s="338"/>
      <c r="O380" s="338"/>
      <c r="P380" s="338"/>
      <c r="Q380" s="338"/>
      <c r="R380" s="338"/>
      <c r="S380" s="338"/>
      <c r="T380" s="230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</row>
    <row r="381" spans="1:30">
      <c r="A381" s="189"/>
      <c r="B381" s="189"/>
      <c r="C381" s="189"/>
      <c r="D381" s="189"/>
      <c r="E381" s="189"/>
      <c r="F381" s="189"/>
      <c r="G381" s="189"/>
      <c r="H381" s="189"/>
      <c r="I381" s="338"/>
      <c r="J381" s="338"/>
      <c r="K381" s="338"/>
      <c r="L381" s="338"/>
      <c r="M381" s="338"/>
      <c r="N381" s="338"/>
      <c r="O381" s="338"/>
      <c r="P381" s="338"/>
      <c r="Q381" s="338"/>
      <c r="R381" s="338"/>
      <c r="S381" s="338"/>
      <c r="T381" s="230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</row>
    <row r="382" spans="1:30">
      <c r="A382" s="189"/>
      <c r="B382" s="189"/>
      <c r="C382" s="189"/>
      <c r="D382" s="189"/>
      <c r="E382" s="189"/>
      <c r="F382" s="189"/>
      <c r="G382" s="189"/>
      <c r="H382" s="189"/>
      <c r="I382" s="338"/>
      <c r="J382" s="338"/>
      <c r="K382" s="338"/>
      <c r="L382" s="338"/>
      <c r="M382" s="338"/>
      <c r="N382" s="338"/>
      <c r="O382" s="338"/>
      <c r="P382" s="338"/>
      <c r="Q382" s="338"/>
      <c r="R382" s="338"/>
      <c r="S382" s="338"/>
      <c r="T382" s="230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</row>
    <row r="383" spans="1:30">
      <c r="A383" s="189"/>
      <c r="B383" s="189"/>
      <c r="C383" s="189"/>
      <c r="D383" s="189"/>
      <c r="E383" s="189"/>
      <c r="F383" s="189"/>
      <c r="G383" s="189"/>
      <c r="H383" s="189"/>
      <c r="I383" s="338"/>
      <c r="J383" s="338"/>
      <c r="K383" s="338"/>
      <c r="L383" s="338"/>
      <c r="M383" s="338"/>
      <c r="N383" s="338"/>
      <c r="O383" s="338"/>
      <c r="P383" s="338"/>
      <c r="Q383" s="338"/>
      <c r="R383" s="338"/>
      <c r="S383" s="338"/>
      <c r="T383" s="230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</row>
    <row r="384" spans="1:30">
      <c r="A384" s="189"/>
      <c r="B384" s="189"/>
      <c r="C384" s="189"/>
      <c r="D384" s="189"/>
      <c r="E384" s="189"/>
      <c r="F384" s="189"/>
      <c r="G384" s="189"/>
      <c r="H384" s="189"/>
      <c r="I384" s="338"/>
      <c r="J384" s="338"/>
      <c r="K384" s="338"/>
      <c r="L384" s="338"/>
      <c r="M384" s="338"/>
      <c r="N384" s="338"/>
      <c r="O384" s="338"/>
      <c r="P384" s="338"/>
      <c r="Q384" s="338"/>
      <c r="R384" s="338"/>
      <c r="S384" s="338"/>
      <c r="T384" s="230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</row>
    <row r="385" spans="1:30">
      <c r="A385" s="189"/>
      <c r="B385" s="189"/>
      <c r="C385" s="189"/>
      <c r="D385" s="189"/>
      <c r="E385" s="189"/>
      <c r="F385" s="189"/>
      <c r="G385" s="189"/>
      <c r="H385" s="189"/>
      <c r="I385" s="338"/>
      <c r="J385" s="338"/>
      <c r="K385" s="338"/>
      <c r="L385" s="338"/>
      <c r="M385" s="338"/>
      <c r="N385" s="338"/>
      <c r="O385" s="338"/>
      <c r="P385" s="338"/>
      <c r="Q385" s="338"/>
      <c r="R385" s="338"/>
      <c r="S385" s="338"/>
      <c r="T385" s="230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</row>
    <row r="386" spans="1:30">
      <c r="A386" s="189"/>
      <c r="B386" s="189"/>
      <c r="C386" s="189"/>
      <c r="D386" s="189"/>
      <c r="E386" s="189"/>
      <c r="F386" s="189"/>
      <c r="G386" s="189"/>
      <c r="H386" s="189"/>
      <c r="I386" s="338"/>
      <c r="J386" s="338"/>
      <c r="K386" s="338"/>
      <c r="L386" s="338"/>
      <c r="M386" s="338"/>
      <c r="N386" s="338"/>
      <c r="O386" s="338"/>
      <c r="P386" s="338"/>
      <c r="Q386" s="338"/>
      <c r="R386" s="338"/>
      <c r="S386" s="338"/>
      <c r="T386" s="230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</row>
    <row r="387" spans="1:30">
      <c r="A387" s="189"/>
      <c r="B387" s="189"/>
      <c r="C387" s="189"/>
      <c r="D387" s="189"/>
      <c r="E387" s="189"/>
      <c r="F387" s="189"/>
      <c r="G387" s="189"/>
      <c r="H387" s="189"/>
      <c r="I387" s="338"/>
      <c r="J387" s="338"/>
      <c r="K387" s="338"/>
      <c r="L387" s="338"/>
      <c r="M387" s="338"/>
      <c r="N387" s="338"/>
      <c r="O387" s="338"/>
      <c r="P387" s="338"/>
      <c r="Q387" s="338"/>
      <c r="R387" s="338"/>
      <c r="S387" s="338"/>
      <c r="T387" s="230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</row>
    <row r="388" spans="1:30">
      <c r="A388" s="189"/>
      <c r="B388" s="189"/>
      <c r="C388" s="189"/>
      <c r="D388" s="189"/>
      <c r="E388" s="189"/>
      <c r="F388" s="189"/>
      <c r="G388" s="189"/>
      <c r="H388" s="189"/>
      <c r="I388" s="338"/>
      <c r="J388" s="338"/>
      <c r="K388" s="338"/>
      <c r="L388" s="338"/>
      <c r="M388" s="338"/>
      <c r="N388" s="338"/>
      <c r="O388" s="338"/>
      <c r="P388" s="338"/>
      <c r="Q388" s="338"/>
      <c r="R388" s="338"/>
      <c r="S388" s="338"/>
      <c r="T388" s="230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</row>
    <row r="389" spans="1:30">
      <c r="A389" s="189"/>
      <c r="B389" s="189"/>
      <c r="C389" s="189"/>
      <c r="D389" s="189"/>
      <c r="E389" s="189"/>
      <c r="F389" s="189"/>
      <c r="G389" s="189"/>
      <c r="H389" s="189"/>
      <c r="I389" s="338"/>
      <c r="J389" s="338"/>
      <c r="K389" s="338"/>
      <c r="L389" s="338"/>
      <c r="M389" s="338"/>
      <c r="N389" s="338"/>
      <c r="O389" s="338"/>
      <c r="P389" s="338"/>
      <c r="Q389" s="338"/>
      <c r="R389" s="338"/>
      <c r="S389" s="338"/>
      <c r="T389" s="230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</row>
    <row r="390" spans="1:30">
      <c r="A390" s="189"/>
      <c r="B390" s="189"/>
      <c r="C390" s="189"/>
      <c r="D390" s="189"/>
      <c r="E390" s="189"/>
      <c r="F390" s="189"/>
      <c r="G390" s="189"/>
      <c r="H390" s="189"/>
      <c r="I390" s="338"/>
      <c r="J390" s="338"/>
      <c r="K390" s="338"/>
      <c r="L390" s="338"/>
      <c r="M390" s="338"/>
      <c r="N390" s="338"/>
      <c r="O390" s="338"/>
      <c r="P390" s="338"/>
      <c r="Q390" s="338"/>
      <c r="R390" s="338"/>
      <c r="S390" s="338"/>
      <c r="T390" s="230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</row>
    <row r="391" spans="1:30">
      <c r="A391" s="189"/>
      <c r="B391" s="189"/>
      <c r="C391" s="189"/>
      <c r="D391" s="189"/>
      <c r="E391" s="189"/>
      <c r="F391" s="189"/>
      <c r="G391" s="189"/>
      <c r="H391" s="189"/>
      <c r="I391" s="338"/>
      <c r="J391" s="338"/>
      <c r="K391" s="338"/>
      <c r="L391" s="338"/>
      <c r="M391" s="338"/>
      <c r="N391" s="338"/>
      <c r="O391" s="338"/>
      <c r="P391" s="338"/>
      <c r="Q391" s="338"/>
      <c r="R391" s="338"/>
      <c r="S391" s="338"/>
      <c r="T391" s="230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</row>
    <row r="392" spans="1:30">
      <c r="A392" s="189"/>
      <c r="B392" s="189"/>
      <c r="C392" s="189"/>
      <c r="D392" s="189"/>
      <c r="E392" s="189"/>
      <c r="F392" s="189"/>
      <c r="G392" s="189"/>
      <c r="H392" s="189"/>
      <c r="I392" s="338"/>
      <c r="J392" s="338"/>
      <c r="K392" s="338"/>
      <c r="L392" s="338"/>
      <c r="M392" s="338"/>
      <c r="N392" s="338"/>
      <c r="O392" s="338"/>
      <c r="P392" s="338"/>
      <c r="Q392" s="338"/>
      <c r="R392" s="338"/>
      <c r="S392" s="338"/>
      <c r="T392" s="230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</row>
    <row r="393" spans="1:30">
      <c r="A393" s="189"/>
      <c r="B393" s="189"/>
      <c r="C393" s="189"/>
      <c r="D393" s="189"/>
      <c r="E393" s="189"/>
      <c r="F393" s="189"/>
      <c r="G393" s="189"/>
      <c r="H393" s="189"/>
      <c r="I393" s="338"/>
      <c r="J393" s="338"/>
      <c r="K393" s="338"/>
      <c r="L393" s="338"/>
      <c r="M393" s="338"/>
      <c r="N393" s="338"/>
      <c r="O393" s="338"/>
      <c r="P393" s="338"/>
      <c r="Q393" s="338"/>
      <c r="R393" s="338"/>
      <c r="S393" s="338"/>
      <c r="T393" s="230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</row>
    <row r="394" spans="1:30">
      <c r="A394" s="189"/>
      <c r="B394" s="189"/>
      <c r="C394" s="189"/>
      <c r="D394" s="189"/>
      <c r="E394" s="189"/>
      <c r="F394" s="189"/>
      <c r="G394" s="189"/>
      <c r="H394" s="189"/>
      <c r="I394" s="338"/>
      <c r="J394" s="338"/>
      <c r="K394" s="338"/>
      <c r="L394" s="338"/>
      <c r="M394" s="338"/>
      <c r="N394" s="338"/>
      <c r="O394" s="338"/>
      <c r="P394" s="338"/>
      <c r="Q394" s="338"/>
      <c r="R394" s="338"/>
      <c r="S394" s="338"/>
      <c r="T394" s="230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</row>
    <row r="395" spans="1:30">
      <c r="A395" s="189"/>
      <c r="B395" s="189"/>
      <c r="C395" s="189"/>
      <c r="D395" s="189"/>
      <c r="E395" s="189"/>
      <c r="F395" s="189"/>
      <c r="G395" s="189"/>
      <c r="H395" s="189"/>
      <c r="I395" s="338"/>
      <c r="J395" s="338"/>
      <c r="K395" s="338"/>
      <c r="L395" s="338"/>
      <c r="M395" s="338"/>
      <c r="N395" s="338"/>
      <c r="O395" s="338"/>
      <c r="P395" s="338"/>
      <c r="Q395" s="338"/>
      <c r="R395" s="338"/>
      <c r="S395" s="338"/>
      <c r="T395" s="230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</row>
    <row r="396" spans="1:30">
      <c r="A396" s="189"/>
      <c r="B396" s="189"/>
      <c r="C396" s="189"/>
      <c r="D396" s="189"/>
      <c r="E396" s="189"/>
      <c r="F396" s="189"/>
      <c r="G396" s="189"/>
      <c r="H396" s="189"/>
      <c r="I396" s="338"/>
      <c r="J396" s="338"/>
      <c r="K396" s="338"/>
      <c r="L396" s="338"/>
      <c r="M396" s="338"/>
      <c r="N396" s="338"/>
      <c r="O396" s="338"/>
      <c r="P396" s="338"/>
      <c r="Q396" s="338"/>
      <c r="R396" s="338"/>
      <c r="S396" s="338"/>
      <c r="T396" s="230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</row>
    <row r="397" spans="1:30">
      <c r="A397" s="189"/>
      <c r="B397" s="189"/>
      <c r="C397" s="189"/>
      <c r="D397" s="189"/>
      <c r="E397" s="189"/>
      <c r="F397" s="189"/>
      <c r="G397" s="189"/>
      <c r="H397" s="189"/>
      <c r="I397" s="338"/>
      <c r="J397" s="338"/>
      <c r="K397" s="338"/>
      <c r="L397" s="338"/>
      <c r="M397" s="338"/>
      <c r="N397" s="338"/>
      <c r="O397" s="338"/>
      <c r="P397" s="338"/>
      <c r="Q397" s="338"/>
      <c r="R397" s="338"/>
      <c r="S397" s="338"/>
      <c r="T397" s="230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</row>
    <row r="398" spans="1:30">
      <c r="A398" s="189"/>
      <c r="B398" s="189"/>
      <c r="C398" s="189"/>
      <c r="D398" s="189"/>
      <c r="E398" s="189"/>
      <c r="F398" s="189"/>
      <c r="G398" s="189"/>
      <c r="H398" s="189"/>
      <c r="I398" s="338"/>
      <c r="J398" s="338"/>
      <c r="K398" s="338"/>
      <c r="L398" s="338"/>
      <c r="M398" s="338"/>
      <c r="N398" s="338"/>
      <c r="O398" s="338"/>
      <c r="P398" s="338"/>
      <c r="Q398" s="338"/>
      <c r="R398" s="338"/>
      <c r="S398" s="338"/>
      <c r="T398" s="230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</row>
    <row r="399" spans="1:30">
      <c r="A399" s="189"/>
      <c r="B399" s="189"/>
      <c r="C399" s="189"/>
      <c r="D399" s="189"/>
      <c r="E399" s="189"/>
      <c r="F399" s="189"/>
      <c r="G399" s="189"/>
      <c r="H399" s="189"/>
      <c r="I399" s="338"/>
      <c r="J399" s="338"/>
      <c r="K399" s="338"/>
      <c r="L399" s="338"/>
      <c r="M399" s="338"/>
      <c r="N399" s="338"/>
      <c r="O399" s="338"/>
      <c r="P399" s="338"/>
      <c r="Q399" s="338"/>
      <c r="R399" s="338"/>
      <c r="S399" s="338"/>
      <c r="T399" s="230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</row>
    <row r="400" spans="1:30">
      <c r="A400" s="189"/>
      <c r="B400" s="189"/>
      <c r="C400" s="189"/>
      <c r="D400" s="189"/>
      <c r="E400" s="189"/>
      <c r="F400" s="189"/>
      <c r="G400" s="189"/>
      <c r="H400" s="189"/>
      <c r="I400" s="338"/>
      <c r="J400" s="338"/>
      <c r="K400" s="338"/>
      <c r="L400" s="338"/>
      <c r="M400" s="338"/>
      <c r="N400" s="338"/>
      <c r="O400" s="338"/>
      <c r="P400" s="338"/>
      <c r="Q400" s="338"/>
      <c r="R400" s="338"/>
      <c r="S400" s="338"/>
      <c r="T400" s="230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</row>
    <row r="401" spans="1:30">
      <c r="A401" s="189"/>
      <c r="B401" s="189"/>
      <c r="C401" s="189"/>
      <c r="D401" s="189"/>
      <c r="E401" s="189"/>
      <c r="F401" s="189"/>
      <c r="G401" s="189"/>
      <c r="H401" s="189"/>
      <c r="I401" s="338"/>
      <c r="J401" s="338"/>
      <c r="K401" s="338"/>
      <c r="L401" s="338"/>
      <c r="M401" s="338"/>
      <c r="N401" s="338"/>
      <c r="O401" s="338"/>
      <c r="P401" s="338"/>
      <c r="Q401" s="338"/>
      <c r="R401" s="338"/>
      <c r="S401" s="338"/>
      <c r="T401" s="230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</row>
    <row r="402" spans="1:30">
      <c r="A402" s="189"/>
      <c r="B402" s="189"/>
      <c r="C402" s="189"/>
      <c r="D402" s="189"/>
      <c r="E402" s="189"/>
      <c r="F402" s="189"/>
      <c r="G402" s="189"/>
      <c r="H402" s="189"/>
      <c r="I402" s="338"/>
      <c r="J402" s="338"/>
      <c r="K402" s="338"/>
      <c r="L402" s="338"/>
      <c r="M402" s="338"/>
      <c r="N402" s="338"/>
      <c r="O402" s="338"/>
      <c r="P402" s="338"/>
      <c r="Q402" s="338"/>
      <c r="R402" s="338"/>
      <c r="S402" s="338"/>
      <c r="T402" s="230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</row>
    <row r="403" spans="1:30">
      <c r="A403" s="189"/>
      <c r="B403" s="189"/>
      <c r="C403" s="189"/>
      <c r="D403" s="189"/>
      <c r="E403" s="189"/>
      <c r="F403" s="189"/>
      <c r="G403" s="189"/>
      <c r="H403" s="189"/>
      <c r="I403" s="338"/>
      <c r="J403" s="338"/>
      <c r="K403" s="338"/>
      <c r="L403" s="338"/>
      <c r="M403" s="338"/>
      <c r="N403" s="338"/>
      <c r="O403" s="338"/>
      <c r="P403" s="338"/>
      <c r="Q403" s="338"/>
      <c r="R403" s="338"/>
      <c r="S403" s="338"/>
      <c r="T403" s="230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</row>
    <row r="404" spans="1:30">
      <c r="A404" s="189"/>
      <c r="B404" s="189"/>
      <c r="C404" s="189"/>
      <c r="D404" s="189"/>
      <c r="E404" s="189"/>
      <c r="F404" s="189"/>
      <c r="G404" s="189"/>
      <c r="H404" s="189"/>
      <c r="I404" s="338"/>
      <c r="J404" s="338"/>
      <c r="K404" s="338"/>
      <c r="L404" s="338"/>
      <c r="M404" s="338"/>
      <c r="N404" s="338"/>
      <c r="O404" s="338"/>
      <c r="P404" s="338"/>
      <c r="Q404" s="338"/>
      <c r="R404" s="338"/>
      <c r="S404" s="338"/>
      <c r="T404" s="230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</row>
    <row r="405" spans="1:30">
      <c r="A405" s="189"/>
      <c r="B405" s="189"/>
      <c r="C405" s="189"/>
      <c r="D405" s="189"/>
      <c r="E405" s="189"/>
      <c r="F405" s="189"/>
      <c r="G405" s="189"/>
      <c r="H405" s="189"/>
      <c r="I405" s="338"/>
      <c r="J405" s="338"/>
      <c r="K405" s="338"/>
      <c r="L405" s="338"/>
      <c r="M405" s="338"/>
      <c r="N405" s="338"/>
      <c r="O405" s="338"/>
      <c r="P405" s="338"/>
      <c r="Q405" s="338"/>
      <c r="R405" s="338"/>
      <c r="S405" s="338"/>
      <c r="T405" s="230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</row>
    <row r="406" spans="1:30">
      <c r="A406" s="189"/>
      <c r="B406" s="189"/>
      <c r="C406" s="189"/>
      <c r="D406" s="189"/>
      <c r="E406" s="189"/>
      <c r="F406" s="189"/>
      <c r="G406" s="189"/>
      <c r="H406" s="189"/>
      <c r="I406" s="338"/>
      <c r="J406" s="338"/>
      <c r="K406" s="338"/>
      <c r="L406" s="338"/>
      <c r="M406" s="338"/>
      <c r="N406" s="338"/>
      <c r="O406" s="338"/>
      <c r="P406" s="338"/>
      <c r="Q406" s="338"/>
      <c r="R406" s="338"/>
      <c r="S406" s="338"/>
      <c r="T406" s="230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</row>
    <row r="407" spans="1:30">
      <c r="A407" s="189"/>
      <c r="B407" s="189"/>
      <c r="C407" s="189"/>
      <c r="D407" s="189"/>
      <c r="E407" s="189"/>
      <c r="F407" s="189"/>
      <c r="G407" s="189"/>
      <c r="H407" s="189"/>
      <c r="I407" s="338"/>
      <c r="J407" s="338"/>
      <c r="K407" s="338"/>
      <c r="L407" s="338"/>
      <c r="M407" s="338"/>
      <c r="N407" s="338"/>
      <c r="O407" s="338"/>
      <c r="P407" s="338"/>
      <c r="Q407" s="338"/>
      <c r="R407" s="338"/>
      <c r="S407" s="338"/>
      <c r="T407" s="230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</row>
    <row r="408" spans="1:30">
      <c r="A408" s="189"/>
      <c r="B408" s="189"/>
      <c r="C408" s="189"/>
      <c r="D408" s="189"/>
      <c r="E408" s="189"/>
      <c r="F408" s="189"/>
      <c r="G408" s="189"/>
      <c r="H408" s="189"/>
      <c r="I408" s="338"/>
      <c r="J408" s="338"/>
      <c r="K408" s="338"/>
      <c r="L408" s="338"/>
      <c r="M408" s="338"/>
      <c r="N408" s="338"/>
      <c r="O408" s="338"/>
      <c r="P408" s="338"/>
      <c r="Q408" s="338"/>
      <c r="R408" s="338"/>
      <c r="S408" s="338"/>
      <c r="T408" s="230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</row>
    <row r="409" spans="1:30">
      <c r="A409" s="189"/>
      <c r="B409" s="189"/>
      <c r="C409" s="189"/>
      <c r="D409" s="189"/>
      <c r="E409" s="189"/>
      <c r="F409" s="189"/>
      <c r="G409" s="189"/>
      <c r="H409" s="189"/>
      <c r="I409" s="338"/>
      <c r="J409" s="338"/>
      <c r="K409" s="338"/>
      <c r="L409" s="338"/>
      <c r="M409" s="338"/>
      <c r="N409" s="338"/>
      <c r="O409" s="338"/>
      <c r="P409" s="338"/>
      <c r="Q409" s="338"/>
      <c r="R409" s="338"/>
      <c r="S409" s="338"/>
      <c r="T409" s="230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</row>
    <row r="410" spans="1:30">
      <c r="A410" s="189"/>
      <c r="B410" s="189"/>
      <c r="C410" s="189"/>
      <c r="D410" s="189"/>
      <c r="E410" s="189"/>
      <c r="F410" s="189"/>
      <c r="G410" s="189"/>
      <c r="H410" s="189"/>
      <c r="I410" s="338"/>
      <c r="J410" s="338"/>
      <c r="K410" s="338"/>
      <c r="L410" s="338"/>
      <c r="M410" s="338"/>
      <c r="N410" s="338"/>
      <c r="O410" s="338"/>
      <c r="P410" s="338"/>
      <c r="Q410" s="338"/>
      <c r="R410" s="338"/>
      <c r="S410" s="338"/>
      <c r="T410" s="230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</row>
    <row r="411" spans="1:30">
      <c r="A411" s="189"/>
      <c r="B411" s="189"/>
      <c r="C411" s="189"/>
      <c r="D411" s="189"/>
      <c r="E411" s="189"/>
      <c r="F411" s="189"/>
      <c r="G411" s="189"/>
      <c r="H411" s="189"/>
      <c r="I411" s="338"/>
      <c r="J411" s="338"/>
      <c r="K411" s="338"/>
      <c r="L411" s="338"/>
      <c r="M411" s="338"/>
      <c r="N411" s="338"/>
      <c r="O411" s="338"/>
      <c r="P411" s="338"/>
      <c r="Q411" s="338"/>
      <c r="R411" s="338"/>
      <c r="S411" s="338"/>
      <c r="T411" s="230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</row>
    <row r="412" spans="1:30">
      <c r="A412" s="189"/>
      <c r="B412" s="189"/>
      <c r="C412" s="189"/>
      <c r="D412" s="189"/>
      <c r="E412" s="189"/>
      <c r="F412" s="189"/>
      <c r="G412" s="189"/>
      <c r="H412" s="189"/>
      <c r="I412" s="338"/>
      <c r="J412" s="338"/>
      <c r="K412" s="338"/>
      <c r="L412" s="338"/>
      <c r="M412" s="338"/>
      <c r="N412" s="338"/>
      <c r="O412" s="338"/>
      <c r="P412" s="338"/>
      <c r="Q412" s="338"/>
      <c r="R412" s="338"/>
      <c r="S412" s="338"/>
      <c r="T412" s="230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</row>
    <row r="413" spans="1:30">
      <c r="A413" s="189"/>
      <c r="B413" s="189"/>
      <c r="C413" s="189"/>
      <c r="D413" s="189"/>
      <c r="E413" s="189"/>
      <c r="F413" s="189"/>
      <c r="G413" s="189"/>
      <c r="H413" s="189"/>
      <c r="I413" s="338"/>
      <c r="J413" s="338"/>
      <c r="K413" s="338"/>
      <c r="L413" s="338"/>
      <c r="M413" s="338"/>
      <c r="N413" s="338"/>
      <c r="O413" s="338"/>
      <c r="P413" s="338"/>
      <c r="Q413" s="338"/>
      <c r="R413" s="338"/>
      <c r="S413" s="338"/>
      <c r="T413" s="230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</row>
    <row r="414" spans="1:30">
      <c r="A414" s="189"/>
      <c r="B414" s="189"/>
      <c r="C414" s="189"/>
      <c r="D414" s="189"/>
      <c r="E414" s="189"/>
      <c r="F414" s="189"/>
      <c r="G414" s="189"/>
      <c r="H414" s="189"/>
      <c r="I414" s="338"/>
      <c r="J414" s="338"/>
      <c r="K414" s="338"/>
      <c r="L414" s="338"/>
      <c r="M414" s="338"/>
      <c r="N414" s="338"/>
      <c r="O414" s="338"/>
      <c r="P414" s="338"/>
      <c r="Q414" s="338"/>
      <c r="R414" s="338"/>
      <c r="S414" s="338"/>
      <c r="T414" s="230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</row>
    <row r="415" spans="1:30">
      <c r="A415" s="189"/>
      <c r="B415" s="189"/>
      <c r="C415" s="189"/>
      <c r="D415" s="189"/>
      <c r="E415" s="189"/>
      <c r="F415" s="189"/>
      <c r="G415" s="189"/>
      <c r="H415" s="189"/>
      <c r="I415" s="338"/>
      <c r="J415" s="338"/>
      <c r="K415" s="338"/>
      <c r="L415" s="338"/>
      <c r="M415" s="338"/>
      <c r="N415" s="338"/>
      <c r="O415" s="338"/>
      <c r="P415" s="338"/>
      <c r="Q415" s="338"/>
      <c r="R415" s="338"/>
      <c r="S415" s="338"/>
      <c r="T415" s="230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</row>
    <row r="416" spans="1:30">
      <c r="A416" s="189"/>
      <c r="B416" s="189"/>
      <c r="C416" s="189"/>
      <c r="D416" s="189"/>
      <c r="E416" s="189"/>
      <c r="F416" s="189"/>
      <c r="G416" s="189"/>
      <c r="H416" s="189"/>
      <c r="I416" s="338"/>
      <c r="J416" s="338"/>
      <c r="K416" s="338"/>
      <c r="L416" s="338"/>
      <c r="M416" s="338"/>
      <c r="N416" s="338"/>
      <c r="O416" s="338"/>
      <c r="P416" s="338"/>
      <c r="Q416" s="338"/>
      <c r="R416" s="338"/>
      <c r="S416" s="338"/>
      <c r="T416" s="230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</row>
    <row r="417" spans="1:30">
      <c r="A417" s="189"/>
      <c r="B417" s="189"/>
      <c r="C417" s="189"/>
      <c r="D417" s="189"/>
      <c r="E417" s="189"/>
      <c r="F417" s="189"/>
      <c r="G417" s="189"/>
      <c r="H417" s="189"/>
      <c r="I417" s="338"/>
      <c r="J417" s="338"/>
      <c r="K417" s="338"/>
      <c r="L417" s="338"/>
      <c r="M417" s="338"/>
      <c r="N417" s="338"/>
      <c r="O417" s="338"/>
      <c r="P417" s="338"/>
      <c r="Q417" s="338"/>
      <c r="R417" s="338"/>
      <c r="S417" s="338"/>
      <c r="T417" s="230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</row>
    <row r="418" spans="1:30">
      <c r="A418" s="189"/>
      <c r="B418" s="189"/>
      <c r="C418" s="189"/>
      <c r="D418" s="189"/>
      <c r="E418" s="189"/>
      <c r="F418" s="189"/>
      <c r="G418" s="189"/>
      <c r="H418" s="189"/>
      <c r="I418" s="338"/>
      <c r="J418" s="338"/>
      <c r="K418" s="338"/>
      <c r="L418" s="338"/>
      <c r="M418" s="338"/>
      <c r="N418" s="338"/>
      <c r="O418" s="338"/>
      <c r="P418" s="338"/>
      <c r="Q418" s="338"/>
      <c r="R418" s="338"/>
      <c r="S418" s="338"/>
      <c r="T418" s="230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</row>
    <row r="419" spans="1:30">
      <c r="A419" s="189"/>
      <c r="B419" s="189"/>
      <c r="C419" s="189"/>
      <c r="D419" s="189"/>
      <c r="E419" s="189"/>
      <c r="F419" s="189"/>
      <c r="G419" s="189"/>
      <c r="H419" s="189"/>
      <c r="I419" s="338"/>
      <c r="J419" s="338"/>
      <c r="K419" s="338"/>
      <c r="L419" s="338"/>
      <c r="M419" s="338"/>
      <c r="N419" s="338"/>
      <c r="O419" s="338"/>
      <c r="P419" s="338"/>
      <c r="Q419" s="338"/>
      <c r="R419" s="338"/>
      <c r="S419" s="338"/>
      <c r="T419" s="230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</row>
    <row r="420" spans="1:30">
      <c r="A420" s="189"/>
      <c r="B420" s="189"/>
      <c r="C420" s="189"/>
      <c r="D420" s="189"/>
      <c r="E420" s="189"/>
      <c r="F420" s="189"/>
      <c r="G420" s="189"/>
      <c r="H420" s="189"/>
      <c r="I420" s="338"/>
      <c r="J420" s="338"/>
      <c r="K420" s="338"/>
      <c r="L420" s="338"/>
      <c r="M420" s="338"/>
      <c r="N420" s="338"/>
      <c r="O420" s="338"/>
      <c r="P420" s="338"/>
      <c r="Q420" s="338"/>
      <c r="R420" s="338"/>
      <c r="S420" s="338"/>
      <c r="T420" s="230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</row>
    <row r="421" spans="1:30">
      <c r="A421" s="189"/>
      <c r="B421" s="189"/>
      <c r="C421" s="189"/>
      <c r="D421" s="189"/>
      <c r="E421" s="189"/>
      <c r="F421" s="189"/>
      <c r="G421" s="189"/>
      <c r="H421" s="189"/>
      <c r="I421" s="338"/>
      <c r="J421" s="338"/>
      <c r="K421" s="338"/>
      <c r="L421" s="338"/>
      <c r="M421" s="338"/>
      <c r="N421" s="338"/>
      <c r="O421" s="338"/>
      <c r="P421" s="338"/>
      <c r="Q421" s="338"/>
      <c r="R421" s="338"/>
      <c r="S421" s="338"/>
      <c r="T421" s="230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</row>
    <row r="422" spans="1:30">
      <c r="A422" s="189"/>
      <c r="B422" s="189"/>
      <c r="C422" s="189"/>
      <c r="D422" s="189"/>
      <c r="E422" s="189"/>
      <c r="F422" s="189"/>
      <c r="G422" s="189"/>
      <c r="H422" s="189"/>
      <c r="I422" s="338"/>
      <c r="J422" s="338"/>
      <c r="K422" s="338"/>
      <c r="L422" s="338"/>
      <c r="M422" s="338"/>
      <c r="N422" s="338"/>
      <c r="O422" s="338"/>
      <c r="P422" s="338"/>
      <c r="Q422" s="338"/>
      <c r="R422" s="338"/>
      <c r="S422" s="338"/>
      <c r="T422" s="230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</row>
    <row r="423" spans="1:30">
      <c r="A423" s="189"/>
      <c r="B423" s="189"/>
      <c r="C423" s="189"/>
      <c r="D423" s="189"/>
      <c r="E423" s="189"/>
      <c r="F423" s="189"/>
      <c r="G423" s="189"/>
      <c r="H423" s="189"/>
      <c r="I423" s="338"/>
      <c r="J423" s="338"/>
      <c r="K423" s="338"/>
      <c r="L423" s="338"/>
      <c r="M423" s="338"/>
      <c r="N423" s="338"/>
      <c r="O423" s="338"/>
      <c r="P423" s="338"/>
      <c r="Q423" s="338"/>
      <c r="R423" s="338"/>
      <c r="S423" s="338"/>
      <c r="T423" s="230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</row>
    <row r="424" spans="1:30">
      <c r="A424" s="189"/>
      <c r="B424" s="189"/>
      <c r="C424" s="189"/>
      <c r="D424" s="189"/>
      <c r="E424" s="189"/>
      <c r="F424" s="189"/>
      <c r="G424" s="189"/>
      <c r="H424" s="189"/>
      <c r="I424" s="338"/>
      <c r="J424" s="338"/>
      <c r="K424" s="338"/>
      <c r="L424" s="338"/>
      <c r="M424" s="338"/>
      <c r="N424" s="338"/>
      <c r="O424" s="338"/>
      <c r="P424" s="338"/>
      <c r="Q424" s="338"/>
      <c r="R424" s="338"/>
      <c r="S424" s="338"/>
      <c r="T424" s="230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</row>
    <row r="425" spans="1:30">
      <c r="A425" s="189"/>
      <c r="B425" s="189"/>
      <c r="C425" s="189"/>
      <c r="D425" s="189"/>
      <c r="E425" s="189"/>
      <c r="F425" s="189"/>
      <c r="G425" s="189"/>
      <c r="H425" s="189"/>
      <c r="I425" s="338"/>
      <c r="J425" s="338"/>
      <c r="K425" s="338"/>
      <c r="L425" s="338"/>
      <c r="M425" s="338"/>
      <c r="N425" s="338"/>
      <c r="O425" s="338"/>
      <c r="P425" s="338"/>
      <c r="Q425" s="338"/>
      <c r="R425" s="338"/>
      <c r="S425" s="338"/>
      <c r="T425" s="230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</row>
    <row r="426" spans="1:30">
      <c r="A426" s="189"/>
      <c r="B426" s="189"/>
      <c r="C426" s="189"/>
      <c r="D426" s="189"/>
      <c r="E426" s="189"/>
      <c r="F426" s="189"/>
      <c r="G426" s="189"/>
      <c r="H426" s="189"/>
      <c r="I426" s="338"/>
      <c r="J426" s="338"/>
      <c r="K426" s="338"/>
      <c r="L426" s="338"/>
      <c r="M426" s="338"/>
      <c r="N426" s="338"/>
      <c r="O426" s="338"/>
      <c r="P426" s="338"/>
      <c r="Q426" s="338"/>
      <c r="R426" s="338"/>
      <c r="S426" s="338"/>
      <c r="T426" s="230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</row>
    <row r="427" spans="1:30">
      <c r="A427" s="189"/>
      <c r="B427" s="189"/>
      <c r="C427" s="189"/>
      <c r="D427" s="189"/>
      <c r="E427" s="189"/>
      <c r="F427" s="189"/>
      <c r="G427" s="189"/>
      <c r="H427" s="189"/>
      <c r="I427" s="338"/>
      <c r="J427" s="338"/>
      <c r="K427" s="338"/>
      <c r="L427" s="338"/>
      <c r="M427" s="338"/>
      <c r="N427" s="338"/>
      <c r="O427" s="338"/>
      <c r="P427" s="338"/>
      <c r="Q427" s="338"/>
      <c r="R427" s="338"/>
      <c r="S427" s="338"/>
      <c r="T427" s="230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</row>
    <row r="428" spans="1:30">
      <c r="A428" s="189"/>
      <c r="B428" s="189"/>
      <c r="C428" s="189"/>
      <c r="D428" s="189"/>
      <c r="E428" s="189"/>
      <c r="F428" s="189"/>
      <c r="G428" s="189"/>
      <c r="H428" s="189"/>
      <c r="I428" s="338"/>
      <c r="J428" s="338"/>
      <c r="K428" s="338"/>
      <c r="L428" s="338"/>
      <c r="M428" s="338"/>
      <c r="N428" s="338"/>
      <c r="O428" s="338"/>
      <c r="P428" s="338"/>
      <c r="Q428" s="338"/>
      <c r="R428" s="338"/>
      <c r="S428" s="338"/>
      <c r="T428" s="230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</row>
    <row r="429" spans="1:30">
      <c r="A429" s="189"/>
      <c r="B429" s="189"/>
      <c r="C429" s="189"/>
      <c r="D429" s="189"/>
      <c r="E429" s="189"/>
      <c r="F429" s="189"/>
      <c r="G429" s="189"/>
      <c r="H429" s="189"/>
      <c r="I429" s="338"/>
      <c r="J429" s="338"/>
      <c r="K429" s="338"/>
      <c r="L429" s="338"/>
      <c r="M429" s="338"/>
      <c r="N429" s="338"/>
      <c r="O429" s="338"/>
      <c r="P429" s="338"/>
      <c r="Q429" s="338"/>
      <c r="R429" s="338"/>
      <c r="S429" s="338"/>
      <c r="T429" s="230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</row>
    <row r="430" spans="1:30">
      <c r="A430" s="189"/>
      <c r="B430" s="189"/>
      <c r="C430" s="189"/>
      <c r="D430" s="189"/>
      <c r="E430" s="189"/>
      <c r="F430" s="189"/>
      <c r="G430" s="189"/>
      <c r="H430" s="189"/>
      <c r="I430" s="338"/>
      <c r="J430" s="338"/>
      <c r="K430" s="338"/>
      <c r="L430" s="338"/>
      <c r="M430" s="338"/>
      <c r="N430" s="338"/>
      <c r="O430" s="338"/>
      <c r="P430" s="338"/>
      <c r="Q430" s="338"/>
      <c r="R430" s="338"/>
      <c r="S430" s="338"/>
      <c r="T430" s="230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</row>
    <row r="431" spans="1:30">
      <c r="A431" s="189"/>
      <c r="B431" s="189"/>
      <c r="C431" s="189"/>
      <c r="D431" s="189"/>
      <c r="E431" s="189"/>
      <c r="F431" s="189"/>
      <c r="G431" s="189"/>
      <c r="H431" s="189"/>
      <c r="I431" s="338"/>
      <c r="J431" s="338"/>
      <c r="K431" s="338"/>
      <c r="L431" s="338"/>
      <c r="M431" s="338"/>
      <c r="N431" s="338"/>
      <c r="O431" s="338"/>
      <c r="P431" s="338"/>
      <c r="Q431" s="338"/>
      <c r="R431" s="338"/>
      <c r="S431" s="338"/>
      <c r="T431" s="230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</row>
    <row r="432" spans="1:30">
      <c r="A432" s="189"/>
      <c r="B432" s="189"/>
      <c r="C432" s="189"/>
      <c r="D432" s="189"/>
      <c r="E432" s="189"/>
      <c r="F432" s="189"/>
      <c r="G432" s="189"/>
      <c r="H432" s="189"/>
      <c r="I432" s="338"/>
      <c r="J432" s="338"/>
      <c r="K432" s="338"/>
      <c r="L432" s="338"/>
      <c r="M432" s="338"/>
      <c r="N432" s="338"/>
      <c r="O432" s="338"/>
      <c r="P432" s="338"/>
      <c r="Q432" s="338"/>
      <c r="R432" s="338"/>
      <c r="S432" s="338"/>
      <c r="T432" s="230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</row>
    <row r="433" spans="1:30">
      <c r="A433" s="189"/>
      <c r="B433" s="189"/>
      <c r="C433" s="189"/>
      <c r="D433" s="189"/>
      <c r="E433" s="189"/>
      <c r="F433" s="189"/>
      <c r="G433" s="189"/>
      <c r="H433" s="189"/>
      <c r="I433" s="338"/>
      <c r="J433" s="338"/>
      <c r="K433" s="338"/>
      <c r="L433" s="338"/>
      <c r="M433" s="338"/>
      <c r="N433" s="338"/>
      <c r="O433" s="338"/>
      <c r="P433" s="338"/>
      <c r="Q433" s="338"/>
      <c r="R433" s="338"/>
      <c r="S433" s="338"/>
      <c r="T433" s="230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</row>
    <row r="434" spans="1:30">
      <c r="A434" s="189"/>
      <c r="B434" s="189"/>
      <c r="C434" s="189"/>
      <c r="D434" s="189"/>
      <c r="E434" s="189"/>
      <c r="F434" s="189"/>
      <c r="G434" s="189"/>
      <c r="H434" s="189"/>
      <c r="I434" s="338"/>
      <c r="J434" s="338"/>
      <c r="K434" s="338"/>
      <c r="L434" s="338"/>
      <c r="M434" s="338"/>
      <c r="N434" s="338"/>
      <c r="O434" s="338"/>
      <c r="P434" s="338"/>
      <c r="Q434" s="338"/>
      <c r="R434" s="338"/>
      <c r="S434" s="338"/>
      <c r="T434" s="230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</row>
    <row r="435" spans="1:30">
      <c r="A435" s="189"/>
      <c r="B435" s="189"/>
      <c r="C435" s="189"/>
      <c r="D435" s="189"/>
      <c r="E435" s="189"/>
      <c r="F435" s="189"/>
      <c r="G435" s="189"/>
      <c r="H435" s="189"/>
      <c r="I435" s="338"/>
      <c r="J435" s="338"/>
      <c r="K435" s="338"/>
      <c r="L435" s="338"/>
      <c r="M435" s="338"/>
      <c r="N435" s="338"/>
      <c r="O435" s="338"/>
      <c r="P435" s="338"/>
      <c r="Q435" s="338"/>
      <c r="R435" s="338"/>
      <c r="S435" s="338"/>
      <c r="T435" s="230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</row>
    <row r="436" spans="1:30">
      <c r="A436" s="189"/>
      <c r="B436" s="189"/>
      <c r="C436" s="189"/>
      <c r="D436" s="189"/>
      <c r="E436" s="189"/>
      <c r="F436" s="189"/>
      <c r="G436" s="189"/>
      <c r="H436" s="189"/>
      <c r="I436" s="338"/>
      <c r="J436" s="338"/>
      <c r="K436" s="338"/>
      <c r="L436" s="338"/>
      <c r="M436" s="338"/>
      <c r="N436" s="338"/>
      <c r="O436" s="338"/>
      <c r="P436" s="338"/>
      <c r="Q436" s="338"/>
      <c r="R436" s="338"/>
      <c r="S436" s="338"/>
      <c r="T436" s="230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</row>
    <row r="437" spans="1:30">
      <c r="A437" s="189"/>
      <c r="B437" s="189"/>
      <c r="C437" s="189"/>
      <c r="D437" s="189"/>
      <c r="E437" s="189"/>
      <c r="F437" s="189"/>
      <c r="G437" s="189"/>
      <c r="H437" s="189"/>
      <c r="I437" s="338"/>
      <c r="J437" s="338"/>
      <c r="K437" s="338"/>
      <c r="L437" s="338"/>
      <c r="M437" s="338"/>
      <c r="N437" s="338"/>
      <c r="O437" s="338"/>
      <c r="P437" s="338"/>
      <c r="Q437" s="338"/>
      <c r="R437" s="338"/>
      <c r="S437" s="338"/>
      <c r="T437" s="230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</row>
    <row r="438" spans="1:30">
      <c r="A438" s="189"/>
      <c r="B438" s="189"/>
      <c r="C438" s="189"/>
      <c r="D438" s="189"/>
      <c r="E438" s="189"/>
      <c r="F438" s="189"/>
      <c r="G438" s="189"/>
      <c r="H438" s="189"/>
      <c r="I438" s="338"/>
      <c r="J438" s="338"/>
      <c r="K438" s="338"/>
      <c r="L438" s="338"/>
      <c r="M438" s="338"/>
      <c r="N438" s="338"/>
      <c r="O438" s="338"/>
      <c r="P438" s="338"/>
      <c r="Q438" s="338"/>
      <c r="R438" s="338"/>
      <c r="S438" s="338"/>
      <c r="T438" s="230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</row>
    <row r="439" spans="1:30">
      <c r="A439" s="189"/>
      <c r="B439" s="189"/>
      <c r="C439" s="189"/>
      <c r="D439" s="189"/>
      <c r="E439" s="189"/>
      <c r="F439" s="189"/>
      <c r="G439" s="189"/>
      <c r="H439" s="189"/>
      <c r="I439" s="338"/>
      <c r="J439" s="338"/>
      <c r="K439" s="338"/>
      <c r="L439" s="338"/>
      <c r="M439" s="338"/>
      <c r="N439" s="338"/>
      <c r="O439" s="338"/>
      <c r="P439" s="338"/>
      <c r="Q439" s="338"/>
      <c r="R439" s="338"/>
      <c r="S439" s="338"/>
      <c r="T439" s="230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</row>
    <row r="440" spans="1:30">
      <c r="A440" s="189"/>
      <c r="B440" s="189"/>
      <c r="C440" s="189"/>
      <c r="D440" s="189"/>
      <c r="E440" s="189"/>
      <c r="F440" s="189"/>
      <c r="G440" s="189"/>
      <c r="H440" s="189"/>
      <c r="I440" s="338"/>
      <c r="J440" s="338"/>
      <c r="K440" s="338"/>
      <c r="L440" s="338"/>
      <c r="M440" s="338"/>
      <c r="N440" s="338"/>
      <c r="O440" s="338"/>
      <c r="P440" s="338"/>
      <c r="Q440" s="338"/>
      <c r="R440" s="338"/>
      <c r="S440" s="338"/>
      <c r="T440" s="230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</row>
    <row r="441" spans="1:30">
      <c r="A441" s="189"/>
      <c r="B441" s="189"/>
      <c r="C441" s="189"/>
      <c r="D441" s="189"/>
      <c r="E441" s="189"/>
      <c r="F441" s="189"/>
      <c r="G441" s="189"/>
      <c r="H441" s="189"/>
      <c r="I441" s="338"/>
      <c r="J441" s="338"/>
      <c r="K441" s="338"/>
      <c r="L441" s="338"/>
      <c r="M441" s="338"/>
      <c r="N441" s="338"/>
      <c r="O441" s="338"/>
      <c r="P441" s="338"/>
      <c r="Q441" s="338"/>
      <c r="R441" s="338"/>
      <c r="S441" s="338"/>
      <c r="T441" s="230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</row>
    <row r="442" spans="1:30">
      <c r="A442" s="189"/>
      <c r="B442" s="189"/>
      <c r="C442" s="189"/>
      <c r="D442" s="189"/>
      <c r="E442" s="189"/>
      <c r="F442" s="189"/>
      <c r="G442" s="189"/>
      <c r="H442" s="189"/>
      <c r="I442" s="338"/>
      <c r="J442" s="338"/>
      <c r="K442" s="338"/>
      <c r="L442" s="338"/>
      <c r="M442" s="338"/>
      <c r="N442" s="338"/>
      <c r="O442" s="338"/>
      <c r="P442" s="338"/>
      <c r="Q442" s="338"/>
      <c r="R442" s="338"/>
      <c r="S442" s="338"/>
      <c r="T442" s="230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</row>
    <row r="443" spans="1:30">
      <c r="A443" s="189"/>
      <c r="B443" s="189"/>
      <c r="C443" s="189"/>
      <c r="D443" s="189"/>
      <c r="E443" s="189"/>
      <c r="F443" s="189"/>
      <c r="G443" s="189"/>
      <c r="H443" s="189"/>
      <c r="I443" s="338"/>
      <c r="J443" s="338"/>
      <c r="K443" s="338"/>
      <c r="L443" s="338"/>
      <c r="M443" s="338"/>
      <c r="N443" s="338"/>
      <c r="O443" s="338"/>
      <c r="P443" s="338"/>
      <c r="Q443" s="338"/>
      <c r="R443" s="338"/>
      <c r="S443" s="338"/>
      <c r="T443" s="230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</row>
    <row r="444" spans="1:30">
      <c r="A444" s="189"/>
      <c r="B444" s="189"/>
      <c r="C444" s="189"/>
      <c r="D444" s="189"/>
      <c r="E444" s="189"/>
      <c r="F444" s="189"/>
      <c r="G444" s="189"/>
      <c r="H444" s="189"/>
      <c r="I444" s="338"/>
      <c r="J444" s="338"/>
      <c r="K444" s="338"/>
      <c r="L444" s="338"/>
      <c r="M444" s="338"/>
      <c r="N444" s="338"/>
      <c r="O444" s="338"/>
      <c r="P444" s="338"/>
      <c r="Q444" s="338"/>
      <c r="R444" s="338"/>
      <c r="S444" s="338"/>
      <c r="T444" s="230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</row>
    <row r="445" spans="1:30">
      <c r="A445" s="189"/>
      <c r="B445" s="189"/>
      <c r="C445" s="189"/>
      <c r="D445" s="189"/>
      <c r="E445" s="189"/>
      <c r="F445" s="189"/>
      <c r="G445" s="189"/>
      <c r="H445" s="189"/>
      <c r="I445" s="338"/>
      <c r="J445" s="338"/>
      <c r="K445" s="338"/>
      <c r="L445" s="338"/>
      <c r="M445" s="338"/>
      <c r="N445" s="338"/>
      <c r="O445" s="338"/>
      <c r="P445" s="338"/>
      <c r="Q445" s="338"/>
      <c r="R445" s="338"/>
      <c r="S445" s="338"/>
      <c r="T445" s="230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</row>
    <row r="446" spans="1:30">
      <c r="A446" s="189"/>
      <c r="B446" s="189"/>
      <c r="C446" s="189"/>
      <c r="D446" s="189"/>
      <c r="E446" s="189"/>
      <c r="F446" s="189"/>
      <c r="G446" s="189"/>
      <c r="H446" s="189"/>
      <c r="I446" s="338"/>
      <c r="J446" s="338"/>
      <c r="K446" s="338"/>
      <c r="L446" s="338"/>
      <c r="M446" s="338"/>
      <c r="N446" s="338"/>
      <c r="O446" s="338"/>
      <c r="P446" s="338"/>
      <c r="Q446" s="338"/>
      <c r="R446" s="338"/>
      <c r="S446" s="338"/>
      <c r="T446" s="230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</row>
    <row r="447" spans="1:30">
      <c r="A447" s="189"/>
      <c r="B447" s="189"/>
      <c r="C447" s="189"/>
      <c r="D447" s="189"/>
      <c r="E447" s="189"/>
      <c r="F447" s="189"/>
      <c r="G447" s="189"/>
      <c r="H447" s="189"/>
      <c r="I447" s="338"/>
      <c r="J447" s="338"/>
      <c r="K447" s="338"/>
      <c r="L447" s="338"/>
      <c r="M447" s="338"/>
      <c r="N447" s="338"/>
      <c r="O447" s="338"/>
      <c r="P447" s="338"/>
      <c r="Q447" s="338"/>
      <c r="R447" s="338"/>
      <c r="S447" s="338"/>
      <c r="T447" s="230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</row>
    <row r="448" spans="1:30">
      <c r="A448" s="189"/>
      <c r="B448" s="189"/>
      <c r="C448" s="189"/>
      <c r="D448" s="189"/>
      <c r="E448" s="189"/>
      <c r="F448" s="189"/>
      <c r="G448" s="189"/>
      <c r="H448" s="189"/>
      <c r="I448" s="338"/>
      <c r="J448" s="338"/>
      <c r="K448" s="338"/>
      <c r="L448" s="338"/>
      <c r="M448" s="338"/>
      <c r="N448" s="338"/>
      <c r="O448" s="338"/>
      <c r="P448" s="338"/>
      <c r="Q448" s="338"/>
      <c r="R448" s="338"/>
      <c r="S448" s="338"/>
      <c r="T448" s="230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</row>
    <row r="449" spans="1:30">
      <c r="A449" s="189"/>
      <c r="B449" s="189"/>
      <c r="C449" s="189"/>
      <c r="D449" s="189"/>
      <c r="E449" s="189"/>
      <c r="F449" s="189"/>
      <c r="G449" s="189"/>
      <c r="H449" s="189"/>
      <c r="I449" s="338"/>
      <c r="J449" s="338"/>
      <c r="K449" s="338"/>
      <c r="L449" s="338"/>
      <c r="M449" s="338"/>
      <c r="N449" s="338"/>
      <c r="O449" s="338"/>
      <c r="P449" s="338"/>
      <c r="Q449" s="338"/>
      <c r="R449" s="338"/>
      <c r="S449" s="338"/>
      <c r="T449" s="230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</row>
    <row r="450" spans="1:30">
      <c r="A450" s="189"/>
      <c r="B450" s="189"/>
      <c r="C450" s="189"/>
      <c r="D450" s="189"/>
      <c r="E450" s="189"/>
      <c r="F450" s="189"/>
      <c r="G450" s="189"/>
      <c r="H450" s="189"/>
      <c r="I450" s="338"/>
      <c r="J450" s="338"/>
      <c r="K450" s="338"/>
      <c r="L450" s="338"/>
      <c r="M450" s="338"/>
      <c r="N450" s="338"/>
      <c r="O450" s="338"/>
      <c r="P450" s="338"/>
      <c r="Q450" s="338"/>
      <c r="R450" s="338"/>
      <c r="S450" s="338"/>
      <c r="T450" s="230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</row>
    <row r="451" spans="1:30">
      <c r="A451" s="189"/>
      <c r="B451" s="189"/>
      <c r="C451" s="189"/>
      <c r="D451" s="189"/>
      <c r="E451" s="189"/>
      <c r="F451" s="189"/>
      <c r="G451" s="189"/>
      <c r="H451" s="189"/>
      <c r="I451" s="338"/>
      <c r="J451" s="338"/>
      <c r="K451" s="338"/>
      <c r="L451" s="338"/>
      <c r="M451" s="338"/>
      <c r="N451" s="338"/>
      <c r="O451" s="338"/>
      <c r="P451" s="338"/>
      <c r="Q451" s="338"/>
      <c r="R451" s="338"/>
      <c r="S451" s="338"/>
      <c r="T451" s="230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</row>
    <row r="452" spans="1:30">
      <c r="A452" s="189"/>
      <c r="B452" s="189"/>
      <c r="C452" s="189"/>
      <c r="D452" s="189"/>
      <c r="E452" s="189"/>
      <c r="F452" s="189"/>
      <c r="G452" s="189"/>
      <c r="H452" s="189"/>
      <c r="I452" s="338"/>
      <c r="J452" s="338"/>
      <c r="K452" s="338"/>
      <c r="L452" s="338"/>
      <c r="M452" s="338"/>
      <c r="N452" s="338"/>
      <c r="O452" s="338"/>
      <c r="P452" s="338"/>
      <c r="Q452" s="338"/>
      <c r="R452" s="338"/>
      <c r="S452" s="338"/>
      <c r="T452" s="230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</row>
    <row r="453" spans="1:30">
      <c r="A453" s="189"/>
      <c r="B453" s="189"/>
      <c r="C453" s="189"/>
      <c r="D453" s="189"/>
      <c r="E453" s="189"/>
      <c r="F453" s="189"/>
      <c r="G453" s="189"/>
      <c r="H453" s="189"/>
      <c r="I453" s="338"/>
      <c r="J453" s="338"/>
      <c r="K453" s="338"/>
      <c r="L453" s="338"/>
      <c r="M453" s="338"/>
      <c r="N453" s="338"/>
      <c r="O453" s="338"/>
      <c r="P453" s="338"/>
      <c r="Q453" s="338"/>
      <c r="R453" s="338"/>
      <c r="S453" s="338"/>
      <c r="T453" s="230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</row>
    <row r="454" spans="1:30">
      <c r="A454" s="189"/>
      <c r="B454" s="189"/>
      <c r="C454" s="189"/>
      <c r="D454" s="189"/>
      <c r="E454" s="189"/>
      <c r="F454" s="189"/>
      <c r="G454" s="189"/>
      <c r="H454" s="189"/>
      <c r="I454" s="338"/>
      <c r="J454" s="338"/>
      <c r="K454" s="338"/>
      <c r="L454" s="338"/>
      <c r="M454" s="338"/>
      <c r="N454" s="338"/>
      <c r="O454" s="338"/>
      <c r="P454" s="338"/>
      <c r="Q454" s="338"/>
      <c r="R454" s="338"/>
      <c r="S454" s="338"/>
      <c r="T454" s="230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</row>
    <row r="455" spans="1:30">
      <c r="A455" s="189"/>
      <c r="B455" s="189"/>
      <c r="C455" s="189"/>
      <c r="D455" s="189"/>
      <c r="E455" s="189"/>
      <c r="F455" s="189"/>
      <c r="G455" s="189"/>
      <c r="H455" s="189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230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</row>
    <row r="456" spans="1:30">
      <c r="A456" s="189"/>
      <c r="B456" s="189"/>
      <c r="C456" s="189"/>
      <c r="D456" s="189"/>
      <c r="E456" s="189"/>
      <c r="F456" s="189"/>
      <c r="G456" s="189"/>
      <c r="H456" s="189"/>
      <c r="I456" s="338"/>
      <c r="J456" s="338"/>
      <c r="K456" s="338"/>
      <c r="L456" s="338"/>
      <c r="M456" s="338"/>
      <c r="N456" s="338"/>
      <c r="O456" s="338"/>
      <c r="P456" s="338"/>
      <c r="Q456" s="338"/>
      <c r="R456" s="338"/>
      <c r="S456" s="338"/>
      <c r="T456" s="230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</row>
    <row r="457" spans="1:30">
      <c r="A457" s="189"/>
      <c r="B457" s="189"/>
      <c r="C457" s="189"/>
      <c r="D457" s="189"/>
      <c r="E457" s="189"/>
      <c r="F457" s="189"/>
      <c r="G457" s="189"/>
      <c r="H457" s="189"/>
      <c r="I457" s="338"/>
      <c r="J457" s="338"/>
      <c r="K457" s="338"/>
      <c r="L457" s="338"/>
      <c r="M457" s="338"/>
      <c r="N457" s="338"/>
      <c r="O457" s="338"/>
      <c r="P457" s="338"/>
      <c r="Q457" s="338"/>
      <c r="R457" s="338"/>
      <c r="S457" s="338"/>
      <c r="T457" s="230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</row>
    <row r="458" spans="1:30">
      <c r="A458" s="189"/>
      <c r="B458" s="189"/>
      <c r="C458" s="189"/>
      <c r="D458" s="189"/>
      <c r="E458" s="189"/>
      <c r="F458" s="189"/>
      <c r="G458" s="189"/>
      <c r="H458" s="189"/>
      <c r="I458" s="338"/>
      <c r="J458" s="338"/>
      <c r="K458" s="338"/>
      <c r="L458" s="338"/>
      <c r="M458" s="338"/>
      <c r="N458" s="338"/>
      <c r="O458" s="338"/>
      <c r="P458" s="338"/>
      <c r="Q458" s="338"/>
      <c r="R458" s="338"/>
      <c r="S458" s="338"/>
      <c r="T458" s="230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</row>
    <row r="459" spans="1:30">
      <c r="A459" s="189"/>
      <c r="B459" s="189"/>
      <c r="C459" s="189"/>
      <c r="D459" s="189"/>
      <c r="E459" s="189"/>
      <c r="F459" s="189"/>
      <c r="G459" s="189"/>
      <c r="H459" s="189"/>
      <c r="I459" s="338"/>
      <c r="J459" s="338"/>
      <c r="K459" s="338"/>
      <c r="L459" s="338"/>
      <c r="M459" s="338"/>
      <c r="N459" s="338"/>
      <c r="O459" s="338"/>
      <c r="P459" s="338"/>
      <c r="Q459" s="338"/>
      <c r="R459" s="338"/>
      <c r="S459" s="338"/>
      <c r="T459" s="230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</row>
    <row r="460" spans="1:30">
      <c r="A460" s="189"/>
      <c r="B460" s="189"/>
      <c r="C460" s="189"/>
      <c r="D460" s="189"/>
      <c r="E460" s="189"/>
      <c r="F460" s="189"/>
      <c r="G460" s="189"/>
      <c r="H460" s="189"/>
      <c r="I460" s="338"/>
      <c r="J460" s="338"/>
      <c r="K460" s="338"/>
      <c r="L460" s="338"/>
      <c r="M460" s="338"/>
      <c r="N460" s="338"/>
      <c r="O460" s="338"/>
      <c r="P460" s="338"/>
      <c r="Q460" s="338"/>
      <c r="R460" s="338"/>
      <c r="S460" s="338"/>
      <c r="T460" s="230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</row>
    <row r="461" spans="1:30">
      <c r="A461" s="189"/>
      <c r="B461" s="189"/>
      <c r="C461" s="189"/>
      <c r="D461" s="189"/>
      <c r="E461" s="189"/>
      <c r="F461" s="189"/>
      <c r="G461" s="189"/>
      <c r="H461" s="189"/>
      <c r="I461" s="338"/>
      <c r="J461" s="338"/>
      <c r="K461" s="338"/>
      <c r="L461" s="338"/>
      <c r="M461" s="338"/>
      <c r="N461" s="338"/>
      <c r="O461" s="338"/>
      <c r="P461" s="338"/>
      <c r="Q461" s="338"/>
      <c r="R461" s="338"/>
      <c r="S461" s="338"/>
      <c r="T461" s="230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</row>
    <row r="462" spans="1:30">
      <c r="A462" s="189"/>
      <c r="B462" s="189"/>
      <c r="C462" s="189"/>
      <c r="D462" s="189"/>
      <c r="E462" s="189"/>
      <c r="F462" s="189"/>
      <c r="G462" s="189"/>
      <c r="H462" s="189"/>
      <c r="I462" s="338"/>
      <c r="J462" s="338"/>
      <c r="K462" s="338"/>
      <c r="L462" s="338"/>
      <c r="M462" s="338"/>
      <c r="N462" s="338"/>
      <c r="O462" s="338"/>
      <c r="P462" s="338"/>
      <c r="Q462" s="338"/>
      <c r="R462" s="338"/>
      <c r="S462" s="338"/>
      <c r="T462" s="230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</row>
    <row r="463" spans="1:30">
      <c r="A463" s="189"/>
      <c r="B463" s="189"/>
      <c r="C463" s="189"/>
      <c r="D463" s="189"/>
      <c r="E463" s="189"/>
      <c r="F463" s="189"/>
      <c r="G463" s="189"/>
      <c r="H463" s="189"/>
      <c r="I463" s="338"/>
      <c r="J463" s="338"/>
      <c r="K463" s="338"/>
      <c r="L463" s="338"/>
      <c r="M463" s="338"/>
      <c r="N463" s="338"/>
      <c r="O463" s="338"/>
      <c r="P463" s="338"/>
      <c r="Q463" s="338"/>
      <c r="R463" s="338"/>
      <c r="S463" s="338"/>
      <c r="T463" s="230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</row>
    <row r="464" spans="1:30">
      <c r="A464" s="189"/>
      <c r="B464" s="189"/>
      <c r="C464" s="189"/>
      <c r="D464" s="189"/>
      <c r="E464" s="189"/>
      <c r="F464" s="189"/>
      <c r="G464" s="189"/>
      <c r="H464" s="189"/>
      <c r="I464" s="338"/>
      <c r="J464" s="338"/>
      <c r="K464" s="338"/>
      <c r="L464" s="338"/>
      <c r="M464" s="338"/>
      <c r="N464" s="338"/>
      <c r="O464" s="338"/>
      <c r="P464" s="338"/>
      <c r="Q464" s="338"/>
      <c r="R464" s="338"/>
      <c r="S464" s="338"/>
      <c r="T464" s="230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</row>
    <row r="465" spans="1:30">
      <c r="A465" s="189"/>
      <c r="B465" s="189"/>
      <c r="C465" s="189"/>
      <c r="D465" s="189"/>
      <c r="E465" s="189"/>
      <c r="F465" s="189"/>
      <c r="G465" s="189"/>
      <c r="H465" s="189"/>
      <c r="I465" s="338"/>
      <c r="J465" s="338"/>
      <c r="K465" s="338"/>
      <c r="L465" s="338"/>
      <c r="M465" s="338"/>
      <c r="N465" s="338"/>
      <c r="O465" s="338"/>
      <c r="P465" s="338"/>
      <c r="Q465" s="338"/>
      <c r="R465" s="338"/>
      <c r="S465" s="338"/>
      <c r="T465" s="230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</row>
    <row r="466" spans="1:30">
      <c r="A466" s="189"/>
      <c r="B466" s="189"/>
      <c r="C466" s="189"/>
      <c r="D466" s="189"/>
      <c r="E466" s="189"/>
      <c r="F466" s="189"/>
      <c r="G466" s="189"/>
      <c r="H466" s="189"/>
      <c r="I466" s="338"/>
      <c r="J466" s="338"/>
      <c r="K466" s="338"/>
      <c r="L466" s="338"/>
      <c r="M466" s="338"/>
      <c r="N466" s="338"/>
      <c r="O466" s="338"/>
      <c r="P466" s="338"/>
      <c r="Q466" s="338"/>
      <c r="R466" s="338"/>
      <c r="S466" s="338"/>
      <c r="T466" s="230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</row>
    <row r="467" spans="1:30">
      <c r="A467" s="189"/>
      <c r="B467" s="189"/>
      <c r="C467" s="189"/>
      <c r="D467" s="189"/>
      <c r="E467" s="189"/>
      <c r="F467" s="189"/>
      <c r="G467" s="189"/>
      <c r="H467" s="189"/>
      <c r="I467" s="338"/>
      <c r="J467" s="338"/>
      <c r="K467" s="338"/>
      <c r="L467" s="338"/>
      <c r="M467" s="338"/>
      <c r="N467" s="338"/>
      <c r="O467" s="338"/>
      <c r="P467" s="338"/>
      <c r="Q467" s="338"/>
      <c r="R467" s="338"/>
      <c r="S467" s="338"/>
      <c r="T467" s="230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</row>
    <row r="468" spans="1:30">
      <c r="A468" s="189"/>
      <c r="B468" s="189"/>
      <c r="C468" s="189"/>
      <c r="D468" s="189"/>
      <c r="E468" s="189"/>
      <c r="F468" s="189"/>
      <c r="G468" s="189"/>
      <c r="H468" s="189"/>
      <c r="I468" s="338"/>
      <c r="J468" s="338"/>
      <c r="K468" s="338"/>
      <c r="L468" s="338"/>
      <c r="M468" s="338"/>
      <c r="N468" s="338"/>
      <c r="O468" s="338"/>
      <c r="P468" s="338"/>
      <c r="Q468" s="338"/>
      <c r="R468" s="338"/>
      <c r="S468" s="338"/>
      <c r="T468" s="230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</row>
    <row r="469" spans="1:30">
      <c r="A469" s="189"/>
      <c r="B469" s="189"/>
      <c r="C469" s="189"/>
      <c r="D469" s="189"/>
      <c r="E469" s="189"/>
      <c r="F469" s="189"/>
      <c r="G469" s="189"/>
      <c r="H469" s="189"/>
      <c r="I469" s="338"/>
      <c r="J469" s="338"/>
      <c r="K469" s="338"/>
      <c r="L469" s="338"/>
      <c r="M469" s="338"/>
      <c r="N469" s="338"/>
      <c r="O469" s="338"/>
      <c r="P469" s="338"/>
      <c r="Q469" s="338"/>
      <c r="R469" s="338"/>
      <c r="S469" s="338"/>
      <c r="T469" s="230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</row>
    <row r="470" spans="1:30">
      <c r="A470" s="189"/>
      <c r="B470" s="189"/>
      <c r="C470" s="189"/>
      <c r="D470" s="189"/>
      <c r="E470" s="189"/>
      <c r="F470" s="189"/>
      <c r="G470" s="189"/>
      <c r="H470" s="189"/>
      <c r="I470" s="338"/>
      <c r="J470" s="338"/>
      <c r="K470" s="338"/>
      <c r="L470" s="338"/>
      <c r="M470" s="338"/>
      <c r="N470" s="338"/>
      <c r="O470" s="338"/>
      <c r="P470" s="338"/>
      <c r="Q470" s="338"/>
      <c r="R470" s="338"/>
      <c r="S470" s="338"/>
      <c r="T470" s="230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</row>
    <row r="471" spans="1:30">
      <c r="A471" s="189"/>
      <c r="B471" s="189"/>
      <c r="C471" s="189"/>
      <c r="D471" s="189"/>
      <c r="E471" s="189"/>
      <c r="F471" s="189"/>
      <c r="G471" s="189"/>
      <c r="H471" s="189"/>
      <c r="I471" s="338"/>
      <c r="J471" s="338"/>
      <c r="K471" s="338"/>
      <c r="L471" s="338"/>
      <c r="M471" s="338"/>
      <c r="N471" s="338"/>
      <c r="O471" s="338"/>
      <c r="P471" s="338"/>
      <c r="Q471" s="338"/>
      <c r="R471" s="338"/>
      <c r="S471" s="338"/>
      <c r="T471" s="230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</row>
    <row r="472" spans="1:30">
      <c r="A472" s="189"/>
      <c r="B472" s="189"/>
      <c r="C472" s="189"/>
      <c r="D472" s="189"/>
      <c r="E472" s="189"/>
      <c r="F472" s="189"/>
      <c r="G472" s="189"/>
      <c r="H472" s="189"/>
      <c r="I472" s="338"/>
      <c r="J472" s="338"/>
      <c r="K472" s="338"/>
      <c r="L472" s="338"/>
      <c r="M472" s="338"/>
      <c r="N472" s="338"/>
      <c r="O472" s="338"/>
      <c r="P472" s="338"/>
      <c r="Q472" s="338"/>
      <c r="R472" s="338"/>
      <c r="S472" s="338"/>
      <c r="T472" s="230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</row>
    <row r="473" spans="1:30">
      <c r="A473" s="189"/>
      <c r="B473" s="189"/>
      <c r="C473" s="189"/>
      <c r="D473" s="189"/>
      <c r="E473" s="189"/>
      <c r="F473" s="189"/>
      <c r="G473" s="189"/>
      <c r="H473" s="189"/>
      <c r="I473" s="338"/>
      <c r="J473" s="338"/>
      <c r="K473" s="338"/>
      <c r="L473" s="338"/>
      <c r="M473" s="338"/>
      <c r="N473" s="338"/>
      <c r="O473" s="338"/>
      <c r="P473" s="338"/>
      <c r="Q473" s="338"/>
      <c r="R473" s="338"/>
      <c r="S473" s="338"/>
      <c r="T473" s="230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</row>
    <row r="474" spans="1:30">
      <c r="A474" s="189"/>
      <c r="B474" s="189"/>
      <c r="C474" s="189"/>
      <c r="D474" s="189"/>
      <c r="E474" s="189"/>
      <c r="F474" s="189"/>
      <c r="G474" s="189"/>
      <c r="H474" s="189"/>
      <c r="I474" s="338"/>
      <c r="J474" s="338"/>
      <c r="K474" s="338"/>
      <c r="L474" s="338"/>
      <c r="M474" s="338"/>
      <c r="N474" s="338"/>
      <c r="O474" s="338"/>
      <c r="P474" s="338"/>
      <c r="Q474" s="338"/>
      <c r="R474" s="338"/>
      <c r="S474" s="338"/>
      <c r="T474" s="230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</row>
    <row r="475" spans="1:30">
      <c r="A475" s="189"/>
      <c r="B475" s="189"/>
      <c r="C475" s="189"/>
      <c r="D475" s="189"/>
      <c r="E475" s="189"/>
      <c r="F475" s="189"/>
      <c r="G475" s="189"/>
      <c r="H475" s="189"/>
      <c r="I475" s="338"/>
      <c r="J475" s="338"/>
      <c r="K475" s="338"/>
      <c r="L475" s="338"/>
      <c r="M475" s="338"/>
      <c r="N475" s="338"/>
      <c r="O475" s="338"/>
      <c r="P475" s="338"/>
      <c r="Q475" s="338"/>
      <c r="R475" s="338"/>
      <c r="S475" s="338"/>
      <c r="T475" s="230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</row>
    <row r="476" spans="1:30">
      <c r="A476" s="189"/>
      <c r="B476" s="189"/>
      <c r="C476" s="189"/>
      <c r="D476" s="189"/>
      <c r="E476" s="189"/>
      <c r="F476" s="189"/>
      <c r="G476" s="189"/>
      <c r="H476" s="189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230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</row>
    <row r="477" spans="1:30">
      <c r="A477" s="189"/>
      <c r="B477" s="189"/>
      <c r="C477" s="189"/>
      <c r="D477" s="189"/>
      <c r="E477" s="189"/>
      <c r="F477" s="189"/>
      <c r="G477" s="189"/>
      <c r="H477" s="189"/>
      <c r="I477" s="338"/>
      <c r="J477" s="338"/>
      <c r="K477" s="338"/>
      <c r="L477" s="338"/>
      <c r="M477" s="338"/>
      <c r="N477" s="338"/>
      <c r="O477" s="338"/>
      <c r="P477" s="338"/>
      <c r="Q477" s="338"/>
      <c r="R477" s="338"/>
      <c r="S477" s="338"/>
      <c r="T477" s="230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</row>
    <row r="478" spans="1:30">
      <c r="A478" s="189"/>
      <c r="B478" s="189"/>
      <c r="C478" s="189"/>
      <c r="D478" s="189"/>
      <c r="E478" s="189"/>
      <c r="F478" s="189"/>
      <c r="G478" s="189"/>
      <c r="H478" s="189"/>
      <c r="I478" s="338"/>
      <c r="J478" s="338"/>
      <c r="K478" s="338"/>
      <c r="L478" s="338"/>
      <c r="M478" s="338"/>
      <c r="N478" s="338"/>
      <c r="O478" s="338"/>
      <c r="P478" s="338"/>
      <c r="Q478" s="338"/>
      <c r="R478" s="338"/>
      <c r="S478" s="338"/>
      <c r="T478" s="230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</row>
    <row r="479" spans="1:30">
      <c r="A479" s="189"/>
      <c r="B479" s="189"/>
      <c r="C479" s="189"/>
      <c r="D479" s="189"/>
      <c r="E479" s="189"/>
      <c r="F479" s="189"/>
      <c r="G479" s="189"/>
      <c r="H479" s="189"/>
      <c r="I479" s="338"/>
      <c r="J479" s="338"/>
      <c r="K479" s="338"/>
      <c r="L479" s="338"/>
      <c r="M479" s="338"/>
      <c r="N479" s="338"/>
      <c r="O479" s="338"/>
      <c r="P479" s="338"/>
      <c r="Q479" s="338"/>
      <c r="R479" s="338"/>
      <c r="S479" s="338"/>
      <c r="T479" s="230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</row>
    <row r="480" spans="1:30">
      <c r="A480" s="189"/>
      <c r="B480" s="189"/>
      <c r="C480" s="189"/>
      <c r="D480" s="189"/>
      <c r="E480" s="189"/>
      <c r="F480" s="189"/>
      <c r="G480" s="189"/>
      <c r="H480" s="189"/>
      <c r="I480" s="338"/>
      <c r="J480" s="338"/>
      <c r="K480" s="338"/>
      <c r="L480" s="338"/>
      <c r="M480" s="338"/>
      <c r="N480" s="338"/>
      <c r="O480" s="338"/>
      <c r="P480" s="338"/>
      <c r="Q480" s="338"/>
      <c r="R480" s="338"/>
      <c r="S480" s="338"/>
      <c r="T480" s="230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</row>
    <row r="481" spans="1:30">
      <c r="A481" s="189"/>
      <c r="B481" s="189"/>
      <c r="C481" s="189"/>
      <c r="D481" s="189"/>
      <c r="E481" s="189"/>
      <c r="F481" s="189"/>
      <c r="G481" s="189"/>
      <c r="H481" s="189"/>
      <c r="I481" s="338"/>
      <c r="J481" s="338"/>
      <c r="K481" s="338"/>
      <c r="L481" s="338"/>
      <c r="M481" s="338"/>
      <c r="N481" s="338"/>
      <c r="O481" s="338"/>
      <c r="P481" s="338"/>
      <c r="Q481" s="338"/>
      <c r="R481" s="338"/>
      <c r="S481" s="338"/>
      <c r="T481" s="230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</row>
    <row r="482" spans="1:30">
      <c r="A482" s="189"/>
      <c r="B482" s="189"/>
      <c r="C482" s="189"/>
      <c r="D482" s="189"/>
      <c r="E482" s="189"/>
      <c r="F482" s="189"/>
      <c r="G482" s="189"/>
      <c r="H482" s="189"/>
      <c r="I482" s="338"/>
      <c r="J482" s="338"/>
      <c r="K482" s="338"/>
      <c r="L482" s="338"/>
      <c r="M482" s="338"/>
      <c r="N482" s="338"/>
      <c r="O482" s="338"/>
      <c r="P482" s="338"/>
      <c r="Q482" s="338"/>
      <c r="R482" s="338"/>
      <c r="S482" s="338"/>
      <c r="T482" s="230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</row>
    <row r="483" spans="1:30">
      <c r="A483" s="189"/>
      <c r="B483" s="189"/>
      <c r="C483" s="189"/>
      <c r="D483" s="189"/>
      <c r="E483" s="189"/>
      <c r="F483" s="189"/>
      <c r="G483" s="189"/>
      <c r="H483" s="189"/>
      <c r="I483" s="338"/>
      <c r="J483" s="338"/>
      <c r="K483" s="338"/>
      <c r="L483" s="338"/>
      <c r="M483" s="338"/>
      <c r="N483" s="338"/>
      <c r="O483" s="338"/>
      <c r="P483" s="338"/>
      <c r="Q483" s="338"/>
      <c r="R483" s="338"/>
      <c r="S483" s="338"/>
      <c r="T483" s="230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</row>
    <row r="484" spans="1:30">
      <c r="A484" s="189"/>
      <c r="B484" s="189"/>
      <c r="C484" s="189"/>
      <c r="D484" s="189"/>
      <c r="E484" s="189"/>
      <c r="F484" s="189"/>
      <c r="G484" s="189"/>
      <c r="H484" s="189"/>
      <c r="I484" s="338"/>
      <c r="J484" s="338"/>
      <c r="K484" s="338"/>
      <c r="L484" s="338"/>
      <c r="M484" s="338"/>
      <c r="N484" s="338"/>
      <c r="O484" s="338"/>
      <c r="P484" s="338"/>
      <c r="Q484" s="338"/>
      <c r="R484" s="338"/>
      <c r="S484" s="338"/>
      <c r="T484" s="230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</row>
    <row r="485" spans="1:30">
      <c r="A485" s="189"/>
      <c r="B485" s="189"/>
      <c r="C485" s="189"/>
      <c r="D485" s="189"/>
      <c r="E485" s="189"/>
      <c r="F485" s="189"/>
      <c r="G485" s="189"/>
      <c r="H485" s="189"/>
      <c r="I485" s="338"/>
      <c r="J485" s="338"/>
      <c r="K485" s="338"/>
      <c r="L485" s="338"/>
      <c r="M485" s="338"/>
      <c r="N485" s="338"/>
      <c r="O485" s="338"/>
      <c r="P485" s="338"/>
      <c r="Q485" s="338"/>
      <c r="R485" s="338"/>
      <c r="S485" s="338"/>
      <c r="T485" s="230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</row>
    <row r="486" spans="1:30">
      <c r="A486" s="189"/>
      <c r="B486" s="189"/>
      <c r="C486" s="189"/>
      <c r="D486" s="189"/>
      <c r="E486" s="189"/>
      <c r="F486" s="189"/>
      <c r="G486" s="189"/>
      <c r="H486" s="189"/>
      <c r="I486" s="338"/>
      <c r="J486" s="338"/>
      <c r="K486" s="338"/>
      <c r="L486" s="338"/>
      <c r="M486" s="338"/>
      <c r="N486" s="338"/>
      <c r="O486" s="338"/>
      <c r="P486" s="338"/>
      <c r="Q486" s="338"/>
      <c r="R486" s="338"/>
      <c r="S486" s="338"/>
      <c r="T486" s="230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</row>
    <row r="487" spans="1:30">
      <c r="A487" s="189"/>
      <c r="B487" s="189"/>
      <c r="C487" s="189"/>
      <c r="D487" s="189"/>
      <c r="E487" s="189"/>
      <c r="F487" s="189"/>
      <c r="G487" s="189"/>
      <c r="H487" s="189"/>
      <c r="I487" s="338"/>
      <c r="J487" s="338"/>
      <c r="K487" s="338"/>
      <c r="L487" s="338"/>
      <c r="M487" s="338"/>
      <c r="N487" s="338"/>
      <c r="O487" s="338"/>
      <c r="P487" s="338"/>
      <c r="Q487" s="338"/>
      <c r="R487" s="338"/>
      <c r="S487" s="338"/>
      <c r="T487" s="230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</row>
    <row r="488" spans="1:30">
      <c r="A488" s="189"/>
      <c r="B488" s="189"/>
      <c r="C488" s="189"/>
      <c r="D488" s="189"/>
      <c r="E488" s="189"/>
      <c r="F488" s="189"/>
      <c r="G488" s="189"/>
      <c r="H488" s="189"/>
      <c r="I488" s="338"/>
      <c r="J488" s="338"/>
      <c r="K488" s="338"/>
      <c r="L488" s="338"/>
      <c r="M488" s="338"/>
      <c r="N488" s="338"/>
      <c r="O488" s="338"/>
      <c r="P488" s="338"/>
      <c r="Q488" s="338"/>
      <c r="R488" s="338"/>
      <c r="S488" s="338"/>
      <c r="T488" s="230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</row>
    <row r="489" spans="1:30">
      <c r="A489" s="189"/>
      <c r="B489" s="189"/>
      <c r="C489" s="189"/>
      <c r="D489" s="189"/>
      <c r="E489" s="189"/>
      <c r="F489" s="189"/>
      <c r="G489" s="189"/>
      <c r="H489" s="189"/>
      <c r="I489" s="338"/>
      <c r="J489" s="338"/>
      <c r="K489" s="338"/>
      <c r="L489" s="338"/>
      <c r="M489" s="338"/>
      <c r="N489" s="338"/>
      <c r="O489" s="338"/>
      <c r="P489" s="338"/>
      <c r="Q489" s="338"/>
      <c r="R489" s="338"/>
      <c r="S489" s="338"/>
      <c r="T489" s="230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</row>
    <row r="490" spans="1:30">
      <c r="A490" s="189"/>
      <c r="B490" s="189"/>
      <c r="C490" s="189"/>
      <c r="D490" s="189"/>
      <c r="E490" s="189"/>
      <c r="F490" s="189"/>
      <c r="G490" s="189"/>
      <c r="H490" s="189"/>
      <c r="I490" s="338"/>
      <c r="J490" s="338"/>
      <c r="K490" s="338"/>
      <c r="L490" s="338"/>
      <c r="M490" s="338"/>
      <c r="N490" s="338"/>
      <c r="O490" s="338"/>
      <c r="P490" s="338"/>
      <c r="Q490" s="338"/>
      <c r="R490" s="338"/>
      <c r="S490" s="338"/>
      <c r="T490" s="230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</row>
    <row r="491" spans="1:30">
      <c r="A491" s="189"/>
      <c r="B491" s="189"/>
      <c r="C491" s="189"/>
      <c r="D491" s="189"/>
      <c r="E491" s="189"/>
      <c r="F491" s="189"/>
      <c r="G491" s="189"/>
      <c r="H491" s="189"/>
      <c r="I491" s="338"/>
      <c r="J491" s="338"/>
      <c r="K491" s="338"/>
      <c r="L491" s="338"/>
      <c r="M491" s="338"/>
      <c r="N491" s="338"/>
      <c r="O491" s="338"/>
      <c r="P491" s="338"/>
      <c r="Q491" s="338"/>
      <c r="R491" s="338"/>
      <c r="S491" s="338"/>
      <c r="T491" s="230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</row>
    <row r="492" spans="1:30">
      <c r="A492" s="189"/>
      <c r="B492" s="189"/>
      <c r="C492" s="189"/>
      <c r="D492" s="189"/>
      <c r="E492" s="189"/>
      <c r="F492" s="189"/>
      <c r="G492" s="189"/>
      <c r="H492" s="189"/>
      <c r="I492" s="338"/>
      <c r="J492" s="338"/>
      <c r="K492" s="338"/>
      <c r="L492" s="338"/>
      <c r="M492" s="338"/>
      <c r="N492" s="338"/>
      <c r="O492" s="338"/>
      <c r="P492" s="338"/>
      <c r="Q492" s="338"/>
      <c r="R492" s="338"/>
      <c r="S492" s="338"/>
      <c r="T492" s="230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</row>
    <row r="493" spans="1:30">
      <c r="A493" s="189"/>
      <c r="B493" s="189"/>
      <c r="C493" s="189"/>
      <c r="D493" s="189"/>
      <c r="E493" s="189"/>
      <c r="F493" s="189"/>
      <c r="G493" s="189"/>
      <c r="H493" s="189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230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</row>
    <row r="494" spans="1:30">
      <c r="A494" s="189"/>
      <c r="B494" s="189"/>
      <c r="C494" s="189"/>
      <c r="D494" s="189"/>
      <c r="E494" s="189"/>
      <c r="F494" s="189"/>
      <c r="G494" s="189"/>
      <c r="H494" s="189"/>
      <c r="I494" s="338"/>
      <c r="J494" s="338"/>
      <c r="K494" s="338"/>
      <c r="L494" s="338"/>
      <c r="M494" s="338"/>
      <c r="N494" s="338"/>
      <c r="O494" s="338"/>
      <c r="P494" s="338"/>
      <c r="Q494" s="338"/>
      <c r="R494" s="338"/>
      <c r="S494" s="338"/>
      <c r="T494" s="230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</row>
    <row r="495" spans="1:30">
      <c r="A495" s="189"/>
      <c r="B495" s="189"/>
      <c r="C495" s="189"/>
      <c r="D495" s="189"/>
      <c r="E495" s="189"/>
      <c r="F495" s="189"/>
      <c r="G495" s="189"/>
      <c r="H495" s="189"/>
      <c r="I495" s="338"/>
      <c r="J495" s="338"/>
      <c r="K495" s="338"/>
      <c r="L495" s="338"/>
      <c r="M495" s="338"/>
      <c r="N495" s="338"/>
      <c r="O495" s="338"/>
      <c r="P495" s="338"/>
      <c r="Q495" s="338"/>
      <c r="R495" s="338"/>
      <c r="S495" s="338"/>
      <c r="T495" s="230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</row>
    <row r="496" spans="1:30">
      <c r="A496" s="189"/>
      <c r="B496" s="189"/>
      <c r="C496" s="189"/>
      <c r="D496" s="189"/>
      <c r="E496" s="189"/>
      <c r="F496" s="189"/>
      <c r="G496" s="189"/>
      <c r="H496" s="189"/>
      <c r="I496" s="338"/>
      <c r="J496" s="338"/>
      <c r="K496" s="338"/>
      <c r="L496" s="338"/>
      <c r="M496" s="338"/>
      <c r="N496" s="338"/>
      <c r="O496" s="338"/>
      <c r="P496" s="338"/>
      <c r="Q496" s="338"/>
      <c r="R496" s="338"/>
      <c r="S496" s="338"/>
      <c r="T496" s="230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</row>
    <row r="497" spans="1:30">
      <c r="A497" s="189"/>
      <c r="B497" s="189"/>
      <c r="C497" s="189"/>
      <c r="D497" s="189"/>
      <c r="E497" s="189"/>
      <c r="F497" s="189"/>
      <c r="G497" s="189"/>
      <c r="H497" s="189"/>
      <c r="I497" s="338"/>
      <c r="J497" s="338"/>
      <c r="K497" s="338"/>
      <c r="L497" s="338"/>
      <c r="M497" s="338"/>
      <c r="N497" s="338"/>
      <c r="O497" s="338"/>
      <c r="P497" s="338"/>
      <c r="Q497" s="338"/>
      <c r="R497" s="338"/>
      <c r="S497" s="338"/>
      <c r="T497" s="230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</row>
    <row r="498" spans="1:30">
      <c r="A498" s="189"/>
      <c r="B498" s="189"/>
      <c r="C498" s="189"/>
      <c r="D498" s="189"/>
      <c r="E498" s="189"/>
      <c r="F498" s="189"/>
      <c r="G498" s="189"/>
      <c r="H498" s="189"/>
      <c r="I498" s="338"/>
      <c r="J498" s="338"/>
      <c r="K498" s="338"/>
      <c r="L498" s="338"/>
      <c r="M498" s="338"/>
      <c r="N498" s="338"/>
      <c r="O498" s="338"/>
      <c r="P498" s="338"/>
      <c r="Q498" s="338"/>
      <c r="R498" s="338"/>
      <c r="S498" s="338"/>
      <c r="T498" s="230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</row>
    <row r="499" spans="1:30">
      <c r="A499" s="189"/>
      <c r="B499" s="189"/>
      <c r="C499" s="189"/>
      <c r="D499" s="189"/>
      <c r="E499" s="189"/>
      <c r="F499" s="189"/>
      <c r="G499" s="189"/>
      <c r="H499" s="189"/>
      <c r="I499" s="338"/>
      <c r="J499" s="338"/>
      <c r="K499" s="338"/>
      <c r="L499" s="338"/>
      <c r="M499" s="338"/>
      <c r="N499" s="338"/>
      <c r="O499" s="338"/>
      <c r="P499" s="338"/>
      <c r="Q499" s="338"/>
      <c r="R499" s="338"/>
      <c r="S499" s="338"/>
      <c r="T499" s="230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</row>
    <row r="500" spans="1:30">
      <c r="A500" s="189"/>
      <c r="B500" s="189"/>
      <c r="C500" s="189"/>
      <c r="D500" s="189"/>
      <c r="E500" s="189"/>
      <c r="F500" s="189"/>
      <c r="G500" s="189"/>
      <c r="H500" s="189"/>
      <c r="I500" s="338"/>
      <c r="J500" s="338"/>
      <c r="K500" s="338"/>
      <c r="L500" s="338"/>
      <c r="M500" s="338"/>
      <c r="N500" s="338"/>
      <c r="O500" s="338"/>
      <c r="P500" s="338"/>
      <c r="Q500" s="338"/>
      <c r="R500" s="338"/>
      <c r="S500" s="338"/>
      <c r="T500" s="230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</row>
    <row r="501" spans="1:30">
      <c r="A501" s="189"/>
      <c r="B501" s="189"/>
      <c r="C501" s="189"/>
      <c r="D501" s="189"/>
      <c r="E501" s="189"/>
      <c r="F501" s="189"/>
      <c r="G501" s="189"/>
      <c r="H501" s="189"/>
      <c r="I501" s="338"/>
      <c r="J501" s="338"/>
      <c r="K501" s="338"/>
      <c r="L501" s="338"/>
      <c r="M501" s="338"/>
      <c r="N501" s="338"/>
      <c r="O501" s="338"/>
      <c r="P501" s="338"/>
      <c r="Q501" s="338"/>
      <c r="R501" s="338"/>
      <c r="S501" s="338"/>
      <c r="T501" s="230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</row>
    <row r="502" spans="1:30">
      <c r="A502" s="189"/>
      <c r="B502" s="189"/>
      <c r="C502" s="189"/>
      <c r="D502" s="189"/>
      <c r="E502" s="189"/>
      <c r="F502" s="189"/>
      <c r="G502" s="189"/>
      <c r="H502" s="189"/>
      <c r="I502" s="338"/>
      <c r="J502" s="338"/>
      <c r="K502" s="338"/>
      <c r="L502" s="338"/>
      <c r="M502" s="338"/>
      <c r="N502" s="338"/>
      <c r="O502" s="338"/>
      <c r="P502" s="338"/>
      <c r="Q502" s="338"/>
      <c r="R502" s="338"/>
      <c r="S502" s="338"/>
      <c r="T502" s="230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</row>
    <row r="503" spans="1:30">
      <c r="A503" s="189"/>
      <c r="B503" s="189"/>
      <c r="C503" s="189"/>
      <c r="D503" s="189"/>
      <c r="E503" s="189"/>
      <c r="F503" s="189"/>
      <c r="G503" s="189"/>
      <c r="H503" s="189"/>
      <c r="I503" s="338"/>
      <c r="J503" s="338"/>
      <c r="K503" s="338"/>
      <c r="L503" s="338"/>
      <c r="M503" s="338"/>
      <c r="N503" s="338"/>
      <c r="O503" s="338"/>
      <c r="P503" s="338"/>
      <c r="Q503" s="338"/>
      <c r="R503" s="338"/>
      <c r="S503" s="338"/>
      <c r="T503" s="230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</row>
    <row r="504" spans="1:30">
      <c r="A504" s="189"/>
      <c r="B504" s="189"/>
      <c r="C504" s="189"/>
      <c r="D504" s="189"/>
      <c r="E504" s="189"/>
      <c r="F504" s="189"/>
      <c r="G504" s="189"/>
      <c r="H504" s="189"/>
      <c r="I504" s="338"/>
      <c r="J504" s="338"/>
      <c r="K504" s="338"/>
      <c r="L504" s="338"/>
      <c r="M504" s="338"/>
      <c r="N504" s="338"/>
      <c r="O504" s="338"/>
      <c r="P504" s="338"/>
      <c r="Q504" s="338"/>
      <c r="R504" s="338"/>
      <c r="S504" s="338"/>
      <c r="T504" s="230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</row>
    <row r="505" spans="1:30">
      <c r="A505" s="189"/>
      <c r="B505" s="189"/>
      <c r="C505" s="189"/>
      <c r="D505" s="189"/>
      <c r="E505" s="189"/>
      <c r="F505" s="189"/>
      <c r="G505" s="189"/>
      <c r="H505" s="189"/>
      <c r="I505" s="338"/>
      <c r="J505" s="338"/>
      <c r="K505" s="338"/>
      <c r="L505" s="338"/>
      <c r="M505" s="338"/>
      <c r="N505" s="338"/>
      <c r="O505" s="338"/>
      <c r="P505" s="338"/>
      <c r="Q505" s="338"/>
      <c r="R505" s="338"/>
      <c r="S505" s="338"/>
      <c r="T505" s="230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</row>
    <row r="506" spans="1:30">
      <c r="A506" s="189"/>
      <c r="B506" s="189"/>
      <c r="C506" s="189"/>
      <c r="D506" s="189"/>
      <c r="E506" s="189"/>
      <c r="F506" s="189"/>
      <c r="G506" s="189"/>
      <c r="H506" s="189"/>
      <c r="I506" s="338"/>
      <c r="J506" s="338"/>
      <c r="K506" s="338"/>
      <c r="L506" s="338"/>
      <c r="M506" s="338"/>
      <c r="N506" s="338"/>
      <c r="O506" s="338"/>
      <c r="P506" s="338"/>
      <c r="Q506" s="338"/>
      <c r="R506" s="338"/>
      <c r="S506" s="338"/>
      <c r="T506" s="230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</row>
    <row r="507" spans="1:30">
      <c r="A507" s="189"/>
      <c r="B507" s="189"/>
      <c r="C507" s="189"/>
      <c r="D507" s="189"/>
      <c r="E507" s="189"/>
      <c r="F507" s="189"/>
      <c r="G507" s="189"/>
      <c r="H507" s="189"/>
      <c r="I507" s="338"/>
      <c r="J507" s="338"/>
      <c r="K507" s="338"/>
      <c r="L507" s="338"/>
      <c r="M507" s="338"/>
      <c r="N507" s="338"/>
      <c r="O507" s="338"/>
      <c r="P507" s="338"/>
      <c r="Q507" s="338"/>
      <c r="R507" s="338"/>
      <c r="S507" s="338"/>
      <c r="T507" s="230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</row>
    <row r="508" spans="1:30">
      <c r="A508" s="189"/>
      <c r="B508" s="189"/>
      <c r="C508" s="189"/>
      <c r="D508" s="189"/>
      <c r="E508" s="189"/>
      <c r="F508" s="189"/>
      <c r="G508" s="189"/>
      <c r="H508" s="189"/>
      <c r="I508" s="338"/>
      <c r="J508" s="338"/>
      <c r="K508" s="338"/>
      <c r="L508" s="338"/>
      <c r="M508" s="338"/>
      <c r="N508" s="338"/>
      <c r="O508" s="338"/>
      <c r="P508" s="338"/>
      <c r="Q508" s="338"/>
      <c r="R508" s="338"/>
      <c r="S508" s="338"/>
      <c r="T508" s="230"/>
      <c r="U508" s="189"/>
      <c r="V508" s="189"/>
      <c r="W508" s="189"/>
      <c r="X508" s="189"/>
      <c r="Y508" s="189"/>
      <c r="Z508" s="189"/>
      <c r="AA508" s="189"/>
      <c r="AB508" s="189"/>
      <c r="AC508" s="189"/>
      <c r="AD508" s="189"/>
    </row>
    <row r="509" spans="1:30">
      <c r="A509" s="189"/>
      <c r="B509" s="189"/>
      <c r="C509" s="189"/>
      <c r="D509" s="189"/>
      <c r="E509" s="189"/>
      <c r="F509" s="189"/>
      <c r="G509" s="189"/>
      <c r="H509" s="189"/>
      <c r="I509" s="338"/>
      <c r="J509" s="338"/>
      <c r="K509" s="338"/>
      <c r="L509" s="338"/>
      <c r="M509" s="338"/>
      <c r="N509" s="338"/>
      <c r="O509" s="338"/>
      <c r="P509" s="338"/>
      <c r="Q509" s="338"/>
      <c r="R509" s="338"/>
      <c r="S509" s="338"/>
      <c r="T509" s="230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</row>
    <row r="510" spans="1:30">
      <c r="A510" s="189"/>
      <c r="B510" s="189"/>
      <c r="C510" s="189"/>
      <c r="D510" s="189"/>
      <c r="E510" s="189"/>
      <c r="F510" s="189"/>
      <c r="G510" s="189"/>
      <c r="H510" s="189"/>
      <c r="I510" s="338"/>
      <c r="J510" s="338"/>
      <c r="K510" s="338"/>
      <c r="L510" s="338"/>
      <c r="M510" s="338"/>
      <c r="N510" s="338"/>
      <c r="O510" s="338"/>
      <c r="P510" s="338"/>
      <c r="Q510" s="338"/>
      <c r="R510" s="338"/>
      <c r="S510" s="338"/>
      <c r="T510" s="230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</row>
    <row r="511" spans="1:30">
      <c r="A511" s="189"/>
      <c r="B511" s="189"/>
      <c r="C511" s="189"/>
      <c r="D511" s="189"/>
      <c r="E511" s="189"/>
      <c r="F511" s="189"/>
      <c r="G511" s="189"/>
      <c r="H511" s="189"/>
      <c r="I511" s="338"/>
      <c r="J511" s="338"/>
      <c r="K511" s="338"/>
      <c r="L511" s="338"/>
      <c r="M511" s="338"/>
      <c r="N511" s="338"/>
      <c r="O511" s="338"/>
      <c r="P511" s="338"/>
      <c r="Q511" s="338"/>
      <c r="R511" s="338"/>
      <c r="S511" s="338"/>
      <c r="T511" s="230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</row>
    <row r="512" spans="1:30">
      <c r="A512" s="189"/>
      <c r="B512" s="189"/>
      <c r="C512" s="189"/>
      <c r="D512" s="189"/>
      <c r="E512" s="189"/>
      <c r="F512" s="189"/>
      <c r="G512" s="189"/>
      <c r="H512" s="189"/>
      <c r="I512" s="338"/>
      <c r="J512" s="338"/>
      <c r="K512" s="338"/>
      <c r="L512" s="338"/>
      <c r="M512" s="338"/>
      <c r="N512" s="338"/>
      <c r="O512" s="338"/>
      <c r="P512" s="338"/>
      <c r="Q512" s="338"/>
      <c r="R512" s="338"/>
      <c r="S512" s="338"/>
      <c r="T512" s="230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</row>
    <row r="513" spans="1:30">
      <c r="A513" s="189"/>
      <c r="B513" s="189"/>
      <c r="C513" s="189"/>
      <c r="D513" s="189"/>
      <c r="E513" s="189"/>
      <c r="F513" s="189"/>
      <c r="G513" s="189"/>
      <c r="H513" s="189"/>
      <c r="I513" s="338"/>
      <c r="J513" s="338"/>
      <c r="K513" s="338"/>
      <c r="L513" s="338"/>
      <c r="M513" s="338"/>
      <c r="N513" s="338"/>
      <c r="O513" s="338"/>
      <c r="P513" s="338"/>
      <c r="Q513" s="338"/>
      <c r="R513" s="338"/>
      <c r="S513" s="338"/>
      <c r="T513" s="230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</row>
    <row r="514" spans="1:30">
      <c r="A514" s="189"/>
      <c r="B514" s="189"/>
      <c r="C514" s="189"/>
      <c r="D514" s="189"/>
      <c r="E514" s="189"/>
      <c r="F514" s="189"/>
      <c r="G514" s="189"/>
      <c r="H514" s="189"/>
      <c r="I514" s="338"/>
      <c r="J514" s="338"/>
      <c r="K514" s="338"/>
      <c r="L514" s="338"/>
      <c r="M514" s="338"/>
      <c r="N514" s="338"/>
      <c r="O514" s="338"/>
      <c r="P514" s="338"/>
      <c r="Q514" s="338"/>
      <c r="R514" s="338"/>
      <c r="S514" s="338"/>
      <c r="T514" s="230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</row>
    <row r="515" spans="1:30">
      <c r="A515" s="189"/>
      <c r="B515" s="189"/>
      <c r="C515" s="189"/>
      <c r="D515" s="189"/>
      <c r="E515" s="189"/>
      <c r="F515" s="189"/>
      <c r="G515" s="189"/>
      <c r="H515" s="189"/>
      <c r="I515" s="338"/>
      <c r="J515" s="338"/>
      <c r="K515" s="338"/>
      <c r="L515" s="338"/>
      <c r="M515" s="338"/>
      <c r="N515" s="338"/>
      <c r="O515" s="338"/>
      <c r="P515" s="338"/>
      <c r="Q515" s="338"/>
      <c r="R515" s="338"/>
      <c r="S515" s="338"/>
      <c r="T515" s="230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</row>
    <row r="516" spans="1:30">
      <c r="A516" s="189"/>
      <c r="B516" s="189"/>
      <c r="C516" s="189"/>
      <c r="D516" s="189"/>
      <c r="E516" s="189"/>
      <c r="F516" s="189"/>
      <c r="G516" s="189"/>
      <c r="H516" s="189"/>
      <c r="I516" s="338"/>
      <c r="J516" s="338"/>
      <c r="K516" s="338"/>
      <c r="L516" s="338"/>
      <c r="M516" s="338"/>
      <c r="N516" s="338"/>
      <c r="O516" s="338"/>
      <c r="P516" s="338"/>
      <c r="Q516" s="338"/>
      <c r="R516" s="338"/>
      <c r="S516" s="338"/>
      <c r="T516" s="230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</row>
    <row r="517" spans="1:30">
      <c r="A517" s="189"/>
      <c r="B517" s="189"/>
      <c r="C517" s="189"/>
      <c r="D517" s="189"/>
      <c r="E517" s="189"/>
      <c r="F517" s="189"/>
      <c r="G517" s="189"/>
      <c r="H517" s="189"/>
      <c r="I517" s="338"/>
      <c r="J517" s="338"/>
      <c r="K517" s="338"/>
      <c r="L517" s="338"/>
      <c r="M517" s="338"/>
      <c r="N517" s="338"/>
      <c r="O517" s="338"/>
      <c r="P517" s="338"/>
      <c r="Q517" s="338"/>
      <c r="R517" s="338"/>
      <c r="S517" s="338"/>
      <c r="T517" s="230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</row>
    <row r="518" spans="1:30">
      <c r="A518" s="189"/>
      <c r="B518" s="189"/>
      <c r="C518" s="189"/>
      <c r="D518" s="189"/>
      <c r="E518" s="189"/>
      <c r="F518" s="189"/>
      <c r="G518" s="189"/>
      <c r="H518" s="189"/>
      <c r="I518" s="338"/>
      <c r="J518" s="338"/>
      <c r="K518" s="338"/>
      <c r="L518" s="338"/>
      <c r="M518" s="338"/>
      <c r="N518" s="338"/>
      <c r="O518" s="338"/>
      <c r="P518" s="338"/>
      <c r="Q518" s="338"/>
      <c r="R518" s="338"/>
      <c r="S518" s="338"/>
      <c r="T518" s="230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</row>
    <row r="519" spans="1:30">
      <c r="A519" s="189"/>
      <c r="B519" s="189"/>
      <c r="C519" s="189"/>
      <c r="D519" s="189"/>
      <c r="E519" s="189"/>
      <c r="F519" s="189"/>
      <c r="G519" s="189"/>
      <c r="H519" s="189"/>
      <c r="I519" s="338"/>
      <c r="J519" s="338"/>
      <c r="K519" s="338"/>
      <c r="L519" s="338"/>
      <c r="M519" s="338"/>
      <c r="N519" s="338"/>
      <c r="O519" s="338"/>
      <c r="P519" s="338"/>
      <c r="Q519" s="338"/>
      <c r="R519" s="338"/>
      <c r="S519" s="338"/>
      <c r="T519" s="230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</row>
    <row r="520" spans="1:30">
      <c r="A520" s="189"/>
      <c r="B520" s="189"/>
      <c r="C520" s="189"/>
      <c r="D520" s="189"/>
      <c r="E520" s="189"/>
      <c r="F520" s="189"/>
      <c r="G520" s="189"/>
      <c r="H520" s="189"/>
      <c r="I520" s="338"/>
      <c r="J520" s="338"/>
      <c r="K520" s="338"/>
      <c r="L520" s="338"/>
      <c r="M520" s="338"/>
      <c r="N520" s="338"/>
      <c r="O520" s="338"/>
      <c r="P520" s="338"/>
      <c r="Q520" s="338"/>
      <c r="R520" s="338"/>
      <c r="S520" s="338"/>
      <c r="T520" s="230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</row>
    <row r="521" spans="1:30">
      <c r="A521" s="189"/>
      <c r="B521" s="189"/>
      <c r="C521" s="189"/>
      <c r="D521" s="189"/>
      <c r="E521" s="189"/>
      <c r="F521" s="189"/>
      <c r="G521" s="189"/>
      <c r="H521" s="189"/>
      <c r="I521" s="338"/>
      <c r="J521" s="338"/>
      <c r="K521" s="338"/>
      <c r="L521" s="338"/>
      <c r="M521" s="338"/>
      <c r="N521" s="338"/>
      <c r="O521" s="338"/>
      <c r="P521" s="338"/>
      <c r="Q521" s="338"/>
      <c r="R521" s="338"/>
      <c r="S521" s="338"/>
      <c r="T521" s="230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</row>
    <row r="522" spans="1:30">
      <c r="A522" s="189"/>
      <c r="B522" s="189"/>
      <c r="C522" s="189"/>
      <c r="D522" s="189"/>
      <c r="E522" s="189"/>
      <c r="F522" s="189"/>
      <c r="G522" s="189"/>
      <c r="H522" s="189"/>
      <c r="I522" s="338"/>
      <c r="J522" s="338"/>
      <c r="K522" s="338"/>
      <c r="L522" s="338"/>
      <c r="M522" s="338"/>
      <c r="N522" s="338"/>
      <c r="O522" s="338"/>
      <c r="P522" s="338"/>
      <c r="Q522" s="338"/>
      <c r="R522" s="338"/>
      <c r="S522" s="338"/>
      <c r="T522" s="230"/>
      <c r="U522" s="189"/>
      <c r="V522" s="189"/>
      <c r="W522" s="189"/>
      <c r="X522" s="189"/>
      <c r="Y522" s="189"/>
      <c r="Z522" s="189"/>
      <c r="AA522" s="189"/>
      <c r="AB522" s="189"/>
      <c r="AC522" s="189"/>
      <c r="AD522" s="189"/>
    </row>
    <row r="523" spans="1:30">
      <c r="A523" s="189"/>
      <c r="B523" s="189"/>
      <c r="C523" s="189"/>
      <c r="D523" s="189"/>
      <c r="E523" s="189"/>
      <c r="F523" s="189"/>
      <c r="G523" s="189"/>
      <c r="H523" s="189"/>
      <c r="I523" s="338"/>
      <c r="J523" s="338"/>
      <c r="K523" s="338"/>
      <c r="L523" s="338"/>
      <c r="M523" s="338"/>
      <c r="N523" s="338"/>
      <c r="O523" s="338"/>
      <c r="P523" s="338"/>
      <c r="Q523" s="338"/>
      <c r="R523" s="338"/>
      <c r="S523" s="338"/>
      <c r="T523" s="230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</row>
    <row r="524" spans="1:30">
      <c r="A524" s="189"/>
      <c r="B524" s="189"/>
      <c r="C524" s="189"/>
      <c r="D524" s="189"/>
      <c r="E524" s="189"/>
      <c r="F524" s="189"/>
      <c r="G524" s="189"/>
      <c r="H524" s="189"/>
      <c r="I524" s="338"/>
      <c r="J524" s="338"/>
      <c r="K524" s="338"/>
      <c r="L524" s="338"/>
      <c r="M524" s="338"/>
      <c r="N524" s="338"/>
      <c r="O524" s="338"/>
      <c r="P524" s="338"/>
      <c r="Q524" s="338"/>
      <c r="R524" s="338"/>
      <c r="S524" s="338"/>
      <c r="T524" s="230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</row>
    <row r="525" spans="1:30">
      <c r="A525" s="189"/>
      <c r="B525" s="189"/>
      <c r="C525" s="189"/>
      <c r="D525" s="189"/>
      <c r="E525" s="189"/>
      <c r="F525" s="189"/>
      <c r="G525" s="189"/>
      <c r="H525" s="189"/>
      <c r="I525" s="338"/>
      <c r="J525" s="338"/>
      <c r="K525" s="338"/>
      <c r="L525" s="338"/>
      <c r="M525" s="338"/>
      <c r="N525" s="338"/>
      <c r="O525" s="338"/>
      <c r="P525" s="338"/>
      <c r="Q525" s="338"/>
      <c r="R525" s="338"/>
      <c r="S525" s="338"/>
      <c r="T525" s="230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</row>
    <row r="526" spans="1:30">
      <c r="A526" s="189"/>
      <c r="B526" s="189"/>
      <c r="C526" s="189"/>
      <c r="D526" s="189"/>
      <c r="E526" s="189"/>
      <c r="F526" s="189"/>
      <c r="G526" s="189"/>
      <c r="H526" s="189"/>
      <c r="I526" s="338"/>
      <c r="J526" s="338"/>
      <c r="K526" s="338"/>
      <c r="L526" s="338"/>
      <c r="M526" s="338"/>
      <c r="N526" s="338"/>
      <c r="O526" s="338"/>
      <c r="P526" s="338"/>
      <c r="Q526" s="338"/>
      <c r="R526" s="338"/>
      <c r="S526" s="338"/>
      <c r="T526" s="230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</row>
    <row r="527" spans="1:30">
      <c r="A527" s="189"/>
      <c r="B527" s="189"/>
      <c r="C527" s="189"/>
      <c r="D527" s="189"/>
      <c r="E527" s="189"/>
      <c r="F527" s="189"/>
      <c r="G527" s="189"/>
      <c r="H527" s="189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  <c r="S527" s="338"/>
      <c r="T527" s="230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</row>
    <row r="528" spans="1:30">
      <c r="A528" s="189"/>
      <c r="B528" s="189"/>
      <c r="C528" s="189"/>
      <c r="D528" s="189"/>
      <c r="E528" s="189"/>
      <c r="F528" s="189"/>
      <c r="G528" s="189"/>
      <c r="H528" s="189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230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</row>
    <row r="529" spans="1:30">
      <c r="A529" s="189"/>
      <c r="B529" s="189"/>
      <c r="C529" s="189"/>
      <c r="D529" s="189"/>
      <c r="E529" s="189"/>
      <c r="F529" s="189"/>
      <c r="G529" s="189"/>
      <c r="H529" s="189"/>
      <c r="I529" s="338"/>
      <c r="J529" s="338"/>
      <c r="K529" s="338"/>
      <c r="L529" s="338"/>
      <c r="M529" s="338"/>
      <c r="N529" s="338"/>
      <c r="O529" s="338"/>
      <c r="P529" s="338"/>
      <c r="Q529" s="338"/>
      <c r="R529" s="338"/>
      <c r="S529" s="338"/>
      <c r="T529" s="230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</row>
    <row r="530" spans="1:30">
      <c r="A530" s="189"/>
      <c r="B530" s="189"/>
      <c r="C530" s="189"/>
      <c r="D530" s="189"/>
      <c r="E530" s="189"/>
      <c r="F530" s="189"/>
      <c r="G530" s="189"/>
      <c r="H530" s="189"/>
      <c r="I530" s="338"/>
      <c r="J530" s="338"/>
      <c r="K530" s="338"/>
      <c r="L530" s="338"/>
      <c r="M530" s="338"/>
      <c r="N530" s="338"/>
      <c r="O530" s="338"/>
      <c r="P530" s="338"/>
      <c r="Q530" s="338"/>
      <c r="R530" s="338"/>
      <c r="S530" s="338"/>
      <c r="T530" s="230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</row>
    <row r="531" spans="1:30">
      <c r="A531" s="189"/>
      <c r="B531" s="189"/>
      <c r="C531" s="189"/>
      <c r="D531" s="189"/>
      <c r="E531" s="189"/>
      <c r="F531" s="189"/>
      <c r="G531" s="189"/>
      <c r="H531" s="189"/>
      <c r="I531" s="338"/>
      <c r="J531" s="338"/>
      <c r="K531" s="338"/>
      <c r="L531" s="338"/>
      <c r="M531" s="338"/>
      <c r="N531" s="338"/>
      <c r="O531" s="338"/>
      <c r="P531" s="338"/>
      <c r="Q531" s="338"/>
      <c r="R531" s="338"/>
      <c r="S531" s="338"/>
      <c r="T531" s="230"/>
      <c r="U531" s="189"/>
      <c r="V531" s="189"/>
      <c r="W531" s="189"/>
      <c r="X531" s="189"/>
      <c r="Y531" s="189"/>
      <c r="Z531" s="189"/>
      <c r="AA531" s="189"/>
      <c r="AB531" s="189"/>
      <c r="AC531" s="189"/>
      <c r="AD531" s="189"/>
    </row>
    <row r="532" spans="1:30">
      <c r="A532" s="189"/>
      <c r="B532" s="189"/>
      <c r="C532" s="189"/>
      <c r="D532" s="189"/>
      <c r="E532" s="189"/>
      <c r="F532" s="189"/>
      <c r="G532" s="189"/>
      <c r="H532" s="189"/>
      <c r="I532" s="338"/>
      <c r="J532" s="338"/>
      <c r="K532" s="338"/>
      <c r="L532" s="338"/>
      <c r="M532" s="338"/>
      <c r="N532" s="338"/>
      <c r="O532" s="338"/>
      <c r="P532" s="338"/>
      <c r="Q532" s="338"/>
      <c r="R532" s="338"/>
      <c r="S532" s="338"/>
      <c r="T532" s="230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</row>
    <row r="533" spans="1:30">
      <c r="A533" s="189"/>
      <c r="B533" s="189"/>
      <c r="C533" s="189"/>
      <c r="D533" s="189"/>
      <c r="E533" s="189"/>
      <c r="F533" s="189"/>
      <c r="G533" s="189"/>
      <c r="H533" s="189"/>
      <c r="I533" s="338"/>
      <c r="J533" s="338"/>
      <c r="K533" s="338"/>
      <c r="L533" s="338"/>
      <c r="M533" s="338"/>
      <c r="N533" s="338"/>
      <c r="O533" s="338"/>
      <c r="P533" s="338"/>
      <c r="Q533" s="338"/>
      <c r="R533" s="338"/>
      <c r="S533" s="338"/>
      <c r="T533" s="230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</row>
    <row r="534" spans="1:30">
      <c r="A534" s="189"/>
      <c r="B534" s="189"/>
      <c r="C534" s="189"/>
      <c r="D534" s="189"/>
      <c r="E534" s="189"/>
      <c r="F534" s="189"/>
      <c r="G534" s="189"/>
      <c r="H534" s="189"/>
      <c r="I534" s="338"/>
      <c r="J534" s="338"/>
      <c r="K534" s="338"/>
      <c r="L534" s="338"/>
      <c r="M534" s="338"/>
      <c r="N534" s="338"/>
      <c r="O534" s="338"/>
      <c r="P534" s="338"/>
      <c r="Q534" s="338"/>
      <c r="R534" s="338"/>
      <c r="S534" s="338"/>
      <c r="T534" s="230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</row>
    <row r="535" spans="1:30">
      <c r="A535" s="189"/>
      <c r="B535" s="189"/>
      <c r="C535" s="189"/>
      <c r="D535" s="189"/>
      <c r="E535" s="189"/>
      <c r="F535" s="189"/>
      <c r="G535" s="189"/>
      <c r="H535" s="189"/>
      <c r="I535" s="338"/>
      <c r="J535" s="338"/>
      <c r="K535" s="338"/>
      <c r="L535" s="338"/>
      <c r="M535" s="338"/>
      <c r="N535" s="338"/>
      <c r="O535" s="338"/>
      <c r="P535" s="338"/>
      <c r="Q535" s="338"/>
      <c r="R535" s="338"/>
      <c r="S535" s="338"/>
      <c r="T535" s="230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</row>
    <row r="536" spans="1:30">
      <c r="A536" s="189"/>
      <c r="B536" s="189"/>
      <c r="C536" s="189"/>
      <c r="D536" s="189"/>
      <c r="E536" s="189"/>
      <c r="F536" s="189"/>
      <c r="G536" s="189"/>
      <c r="H536" s="189"/>
      <c r="I536" s="338"/>
      <c r="J536" s="338"/>
      <c r="K536" s="338"/>
      <c r="L536" s="338"/>
      <c r="M536" s="338"/>
      <c r="N536" s="338"/>
      <c r="O536" s="338"/>
      <c r="P536" s="338"/>
      <c r="Q536" s="338"/>
      <c r="R536" s="338"/>
      <c r="S536" s="338"/>
      <c r="T536" s="230"/>
      <c r="U536" s="189"/>
      <c r="V536" s="189"/>
      <c r="W536" s="189"/>
      <c r="X536" s="189"/>
      <c r="Y536" s="189"/>
      <c r="Z536" s="189"/>
      <c r="AA536" s="189"/>
      <c r="AB536" s="189"/>
      <c r="AC536" s="189"/>
      <c r="AD536" s="189"/>
    </row>
    <row r="537" spans="1:30">
      <c r="A537" s="189"/>
      <c r="B537" s="189"/>
      <c r="C537" s="189"/>
      <c r="D537" s="189"/>
      <c r="E537" s="189"/>
      <c r="F537" s="189"/>
      <c r="G537" s="189"/>
      <c r="H537" s="189"/>
      <c r="I537" s="338"/>
      <c r="J537" s="338"/>
      <c r="K537" s="338"/>
      <c r="L537" s="338"/>
      <c r="M537" s="338"/>
      <c r="N537" s="338"/>
      <c r="O537" s="338"/>
      <c r="P537" s="338"/>
      <c r="Q537" s="338"/>
      <c r="R537" s="338"/>
      <c r="S537" s="338"/>
      <c r="T537" s="230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</row>
    <row r="538" spans="1:30">
      <c r="A538" s="189"/>
      <c r="B538" s="189"/>
      <c r="C538" s="189"/>
      <c r="D538" s="189"/>
      <c r="E538" s="189"/>
      <c r="F538" s="189"/>
      <c r="G538" s="189"/>
      <c r="H538" s="189"/>
      <c r="I538" s="338"/>
      <c r="J538" s="338"/>
      <c r="K538" s="338"/>
      <c r="L538" s="338"/>
      <c r="M538" s="338"/>
      <c r="N538" s="338"/>
      <c r="O538" s="338"/>
      <c r="P538" s="338"/>
      <c r="Q538" s="338"/>
      <c r="R538" s="338"/>
      <c r="S538" s="338"/>
      <c r="T538" s="230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</row>
    <row r="539" spans="1:30">
      <c r="A539" s="189"/>
      <c r="B539" s="189"/>
      <c r="C539" s="189"/>
      <c r="D539" s="189"/>
      <c r="E539" s="189"/>
      <c r="F539" s="189"/>
      <c r="G539" s="189"/>
      <c r="H539" s="189"/>
      <c r="I539" s="338"/>
      <c r="J539" s="338"/>
      <c r="K539" s="338"/>
      <c r="L539" s="338"/>
      <c r="M539" s="338"/>
      <c r="N539" s="338"/>
      <c r="O539" s="338"/>
      <c r="P539" s="338"/>
      <c r="Q539" s="338"/>
      <c r="R539" s="338"/>
      <c r="S539" s="338"/>
      <c r="T539" s="230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</row>
    <row r="540" spans="1:30">
      <c r="A540" s="189"/>
      <c r="B540" s="189"/>
      <c r="C540" s="189"/>
      <c r="D540" s="189"/>
      <c r="E540" s="189"/>
      <c r="F540" s="189"/>
      <c r="G540" s="189"/>
      <c r="H540" s="189"/>
      <c r="I540" s="338"/>
      <c r="J540" s="338"/>
      <c r="K540" s="338"/>
      <c r="L540" s="338"/>
      <c r="M540" s="338"/>
      <c r="N540" s="338"/>
      <c r="O540" s="338"/>
      <c r="P540" s="338"/>
      <c r="Q540" s="338"/>
      <c r="R540" s="338"/>
      <c r="S540" s="338"/>
      <c r="T540" s="230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</row>
    <row r="541" spans="1:30">
      <c r="A541" s="189"/>
      <c r="B541" s="189"/>
      <c r="C541" s="189"/>
      <c r="D541" s="189"/>
      <c r="E541" s="189"/>
      <c r="F541" s="189"/>
      <c r="G541" s="189"/>
      <c r="H541" s="189"/>
      <c r="I541" s="338"/>
      <c r="J541" s="338"/>
      <c r="K541" s="338"/>
      <c r="L541" s="338"/>
      <c r="M541" s="338"/>
      <c r="N541" s="338"/>
      <c r="O541" s="338"/>
      <c r="P541" s="338"/>
      <c r="Q541" s="338"/>
      <c r="R541" s="338"/>
      <c r="S541" s="338"/>
      <c r="T541" s="230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</row>
    <row r="542" spans="1:30">
      <c r="A542" s="189"/>
      <c r="B542" s="189"/>
      <c r="C542" s="189"/>
      <c r="D542" s="189"/>
      <c r="E542" s="189"/>
      <c r="F542" s="189"/>
      <c r="G542" s="189"/>
      <c r="H542" s="189"/>
      <c r="I542" s="338"/>
      <c r="J542" s="338"/>
      <c r="K542" s="338"/>
      <c r="L542" s="338"/>
      <c r="M542" s="338"/>
      <c r="N542" s="338"/>
      <c r="O542" s="338"/>
      <c r="P542" s="338"/>
      <c r="Q542" s="338"/>
      <c r="R542" s="338"/>
      <c r="S542" s="338"/>
      <c r="T542" s="230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</row>
    <row r="543" spans="1:30">
      <c r="A543" s="189"/>
      <c r="B543" s="189"/>
      <c r="C543" s="189"/>
      <c r="D543" s="189"/>
      <c r="E543" s="189"/>
      <c r="F543" s="189"/>
      <c r="G543" s="189"/>
      <c r="H543" s="189"/>
      <c r="I543" s="338"/>
      <c r="J543" s="338"/>
      <c r="K543" s="338"/>
      <c r="L543" s="338"/>
      <c r="M543" s="338"/>
      <c r="N543" s="338"/>
      <c r="O543" s="338"/>
      <c r="P543" s="338"/>
      <c r="Q543" s="338"/>
      <c r="R543" s="338"/>
      <c r="S543" s="338"/>
      <c r="T543" s="230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</row>
    <row r="544" spans="1:30">
      <c r="A544" s="189"/>
      <c r="B544" s="189"/>
      <c r="C544" s="189"/>
      <c r="D544" s="189"/>
      <c r="E544" s="189"/>
      <c r="F544" s="189"/>
      <c r="G544" s="189"/>
      <c r="H544" s="189"/>
      <c r="I544" s="338"/>
      <c r="J544" s="338"/>
      <c r="K544" s="338"/>
      <c r="L544" s="338"/>
      <c r="M544" s="338"/>
      <c r="N544" s="338"/>
      <c r="O544" s="338"/>
      <c r="P544" s="338"/>
      <c r="Q544" s="338"/>
      <c r="R544" s="338"/>
      <c r="S544" s="338"/>
      <c r="T544" s="230"/>
      <c r="U544" s="189"/>
      <c r="V544" s="189"/>
      <c r="W544" s="189"/>
      <c r="X544" s="189"/>
      <c r="Y544" s="189"/>
      <c r="Z544" s="189"/>
      <c r="AA544" s="189"/>
      <c r="AB544" s="189"/>
      <c r="AC544" s="189"/>
      <c r="AD544" s="189"/>
    </row>
    <row r="545" spans="1:30">
      <c r="A545" s="189"/>
      <c r="B545" s="189"/>
      <c r="C545" s="189"/>
      <c r="D545" s="189"/>
      <c r="E545" s="189"/>
      <c r="F545" s="189"/>
      <c r="G545" s="189"/>
      <c r="H545" s="189"/>
      <c r="I545" s="338"/>
      <c r="J545" s="338"/>
      <c r="K545" s="338"/>
      <c r="L545" s="338"/>
      <c r="M545" s="338"/>
      <c r="N545" s="338"/>
      <c r="O545" s="338"/>
      <c r="P545" s="338"/>
      <c r="Q545" s="338"/>
      <c r="R545" s="338"/>
      <c r="S545" s="338"/>
      <c r="T545" s="230"/>
      <c r="U545" s="189"/>
      <c r="V545" s="189"/>
      <c r="W545" s="189"/>
      <c r="X545" s="189"/>
      <c r="Y545" s="189"/>
      <c r="Z545" s="189"/>
      <c r="AA545" s="189"/>
      <c r="AB545" s="189"/>
      <c r="AC545" s="189"/>
      <c r="AD545" s="189"/>
    </row>
    <row r="546" spans="1:30">
      <c r="A546" s="189"/>
      <c r="B546" s="189"/>
      <c r="C546" s="189"/>
      <c r="D546" s="189"/>
      <c r="E546" s="189"/>
      <c r="F546" s="189"/>
      <c r="G546" s="189"/>
      <c r="H546" s="189"/>
      <c r="I546" s="338"/>
      <c r="J546" s="338"/>
      <c r="K546" s="338"/>
      <c r="L546" s="338"/>
      <c r="M546" s="338"/>
      <c r="N546" s="338"/>
      <c r="O546" s="338"/>
      <c r="P546" s="338"/>
      <c r="Q546" s="338"/>
      <c r="R546" s="338"/>
      <c r="S546" s="338"/>
      <c r="T546" s="230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</row>
    <row r="547" spans="1:30">
      <c r="A547" s="189"/>
      <c r="B547" s="189"/>
      <c r="C547" s="189"/>
      <c r="D547" s="189"/>
      <c r="E547" s="189"/>
      <c r="F547" s="189"/>
      <c r="G547" s="189"/>
      <c r="H547" s="189"/>
      <c r="I547" s="338"/>
      <c r="J547" s="338"/>
      <c r="K547" s="338"/>
      <c r="L547" s="338"/>
      <c r="M547" s="338"/>
      <c r="N547" s="338"/>
      <c r="O547" s="338"/>
      <c r="P547" s="338"/>
      <c r="Q547" s="338"/>
      <c r="R547" s="338"/>
      <c r="S547" s="338"/>
      <c r="T547" s="230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</row>
    <row r="548" spans="1:30">
      <c r="A548" s="189"/>
      <c r="B548" s="189"/>
      <c r="C548" s="189"/>
      <c r="D548" s="189"/>
      <c r="E548" s="189"/>
      <c r="F548" s="189"/>
      <c r="G548" s="189"/>
      <c r="H548" s="189"/>
      <c r="I548" s="338"/>
      <c r="J548" s="338"/>
      <c r="K548" s="338"/>
      <c r="L548" s="338"/>
      <c r="M548" s="338"/>
      <c r="N548" s="338"/>
      <c r="O548" s="338"/>
      <c r="P548" s="338"/>
      <c r="Q548" s="338"/>
      <c r="R548" s="338"/>
      <c r="S548" s="338"/>
      <c r="T548" s="230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</row>
    <row r="549" spans="1:30">
      <c r="A549" s="189"/>
      <c r="B549" s="189"/>
      <c r="C549" s="189"/>
      <c r="D549" s="189"/>
      <c r="E549" s="189"/>
      <c r="F549" s="189"/>
      <c r="G549" s="189"/>
      <c r="H549" s="189"/>
      <c r="I549" s="338"/>
      <c r="J549" s="338"/>
      <c r="K549" s="338"/>
      <c r="L549" s="338"/>
      <c r="M549" s="338"/>
      <c r="N549" s="338"/>
      <c r="O549" s="338"/>
      <c r="P549" s="338"/>
      <c r="Q549" s="338"/>
      <c r="R549" s="338"/>
      <c r="S549" s="338"/>
      <c r="T549" s="230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</row>
    <row r="550" spans="1:30">
      <c r="A550" s="189"/>
      <c r="B550" s="189"/>
      <c r="C550" s="189"/>
      <c r="D550" s="189"/>
      <c r="E550" s="189"/>
      <c r="F550" s="189"/>
      <c r="G550" s="189"/>
      <c r="H550" s="189"/>
      <c r="I550" s="338"/>
      <c r="J550" s="338"/>
      <c r="K550" s="338"/>
      <c r="L550" s="338"/>
      <c r="M550" s="338"/>
      <c r="N550" s="338"/>
      <c r="O550" s="338"/>
      <c r="P550" s="338"/>
      <c r="Q550" s="338"/>
      <c r="R550" s="338"/>
      <c r="S550" s="338"/>
      <c r="T550" s="230"/>
      <c r="U550" s="189"/>
      <c r="V550" s="189"/>
      <c r="W550" s="189"/>
      <c r="X550" s="189"/>
      <c r="Y550" s="189"/>
      <c r="Z550" s="189"/>
      <c r="AA550" s="189"/>
      <c r="AB550" s="189"/>
      <c r="AC550" s="189"/>
      <c r="AD550" s="189"/>
    </row>
    <row r="551" spans="1:30">
      <c r="A551" s="189"/>
      <c r="B551" s="189"/>
      <c r="C551" s="189"/>
      <c r="D551" s="189"/>
      <c r="E551" s="189"/>
      <c r="F551" s="189"/>
      <c r="G551" s="189"/>
      <c r="H551" s="189"/>
      <c r="I551" s="338"/>
      <c r="J551" s="338"/>
      <c r="K551" s="338"/>
      <c r="L551" s="338"/>
      <c r="M551" s="338"/>
      <c r="N551" s="338"/>
      <c r="O551" s="338"/>
      <c r="P551" s="338"/>
      <c r="Q551" s="338"/>
      <c r="R551" s="338"/>
      <c r="S551" s="338"/>
      <c r="T551" s="230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</row>
    <row r="552" spans="1:30">
      <c r="A552" s="189"/>
      <c r="B552" s="189"/>
      <c r="C552" s="189"/>
      <c r="D552" s="189"/>
      <c r="E552" s="189"/>
      <c r="F552" s="189"/>
      <c r="G552" s="189"/>
      <c r="H552" s="189"/>
      <c r="I552" s="338"/>
      <c r="J552" s="338"/>
      <c r="K552" s="338"/>
      <c r="L552" s="338"/>
      <c r="M552" s="338"/>
      <c r="N552" s="338"/>
      <c r="O552" s="338"/>
      <c r="P552" s="338"/>
      <c r="Q552" s="338"/>
      <c r="R552" s="338"/>
      <c r="S552" s="338"/>
      <c r="T552" s="230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</row>
    <row r="553" spans="1:30">
      <c r="A553" s="189"/>
      <c r="B553" s="189"/>
      <c r="C553" s="189"/>
      <c r="D553" s="189"/>
      <c r="E553" s="189"/>
      <c r="F553" s="189"/>
      <c r="G553" s="189"/>
      <c r="H553" s="189"/>
      <c r="I553" s="338"/>
      <c r="J553" s="338"/>
      <c r="K553" s="338"/>
      <c r="L553" s="338"/>
      <c r="M553" s="338"/>
      <c r="N553" s="338"/>
      <c r="O553" s="338"/>
      <c r="P553" s="338"/>
      <c r="Q553" s="338"/>
      <c r="R553" s="338"/>
      <c r="S553" s="338"/>
      <c r="T553" s="230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</row>
    <row r="554" spans="1:30">
      <c r="A554" s="189"/>
      <c r="B554" s="189"/>
      <c r="C554" s="189"/>
      <c r="D554" s="189"/>
      <c r="E554" s="189"/>
      <c r="F554" s="189"/>
      <c r="G554" s="189"/>
      <c r="H554" s="189"/>
      <c r="I554" s="338"/>
      <c r="J554" s="338"/>
      <c r="K554" s="338"/>
      <c r="L554" s="338"/>
      <c r="M554" s="338"/>
      <c r="N554" s="338"/>
      <c r="O554" s="338"/>
      <c r="P554" s="338"/>
      <c r="Q554" s="338"/>
      <c r="R554" s="338"/>
      <c r="S554" s="338"/>
      <c r="T554" s="230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</row>
    <row r="555" spans="1:30">
      <c r="A555" s="189"/>
      <c r="B555" s="189"/>
      <c r="C555" s="189"/>
      <c r="D555" s="189"/>
      <c r="E555" s="189"/>
      <c r="F555" s="189"/>
      <c r="G555" s="189"/>
      <c r="H555" s="189"/>
      <c r="I555" s="338"/>
      <c r="J555" s="338"/>
      <c r="K555" s="338"/>
      <c r="L555" s="338"/>
      <c r="M555" s="338"/>
      <c r="N555" s="338"/>
      <c r="O555" s="338"/>
      <c r="P555" s="338"/>
      <c r="Q555" s="338"/>
      <c r="R555" s="338"/>
      <c r="S555" s="338"/>
      <c r="T555" s="230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</row>
    <row r="556" spans="1:30">
      <c r="A556" s="189"/>
      <c r="B556" s="189"/>
      <c r="C556" s="189"/>
      <c r="D556" s="189"/>
      <c r="E556" s="189"/>
      <c r="F556" s="189"/>
      <c r="G556" s="189"/>
      <c r="H556" s="189"/>
      <c r="I556" s="338"/>
      <c r="J556" s="338"/>
      <c r="K556" s="338"/>
      <c r="L556" s="338"/>
      <c r="M556" s="338"/>
      <c r="N556" s="338"/>
      <c r="O556" s="338"/>
      <c r="P556" s="338"/>
      <c r="Q556" s="338"/>
      <c r="R556" s="338"/>
      <c r="S556" s="338"/>
      <c r="T556" s="230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</row>
    <row r="557" spans="1:30">
      <c r="A557" s="189"/>
      <c r="B557" s="189"/>
      <c r="C557" s="189"/>
      <c r="D557" s="189"/>
      <c r="E557" s="189"/>
      <c r="F557" s="189"/>
      <c r="G557" s="189"/>
      <c r="H557" s="189"/>
      <c r="I557" s="338"/>
      <c r="J557" s="338"/>
      <c r="K557" s="338"/>
      <c r="L557" s="338"/>
      <c r="M557" s="338"/>
      <c r="N557" s="338"/>
      <c r="O557" s="338"/>
      <c r="P557" s="338"/>
      <c r="Q557" s="338"/>
      <c r="R557" s="338"/>
      <c r="S557" s="338"/>
      <c r="T557" s="230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</row>
    <row r="558" spans="1:30">
      <c r="A558" s="189"/>
      <c r="B558" s="189"/>
      <c r="C558" s="189"/>
      <c r="D558" s="189"/>
      <c r="E558" s="189"/>
      <c r="F558" s="189"/>
      <c r="G558" s="189"/>
      <c r="H558" s="189"/>
      <c r="I558" s="338"/>
      <c r="J558" s="338"/>
      <c r="K558" s="338"/>
      <c r="L558" s="338"/>
      <c r="M558" s="338"/>
      <c r="N558" s="338"/>
      <c r="O558" s="338"/>
      <c r="P558" s="338"/>
      <c r="Q558" s="338"/>
      <c r="R558" s="338"/>
      <c r="S558" s="338"/>
      <c r="T558" s="230"/>
      <c r="U558" s="189"/>
      <c r="V558" s="189"/>
      <c r="W558" s="189"/>
      <c r="X558" s="189"/>
      <c r="Y558" s="189"/>
      <c r="Z558" s="189"/>
      <c r="AA558" s="189"/>
      <c r="AB558" s="189"/>
      <c r="AC558" s="189"/>
      <c r="AD558" s="189"/>
    </row>
    <row r="559" spans="1:30">
      <c r="A559" s="189"/>
      <c r="B559" s="189"/>
      <c r="C559" s="189"/>
      <c r="D559" s="189"/>
      <c r="E559" s="189"/>
      <c r="F559" s="189"/>
      <c r="G559" s="189"/>
      <c r="H559" s="189"/>
      <c r="I559" s="338"/>
      <c r="J559" s="338"/>
      <c r="K559" s="338"/>
      <c r="L559" s="338"/>
      <c r="M559" s="338"/>
      <c r="N559" s="338"/>
      <c r="O559" s="338"/>
      <c r="P559" s="338"/>
      <c r="Q559" s="338"/>
      <c r="R559" s="338"/>
      <c r="S559" s="338"/>
      <c r="T559" s="230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</row>
    <row r="560" spans="1:30">
      <c r="A560" s="189"/>
      <c r="B560" s="189"/>
      <c r="C560" s="189"/>
      <c r="D560" s="189"/>
      <c r="E560" s="189"/>
      <c r="F560" s="189"/>
      <c r="G560" s="189"/>
      <c r="H560" s="189"/>
      <c r="I560" s="338"/>
      <c r="J560" s="338"/>
      <c r="K560" s="338"/>
      <c r="L560" s="338"/>
      <c r="M560" s="338"/>
      <c r="N560" s="338"/>
      <c r="O560" s="338"/>
      <c r="P560" s="338"/>
      <c r="Q560" s="338"/>
      <c r="R560" s="338"/>
      <c r="S560" s="338"/>
      <c r="T560" s="230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</row>
    <row r="561" spans="1:30">
      <c r="A561" s="189"/>
      <c r="B561" s="189"/>
      <c r="C561" s="189"/>
      <c r="D561" s="189"/>
      <c r="E561" s="189"/>
      <c r="F561" s="189"/>
      <c r="G561" s="189"/>
      <c r="H561" s="189"/>
      <c r="I561" s="338"/>
      <c r="J561" s="338"/>
      <c r="K561" s="338"/>
      <c r="L561" s="338"/>
      <c r="M561" s="338"/>
      <c r="N561" s="338"/>
      <c r="O561" s="338"/>
      <c r="P561" s="338"/>
      <c r="Q561" s="338"/>
      <c r="R561" s="338"/>
      <c r="S561" s="338"/>
      <c r="T561" s="230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</row>
    <row r="562" spans="1:30">
      <c r="A562" s="189"/>
      <c r="B562" s="189"/>
      <c r="C562" s="189"/>
      <c r="D562" s="189"/>
      <c r="E562" s="189"/>
      <c r="F562" s="189"/>
      <c r="G562" s="189"/>
      <c r="H562" s="189"/>
      <c r="I562" s="338"/>
      <c r="J562" s="338"/>
      <c r="K562" s="338"/>
      <c r="L562" s="338"/>
      <c r="M562" s="338"/>
      <c r="N562" s="338"/>
      <c r="O562" s="338"/>
      <c r="P562" s="338"/>
      <c r="Q562" s="338"/>
      <c r="R562" s="338"/>
      <c r="S562" s="338"/>
      <c r="T562" s="230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</row>
    <row r="563" spans="1:30">
      <c r="A563" s="189"/>
      <c r="B563" s="189"/>
      <c r="C563" s="189"/>
      <c r="D563" s="189"/>
      <c r="E563" s="189"/>
      <c r="F563" s="189"/>
      <c r="G563" s="189"/>
      <c r="H563" s="189"/>
      <c r="I563" s="338"/>
      <c r="J563" s="338"/>
      <c r="K563" s="338"/>
      <c r="L563" s="338"/>
      <c r="M563" s="338"/>
      <c r="N563" s="338"/>
      <c r="O563" s="338"/>
      <c r="P563" s="338"/>
      <c r="Q563" s="338"/>
      <c r="R563" s="338"/>
      <c r="S563" s="338"/>
      <c r="T563" s="230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</row>
    <row r="564" spans="1:30">
      <c r="A564" s="189"/>
      <c r="B564" s="189"/>
      <c r="C564" s="189"/>
      <c r="D564" s="189"/>
      <c r="E564" s="189"/>
      <c r="F564" s="189"/>
      <c r="G564" s="189"/>
      <c r="H564" s="189"/>
      <c r="I564" s="338"/>
      <c r="J564" s="338"/>
      <c r="K564" s="338"/>
      <c r="L564" s="338"/>
      <c r="M564" s="338"/>
      <c r="N564" s="338"/>
      <c r="O564" s="338"/>
      <c r="P564" s="338"/>
      <c r="Q564" s="338"/>
      <c r="R564" s="338"/>
      <c r="S564" s="338"/>
      <c r="T564" s="230"/>
      <c r="U564" s="189"/>
      <c r="V564" s="189"/>
      <c r="W564" s="189"/>
      <c r="X564" s="189"/>
      <c r="Y564" s="189"/>
      <c r="Z564" s="189"/>
      <c r="AA564" s="189"/>
      <c r="AB564" s="189"/>
      <c r="AC564" s="189"/>
      <c r="AD564" s="189"/>
    </row>
    <row r="565" spans="1:30">
      <c r="A565" s="189"/>
      <c r="B565" s="189"/>
      <c r="C565" s="189"/>
      <c r="D565" s="189"/>
      <c r="E565" s="189"/>
      <c r="F565" s="189"/>
      <c r="G565" s="189"/>
      <c r="H565" s="189"/>
      <c r="I565" s="338"/>
      <c r="J565" s="338"/>
      <c r="K565" s="338"/>
      <c r="L565" s="338"/>
      <c r="M565" s="338"/>
      <c r="N565" s="338"/>
      <c r="O565" s="338"/>
      <c r="P565" s="338"/>
      <c r="Q565" s="338"/>
      <c r="R565" s="338"/>
      <c r="S565" s="338"/>
      <c r="T565" s="230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</row>
    <row r="566" spans="1:30">
      <c r="A566" s="189"/>
      <c r="B566" s="189"/>
      <c r="C566" s="189"/>
      <c r="D566" s="189"/>
      <c r="E566" s="189"/>
      <c r="F566" s="189"/>
      <c r="G566" s="189"/>
      <c r="H566" s="189"/>
      <c r="I566" s="338"/>
      <c r="J566" s="338"/>
      <c r="K566" s="338"/>
      <c r="L566" s="338"/>
      <c r="M566" s="338"/>
      <c r="N566" s="338"/>
      <c r="O566" s="338"/>
      <c r="P566" s="338"/>
      <c r="Q566" s="338"/>
      <c r="R566" s="338"/>
      <c r="S566" s="338"/>
      <c r="T566" s="230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</row>
    <row r="567" spans="1:30">
      <c r="A567" s="189"/>
      <c r="B567" s="189"/>
      <c r="C567" s="189"/>
      <c r="D567" s="189"/>
      <c r="E567" s="189"/>
      <c r="F567" s="189"/>
      <c r="G567" s="189"/>
      <c r="H567" s="189"/>
      <c r="I567" s="338"/>
      <c r="J567" s="338"/>
      <c r="K567" s="338"/>
      <c r="L567" s="338"/>
      <c r="M567" s="338"/>
      <c r="N567" s="338"/>
      <c r="O567" s="338"/>
      <c r="P567" s="338"/>
      <c r="Q567" s="338"/>
      <c r="R567" s="338"/>
      <c r="S567" s="338"/>
      <c r="T567" s="230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</row>
    <row r="568" spans="1:30">
      <c r="A568" s="189"/>
      <c r="B568" s="189"/>
      <c r="C568" s="189"/>
      <c r="D568" s="189"/>
      <c r="E568" s="189"/>
      <c r="F568" s="189"/>
      <c r="G568" s="189"/>
      <c r="H568" s="189"/>
      <c r="I568" s="338"/>
      <c r="J568" s="338"/>
      <c r="K568" s="338"/>
      <c r="L568" s="338"/>
      <c r="M568" s="338"/>
      <c r="N568" s="338"/>
      <c r="O568" s="338"/>
      <c r="P568" s="338"/>
      <c r="Q568" s="338"/>
      <c r="R568" s="338"/>
      <c r="S568" s="338"/>
      <c r="T568" s="230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</row>
    <row r="569" spans="1:30">
      <c r="A569" s="189"/>
      <c r="B569" s="189"/>
      <c r="C569" s="189"/>
      <c r="D569" s="189"/>
      <c r="E569" s="189"/>
      <c r="F569" s="189"/>
      <c r="G569" s="189"/>
      <c r="H569" s="189"/>
      <c r="I569" s="338"/>
      <c r="J569" s="338"/>
      <c r="K569" s="338"/>
      <c r="L569" s="338"/>
      <c r="M569" s="338"/>
      <c r="N569" s="338"/>
      <c r="O569" s="338"/>
      <c r="P569" s="338"/>
      <c r="Q569" s="338"/>
      <c r="R569" s="338"/>
      <c r="S569" s="338"/>
      <c r="T569" s="230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</row>
    <row r="570" spans="1:30">
      <c r="A570" s="189"/>
      <c r="B570" s="189"/>
      <c r="C570" s="189"/>
      <c r="D570" s="189"/>
      <c r="E570" s="189"/>
      <c r="F570" s="189"/>
      <c r="G570" s="189"/>
      <c r="H570" s="189"/>
      <c r="I570" s="338"/>
      <c r="J570" s="338"/>
      <c r="K570" s="338"/>
      <c r="L570" s="338"/>
      <c r="M570" s="338"/>
      <c r="N570" s="338"/>
      <c r="O570" s="338"/>
      <c r="P570" s="338"/>
      <c r="Q570" s="338"/>
      <c r="R570" s="338"/>
      <c r="S570" s="338"/>
      <c r="T570" s="230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</row>
    <row r="571" spans="1:30">
      <c r="A571" s="189"/>
      <c r="B571" s="189"/>
      <c r="C571" s="189"/>
      <c r="D571" s="189"/>
      <c r="E571" s="189"/>
      <c r="F571" s="189"/>
      <c r="G571" s="189"/>
      <c r="H571" s="189"/>
      <c r="I571" s="338"/>
      <c r="J571" s="338"/>
      <c r="K571" s="338"/>
      <c r="L571" s="338"/>
      <c r="M571" s="338"/>
      <c r="N571" s="338"/>
      <c r="O571" s="338"/>
      <c r="P571" s="338"/>
      <c r="Q571" s="338"/>
      <c r="R571" s="338"/>
      <c r="S571" s="338"/>
      <c r="T571" s="230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</row>
    <row r="572" spans="1:30">
      <c r="A572" s="189"/>
      <c r="B572" s="189"/>
      <c r="C572" s="189"/>
      <c r="D572" s="189"/>
      <c r="E572" s="189"/>
      <c r="F572" s="189"/>
      <c r="G572" s="189"/>
      <c r="H572" s="189"/>
      <c r="I572" s="338"/>
      <c r="J572" s="338"/>
      <c r="K572" s="338"/>
      <c r="L572" s="338"/>
      <c r="M572" s="338"/>
      <c r="N572" s="338"/>
      <c r="O572" s="338"/>
      <c r="P572" s="338"/>
      <c r="Q572" s="338"/>
      <c r="R572" s="338"/>
      <c r="S572" s="338"/>
      <c r="T572" s="230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</row>
    <row r="573" spans="1:30">
      <c r="A573" s="189"/>
      <c r="B573" s="189"/>
      <c r="C573" s="189"/>
      <c r="D573" s="189"/>
      <c r="E573" s="189"/>
      <c r="F573" s="189"/>
      <c r="G573" s="189"/>
      <c r="H573" s="189"/>
      <c r="I573" s="338"/>
      <c r="J573" s="338"/>
      <c r="K573" s="338"/>
      <c r="L573" s="338"/>
      <c r="M573" s="338"/>
      <c r="N573" s="338"/>
      <c r="O573" s="338"/>
      <c r="P573" s="338"/>
      <c r="Q573" s="338"/>
      <c r="R573" s="338"/>
      <c r="S573" s="338"/>
      <c r="T573" s="230"/>
      <c r="U573" s="189"/>
      <c r="V573" s="189"/>
      <c r="W573" s="189"/>
      <c r="X573" s="189"/>
      <c r="Y573" s="189"/>
      <c r="Z573" s="189"/>
      <c r="AA573" s="189"/>
      <c r="AB573" s="189"/>
      <c r="AC573" s="189"/>
      <c r="AD573" s="189"/>
    </row>
    <row r="574" spans="1:30">
      <c r="A574" s="189"/>
      <c r="B574" s="189"/>
      <c r="C574" s="189"/>
      <c r="D574" s="189"/>
      <c r="E574" s="189"/>
      <c r="F574" s="189"/>
      <c r="G574" s="189"/>
      <c r="H574" s="189"/>
      <c r="I574" s="338"/>
      <c r="J574" s="338"/>
      <c r="K574" s="338"/>
      <c r="L574" s="338"/>
      <c r="M574" s="338"/>
      <c r="N574" s="338"/>
      <c r="O574" s="338"/>
      <c r="P574" s="338"/>
      <c r="Q574" s="338"/>
      <c r="R574" s="338"/>
      <c r="S574" s="338"/>
      <c r="T574" s="230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</row>
    <row r="575" spans="1:30">
      <c r="A575" s="189"/>
      <c r="B575" s="189"/>
      <c r="C575" s="189"/>
      <c r="D575" s="189"/>
      <c r="E575" s="189"/>
      <c r="F575" s="189"/>
      <c r="G575" s="189"/>
      <c r="H575" s="189"/>
      <c r="I575" s="338"/>
      <c r="J575" s="338"/>
      <c r="K575" s="338"/>
      <c r="L575" s="338"/>
      <c r="M575" s="338"/>
      <c r="N575" s="338"/>
      <c r="O575" s="338"/>
      <c r="P575" s="338"/>
      <c r="Q575" s="338"/>
      <c r="R575" s="338"/>
      <c r="S575" s="338"/>
      <c r="T575" s="230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</row>
    <row r="576" spans="1:30">
      <c r="A576" s="189"/>
      <c r="B576" s="189"/>
      <c r="C576" s="189"/>
      <c r="D576" s="189"/>
      <c r="E576" s="189"/>
      <c r="F576" s="189"/>
      <c r="G576" s="189"/>
      <c r="H576" s="189"/>
      <c r="I576" s="338"/>
      <c r="J576" s="338"/>
      <c r="K576" s="338"/>
      <c r="L576" s="338"/>
      <c r="M576" s="338"/>
      <c r="N576" s="338"/>
      <c r="O576" s="338"/>
      <c r="P576" s="338"/>
      <c r="Q576" s="338"/>
      <c r="R576" s="338"/>
      <c r="S576" s="338"/>
      <c r="T576" s="230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</row>
    <row r="577" spans="1:30">
      <c r="A577" s="189"/>
      <c r="B577" s="189"/>
      <c r="C577" s="189"/>
      <c r="D577" s="189"/>
      <c r="E577" s="189"/>
      <c r="F577" s="189"/>
      <c r="G577" s="189"/>
      <c r="H577" s="189"/>
      <c r="I577" s="338"/>
      <c r="J577" s="338"/>
      <c r="K577" s="338"/>
      <c r="L577" s="338"/>
      <c r="M577" s="338"/>
      <c r="N577" s="338"/>
      <c r="O577" s="338"/>
      <c r="P577" s="338"/>
      <c r="Q577" s="338"/>
      <c r="R577" s="338"/>
      <c r="S577" s="338"/>
      <c r="T577" s="230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</row>
    <row r="578" spans="1:30">
      <c r="A578" s="189"/>
      <c r="B578" s="189"/>
      <c r="C578" s="189"/>
      <c r="D578" s="189"/>
      <c r="E578" s="189"/>
      <c r="F578" s="189"/>
      <c r="G578" s="189"/>
      <c r="H578" s="189"/>
      <c r="I578" s="338"/>
      <c r="J578" s="338"/>
      <c r="K578" s="338"/>
      <c r="L578" s="338"/>
      <c r="M578" s="338"/>
      <c r="N578" s="338"/>
      <c r="O578" s="338"/>
      <c r="P578" s="338"/>
      <c r="Q578" s="338"/>
      <c r="R578" s="338"/>
      <c r="S578" s="338"/>
      <c r="T578" s="230"/>
      <c r="U578" s="189"/>
      <c r="V578" s="189"/>
      <c r="W578" s="189"/>
      <c r="X578" s="189"/>
      <c r="Y578" s="189"/>
      <c r="Z578" s="189"/>
      <c r="AA578" s="189"/>
      <c r="AB578" s="189"/>
      <c r="AC578" s="189"/>
      <c r="AD578" s="189"/>
    </row>
    <row r="579" spans="1:30">
      <c r="A579" s="189"/>
      <c r="B579" s="189"/>
      <c r="C579" s="189"/>
      <c r="D579" s="189"/>
      <c r="E579" s="189"/>
      <c r="F579" s="189"/>
      <c r="G579" s="189"/>
      <c r="H579" s="189"/>
      <c r="I579" s="338"/>
      <c r="J579" s="338"/>
      <c r="K579" s="338"/>
      <c r="L579" s="338"/>
      <c r="M579" s="338"/>
      <c r="N579" s="338"/>
      <c r="O579" s="338"/>
      <c r="P579" s="338"/>
      <c r="Q579" s="338"/>
      <c r="R579" s="338"/>
      <c r="S579" s="338"/>
      <c r="T579" s="230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</row>
    <row r="580" spans="1:30">
      <c r="A580" s="189"/>
      <c r="B580" s="189"/>
      <c r="C580" s="189"/>
      <c r="D580" s="189"/>
      <c r="E580" s="189"/>
      <c r="F580" s="189"/>
      <c r="G580" s="189"/>
      <c r="H580" s="189"/>
      <c r="I580" s="338"/>
      <c r="J580" s="338"/>
      <c r="K580" s="338"/>
      <c r="L580" s="338"/>
      <c r="M580" s="338"/>
      <c r="N580" s="338"/>
      <c r="O580" s="338"/>
      <c r="P580" s="338"/>
      <c r="Q580" s="338"/>
      <c r="R580" s="338"/>
      <c r="S580" s="338"/>
      <c r="T580" s="230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</row>
    <row r="581" spans="1:30">
      <c r="A581" s="189"/>
      <c r="B581" s="189"/>
      <c r="C581" s="189"/>
      <c r="D581" s="189"/>
      <c r="E581" s="189"/>
      <c r="F581" s="189"/>
      <c r="G581" s="189"/>
      <c r="H581" s="189"/>
      <c r="I581" s="338"/>
      <c r="J581" s="338"/>
      <c r="K581" s="338"/>
      <c r="L581" s="338"/>
      <c r="M581" s="338"/>
      <c r="N581" s="338"/>
      <c r="O581" s="338"/>
      <c r="P581" s="338"/>
      <c r="Q581" s="338"/>
      <c r="R581" s="338"/>
      <c r="S581" s="338"/>
      <c r="T581" s="230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</row>
    <row r="582" spans="1:30">
      <c r="A582" s="189"/>
      <c r="B582" s="189"/>
      <c r="C582" s="189"/>
      <c r="D582" s="189"/>
      <c r="E582" s="189"/>
      <c r="F582" s="189"/>
      <c r="G582" s="189"/>
      <c r="H582" s="189"/>
      <c r="I582" s="338"/>
      <c r="J582" s="338"/>
      <c r="K582" s="338"/>
      <c r="L582" s="338"/>
      <c r="M582" s="338"/>
      <c r="N582" s="338"/>
      <c r="O582" s="338"/>
      <c r="P582" s="338"/>
      <c r="Q582" s="338"/>
      <c r="R582" s="338"/>
      <c r="S582" s="338"/>
      <c r="T582" s="230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</row>
    <row r="583" spans="1:30">
      <c r="A583" s="189"/>
      <c r="B583" s="189"/>
      <c r="C583" s="189"/>
      <c r="D583" s="189"/>
      <c r="E583" s="189"/>
      <c r="F583" s="189"/>
      <c r="G583" s="189"/>
      <c r="H583" s="189"/>
      <c r="I583" s="338"/>
      <c r="J583" s="338"/>
      <c r="K583" s="338"/>
      <c r="L583" s="338"/>
      <c r="M583" s="338"/>
      <c r="N583" s="338"/>
      <c r="O583" s="338"/>
      <c r="P583" s="338"/>
      <c r="Q583" s="338"/>
      <c r="R583" s="338"/>
      <c r="S583" s="338"/>
      <c r="T583" s="230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</row>
    <row r="584" spans="1:30">
      <c r="A584" s="189"/>
      <c r="B584" s="189"/>
      <c r="C584" s="189"/>
      <c r="D584" s="189"/>
      <c r="E584" s="189"/>
      <c r="F584" s="189"/>
      <c r="G584" s="189"/>
      <c r="H584" s="189"/>
      <c r="I584" s="338"/>
      <c r="J584" s="338"/>
      <c r="K584" s="338"/>
      <c r="L584" s="338"/>
      <c r="M584" s="338"/>
      <c r="N584" s="338"/>
      <c r="O584" s="338"/>
      <c r="P584" s="338"/>
      <c r="Q584" s="338"/>
      <c r="R584" s="338"/>
      <c r="S584" s="338"/>
      <c r="T584" s="230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</row>
    <row r="585" spans="1:30">
      <c r="A585" s="189"/>
      <c r="B585" s="189"/>
      <c r="C585" s="189"/>
      <c r="D585" s="189"/>
      <c r="E585" s="189"/>
      <c r="F585" s="189"/>
      <c r="G585" s="189"/>
      <c r="H585" s="189"/>
      <c r="I585" s="338"/>
      <c r="J585" s="338"/>
      <c r="K585" s="338"/>
      <c r="L585" s="338"/>
      <c r="M585" s="338"/>
      <c r="N585" s="338"/>
      <c r="O585" s="338"/>
      <c r="P585" s="338"/>
      <c r="Q585" s="338"/>
      <c r="R585" s="338"/>
      <c r="S585" s="338"/>
      <c r="T585" s="230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</row>
    <row r="586" spans="1:30">
      <c r="A586" s="189"/>
      <c r="B586" s="189"/>
      <c r="C586" s="189"/>
      <c r="D586" s="189"/>
      <c r="E586" s="189"/>
      <c r="F586" s="189"/>
      <c r="G586" s="189"/>
      <c r="H586" s="189"/>
      <c r="I586" s="338"/>
      <c r="J586" s="338"/>
      <c r="K586" s="338"/>
      <c r="L586" s="338"/>
      <c r="M586" s="338"/>
      <c r="N586" s="338"/>
      <c r="O586" s="338"/>
      <c r="P586" s="338"/>
      <c r="Q586" s="338"/>
      <c r="R586" s="338"/>
      <c r="S586" s="338"/>
      <c r="T586" s="230"/>
      <c r="U586" s="189"/>
      <c r="V586" s="189"/>
      <c r="W586" s="189"/>
      <c r="X586" s="189"/>
      <c r="Y586" s="189"/>
      <c r="Z586" s="189"/>
      <c r="AA586" s="189"/>
      <c r="AB586" s="189"/>
      <c r="AC586" s="189"/>
      <c r="AD586" s="189"/>
    </row>
    <row r="587" spans="1:30">
      <c r="A587" s="189"/>
      <c r="B587" s="189"/>
      <c r="C587" s="189"/>
      <c r="D587" s="189"/>
      <c r="E587" s="189"/>
      <c r="F587" s="189"/>
      <c r="G587" s="189"/>
      <c r="H587" s="189"/>
      <c r="I587" s="338"/>
      <c r="J587" s="338"/>
      <c r="K587" s="338"/>
      <c r="L587" s="338"/>
      <c r="M587" s="338"/>
      <c r="N587" s="338"/>
      <c r="O587" s="338"/>
      <c r="P587" s="338"/>
      <c r="Q587" s="338"/>
      <c r="R587" s="338"/>
      <c r="S587" s="338"/>
      <c r="T587" s="230"/>
      <c r="U587" s="189"/>
      <c r="V587" s="189"/>
      <c r="W587" s="189"/>
      <c r="X587" s="189"/>
      <c r="Y587" s="189"/>
      <c r="Z587" s="189"/>
      <c r="AA587" s="189"/>
      <c r="AB587" s="189"/>
      <c r="AC587" s="189"/>
      <c r="AD587" s="189"/>
    </row>
    <row r="588" spans="1:30">
      <c r="A588" s="189"/>
      <c r="B588" s="189"/>
      <c r="C588" s="189"/>
      <c r="D588" s="189"/>
      <c r="E588" s="189"/>
      <c r="F588" s="189"/>
      <c r="G588" s="189"/>
      <c r="H588" s="189"/>
      <c r="I588" s="338"/>
      <c r="J588" s="338"/>
      <c r="K588" s="338"/>
      <c r="L588" s="338"/>
      <c r="M588" s="338"/>
      <c r="N588" s="338"/>
      <c r="O588" s="338"/>
      <c r="P588" s="338"/>
      <c r="Q588" s="338"/>
      <c r="R588" s="338"/>
      <c r="S588" s="338"/>
      <c r="T588" s="230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</row>
    <row r="589" spans="1:30">
      <c r="A589" s="189"/>
      <c r="B589" s="189"/>
      <c r="C589" s="189"/>
      <c r="D589" s="189"/>
      <c r="E589" s="189"/>
      <c r="F589" s="189"/>
      <c r="G589" s="189"/>
      <c r="H589" s="189"/>
      <c r="I589" s="338"/>
      <c r="J589" s="338"/>
      <c r="K589" s="338"/>
      <c r="L589" s="338"/>
      <c r="M589" s="338"/>
      <c r="N589" s="338"/>
      <c r="O589" s="338"/>
      <c r="P589" s="338"/>
      <c r="Q589" s="338"/>
      <c r="R589" s="338"/>
      <c r="S589" s="338"/>
      <c r="T589" s="230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</row>
    <row r="590" spans="1:30">
      <c r="A590" s="189"/>
      <c r="B590" s="189"/>
      <c r="C590" s="189"/>
      <c r="D590" s="189"/>
      <c r="E590" s="189"/>
      <c r="F590" s="189"/>
      <c r="G590" s="189"/>
      <c r="H590" s="189"/>
      <c r="I590" s="338"/>
      <c r="J590" s="338"/>
      <c r="K590" s="338"/>
      <c r="L590" s="338"/>
      <c r="M590" s="338"/>
      <c r="N590" s="338"/>
      <c r="O590" s="338"/>
      <c r="P590" s="338"/>
      <c r="Q590" s="338"/>
      <c r="R590" s="338"/>
      <c r="S590" s="338"/>
      <c r="T590" s="230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</row>
    <row r="591" spans="1:30">
      <c r="A591" s="189"/>
      <c r="B591" s="189"/>
      <c r="C591" s="189"/>
      <c r="D591" s="189"/>
      <c r="E591" s="189"/>
      <c r="F591" s="189"/>
      <c r="G591" s="189"/>
      <c r="H591" s="189"/>
      <c r="I591" s="338"/>
      <c r="J591" s="338"/>
      <c r="K591" s="338"/>
      <c r="L591" s="338"/>
      <c r="M591" s="338"/>
      <c r="N591" s="338"/>
      <c r="O591" s="338"/>
      <c r="P591" s="338"/>
      <c r="Q591" s="338"/>
      <c r="R591" s="338"/>
      <c r="S591" s="338"/>
      <c r="T591" s="230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</row>
    <row r="592" spans="1:30">
      <c r="A592" s="189"/>
      <c r="B592" s="189"/>
      <c r="C592" s="189"/>
      <c r="D592" s="189"/>
      <c r="E592" s="189"/>
      <c r="F592" s="189"/>
      <c r="G592" s="189"/>
      <c r="H592" s="189"/>
      <c r="I592" s="338"/>
      <c r="J592" s="338"/>
      <c r="K592" s="338"/>
      <c r="L592" s="338"/>
      <c r="M592" s="338"/>
      <c r="N592" s="338"/>
      <c r="O592" s="338"/>
      <c r="P592" s="338"/>
      <c r="Q592" s="338"/>
      <c r="R592" s="338"/>
      <c r="S592" s="338"/>
      <c r="T592" s="230"/>
      <c r="U592" s="189"/>
      <c r="V592" s="189"/>
      <c r="W592" s="189"/>
      <c r="X592" s="189"/>
      <c r="Y592" s="189"/>
      <c r="Z592" s="189"/>
      <c r="AA592" s="189"/>
      <c r="AB592" s="189"/>
      <c r="AC592" s="189"/>
      <c r="AD592" s="189"/>
    </row>
    <row r="593" spans="1:30">
      <c r="A593" s="189"/>
      <c r="B593" s="189"/>
      <c r="C593" s="189"/>
      <c r="D593" s="189"/>
      <c r="E593" s="189"/>
      <c r="F593" s="189"/>
      <c r="G593" s="189"/>
      <c r="H593" s="189"/>
      <c r="I593" s="338"/>
      <c r="J593" s="338"/>
      <c r="K593" s="338"/>
      <c r="L593" s="338"/>
      <c r="M593" s="338"/>
      <c r="N593" s="338"/>
      <c r="O593" s="338"/>
      <c r="P593" s="338"/>
      <c r="Q593" s="338"/>
      <c r="R593" s="338"/>
      <c r="S593" s="338"/>
      <c r="T593" s="230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</row>
    <row r="594" spans="1:30">
      <c r="A594" s="189"/>
      <c r="B594" s="189"/>
      <c r="C594" s="189"/>
      <c r="D594" s="189"/>
      <c r="E594" s="189"/>
      <c r="F594" s="189"/>
      <c r="G594" s="189"/>
      <c r="H594" s="189"/>
      <c r="I594" s="338"/>
      <c r="J594" s="338"/>
      <c r="K594" s="338"/>
      <c r="L594" s="338"/>
      <c r="M594" s="338"/>
      <c r="N594" s="338"/>
      <c r="O594" s="338"/>
      <c r="P594" s="338"/>
      <c r="Q594" s="338"/>
      <c r="R594" s="338"/>
      <c r="S594" s="338"/>
      <c r="T594" s="230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</row>
    <row r="595" spans="1:30">
      <c r="A595" s="189"/>
      <c r="B595" s="189"/>
      <c r="C595" s="189"/>
      <c r="D595" s="189"/>
      <c r="E595" s="189"/>
      <c r="F595" s="189"/>
      <c r="G595" s="189"/>
      <c r="H595" s="189"/>
      <c r="I595" s="338"/>
      <c r="J595" s="338"/>
      <c r="K595" s="338"/>
      <c r="L595" s="338"/>
      <c r="M595" s="338"/>
      <c r="N595" s="338"/>
      <c r="O595" s="338"/>
      <c r="P595" s="338"/>
      <c r="Q595" s="338"/>
      <c r="R595" s="338"/>
      <c r="S595" s="338"/>
      <c r="T595" s="230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</row>
    <row r="596" spans="1:30">
      <c r="A596" s="189"/>
      <c r="B596" s="189"/>
      <c r="C596" s="189"/>
      <c r="D596" s="189"/>
      <c r="E596" s="189"/>
      <c r="F596" s="189"/>
      <c r="G596" s="189"/>
      <c r="H596" s="189"/>
      <c r="I596" s="338"/>
      <c r="J596" s="338"/>
      <c r="K596" s="338"/>
      <c r="L596" s="338"/>
      <c r="M596" s="338"/>
      <c r="N596" s="338"/>
      <c r="O596" s="338"/>
      <c r="P596" s="338"/>
      <c r="Q596" s="338"/>
      <c r="R596" s="338"/>
      <c r="S596" s="338"/>
      <c r="T596" s="230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</row>
    <row r="597" spans="1:30">
      <c r="A597" s="189"/>
      <c r="B597" s="189"/>
      <c r="C597" s="189"/>
      <c r="D597" s="189"/>
      <c r="E597" s="189"/>
      <c r="F597" s="189"/>
      <c r="G597" s="189"/>
      <c r="H597" s="189"/>
      <c r="I597" s="338"/>
      <c r="J597" s="338"/>
      <c r="K597" s="338"/>
      <c r="L597" s="338"/>
      <c r="M597" s="338"/>
      <c r="N597" s="338"/>
      <c r="O597" s="338"/>
      <c r="P597" s="338"/>
      <c r="Q597" s="338"/>
      <c r="R597" s="338"/>
      <c r="S597" s="338"/>
      <c r="T597" s="230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</row>
    <row r="598" spans="1:30">
      <c r="A598" s="189"/>
      <c r="B598" s="189"/>
      <c r="C598" s="189"/>
      <c r="D598" s="189"/>
      <c r="E598" s="189"/>
      <c r="F598" s="189"/>
      <c r="G598" s="189"/>
      <c r="H598" s="189"/>
      <c r="I598" s="338"/>
      <c r="J598" s="338"/>
      <c r="K598" s="338"/>
      <c r="L598" s="338"/>
      <c r="M598" s="338"/>
      <c r="N598" s="338"/>
      <c r="O598" s="338"/>
      <c r="P598" s="338"/>
      <c r="Q598" s="338"/>
      <c r="R598" s="338"/>
      <c r="S598" s="338"/>
      <c r="T598" s="230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</row>
    <row r="599" spans="1:30">
      <c r="A599" s="189"/>
      <c r="B599" s="189"/>
      <c r="C599" s="189"/>
      <c r="D599" s="189"/>
      <c r="E599" s="189"/>
      <c r="F599" s="189"/>
      <c r="G599" s="189"/>
      <c r="H599" s="189"/>
      <c r="I599" s="338"/>
      <c r="J599" s="338"/>
      <c r="K599" s="338"/>
      <c r="L599" s="338"/>
      <c r="M599" s="338"/>
      <c r="N599" s="338"/>
      <c r="O599" s="338"/>
      <c r="P599" s="338"/>
      <c r="Q599" s="338"/>
      <c r="R599" s="338"/>
      <c r="S599" s="338"/>
      <c r="T599" s="230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</row>
    <row r="600" spans="1:30">
      <c r="A600" s="189"/>
      <c r="B600" s="189"/>
      <c r="C600" s="189"/>
      <c r="D600" s="189"/>
      <c r="E600" s="189"/>
      <c r="F600" s="189"/>
      <c r="G600" s="189"/>
      <c r="H600" s="189"/>
      <c r="I600" s="338"/>
      <c r="J600" s="338"/>
      <c r="K600" s="338"/>
      <c r="L600" s="338"/>
      <c r="M600" s="338"/>
      <c r="N600" s="338"/>
      <c r="O600" s="338"/>
      <c r="P600" s="338"/>
      <c r="Q600" s="338"/>
      <c r="R600" s="338"/>
      <c r="S600" s="338"/>
      <c r="T600" s="230"/>
      <c r="U600" s="189"/>
      <c r="V600" s="189"/>
      <c r="W600" s="189"/>
      <c r="X600" s="189"/>
      <c r="Y600" s="189"/>
      <c r="Z600" s="189"/>
      <c r="AA600" s="189"/>
      <c r="AB600" s="189"/>
      <c r="AC600" s="189"/>
      <c r="AD600" s="189"/>
    </row>
    <row r="601" spans="1:30">
      <c r="A601" s="189"/>
      <c r="B601" s="189"/>
      <c r="C601" s="189"/>
      <c r="D601" s="189"/>
      <c r="E601" s="189"/>
      <c r="F601" s="189"/>
      <c r="G601" s="189"/>
      <c r="H601" s="189"/>
      <c r="I601" s="338"/>
      <c r="J601" s="338"/>
      <c r="K601" s="338"/>
      <c r="L601" s="338"/>
      <c r="M601" s="338"/>
      <c r="N601" s="338"/>
      <c r="O601" s="338"/>
      <c r="P601" s="338"/>
      <c r="Q601" s="338"/>
      <c r="R601" s="338"/>
      <c r="S601" s="338"/>
      <c r="T601" s="230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</row>
    <row r="602" spans="1:30">
      <c r="A602" s="189"/>
      <c r="B602" s="189"/>
      <c r="C602" s="189"/>
      <c r="D602" s="189"/>
      <c r="E602" s="189"/>
      <c r="F602" s="189"/>
      <c r="G602" s="189"/>
      <c r="H602" s="189"/>
      <c r="I602" s="338"/>
      <c r="J602" s="338"/>
      <c r="K602" s="338"/>
      <c r="L602" s="338"/>
      <c r="M602" s="338"/>
      <c r="N602" s="338"/>
      <c r="O602" s="338"/>
      <c r="P602" s="338"/>
      <c r="Q602" s="338"/>
      <c r="R602" s="338"/>
      <c r="S602" s="338"/>
      <c r="T602" s="230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</row>
    <row r="603" spans="1:30">
      <c r="A603" s="189"/>
      <c r="B603" s="189"/>
      <c r="C603" s="189"/>
      <c r="D603" s="189"/>
      <c r="E603" s="189"/>
      <c r="F603" s="189"/>
      <c r="G603" s="189"/>
      <c r="H603" s="189"/>
      <c r="I603" s="338"/>
      <c r="J603" s="338"/>
      <c r="K603" s="338"/>
      <c r="L603" s="338"/>
      <c r="M603" s="338"/>
      <c r="N603" s="338"/>
      <c r="O603" s="338"/>
      <c r="P603" s="338"/>
      <c r="Q603" s="338"/>
      <c r="R603" s="338"/>
      <c r="S603" s="338"/>
      <c r="T603" s="230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</row>
    <row r="604" spans="1:30">
      <c r="A604" s="189"/>
      <c r="B604" s="189"/>
      <c r="C604" s="189"/>
      <c r="D604" s="189"/>
      <c r="E604" s="189"/>
      <c r="F604" s="189"/>
      <c r="G604" s="189"/>
      <c r="H604" s="189"/>
      <c r="I604" s="338"/>
      <c r="J604" s="338"/>
      <c r="K604" s="338"/>
      <c r="L604" s="338"/>
      <c r="M604" s="338"/>
      <c r="N604" s="338"/>
      <c r="O604" s="338"/>
      <c r="P604" s="338"/>
      <c r="Q604" s="338"/>
      <c r="R604" s="338"/>
      <c r="S604" s="338"/>
      <c r="T604" s="230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</row>
    <row r="605" spans="1:30">
      <c r="A605" s="189"/>
      <c r="B605" s="189"/>
      <c r="C605" s="189"/>
      <c r="D605" s="189"/>
      <c r="E605" s="189"/>
      <c r="F605" s="189"/>
      <c r="G605" s="189"/>
      <c r="H605" s="189"/>
      <c r="I605" s="338"/>
      <c r="J605" s="338"/>
      <c r="K605" s="338"/>
      <c r="L605" s="338"/>
      <c r="M605" s="338"/>
      <c r="N605" s="338"/>
      <c r="O605" s="338"/>
      <c r="P605" s="338"/>
      <c r="Q605" s="338"/>
      <c r="R605" s="338"/>
      <c r="S605" s="338"/>
      <c r="T605" s="230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</row>
    <row r="606" spans="1:30">
      <c r="A606" s="189"/>
      <c r="B606" s="189"/>
      <c r="C606" s="189"/>
      <c r="D606" s="189"/>
      <c r="E606" s="189"/>
      <c r="F606" s="189"/>
      <c r="G606" s="189"/>
      <c r="H606" s="189"/>
      <c r="I606" s="338"/>
      <c r="J606" s="338"/>
      <c r="K606" s="338"/>
      <c r="L606" s="338"/>
      <c r="M606" s="338"/>
      <c r="N606" s="338"/>
      <c r="O606" s="338"/>
      <c r="P606" s="338"/>
      <c r="Q606" s="338"/>
      <c r="R606" s="338"/>
      <c r="S606" s="338"/>
      <c r="T606" s="230"/>
      <c r="U606" s="189"/>
      <c r="V606" s="189"/>
      <c r="W606" s="189"/>
      <c r="X606" s="189"/>
      <c r="Y606" s="189"/>
      <c r="Z606" s="189"/>
      <c r="AA606" s="189"/>
      <c r="AB606" s="189"/>
      <c r="AC606" s="189"/>
      <c r="AD606" s="189"/>
    </row>
    <row r="607" spans="1:30">
      <c r="A607" s="189"/>
      <c r="B607" s="189"/>
      <c r="C607" s="189"/>
      <c r="D607" s="189"/>
      <c r="E607" s="189"/>
      <c r="F607" s="189"/>
      <c r="G607" s="189"/>
      <c r="H607" s="189"/>
      <c r="I607" s="338"/>
      <c r="J607" s="338"/>
      <c r="K607" s="338"/>
      <c r="L607" s="338"/>
      <c r="M607" s="338"/>
      <c r="N607" s="338"/>
      <c r="O607" s="338"/>
      <c r="P607" s="338"/>
      <c r="Q607" s="338"/>
      <c r="R607" s="338"/>
      <c r="S607" s="338"/>
      <c r="T607" s="230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</row>
    <row r="608" spans="1:30">
      <c r="A608" s="189"/>
      <c r="B608" s="189"/>
      <c r="C608" s="189"/>
      <c r="D608" s="189"/>
      <c r="E608" s="189"/>
      <c r="F608" s="189"/>
      <c r="G608" s="189"/>
      <c r="H608" s="189"/>
      <c r="I608" s="338"/>
      <c r="J608" s="338"/>
      <c r="K608" s="338"/>
      <c r="L608" s="338"/>
      <c r="M608" s="338"/>
      <c r="N608" s="338"/>
      <c r="O608" s="338"/>
      <c r="P608" s="338"/>
      <c r="Q608" s="338"/>
      <c r="R608" s="338"/>
      <c r="S608" s="338"/>
      <c r="T608" s="230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</row>
    <row r="609" spans="1:30">
      <c r="A609" s="189"/>
      <c r="B609" s="189"/>
      <c r="C609" s="189"/>
      <c r="D609" s="189"/>
      <c r="E609" s="189"/>
      <c r="F609" s="189"/>
      <c r="G609" s="189"/>
      <c r="H609" s="189"/>
      <c r="I609" s="338"/>
      <c r="J609" s="338"/>
      <c r="K609" s="338"/>
      <c r="L609" s="338"/>
      <c r="M609" s="338"/>
      <c r="N609" s="338"/>
      <c r="O609" s="338"/>
      <c r="P609" s="338"/>
      <c r="Q609" s="338"/>
      <c r="R609" s="338"/>
      <c r="S609" s="338"/>
      <c r="T609" s="230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</row>
    <row r="610" spans="1:30">
      <c r="A610" s="189"/>
      <c r="B610" s="189"/>
      <c r="C610" s="189"/>
      <c r="D610" s="189"/>
      <c r="E610" s="189"/>
      <c r="F610" s="189"/>
      <c r="G610" s="189"/>
      <c r="H610" s="189"/>
      <c r="I610" s="338"/>
      <c r="J610" s="338"/>
      <c r="K610" s="338"/>
      <c r="L610" s="338"/>
      <c r="M610" s="338"/>
      <c r="N610" s="338"/>
      <c r="O610" s="338"/>
      <c r="P610" s="338"/>
      <c r="Q610" s="338"/>
      <c r="R610" s="338"/>
      <c r="S610" s="338"/>
      <c r="T610" s="230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</row>
    <row r="611" spans="1:30">
      <c r="A611" s="189"/>
      <c r="B611" s="189"/>
      <c r="C611" s="189"/>
      <c r="D611" s="189"/>
      <c r="E611" s="189"/>
      <c r="F611" s="189"/>
      <c r="G611" s="189"/>
      <c r="H611" s="189"/>
      <c r="I611" s="338"/>
      <c r="J611" s="338"/>
      <c r="K611" s="338"/>
      <c r="L611" s="338"/>
      <c r="M611" s="338"/>
      <c r="N611" s="338"/>
      <c r="O611" s="338"/>
      <c r="P611" s="338"/>
      <c r="Q611" s="338"/>
      <c r="R611" s="338"/>
      <c r="S611" s="338"/>
      <c r="T611" s="230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</row>
    <row r="612" spans="1:30">
      <c r="A612" s="189"/>
      <c r="B612" s="189"/>
      <c r="C612" s="189"/>
      <c r="D612" s="189"/>
      <c r="E612" s="189"/>
      <c r="F612" s="189"/>
      <c r="G612" s="189"/>
      <c r="H612" s="189"/>
      <c r="I612" s="338"/>
      <c r="J612" s="338"/>
      <c r="K612" s="338"/>
      <c r="L612" s="338"/>
      <c r="M612" s="338"/>
      <c r="N612" s="338"/>
      <c r="O612" s="338"/>
      <c r="P612" s="338"/>
      <c r="Q612" s="338"/>
      <c r="R612" s="338"/>
      <c r="S612" s="338"/>
      <c r="T612" s="230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</row>
    <row r="613" spans="1:30">
      <c r="A613" s="189"/>
      <c r="B613" s="189"/>
      <c r="C613" s="189"/>
      <c r="D613" s="189"/>
      <c r="E613" s="189"/>
      <c r="F613" s="189"/>
      <c r="G613" s="189"/>
      <c r="H613" s="189"/>
      <c r="I613" s="338"/>
      <c r="J613" s="338"/>
      <c r="K613" s="338"/>
      <c r="L613" s="338"/>
      <c r="M613" s="338"/>
      <c r="N613" s="338"/>
      <c r="O613" s="338"/>
      <c r="P613" s="338"/>
      <c r="Q613" s="338"/>
      <c r="R613" s="338"/>
      <c r="S613" s="338"/>
      <c r="T613" s="230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</row>
    <row r="614" spans="1:30">
      <c r="A614" s="189"/>
      <c r="B614" s="189"/>
      <c r="C614" s="189"/>
      <c r="D614" s="189"/>
      <c r="E614" s="189"/>
      <c r="F614" s="189"/>
      <c r="G614" s="189"/>
      <c r="H614" s="189"/>
      <c r="I614" s="338"/>
      <c r="J614" s="338"/>
      <c r="K614" s="338"/>
      <c r="L614" s="338"/>
      <c r="M614" s="338"/>
      <c r="N614" s="338"/>
      <c r="O614" s="338"/>
      <c r="P614" s="338"/>
      <c r="Q614" s="338"/>
      <c r="R614" s="338"/>
      <c r="S614" s="338"/>
      <c r="T614" s="230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</row>
    <row r="615" spans="1:30">
      <c r="A615" s="189"/>
      <c r="B615" s="189"/>
      <c r="C615" s="189"/>
      <c r="D615" s="189"/>
      <c r="E615" s="189"/>
      <c r="F615" s="189"/>
      <c r="G615" s="189"/>
      <c r="H615" s="189"/>
      <c r="I615" s="338"/>
      <c r="J615" s="338"/>
      <c r="K615" s="338"/>
      <c r="L615" s="338"/>
      <c r="M615" s="338"/>
      <c r="N615" s="338"/>
      <c r="O615" s="338"/>
      <c r="P615" s="338"/>
      <c r="Q615" s="338"/>
      <c r="R615" s="338"/>
      <c r="S615" s="338"/>
      <c r="T615" s="230"/>
      <c r="U615" s="189"/>
      <c r="V615" s="189"/>
      <c r="W615" s="189"/>
      <c r="X615" s="189"/>
      <c r="Y615" s="189"/>
      <c r="Z615" s="189"/>
      <c r="AA615" s="189"/>
      <c r="AB615" s="189"/>
      <c r="AC615" s="189"/>
      <c r="AD615" s="189"/>
    </row>
    <row r="616" spans="1:30">
      <c r="A616" s="189"/>
      <c r="B616" s="189"/>
      <c r="C616" s="189"/>
      <c r="D616" s="189"/>
      <c r="E616" s="189"/>
      <c r="F616" s="189"/>
      <c r="G616" s="189"/>
      <c r="H616" s="189"/>
      <c r="I616" s="338"/>
      <c r="J616" s="338"/>
      <c r="K616" s="338"/>
      <c r="L616" s="338"/>
      <c r="M616" s="338"/>
      <c r="N616" s="338"/>
      <c r="O616" s="338"/>
      <c r="P616" s="338"/>
      <c r="Q616" s="338"/>
      <c r="R616" s="338"/>
      <c r="S616" s="338"/>
      <c r="T616" s="230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</row>
    <row r="617" spans="1:30">
      <c r="A617" s="189"/>
      <c r="B617" s="189"/>
      <c r="C617" s="189"/>
      <c r="D617" s="189"/>
      <c r="E617" s="189"/>
      <c r="F617" s="189"/>
      <c r="G617" s="189"/>
      <c r="H617" s="189"/>
      <c r="I617" s="338"/>
      <c r="J617" s="338"/>
      <c r="K617" s="338"/>
      <c r="L617" s="338"/>
      <c r="M617" s="338"/>
      <c r="N617" s="338"/>
      <c r="O617" s="338"/>
      <c r="P617" s="338"/>
      <c r="Q617" s="338"/>
      <c r="R617" s="338"/>
      <c r="S617" s="338"/>
      <c r="T617" s="230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</row>
    <row r="618" spans="1:30">
      <c r="A618" s="189"/>
      <c r="B618" s="189"/>
      <c r="C618" s="189"/>
      <c r="D618" s="189"/>
      <c r="E618" s="189"/>
      <c r="F618" s="189"/>
      <c r="G618" s="189"/>
      <c r="H618" s="189"/>
      <c r="I618" s="338"/>
      <c r="J618" s="338"/>
      <c r="K618" s="338"/>
      <c r="L618" s="338"/>
      <c r="M618" s="338"/>
      <c r="N618" s="338"/>
      <c r="O618" s="338"/>
      <c r="P618" s="338"/>
      <c r="Q618" s="338"/>
      <c r="R618" s="338"/>
      <c r="S618" s="338"/>
      <c r="T618" s="230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</row>
    <row r="619" spans="1:30">
      <c r="A619" s="189"/>
      <c r="B619" s="189"/>
      <c r="C619" s="189"/>
      <c r="D619" s="189"/>
      <c r="E619" s="189"/>
      <c r="F619" s="189"/>
      <c r="G619" s="189"/>
      <c r="H619" s="189"/>
      <c r="I619" s="338"/>
      <c r="J619" s="338"/>
      <c r="K619" s="338"/>
      <c r="L619" s="338"/>
      <c r="M619" s="338"/>
      <c r="N619" s="338"/>
      <c r="O619" s="338"/>
      <c r="P619" s="338"/>
      <c r="Q619" s="338"/>
      <c r="R619" s="338"/>
      <c r="S619" s="338"/>
      <c r="T619" s="230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</row>
    <row r="620" spans="1:30">
      <c r="A620" s="189"/>
      <c r="B620" s="189"/>
      <c r="C620" s="189"/>
      <c r="D620" s="189"/>
      <c r="E620" s="189"/>
      <c r="F620" s="189"/>
      <c r="G620" s="189"/>
      <c r="H620" s="189"/>
      <c r="I620" s="338"/>
      <c r="J620" s="338"/>
      <c r="K620" s="338"/>
      <c r="L620" s="338"/>
      <c r="M620" s="338"/>
      <c r="N620" s="338"/>
      <c r="O620" s="338"/>
      <c r="P620" s="338"/>
      <c r="Q620" s="338"/>
      <c r="R620" s="338"/>
      <c r="S620" s="338"/>
      <c r="T620" s="230"/>
      <c r="U620" s="189"/>
      <c r="V620" s="189"/>
      <c r="W620" s="189"/>
      <c r="X620" s="189"/>
      <c r="Y620" s="189"/>
      <c r="Z620" s="189"/>
      <c r="AA620" s="189"/>
      <c r="AB620" s="189"/>
      <c r="AC620" s="189"/>
      <c r="AD620" s="189"/>
    </row>
    <row r="621" spans="1:30">
      <c r="A621" s="189"/>
      <c r="B621" s="189"/>
      <c r="C621" s="189"/>
      <c r="D621" s="189"/>
      <c r="E621" s="189"/>
      <c r="F621" s="189"/>
      <c r="G621" s="189"/>
      <c r="H621" s="189"/>
      <c r="I621" s="338"/>
      <c r="J621" s="338"/>
      <c r="K621" s="338"/>
      <c r="L621" s="338"/>
      <c r="M621" s="338"/>
      <c r="N621" s="338"/>
      <c r="O621" s="338"/>
      <c r="P621" s="338"/>
      <c r="Q621" s="338"/>
      <c r="R621" s="338"/>
      <c r="S621" s="338"/>
      <c r="T621" s="230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</row>
    <row r="622" spans="1:30">
      <c r="A622" s="189"/>
      <c r="B622" s="189"/>
      <c r="C622" s="189"/>
      <c r="D622" s="189"/>
      <c r="E622" s="189"/>
      <c r="F622" s="189"/>
      <c r="G622" s="189"/>
      <c r="H622" s="189"/>
      <c r="I622" s="338"/>
      <c r="J622" s="338"/>
      <c r="K622" s="338"/>
      <c r="L622" s="338"/>
      <c r="M622" s="338"/>
      <c r="N622" s="338"/>
      <c r="O622" s="338"/>
      <c r="P622" s="338"/>
      <c r="Q622" s="338"/>
      <c r="R622" s="338"/>
      <c r="S622" s="338"/>
      <c r="T622" s="230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</row>
    <row r="623" spans="1:30">
      <c r="A623" s="189"/>
      <c r="B623" s="189"/>
      <c r="C623" s="189"/>
      <c r="D623" s="189"/>
      <c r="E623" s="189"/>
      <c r="F623" s="189"/>
      <c r="G623" s="189"/>
      <c r="H623" s="189"/>
      <c r="I623" s="338"/>
      <c r="J623" s="338"/>
      <c r="K623" s="338"/>
      <c r="L623" s="338"/>
      <c r="M623" s="338"/>
      <c r="N623" s="338"/>
      <c r="O623" s="338"/>
      <c r="P623" s="338"/>
      <c r="Q623" s="338"/>
      <c r="R623" s="338"/>
      <c r="S623" s="338"/>
      <c r="T623" s="230"/>
      <c r="U623" s="189"/>
      <c r="V623" s="189"/>
      <c r="W623" s="189"/>
      <c r="X623" s="189"/>
      <c r="Y623" s="189"/>
      <c r="Z623" s="189"/>
      <c r="AA623" s="189"/>
      <c r="AB623" s="189"/>
      <c r="AC623" s="189"/>
      <c r="AD623" s="189"/>
    </row>
    <row r="624" spans="1:30">
      <c r="A624" s="189"/>
      <c r="B624" s="189"/>
      <c r="C624" s="189"/>
      <c r="D624" s="189"/>
      <c r="E624" s="189"/>
      <c r="F624" s="189"/>
      <c r="G624" s="189"/>
      <c r="H624" s="189"/>
      <c r="I624" s="338"/>
      <c r="J624" s="338"/>
      <c r="K624" s="338"/>
      <c r="L624" s="338"/>
      <c r="M624" s="338"/>
      <c r="N624" s="338"/>
      <c r="O624" s="338"/>
      <c r="P624" s="338"/>
      <c r="Q624" s="338"/>
      <c r="R624" s="338"/>
      <c r="S624" s="338"/>
      <c r="T624" s="230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</row>
    <row r="625" spans="1:30">
      <c r="A625" s="189"/>
      <c r="B625" s="189"/>
      <c r="C625" s="189"/>
      <c r="D625" s="189"/>
      <c r="E625" s="189"/>
      <c r="F625" s="189"/>
      <c r="G625" s="189"/>
      <c r="H625" s="189"/>
      <c r="I625" s="338"/>
      <c r="J625" s="338"/>
      <c r="K625" s="338"/>
      <c r="L625" s="338"/>
      <c r="M625" s="338"/>
      <c r="N625" s="338"/>
      <c r="O625" s="338"/>
      <c r="P625" s="338"/>
      <c r="Q625" s="338"/>
      <c r="R625" s="338"/>
      <c r="S625" s="338"/>
      <c r="T625" s="230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</row>
    <row r="626" spans="1:30">
      <c r="A626" s="189"/>
      <c r="B626" s="189"/>
      <c r="C626" s="189"/>
      <c r="D626" s="189"/>
      <c r="E626" s="189"/>
      <c r="F626" s="189"/>
      <c r="G626" s="189"/>
      <c r="H626" s="189"/>
      <c r="I626" s="338"/>
      <c r="J626" s="338"/>
      <c r="K626" s="338"/>
      <c r="L626" s="338"/>
      <c r="M626" s="338"/>
      <c r="N626" s="338"/>
      <c r="O626" s="338"/>
      <c r="P626" s="338"/>
      <c r="Q626" s="338"/>
      <c r="R626" s="338"/>
      <c r="S626" s="338"/>
      <c r="T626" s="230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</row>
    <row r="627" spans="1:30">
      <c r="A627" s="189"/>
      <c r="B627" s="189"/>
      <c r="C627" s="189"/>
      <c r="D627" s="189"/>
      <c r="E627" s="189"/>
      <c r="F627" s="189"/>
      <c r="G627" s="189"/>
      <c r="H627" s="189"/>
      <c r="I627" s="338"/>
      <c r="J627" s="338"/>
      <c r="K627" s="338"/>
      <c r="L627" s="338"/>
      <c r="M627" s="338"/>
      <c r="N627" s="338"/>
      <c r="O627" s="338"/>
      <c r="P627" s="338"/>
      <c r="Q627" s="338"/>
      <c r="R627" s="338"/>
      <c r="S627" s="338"/>
      <c r="T627" s="230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</row>
    <row r="628" spans="1:30">
      <c r="A628" s="189"/>
      <c r="B628" s="189"/>
      <c r="C628" s="189"/>
      <c r="D628" s="189"/>
      <c r="E628" s="189"/>
      <c r="F628" s="189"/>
      <c r="G628" s="189"/>
      <c r="H628" s="189"/>
      <c r="I628" s="338"/>
      <c r="J628" s="338"/>
      <c r="K628" s="338"/>
      <c r="L628" s="338"/>
      <c r="M628" s="338"/>
      <c r="N628" s="338"/>
      <c r="O628" s="338"/>
      <c r="P628" s="338"/>
      <c r="Q628" s="338"/>
      <c r="R628" s="338"/>
      <c r="S628" s="338"/>
      <c r="T628" s="230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</row>
    <row r="629" spans="1:30">
      <c r="A629" s="189"/>
      <c r="B629" s="189"/>
      <c r="C629" s="189"/>
      <c r="D629" s="189"/>
      <c r="E629" s="189"/>
      <c r="F629" s="189"/>
      <c r="G629" s="189"/>
      <c r="H629" s="189"/>
      <c r="I629" s="338"/>
      <c r="J629" s="338"/>
      <c r="K629" s="338"/>
      <c r="L629" s="338"/>
      <c r="M629" s="338"/>
      <c r="N629" s="338"/>
      <c r="O629" s="338"/>
      <c r="P629" s="338"/>
      <c r="Q629" s="338"/>
      <c r="R629" s="338"/>
      <c r="S629" s="338"/>
      <c r="T629" s="230"/>
      <c r="U629" s="189"/>
      <c r="V629" s="189"/>
      <c r="W629" s="189"/>
      <c r="X629" s="189"/>
      <c r="Y629" s="189"/>
      <c r="Z629" s="189"/>
      <c r="AA629" s="189"/>
      <c r="AB629" s="189"/>
      <c r="AC629" s="189"/>
      <c r="AD629" s="189"/>
    </row>
    <row r="630" spans="1:30">
      <c r="A630" s="189"/>
      <c r="B630" s="189"/>
      <c r="C630" s="189"/>
      <c r="D630" s="189"/>
      <c r="E630" s="189"/>
      <c r="F630" s="189"/>
      <c r="G630" s="189"/>
      <c r="H630" s="189"/>
      <c r="I630" s="338"/>
      <c r="J630" s="338"/>
      <c r="K630" s="338"/>
      <c r="L630" s="338"/>
      <c r="M630" s="338"/>
      <c r="N630" s="338"/>
      <c r="O630" s="338"/>
      <c r="P630" s="338"/>
      <c r="Q630" s="338"/>
      <c r="R630" s="338"/>
      <c r="S630" s="338"/>
      <c r="T630" s="230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</row>
    <row r="631" spans="1:30">
      <c r="A631" s="189"/>
      <c r="B631" s="189"/>
      <c r="C631" s="189"/>
      <c r="D631" s="189"/>
      <c r="E631" s="189"/>
      <c r="F631" s="189"/>
      <c r="G631" s="189"/>
      <c r="H631" s="189"/>
      <c r="I631" s="338"/>
      <c r="J631" s="338"/>
      <c r="K631" s="338"/>
      <c r="L631" s="338"/>
      <c r="M631" s="338"/>
      <c r="N631" s="338"/>
      <c r="O631" s="338"/>
      <c r="P631" s="338"/>
      <c r="Q631" s="338"/>
      <c r="R631" s="338"/>
      <c r="S631" s="338"/>
      <c r="T631" s="230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</row>
    <row r="632" spans="1:30">
      <c r="A632" s="189"/>
      <c r="B632" s="189"/>
      <c r="C632" s="189"/>
      <c r="D632" s="189"/>
      <c r="E632" s="189"/>
      <c r="F632" s="189"/>
      <c r="G632" s="189"/>
      <c r="H632" s="189"/>
      <c r="I632" s="338"/>
      <c r="J632" s="338"/>
      <c r="K632" s="338"/>
      <c r="L632" s="338"/>
      <c r="M632" s="338"/>
      <c r="N632" s="338"/>
      <c r="O632" s="338"/>
      <c r="P632" s="338"/>
      <c r="Q632" s="338"/>
      <c r="R632" s="338"/>
      <c r="S632" s="338"/>
      <c r="T632" s="230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</row>
    <row r="633" spans="1:30">
      <c r="A633" s="189"/>
      <c r="B633" s="189"/>
      <c r="C633" s="189"/>
      <c r="D633" s="189"/>
      <c r="E633" s="189"/>
      <c r="F633" s="189"/>
      <c r="G633" s="189"/>
      <c r="H633" s="189"/>
      <c r="I633" s="338"/>
      <c r="J633" s="338"/>
      <c r="K633" s="338"/>
      <c r="L633" s="338"/>
      <c r="M633" s="338"/>
      <c r="N633" s="338"/>
      <c r="O633" s="338"/>
      <c r="P633" s="338"/>
      <c r="Q633" s="338"/>
      <c r="R633" s="338"/>
      <c r="S633" s="338"/>
      <c r="T633" s="230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</row>
    <row r="634" spans="1:30">
      <c r="A634" s="189"/>
      <c r="B634" s="189"/>
      <c r="C634" s="189"/>
      <c r="D634" s="189"/>
      <c r="E634" s="189"/>
      <c r="F634" s="189"/>
      <c r="G634" s="189"/>
      <c r="H634" s="189"/>
      <c r="I634" s="338"/>
      <c r="J634" s="338"/>
      <c r="K634" s="338"/>
      <c r="L634" s="338"/>
      <c r="M634" s="338"/>
      <c r="N634" s="338"/>
      <c r="O634" s="338"/>
      <c r="P634" s="338"/>
      <c r="Q634" s="338"/>
      <c r="R634" s="338"/>
      <c r="S634" s="338"/>
      <c r="T634" s="230"/>
      <c r="U634" s="189"/>
      <c r="V634" s="189"/>
      <c r="W634" s="189"/>
      <c r="X634" s="189"/>
      <c r="Y634" s="189"/>
      <c r="Z634" s="189"/>
      <c r="AA634" s="189"/>
      <c r="AB634" s="189"/>
      <c r="AC634" s="189"/>
      <c r="AD634" s="189"/>
    </row>
    <row r="635" spans="1:30">
      <c r="A635" s="189"/>
      <c r="B635" s="189"/>
      <c r="C635" s="189"/>
      <c r="D635" s="189"/>
      <c r="E635" s="189"/>
      <c r="F635" s="189"/>
      <c r="G635" s="189"/>
      <c r="H635" s="189"/>
      <c r="I635" s="338"/>
      <c r="J635" s="338"/>
      <c r="K635" s="338"/>
      <c r="L635" s="338"/>
      <c r="M635" s="338"/>
      <c r="N635" s="338"/>
      <c r="O635" s="338"/>
      <c r="P635" s="338"/>
      <c r="Q635" s="338"/>
      <c r="R635" s="338"/>
      <c r="S635" s="338"/>
      <c r="T635" s="230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</row>
    <row r="636" spans="1:30">
      <c r="A636" s="189"/>
      <c r="B636" s="189"/>
      <c r="C636" s="189"/>
      <c r="D636" s="189"/>
      <c r="E636" s="189"/>
      <c r="F636" s="189"/>
      <c r="G636" s="189"/>
      <c r="H636" s="189"/>
      <c r="I636" s="338"/>
      <c r="J636" s="338"/>
      <c r="K636" s="338"/>
      <c r="L636" s="338"/>
      <c r="M636" s="338"/>
      <c r="N636" s="338"/>
      <c r="O636" s="338"/>
      <c r="P636" s="338"/>
      <c r="Q636" s="338"/>
      <c r="R636" s="338"/>
      <c r="S636" s="338"/>
      <c r="T636" s="230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</row>
    <row r="637" spans="1:30">
      <c r="A637" s="189"/>
      <c r="B637" s="189"/>
      <c r="C637" s="189"/>
      <c r="D637" s="189"/>
      <c r="E637" s="189"/>
      <c r="F637" s="189"/>
      <c r="G637" s="189"/>
      <c r="H637" s="189"/>
      <c r="I637" s="338"/>
      <c r="J637" s="338"/>
      <c r="K637" s="338"/>
      <c r="L637" s="338"/>
      <c r="M637" s="338"/>
      <c r="N637" s="338"/>
      <c r="O637" s="338"/>
      <c r="P637" s="338"/>
      <c r="Q637" s="338"/>
      <c r="R637" s="338"/>
      <c r="S637" s="338"/>
      <c r="T637" s="230"/>
      <c r="U637" s="189"/>
      <c r="V637" s="189"/>
      <c r="W637" s="189"/>
      <c r="X637" s="189"/>
      <c r="Y637" s="189"/>
      <c r="Z637" s="189"/>
      <c r="AA637" s="189"/>
      <c r="AB637" s="189"/>
      <c r="AC637" s="189"/>
      <c r="AD637" s="189"/>
    </row>
    <row r="638" spans="1:30">
      <c r="A638" s="189"/>
      <c r="B638" s="189"/>
      <c r="C638" s="189"/>
      <c r="D638" s="189"/>
      <c r="E638" s="189"/>
      <c r="F638" s="189"/>
      <c r="G638" s="189"/>
      <c r="H638" s="189"/>
      <c r="I638" s="338"/>
      <c r="J638" s="338"/>
      <c r="K638" s="338"/>
      <c r="L638" s="338"/>
      <c r="M638" s="338"/>
      <c r="N638" s="338"/>
      <c r="O638" s="338"/>
      <c r="P638" s="338"/>
      <c r="Q638" s="338"/>
      <c r="R638" s="338"/>
      <c r="S638" s="338"/>
      <c r="T638" s="230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</row>
    <row r="639" spans="1:30">
      <c r="A639" s="189"/>
      <c r="B639" s="189"/>
      <c r="C639" s="189"/>
      <c r="D639" s="189"/>
      <c r="E639" s="189"/>
      <c r="F639" s="189"/>
      <c r="G639" s="189"/>
      <c r="H639" s="189"/>
      <c r="I639" s="338"/>
      <c r="J639" s="338"/>
      <c r="K639" s="338"/>
      <c r="L639" s="338"/>
      <c r="M639" s="338"/>
      <c r="N639" s="338"/>
      <c r="O639" s="338"/>
      <c r="P639" s="338"/>
      <c r="Q639" s="338"/>
      <c r="R639" s="338"/>
      <c r="S639" s="338"/>
      <c r="T639" s="230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</row>
    <row r="640" spans="1:30">
      <c r="A640" s="189"/>
      <c r="B640" s="189"/>
      <c r="C640" s="189"/>
      <c r="D640" s="189"/>
      <c r="E640" s="189"/>
      <c r="F640" s="189"/>
      <c r="G640" s="189"/>
      <c r="H640" s="189"/>
      <c r="I640" s="338"/>
      <c r="J640" s="338"/>
      <c r="K640" s="338"/>
      <c r="L640" s="338"/>
      <c r="M640" s="338"/>
      <c r="N640" s="338"/>
      <c r="O640" s="338"/>
      <c r="P640" s="338"/>
      <c r="Q640" s="338"/>
      <c r="R640" s="338"/>
      <c r="S640" s="338"/>
      <c r="T640" s="230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</row>
    <row r="641" spans="1:30">
      <c r="A641" s="189"/>
      <c r="B641" s="189"/>
      <c r="C641" s="189"/>
      <c r="D641" s="189"/>
      <c r="E641" s="189"/>
      <c r="F641" s="189"/>
      <c r="G641" s="189"/>
      <c r="H641" s="189"/>
      <c r="I641" s="338"/>
      <c r="J641" s="338"/>
      <c r="K641" s="338"/>
      <c r="L641" s="338"/>
      <c r="M641" s="338"/>
      <c r="N641" s="338"/>
      <c r="O641" s="338"/>
      <c r="P641" s="338"/>
      <c r="Q641" s="338"/>
      <c r="R641" s="338"/>
      <c r="S641" s="338"/>
      <c r="T641" s="230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</row>
    <row r="642" spans="1:30">
      <c r="A642" s="189"/>
      <c r="B642" s="189"/>
      <c r="C642" s="189"/>
      <c r="D642" s="189"/>
      <c r="E642" s="189"/>
      <c r="F642" s="189"/>
      <c r="G642" s="189"/>
      <c r="H642" s="189"/>
      <c r="I642" s="338"/>
      <c r="J642" s="338"/>
      <c r="K642" s="338"/>
      <c r="L642" s="338"/>
      <c r="M642" s="338"/>
      <c r="N642" s="338"/>
      <c r="O642" s="338"/>
      <c r="P642" s="338"/>
      <c r="Q642" s="338"/>
      <c r="R642" s="338"/>
      <c r="S642" s="338"/>
      <c r="T642" s="230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</row>
    <row r="643" spans="1:30">
      <c r="A643" s="189"/>
      <c r="B643" s="189"/>
      <c r="C643" s="189"/>
      <c r="D643" s="189"/>
      <c r="E643" s="189"/>
      <c r="F643" s="189"/>
      <c r="G643" s="189"/>
      <c r="H643" s="189"/>
      <c r="I643" s="338"/>
      <c r="J643" s="338"/>
      <c r="K643" s="338"/>
      <c r="L643" s="338"/>
      <c r="M643" s="338"/>
      <c r="N643" s="338"/>
      <c r="O643" s="338"/>
      <c r="P643" s="338"/>
      <c r="Q643" s="338"/>
      <c r="R643" s="338"/>
      <c r="S643" s="338"/>
      <c r="T643" s="230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</row>
    <row r="644" spans="1:30">
      <c r="A644" s="189"/>
      <c r="B644" s="189"/>
      <c r="C644" s="189"/>
      <c r="D644" s="189"/>
      <c r="E644" s="189"/>
      <c r="F644" s="189"/>
      <c r="G644" s="189"/>
      <c r="H644" s="189"/>
      <c r="I644" s="338"/>
      <c r="J644" s="338"/>
      <c r="K644" s="338"/>
      <c r="L644" s="338"/>
      <c r="M644" s="338"/>
      <c r="N644" s="338"/>
      <c r="O644" s="338"/>
      <c r="P644" s="338"/>
      <c r="Q644" s="338"/>
      <c r="R644" s="338"/>
      <c r="S644" s="338"/>
      <c r="T644" s="230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</row>
    <row r="645" spans="1:30">
      <c r="A645" s="189"/>
      <c r="B645" s="189"/>
      <c r="C645" s="189"/>
      <c r="D645" s="189"/>
      <c r="E645" s="189"/>
      <c r="F645" s="189"/>
      <c r="G645" s="189"/>
      <c r="H645" s="189"/>
      <c r="I645" s="338"/>
      <c r="J645" s="338"/>
      <c r="K645" s="338"/>
      <c r="L645" s="338"/>
      <c r="M645" s="338"/>
      <c r="N645" s="338"/>
      <c r="O645" s="338"/>
      <c r="P645" s="338"/>
      <c r="Q645" s="338"/>
      <c r="R645" s="338"/>
      <c r="S645" s="338"/>
      <c r="T645" s="230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</row>
    <row r="646" spans="1:30">
      <c r="A646" s="189"/>
      <c r="B646" s="189"/>
      <c r="C646" s="189"/>
      <c r="D646" s="189"/>
      <c r="E646" s="189"/>
      <c r="F646" s="189"/>
      <c r="G646" s="189"/>
      <c r="H646" s="189"/>
      <c r="I646" s="338"/>
      <c r="J646" s="338"/>
      <c r="K646" s="338"/>
      <c r="L646" s="338"/>
      <c r="M646" s="338"/>
      <c r="N646" s="338"/>
      <c r="O646" s="338"/>
      <c r="P646" s="338"/>
      <c r="Q646" s="338"/>
      <c r="R646" s="338"/>
      <c r="S646" s="338"/>
      <c r="T646" s="230"/>
      <c r="U646" s="189"/>
      <c r="V646" s="189"/>
      <c r="W646" s="189"/>
      <c r="X646" s="189"/>
      <c r="Y646" s="189"/>
      <c r="Z646" s="189"/>
      <c r="AA646" s="189"/>
      <c r="AB646" s="189"/>
      <c r="AC646" s="189"/>
      <c r="AD646" s="189"/>
    </row>
    <row r="647" spans="1:30">
      <c r="A647" s="189"/>
      <c r="B647" s="189"/>
      <c r="C647" s="189"/>
      <c r="D647" s="189"/>
      <c r="E647" s="189"/>
      <c r="F647" s="189"/>
      <c r="G647" s="189"/>
      <c r="H647" s="189"/>
      <c r="I647" s="338"/>
      <c r="J647" s="338"/>
      <c r="K647" s="338"/>
      <c r="L647" s="338"/>
      <c r="M647" s="338"/>
      <c r="N647" s="338"/>
      <c r="O647" s="338"/>
      <c r="P647" s="338"/>
      <c r="Q647" s="338"/>
      <c r="R647" s="338"/>
      <c r="S647" s="338"/>
      <c r="T647" s="230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</row>
    <row r="648" spans="1:30">
      <c r="A648" s="189"/>
      <c r="B648" s="189"/>
      <c r="C648" s="189"/>
      <c r="D648" s="189"/>
      <c r="E648" s="189"/>
      <c r="F648" s="189"/>
      <c r="G648" s="189"/>
      <c r="H648" s="189"/>
      <c r="I648" s="338"/>
      <c r="J648" s="338"/>
      <c r="K648" s="338"/>
      <c r="L648" s="338"/>
      <c r="M648" s="338"/>
      <c r="N648" s="338"/>
      <c r="O648" s="338"/>
      <c r="P648" s="338"/>
      <c r="Q648" s="338"/>
      <c r="R648" s="338"/>
      <c r="S648" s="338"/>
      <c r="T648" s="230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</row>
    <row r="649" spans="1:30">
      <c r="A649" s="189"/>
      <c r="B649" s="189"/>
      <c r="C649" s="189"/>
      <c r="D649" s="189"/>
      <c r="E649" s="189"/>
      <c r="F649" s="189"/>
      <c r="G649" s="189"/>
      <c r="H649" s="189"/>
      <c r="I649" s="338"/>
      <c r="J649" s="338"/>
      <c r="K649" s="338"/>
      <c r="L649" s="338"/>
      <c r="M649" s="338"/>
      <c r="N649" s="338"/>
      <c r="O649" s="338"/>
      <c r="P649" s="338"/>
      <c r="Q649" s="338"/>
      <c r="R649" s="338"/>
      <c r="S649" s="338"/>
      <c r="T649" s="230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</row>
    <row r="650" spans="1:30">
      <c r="A650" s="189"/>
      <c r="B650" s="189"/>
      <c r="C650" s="189"/>
      <c r="D650" s="189"/>
      <c r="E650" s="189"/>
      <c r="F650" s="189"/>
      <c r="G650" s="189"/>
      <c r="H650" s="189"/>
      <c r="I650" s="338"/>
      <c r="J650" s="338"/>
      <c r="K650" s="338"/>
      <c r="L650" s="338"/>
      <c r="M650" s="338"/>
      <c r="N650" s="338"/>
      <c r="O650" s="338"/>
      <c r="P650" s="338"/>
      <c r="Q650" s="338"/>
      <c r="R650" s="338"/>
      <c r="S650" s="338"/>
      <c r="T650" s="230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</row>
    <row r="651" spans="1:30">
      <c r="A651" s="189"/>
      <c r="B651" s="189"/>
      <c r="C651" s="189"/>
      <c r="D651" s="189"/>
      <c r="E651" s="189"/>
      <c r="F651" s="189"/>
      <c r="G651" s="189"/>
      <c r="H651" s="189"/>
      <c r="I651" s="338"/>
      <c r="J651" s="338"/>
      <c r="K651" s="338"/>
      <c r="L651" s="338"/>
      <c r="M651" s="338"/>
      <c r="N651" s="338"/>
      <c r="O651" s="338"/>
      <c r="P651" s="338"/>
      <c r="Q651" s="338"/>
      <c r="R651" s="338"/>
      <c r="S651" s="338"/>
      <c r="T651" s="230"/>
      <c r="U651" s="189"/>
      <c r="V651" s="189"/>
      <c r="W651" s="189"/>
      <c r="X651" s="189"/>
      <c r="Y651" s="189"/>
      <c r="Z651" s="189"/>
      <c r="AA651" s="189"/>
      <c r="AB651" s="189"/>
      <c r="AC651" s="189"/>
      <c r="AD651" s="189"/>
    </row>
    <row r="652" spans="1:30">
      <c r="A652" s="189"/>
      <c r="B652" s="189"/>
      <c r="C652" s="189"/>
      <c r="D652" s="189"/>
      <c r="E652" s="189"/>
      <c r="F652" s="189"/>
      <c r="G652" s="189"/>
      <c r="H652" s="189"/>
      <c r="I652" s="338"/>
      <c r="J652" s="338"/>
      <c r="K652" s="338"/>
      <c r="L652" s="338"/>
      <c r="M652" s="338"/>
      <c r="N652" s="338"/>
      <c r="O652" s="338"/>
      <c r="P652" s="338"/>
      <c r="Q652" s="338"/>
      <c r="R652" s="338"/>
      <c r="S652" s="338"/>
      <c r="T652" s="230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</row>
    <row r="653" spans="1:30">
      <c r="A653" s="189"/>
      <c r="B653" s="189"/>
      <c r="C653" s="189"/>
      <c r="D653" s="189"/>
      <c r="E653" s="189"/>
      <c r="F653" s="189"/>
      <c r="G653" s="189"/>
      <c r="H653" s="189"/>
      <c r="I653" s="338"/>
      <c r="J653" s="338"/>
      <c r="K653" s="338"/>
      <c r="L653" s="338"/>
      <c r="M653" s="338"/>
      <c r="N653" s="338"/>
      <c r="O653" s="338"/>
      <c r="P653" s="338"/>
      <c r="Q653" s="338"/>
      <c r="R653" s="338"/>
      <c r="S653" s="338"/>
      <c r="T653" s="230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</row>
    <row r="654" spans="1:30">
      <c r="A654" s="189"/>
      <c r="B654" s="189"/>
      <c r="C654" s="189"/>
      <c r="D654" s="189"/>
      <c r="E654" s="189"/>
      <c r="F654" s="189"/>
      <c r="G654" s="189"/>
      <c r="H654" s="189"/>
      <c r="I654" s="338"/>
      <c r="J654" s="338"/>
      <c r="K654" s="338"/>
      <c r="L654" s="338"/>
      <c r="M654" s="338"/>
      <c r="N654" s="338"/>
      <c r="O654" s="338"/>
      <c r="P654" s="338"/>
      <c r="Q654" s="338"/>
      <c r="R654" s="338"/>
      <c r="S654" s="338"/>
      <c r="T654" s="230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</row>
    <row r="655" spans="1:30">
      <c r="A655" s="189"/>
      <c r="B655" s="189"/>
      <c r="C655" s="189"/>
      <c r="D655" s="189"/>
      <c r="E655" s="189"/>
      <c r="F655" s="189"/>
      <c r="G655" s="189"/>
      <c r="H655" s="189"/>
      <c r="I655" s="338"/>
      <c r="J655" s="338"/>
      <c r="K655" s="338"/>
      <c r="L655" s="338"/>
      <c r="M655" s="338"/>
      <c r="N655" s="338"/>
      <c r="O655" s="338"/>
      <c r="P655" s="338"/>
      <c r="Q655" s="338"/>
      <c r="R655" s="338"/>
      <c r="S655" s="338"/>
      <c r="T655" s="230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</row>
    <row r="656" spans="1:30">
      <c r="A656" s="189"/>
      <c r="B656" s="189"/>
      <c r="C656" s="189"/>
      <c r="D656" s="189"/>
      <c r="E656" s="189"/>
      <c r="F656" s="189"/>
      <c r="G656" s="189"/>
      <c r="H656" s="189"/>
      <c r="I656" s="338"/>
      <c r="J656" s="338"/>
      <c r="K656" s="338"/>
      <c r="L656" s="338"/>
      <c r="M656" s="338"/>
      <c r="N656" s="338"/>
      <c r="O656" s="338"/>
      <c r="P656" s="338"/>
      <c r="Q656" s="338"/>
      <c r="R656" s="338"/>
      <c r="S656" s="338"/>
      <c r="T656" s="230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</row>
    <row r="657" spans="1:30">
      <c r="A657" s="189"/>
      <c r="B657" s="189"/>
      <c r="C657" s="189"/>
      <c r="D657" s="189"/>
      <c r="E657" s="189"/>
      <c r="F657" s="189"/>
      <c r="G657" s="189"/>
      <c r="H657" s="189"/>
      <c r="I657" s="338"/>
      <c r="J657" s="338"/>
      <c r="K657" s="338"/>
      <c r="L657" s="338"/>
      <c r="M657" s="338"/>
      <c r="N657" s="338"/>
      <c r="O657" s="338"/>
      <c r="P657" s="338"/>
      <c r="Q657" s="338"/>
      <c r="R657" s="338"/>
      <c r="S657" s="338"/>
      <c r="T657" s="230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</row>
    <row r="658" spans="1:30">
      <c r="A658" s="189"/>
      <c r="B658" s="189"/>
      <c r="C658" s="189"/>
      <c r="D658" s="189"/>
      <c r="E658" s="189"/>
      <c r="F658" s="189"/>
      <c r="G658" s="189"/>
      <c r="H658" s="189"/>
      <c r="I658" s="338"/>
      <c r="J658" s="338"/>
      <c r="K658" s="338"/>
      <c r="L658" s="338"/>
      <c r="M658" s="338"/>
      <c r="N658" s="338"/>
      <c r="O658" s="338"/>
      <c r="P658" s="338"/>
      <c r="Q658" s="338"/>
      <c r="R658" s="338"/>
      <c r="S658" s="338"/>
      <c r="T658" s="230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</row>
    <row r="659" spans="1:30">
      <c r="A659" s="189"/>
      <c r="B659" s="189"/>
      <c r="C659" s="189"/>
      <c r="D659" s="189"/>
      <c r="E659" s="189"/>
      <c r="F659" s="189"/>
      <c r="G659" s="189"/>
      <c r="H659" s="189"/>
      <c r="I659" s="338"/>
      <c r="J659" s="338"/>
      <c r="K659" s="338"/>
      <c r="L659" s="338"/>
      <c r="M659" s="338"/>
      <c r="N659" s="338"/>
      <c r="O659" s="338"/>
      <c r="P659" s="338"/>
      <c r="Q659" s="338"/>
      <c r="R659" s="338"/>
      <c r="S659" s="338"/>
      <c r="T659" s="230"/>
      <c r="U659" s="189"/>
      <c r="V659" s="189"/>
      <c r="W659" s="189"/>
      <c r="X659" s="189"/>
      <c r="Y659" s="189"/>
      <c r="Z659" s="189"/>
      <c r="AA659" s="189"/>
      <c r="AB659" s="189"/>
      <c r="AC659" s="189"/>
      <c r="AD659" s="189"/>
    </row>
    <row r="660" spans="1:30">
      <c r="A660" s="189"/>
      <c r="B660" s="189"/>
      <c r="C660" s="189"/>
      <c r="D660" s="189"/>
      <c r="E660" s="189"/>
      <c r="F660" s="189"/>
      <c r="G660" s="189"/>
      <c r="H660" s="189"/>
      <c r="I660" s="338"/>
      <c r="J660" s="338"/>
      <c r="K660" s="338"/>
      <c r="L660" s="338"/>
      <c r="M660" s="338"/>
      <c r="N660" s="338"/>
      <c r="O660" s="338"/>
      <c r="P660" s="338"/>
      <c r="Q660" s="338"/>
      <c r="R660" s="338"/>
      <c r="S660" s="338"/>
      <c r="T660" s="230"/>
      <c r="U660" s="189"/>
      <c r="V660" s="189"/>
      <c r="W660" s="189"/>
      <c r="X660" s="189"/>
      <c r="Y660" s="189"/>
      <c r="Z660" s="189"/>
      <c r="AA660" s="189"/>
      <c r="AB660" s="189"/>
      <c r="AC660" s="189"/>
      <c r="AD660" s="189"/>
    </row>
    <row r="661" spans="1:30">
      <c r="A661" s="189"/>
      <c r="B661" s="189"/>
      <c r="C661" s="189"/>
      <c r="D661" s="189"/>
      <c r="E661" s="189"/>
      <c r="F661" s="189"/>
      <c r="G661" s="189"/>
      <c r="H661" s="189"/>
      <c r="I661" s="338"/>
      <c r="J661" s="338"/>
      <c r="K661" s="338"/>
      <c r="L661" s="338"/>
      <c r="M661" s="338"/>
      <c r="N661" s="338"/>
      <c r="O661" s="338"/>
      <c r="P661" s="338"/>
      <c r="Q661" s="338"/>
      <c r="R661" s="338"/>
      <c r="S661" s="338"/>
      <c r="T661" s="230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</row>
    <row r="662" spans="1:30">
      <c r="A662" s="189"/>
      <c r="B662" s="189"/>
      <c r="C662" s="189"/>
      <c r="D662" s="189"/>
      <c r="E662" s="189"/>
      <c r="F662" s="189"/>
      <c r="G662" s="189"/>
      <c r="H662" s="189"/>
      <c r="I662" s="338"/>
      <c r="J662" s="338"/>
      <c r="K662" s="338"/>
      <c r="L662" s="338"/>
      <c r="M662" s="338"/>
      <c r="N662" s="338"/>
      <c r="O662" s="338"/>
      <c r="P662" s="338"/>
      <c r="Q662" s="338"/>
      <c r="R662" s="338"/>
      <c r="S662" s="338"/>
      <c r="T662" s="230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</row>
    <row r="663" spans="1:30">
      <c r="A663" s="189"/>
      <c r="B663" s="189"/>
      <c r="C663" s="189"/>
      <c r="D663" s="189"/>
      <c r="E663" s="189"/>
      <c r="F663" s="189"/>
      <c r="G663" s="189"/>
      <c r="H663" s="189"/>
      <c r="I663" s="338"/>
      <c r="J663" s="338"/>
      <c r="K663" s="338"/>
      <c r="L663" s="338"/>
      <c r="M663" s="338"/>
      <c r="N663" s="338"/>
      <c r="O663" s="338"/>
      <c r="P663" s="338"/>
      <c r="Q663" s="338"/>
      <c r="R663" s="338"/>
      <c r="S663" s="338"/>
      <c r="T663" s="230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</row>
    <row r="664" spans="1:30">
      <c r="A664" s="189"/>
      <c r="B664" s="189"/>
      <c r="C664" s="189"/>
      <c r="D664" s="189"/>
      <c r="E664" s="189"/>
      <c r="F664" s="189"/>
      <c r="G664" s="189"/>
      <c r="H664" s="189"/>
      <c r="I664" s="338"/>
      <c r="J664" s="338"/>
      <c r="K664" s="338"/>
      <c r="L664" s="338"/>
      <c r="M664" s="338"/>
      <c r="N664" s="338"/>
      <c r="O664" s="338"/>
      <c r="P664" s="338"/>
      <c r="Q664" s="338"/>
      <c r="R664" s="338"/>
      <c r="S664" s="338"/>
      <c r="T664" s="230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</row>
    <row r="665" spans="1:30">
      <c r="A665" s="189"/>
      <c r="B665" s="189"/>
      <c r="C665" s="189"/>
      <c r="D665" s="189"/>
      <c r="E665" s="189"/>
      <c r="F665" s="189"/>
      <c r="G665" s="189"/>
      <c r="H665" s="189"/>
      <c r="I665" s="338"/>
      <c r="J665" s="338"/>
      <c r="K665" s="338"/>
      <c r="L665" s="338"/>
      <c r="M665" s="338"/>
      <c r="N665" s="338"/>
      <c r="O665" s="338"/>
      <c r="P665" s="338"/>
      <c r="Q665" s="338"/>
      <c r="R665" s="338"/>
      <c r="S665" s="338"/>
      <c r="T665" s="230"/>
      <c r="U665" s="189"/>
      <c r="V665" s="189"/>
      <c r="W665" s="189"/>
      <c r="X665" s="189"/>
      <c r="Y665" s="189"/>
      <c r="Z665" s="189"/>
      <c r="AA665" s="189"/>
      <c r="AB665" s="189"/>
      <c r="AC665" s="189"/>
      <c r="AD665" s="189"/>
    </row>
    <row r="666" spans="1:30">
      <c r="A666" s="189"/>
      <c r="B666" s="189"/>
      <c r="C666" s="189"/>
      <c r="D666" s="189"/>
      <c r="E666" s="189"/>
      <c r="F666" s="189"/>
      <c r="G666" s="189"/>
      <c r="H666" s="189"/>
      <c r="I666" s="338"/>
      <c r="J666" s="338"/>
      <c r="K666" s="338"/>
      <c r="L666" s="338"/>
      <c r="M666" s="338"/>
      <c r="N666" s="338"/>
      <c r="O666" s="338"/>
      <c r="P666" s="338"/>
      <c r="Q666" s="338"/>
      <c r="R666" s="338"/>
      <c r="S666" s="338"/>
      <c r="T666" s="230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</row>
    <row r="667" spans="1:30">
      <c r="A667" s="189"/>
      <c r="B667" s="189"/>
      <c r="C667" s="189"/>
      <c r="D667" s="189"/>
      <c r="E667" s="189"/>
      <c r="F667" s="189"/>
      <c r="G667" s="189"/>
      <c r="H667" s="189"/>
      <c r="I667" s="338"/>
      <c r="J667" s="338"/>
      <c r="K667" s="338"/>
      <c r="L667" s="338"/>
      <c r="M667" s="338"/>
      <c r="N667" s="338"/>
      <c r="O667" s="338"/>
      <c r="P667" s="338"/>
      <c r="Q667" s="338"/>
      <c r="R667" s="338"/>
      <c r="S667" s="338"/>
      <c r="T667" s="230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</row>
    <row r="668" spans="1:30">
      <c r="A668" s="189"/>
      <c r="B668" s="189"/>
      <c r="C668" s="189"/>
      <c r="D668" s="189"/>
      <c r="E668" s="189"/>
      <c r="F668" s="189"/>
      <c r="G668" s="189"/>
      <c r="H668" s="189"/>
      <c r="I668" s="338"/>
      <c r="J668" s="338"/>
      <c r="K668" s="338"/>
      <c r="L668" s="338"/>
      <c r="M668" s="338"/>
      <c r="N668" s="338"/>
      <c r="O668" s="338"/>
      <c r="P668" s="338"/>
      <c r="Q668" s="338"/>
      <c r="R668" s="338"/>
      <c r="S668" s="338"/>
      <c r="T668" s="230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</row>
    <row r="669" spans="1:30">
      <c r="A669" s="189"/>
      <c r="B669" s="189"/>
      <c r="C669" s="189"/>
      <c r="D669" s="189"/>
      <c r="E669" s="189"/>
      <c r="F669" s="189"/>
      <c r="G669" s="189"/>
      <c r="H669" s="189"/>
      <c r="I669" s="338"/>
      <c r="J669" s="338"/>
      <c r="K669" s="338"/>
      <c r="L669" s="338"/>
      <c r="M669" s="338"/>
      <c r="N669" s="338"/>
      <c r="O669" s="338"/>
      <c r="P669" s="338"/>
      <c r="Q669" s="338"/>
      <c r="R669" s="338"/>
      <c r="S669" s="338"/>
      <c r="T669" s="230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</row>
    <row r="670" spans="1:30">
      <c r="A670" s="189"/>
      <c r="B670" s="189"/>
      <c r="C670" s="189"/>
      <c r="D670" s="189"/>
      <c r="E670" s="189"/>
      <c r="F670" s="189"/>
      <c r="G670" s="189"/>
      <c r="H670" s="189"/>
      <c r="I670" s="338"/>
      <c r="J670" s="338"/>
      <c r="K670" s="338"/>
      <c r="L670" s="338"/>
      <c r="M670" s="338"/>
      <c r="N670" s="338"/>
      <c r="O670" s="338"/>
      <c r="P670" s="338"/>
      <c r="Q670" s="338"/>
      <c r="R670" s="338"/>
      <c r="S670" s="338"/>
      <c r="T670" s="230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</row>
    <row r="671" spans="1:30">
      <c r="A671" s="189"/>
      <c r="B671" s="189"/>
      <c r="C671" s="189"/>
      <c r="D671" s="189"/>
      <c r="E671" s="189"/>
      <c r="F671" s="189"/>
      <c r="G671" s="189"/>
      <c r="H671" s="189"/>
      <c r="I671" s="338"/>
      <c r="J671" s="338"/>
      <c r="K671" s="338"/>
      <c r="L671" s="338"/>
      <c r="M671" s="338"/>
      <c r="N671" s="338"/>
      <c r="O671" s="338"/>
      <c r="P671" s="338"/>
      <c r="Q671" s="338"/>
      <c r="R671" s="338"/>
      <c r="S671" s="338"/>
      <c r="T671" s="230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</row>
    <row r="672" spans="1:30">
      <c r="A672" s="189"/>
      <c r="B672" s="189"/>
      <c r="C672" s="189"/>
      <c r="D672" s="189"/>
      <c r="E672" s="189"/>
      <c r="F672" s="189"/>
      <c r="G672" s="189"/>
      <c r="H672" s="189"/>
      <c r="I672" s="338"/>
      <c r="J672" s="338"/>
      <c r="K672" s="338"/>
      <c r="L672" s="338"/>
      <c r="M672" s="338"/>
      <c r="N672" s="338"/>
      <c r="O672" s="338"/>
      <c r="P672" s="338"/>
      <c r="Q672" s="338"/>
      <c r="R672" s="338"/>
      <c r="S672" s="338"/>
      <c r="T672" s="230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</row>
    <row r="673" spans="1:30">
      <c r="A673" s="189"/>
      <c r="B673" s="189"/>
      <c r="C673" s="189"/>
      <c r="D673" s="189"/>
      <c r="E673" s="189"/>
      <c r="F673" s="189"/>
      <c r="G673" s="189"/>
      <c r="H673" s="189"/>
      <c r="I673" s="338"/>
      <c r="J673" s="338"/>
      <c r="K673" s="338"/>
      <c r="L673" s="338"/>
      <c r="M673" s="338"/>
      <c r="N673" s="338"/>
      <c r="O673" s="338"/>
      <c r="P673" s="338"/>
      <c r="Q673" s="338"/>
      <c r="R673" s="338"/>
      <c r="S673" s="338"/>
      <c r="T673" s="230"/>
      <c r="U673" s="189"/>
      <c r="V673" s="189"/>
      <c r="W673" s="189"/>
      <c r="X673" s="189"/>
      <c r="Y673" s="189"/>
      <c r="Z673" s="189"/>
      <c r="AA673" s="189"/>
      <c r="AB673" s="189"/>
      <c r="AC673" s="189"/>
      <c r="AD673" s="189"/>
    </row>
    <row r="674" spans="1:30">
      <c r="A674" s="189"/>
      <c r="B674" s="189"/>
      <c r="C674" s="189"/>
      <c r="D674" s="189"/>
      <c r="E674" s="189"/>
      <c r="F674" s="189"/>
      <c r="G674" s="189"/>
      <c r="H674" s="189"/>
      <c r="I674" s="338"/>
      <c r="J674" s="338"/>
      <c r="K674" s="338"/>
      <c r="L674" s="338"/>
      <c r="M674" s="338"/>
      <c r="N674" s="338"/>
      <c r="O674" s="338"/>
      <c r="P674" s="338"/>
      <c r="Q674" s="338"/>
      <c r="R674" s="338"/>
      <c r="S674" s="338"/>
      <c r="T674" s="230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</row>
    <row r="675" spans="1:30">
      <c r="A675" s="189"/>
      <c r="B675" s="189"/>
      <c r="C675" s="189"/>
      <c r="D675" s="189"/>
      <c r="E675" s="189"/>
      <c r="F675" s="189"/>
      <c r="G675" s="189"/>
      <c r="H675" s="189"/>
      <c r="I675" s="338"/>
      <c r="J675" s="338"/>
      <c r="K675" s="338"/>
      <c r="L675" s="338"/>
      <c r="M675" s="338"/>
      <c r="N675" s="338"/>
      <c r="O675" s="338"/>
      <c r="P675" s="338"/>
      <c r="Q675" s="338"/>
      <c r="R675" s="338"/>
      <c r="S675" s="338"/>
      <c r="T675" s="230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</row>
    <row r="676" spans="1:30">
      <c r="A676" s="189"/>
      <c r="B676" s="189"/>
      <c r="C676" s="189"/>
      <c r="D676" s="189"/>
      <c r="E676" s="189"/>
      <c r="F676" s="189"/>
      <c r="G676" s="189"/>
      <c r="H676" s="189"/>
      <c r="I676" s="338"/>
      <c r="J676" s="338"/>
      <c r="K676" s="338"/>
      <c r="L676" s="338"/>
      <c r="M676" s="338"/>
      <c r="N676" s="338"/>
      <c r="O676" s="338"/>
      <c r="P676" s="338"/>
      <c r="Q676" s="338"/>
      <c r="R676" s="338"/>
      <c r="S676" s="338"/>
      <c r="T676" s="230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</row>
    <row r="677" spans="1:30">
      <c r="A677" s="189"/>
      <c r="B677" s="189"/>
      <c r="C677" s="189"/>
      <c r="D677" s="189"/>
      <c r="E677" s="189"/>
      <c r="F677" s="189"/>
      <c r="G677" s="189"/>
      <c r="H677" s="189"/>
      <c r="I677" s="338"/>
      <c r="J677" s="338"/>
      <c r="K677" s="338"/>
      <c r="L677" s="338"/>
      <c r="M677" s="338"/>
      <c r="N677" s="338"/>
      <c r="O677" s="338"/>
      <c r="P677" s="338"/>
      <c r="Q677" s="338"/>
      <c r="R677" s="338"/>
      <c r="S677" s="338"/>
      <c r="T677" s="230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</row>
    <row r="678" spans="1:30">
      <c r="A678" s="189"/>
      <c r="B678" s="189"/>
      <c r="C678" s="189"/>
      <c r="D678" s="189"/>
      <c r="E678" s="189"/>
      <c r="F678" s="189"/>
      <c r="G678" s="189"/>
      <c r="H678" s="189"/>
      <c r="I678" s="338"/>
      <c r="J678" s="338"/>
      <c r="K678" s="338"/>
      <c r="L678" s="338"/>
      <c r="M678" s="338"/>
      <c r="N678" s="338"/>
      <c r="O678" s="338"/>
      <c r="P678" s="338"/>
      <c r="Q678" s="338"/>
      <c r="R678" s="338"/>
      <c r="S678" s="338"/>
      <c r="T678" s="230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</row>
    <row r="679" spans="1:30">
      <c r="A679" s="189"/>
      <c r="B679" s="189"/>
      <c r="C679" s="189"/>
      <c r="D679" s="189"/>
      <c r="E679" s="189"/>
      <c r="F679" s="189"/>
      <c r="G679" s="189"/>
      <c r="H679" s="189"/>
      <c r="I679" s="338"/>
      <c r="J679" s="338"/>
      <c r="K679" s="338"/>
      <c r="L679" s="338"/>
      <c r="M679" s="338"/>
      <c r="N679" s="338"/>
      <c r="O679" s="338"/>
      <c r="P679" s="338"/>
      <c r="Q679" s="338"/>
      <c r="R679" s="338"/>
      <c r="S679" s="338"/>
      <c r="T679" s="230"/>
      <c r="U679" s="189"/>
      <c r="V679" s="189"/>
      <c r="W679" s="189"/>
      <c r="X679" s="189"/>
      <c r="Y679" s="189"/>
      <c r="Z679" s="189"/>
      <c r="AA679" s="189"/>
      <c r="AB679" s="189"/>
      <c r="AC679" s="189"/>
      <c r="AD679" s="189"/>
    </row>
    <row r="680" spans="1:30">
      <c r="A680" s="189"/>
      <c r="B680" s="189"/>
      <c r="C680" s="189"/>
      <c r="D680" s="189"/>
      <c r="E680" s="189"/>
      <c r="F680" s="189"/>
      <c r="G680" s="189"/>
      <c r="H680" s="189"/>
      <c r="I680" s="338"/>
      <c r="J680" s="338"/>
      <c r="K680" s="338"/>
      <c r="L680" s="338"/>
      <c r="M680" s="338"/>
      <c r="N680" s="338"/>
      <c r="O680" s="338"/>
      <c r="P680" s="338"/>
      <c r="Q680" s="338"/>
      <c r="R680" s="338"/>
      <c r="S680" s="338"/>
      <c r="T680" s="230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</row>
    <row r="681" spans="1:30">
      <c r="A681" s="189"/>
      <c r="B681" s="189"/>
      <c r="C681" s="189"/>
      <c r="D681" s="189"/>
      <c r="E681" s="189"/>
      <c r="F681" s="189"/>
      <c r="G681" s="189"/>
      <c r="H681" s="189"/>
      <c r="I681" s="338"/>
      <c r="J681" s="338"/>
      <c r="K681" s="338"/>
      <c r="L681" s="338"/>
      <c r="M681" s="338"/>
      <c r="N681" s="338"/>
      <c r="O681" s="338"/>
      <c r="P681" s="338"/>
      <c r="Q681" s="338"/>
      <c r="R681" s="338"/>
      <c r="S681" s="338"/>
      <c r="T681" s="230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</row>
    <row r="682" spans="1:30">
      <c r="A682" s="189"/>
      <c r="B682" s="189"/>
      <c r="C682" s="189"/>
      <c r="D682" s="189"/>
      <c r="E682" s="189"/>
      <c r="F682" s="189"/>
      <c r="G682" s="189"/>
      <c r="H682" s="189"/>
      <c r="I682" s="338"/>
      <c r="J682" s="338"/>
      <c r="K682" s="338"/>
      <c r="L682" s="338"/>
      <c r="M682" s="338"/>
      <c r="N682" s="338"/>
      <c r="O682" s="338"/>
      <c r="P682" s="338"/>
      <c r="Q682" s="338"/>
      <c r="R682" s="338"/>
      <c r="S682" s="338"/>
      <c r="T682" s="230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</row>
    <row r="683" spans="1:30">
      <c r="A683" s="189"/>
      <c r="B683" s="189"/>
      <c r="C683" s="189"/>
      <c r="D683" s="189"/>
      <c r="E683" s="189"/>
      <c r="F683" s="189"/>
      <c r="G683" s="189"/>
      <c r="H683" s="189"/>
      <c r="I683" s="338"/>
      <c r="J683" s="338"/>
      <c r="K683" s="338"/>
      <c r="L683" s="338"/>
      <c r="M683" s="338"/>
      <c r="N683" s="338"/>
      <c r="O683" s="338"/>
      <c r="P683" s="338"/>
      <c r="Q683" s="338"/>
      <c r="R683" s="338"/>
      <c r="S683" s="338"/>
      <c r="T683" s="230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</row>
    <row r="684" spans="1:30">
      <c r="A684" s="189"/>
      <c r="B684" s="189"/>
      <c r="C684" s="189"/>
      <c r="D684" s="189"/>
      <c r="E684" s="189"/>
      <c r="F684" s="189"/>
      <c r="G684" s="189"/>
      <c r="H684" s="189"/>
      <c r="I684" s="338"/>
      <c r="J684" s="338"/>
      <c r="K684" s="338"/>
      <c r="L684" s="338"/>
      <c r="M684" s="338"/>
      <c r="N684" s="338"/>
      <c r="O684" s="338"/>
      <c r="P684" s="338"/>
      <c r="Q684" s="338"/>
      <c r="R684" s="338"/>
      <c r="S684" s="338"/>
      <c r="T684" s="230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</row>
    <row r="685" spans="1:30">
      <c r="A685" s="189"/>
      <c r="B685" s="189"/>
      <c r="C685" s="189"/>
      <c r="D685" s="189"/>
      <c r="E685" s="189"/>
      <c r="F685" s="189"/>
      <c r="G685" s="189"/>
      <c r="H685" s="189"/>
      <c r="I685" s="338"/>
      <c r="J685" s="338"/>
      <c r="K685" s="338"/>
      <c r="L685" s="338"/>
      <c r="M685" s="338"/>
      <c r="N685" s="338"/>
      <c r="O685" s="338"/>
      <c r="P685" s="338"/>
      <c r="Q685" s="338"/>
      <c r="R685" s="338"/>
      <c r="S685" s="338"/>
      <c r="T685" s="230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</row>
    <row r="686" spans="1:30">
      <c r="A686" s="189"/>
      <c r="B686" s="189"/>
      <c r="C686" s="189"/>
      <c r="D686" s="189"/>
      <c r="E686" s="189"/>
      <c r="F686" s="189"/>
      <c r="G686" s="189"/>
      <c r="H686" s="189"/>
      <c r="I686" s="338"/>
      <c r="J686" s="338"/>
      <c r="K686" s="338"/>
      <c r="L686" s="338"/>
      <c r="M686" s="338"/>
      <c r="N686" s="338"/>
      <c r="O686" s="338"/>
      <c r="P686" s="338"/>
      <c r="Q686" s="338"/>
      <c r="R686" s="338"/>
      <c r="S686" s="338"/>
      <c r="T686" s="230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</row>
    <row r="687" spans="1:30">
      <c r="A687" s="189"/>
      <c r="B687" s="189"/>
      <c r="C687" s="189"/>
      <c r="D687" s="189"/>
      <c r="E687" s="189"/>
      <c r="F687" s="189"/>
      <c r="G687" s="189"/>
      <c r="H687" s="189"/>
      <c r="I687" s="338"/>
      <c r="J687" s="338"/>
      <c r="K687" s="338"/>
      <c r="L687" s="338"/>
      <c r="M687" s="338"/>
      <c r="N687" s="338"/>
      <c r="O687" s="338"/>
      <c r="P687" s="338"/>
      <c r="Q687" s="338"/>
      <c r="R687" s="338"/>
      <c r="S687" s="338"/>
      <c r="T687" s="230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</row>
    <row r="688" spans="1:30">
      <c r="A688" s="189"/>
      <c r="B688" s="189"/>
      <c r="C688" s="189"/>
      <c r="D688" s="189"/>
      <c r="E688" s="189"/>
      <c r="F688" s="189"/>
      <c r="G688" s="189"/>
      <c r="H688" s="189"/>
      <c r="I688" s="338"/>
      <c r="J688" s="338"/>
      <c r="K688" s="338"/>
      <c r="L688" s="338"/>
      <c r="M688" s="338"/>
      <c r="N688" s="338"/>
      <c r="O688" s="338"/>
      <c r="P688" s="338"/>
      <c r="Q688" s="338"/>
      <c r="R688" s="338"/>
      <c r="S688" s="338"/>
      <c r="T688" s="230"/>
      <c r="U688" s="189"/>
      <c r="V688" s="189"/>
      <c r="W688" s="189"/>
      <c r="X688" s="189"/>
      <c r="Y688" s="189"/>
      <c r="Z688" s="189"/>
      <c r="AA688" s="189"/>
      <c r="AB688" s="189"/>
      <c r="AC688" s="189"/>
      <c r="AD688" s="189"/>
    </row>
    <row r="689" spans="1:30">
      <c r="A689" s="189"/>
      <c r="B689" s="189"/>
      <c r="C689" s="189"/>
      <c r="D689" s="189"/>
      <c r="E689" s="189"/>
      <c r="F689" s="189"/>
      <c r="G689" s="189"/>
      <c r="H689" s="189"/>
      <c r="I689" s="338"/>
      <c r="J689" s="338"/>
      <c r="K689" s="338"/>
      <c r="L689" s="338"/>
      <c r="M689" s="338"/>
      <c r="N689" s="338"/>
      <c r="O689" s="338"/>
      <c r="P689" s="338"/>
      <c r="Q689" s="338"/>
      <c r="R689" s="338"/>
      <c r="S689" s="338"/>
      <c r="T689" s="230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</row>
    <row r="690" spans="1:30">
      <c r="A690" s="189"/>
      <c r="B690" s="189"/>
      <c r="C690" s="189"/>
      <c r="D690" s="189"/>
      <c r="E690" s="189"/>
      <c r="F690" s="189"/>
      <c r="G690" s="189"/>
      <c r="H690" s="189"/>
      <c r="I690" s="338"/>
      <c r="J690" s="338"/>
      <c r="K690" s="338"/>
      <c r="L690" s="338"/>
      <c r="M690" s="338"/>
      <c r="N690" s="338"/>
      <c r="O690" s="338"/>
      <c r="P690" s="338"/>
      <c r="Q690" s="338"/>
      <c r="R690" s="338"/>
      <c r="S690" s="338"/>
      <c r="T690" s="230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</row>
    <row r="691" spans="1:30">
      <c r="A691" s="189"/>
      <c r="B691" s="189"/>
      <c r="C691" s="189"/>
      <c r="D691" s="189"/>
      <c r="E691" s="189"/>
      <c r="F691" s="189"/>
      <c r="G691" s="189"/>
      <c r="H691" s="189"/>
      <c r="I691" s="338"/>
      <c r="J691" s="338"/>
      <c r="K691" s="338"/>
      <c r="L691" s="338"/>
      <c r="M691" s="338"/>
      <c r="N691" s="338"/>
      <c r="O691" s="338"/>
      <c r="P691" s="338"/>
      <c r="Q691" s="338"/>
      <c r="R691" s="338"/>
      <c r="S691" s="338"/>
      <c r="T691" s="230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</row>
    <row r="692" spans="1:30">
      <c r="A692" s="189"/>
      <c r="B692" s="189"/>
      <c r="C692" s="189"/>
      <c r="D692" s="189"/>
      <c r="E692" s="189"/>
      <c r="F692" s="189"/>
      <c r="G692" s="189"/>
      <c r="H692" s="189"/>
      <c r="I692" s="338"/>
      <c r="J692" s="338"/>
      <c r="K692" s="338"/>
      <c r="L692" s="338"/>
      <c r="M692" s="338"/>
      <c r="N692" s="338"/>
      <c r="O692" s="338"/>
      <c r="P692" s="338"/>
      <c r="Q692" s="338"/>
      <c r="R692" s="338"/>
      <c r="S692" s="338"/>
      <c r="T692" s="230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</row>
    <row r="693" spans="1:30">
      <c r="A693" s="189"/>
      <c r="B693" s="189"/>
      <c r="C693" s="189"/>
      <c r="D693" s="189"/>
      <c r="E693" s="189"/>
      <c r="F693" s="189"/>
      <c r="G693" s="189"/>
      <c r="H693" s="189"/>
      <c r="I693" s="338"/>
      <c r="J693" s="338"/>
      <c r="K693" s="338"/>
      <c r="L693" s="338"/>
      <c r="M693" s="338"/>
      <c r="N693" s="338"/>
      <c r="O693" s="338"/>
      <c r="P693" s="338"/>
      <c r="Q693" s="338"/>
      <c r="R693" s="338"/>
      <c r="S693" s="338"/>
      <c r="T693" s="230"/>
      <c r="U693" s="189"/>
      <c r="V693" s="189"/>
      <c r="W693" s="189"/>
      <c r="X693" s="189"/>
      <c r="Y693" s="189"/>
      <c r="Z693" s="189"/>
      <c r="AA693" s="189"/>
      <c r="AB693" s="189"/>
      <c r="AC693" s="189"/>
      <c r="AD693" s="189"/>
    </row>
    <row r="694" spans="1:30">
      <c r="A694" s="189"/>
      <c r="B694" s="189"/>
      <c r="C694" s="189"/>
      <c r="D694" s="189"/>
      <c r="E694" s="189"/>
      <c r="F694" s="189"/>
      <c r="G694" s="189"/>
      <c r="H694" s="189"/>
      <c r="I694" s="338"/>
      <c r="J694" s="338"/>
      <c r="K694" s="338"/>
      <c r="L694" s="338"/>
      <c r="M694" s="338"/>
      <c r="N694" s="338"/>
      <c r="O694" s="338"/>
      <c r="P694" s="338"/>
      <c r="Q694" s="338"/>
      <c r="R694" s="338"/>
      <c r="S694" s="338"/>
      <c r="T694" s="230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</row>
    <row r="695" spans="1:30">
      <c r="A695" s="189"/>
      <c r="B695" s="189"/>
      <c r="C695" s="189"/>
      <c r="D695" s="189"/>
      <c r="E695" s="189"/>
      <c r="F695" s="189"/>
      <c r="G695" s="189"/>
      <c r="H695" s="189"/>
      <c r="I695" s="338"/>
      <c r="J695" s="338"/>
      <c r="K695" s="338"/>
      <c r="L695" s="338"/>
      <c r="M695" s="338"/>
      <c r="N695" s="338"/>
      <c r="O695" s="338"/>
      <c r="P695" s="338"/>
      <c r="Q695" s="338"/>
      <c r="R695" s="338"/>
      <c r="S695" s="338"/>
      <c r="T695" s="230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</row>
    <row r="696" spans="1:30">
      <c r="A696" s="189"/>
      <c r="B696" s="189"/>
      <c r="C696" s="189"/>
      <c r="D696" s="189"/>
      <c r="E696" s="189"/>
      <c r="F696" s="189"/>
      <c r="G696" s="189"/>
      <c r="H696" s="189"/>
      <c r="I696" s="338"/>
      <c r="J696" s="338"/>
      <c r="K696" s="338"/>
      <c r="L696" s="338"/>
      <c r="M696" s="338"/>
      <c r="N696" s="338"/>
      <c r="O696" s="338"/>
      <c r="P696" s="338"/>
      <c r="Q696" s="338"/>
      <c r="R696" s="338"/>
      <c r="S696" s="338"/>
      <c r="T696" s="230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</row>
    <row r="697" spans="1:30">
      <c r="A697" s="189"/>
      <c r="B697" s="189"/>
      <c r="C697" s="189"/>
      <c r="D697" s="189"/>
      <c r="E697" s="189"/>
      <c r="F697" s="189"/>
      <c r="G697" s="189"/>
      <c r="H697" s="189"/>
      <c r="I697" s="338"/>
      <c r="J697" s="338"/>
      <c r="K697" s="338"/>
      <c r="L697" s="338"/>
      <c r="M697" s="338"/>
      <c r="N697" s="338"/>
      <c r="O697" s="338"/>
      <c r="P697" s="338"/>
      <c r="Q697" s="338"/>
      <c r="R697" s="338"/>
      <c r="S697" s="338"/>
      <c r="T697" s="230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</row>
    <row r="698" spans="1:30">
      <c r="A698" s="189"/>
      <c r="B698" s="189"/>
      <c r="C698" s="189"/>
      <c r="D698" s="189"/>
      <c r="E698" s="189"/>
      <c r="F698" s="189"/>
      <c r="G698" s="189"/>
      <c r="H698" s="189"/>
      <c r="I698" s="338"/>
      <c r="J698" s="338"/>
      <c r="K698" s="338"/>
      <c r="L698" s="338"/>
      <c r="M698" s="338"/>
      <c r="N698" s="338"/>
      <c r="O698" s="338"/>
      <c r="P698" s="338"/>
      <c r="Q698" s="338"/>
      <c r="R698" s="338"/>
      <c r="S698" s="338"/>
      <c r="T698" s="230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</row>
    <row r="699" spans="1:30">
      <c r="A699" s="189"/>
      <c r="B699" s="189"/>
      <c r="C699" s="189"/>
      <c r="D699" s="189"/>
      <c r="E699" s="189"/>
      <c r="F699" s="189"/>
      <c r="G699" s="189"/>
      <c r="H699" s="189"/>
      <c r="I699" s="338"/>
      <c r="J699" s="338"/>
      <c r="K699" s="338"/>
      <c r="L699" s="338"/>
      <c r="M699" s="338"/>
      <c r="N699" s="338"/>
      <c r="O699" s="338"/>
      <c r="P699" s="338"/>
      <c r="Q699" s="338"/>
      <c r="R699" s="338"/>
      <c r="S699" s="338"/>
      <c r="T699" s="230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</row>
    <row r="700" spans="1:30">
      <c r="A700" s="189"/>
      <c r="B700" s="189"/>
      <c r="C700" s="189"/>
      <c r="D700" s="189"/>
      <c r="E700" s="189"/>
      <c r="F700" s="189"/>
      <c r="G700" s="189"/>
      <c r="H700" s="189"/>
      <c r="I700" s="338"/>
      <c r="J700" s="338"/>
      <c r="K700" s="338"/>
      <c r="L700" s="338"/>
      <c r="M700" s="338"/>
      <c r="N700" s="338"/>
      <c r="O700" s="338"/>
      <c r="P700" s="338"/>
      <c r="Q700" s="338"/>
      <c r="R700" s="338"/>
      <c r="S700" s="338"/>
      <c r="T700" s="230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</row>
    <row r="701" spans="1:30">
      <c r="A701" s="189"/>
      <c r="B701" s="189"/>
      <c r="C701" s="189"/>
      <c r="D701" s="189"/>
      <c r="E701" s="189"/>
      <c r="F701" s="189"/>
      <c r="G701" s="189"/>
      <c r="H701" s="189"/>
      <c r="I701" s="338"/>
      <c r="J701" s="338"/>
      <c r="K701" s="338"/>
      <c r="L701" s="338"/>
      <c r="M701" s="338"/>
      <c r="N701" s="338"/>
      <c r="O701" s="338"/>
      <c r="P701" s="338"/>
      <c r="Q701" s="338"/>
      <c r="R701" s="338"/>
      <c r="S701" s="338"/>
      <c r="T701" s="230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</row>
    <row r="702" spans="1:30">
      <c r="A702" s="189"/>
      <c r="B702" s="189"/>
      <c r="C702" s="189"/>
      <c r="D702" s="189"/>
      <c r="E702" s="189"/>
      <c r="F702" s="189"/>
      <c r="G702" s="189"/>
      <c r="H702" s="189"/>
      <c r="I702" s="338"/>
      <c r="J702" s="338"/>
      <c r="K702" s="338"/>
      <c r="L702" s="338"/>
      <c r="M702" s="338"/>
      <c r="N702" s="338"/>
      <c r="O702" s="338"/>
      <c r="P702" s="338"/>
      <c r="Q702" s="338"/>
      <c r="R702" s="338"/>
      <c r="S702" s="338"/>
      <c r="T702" s="230"/>
      <c r="U702" s="189"/>
      <c r="V702" s="189"/>
      <c r="W702" s="189"/>
      <c r="X702" s="189"/>
      <c r="Y702" s="189"/>
      <c r="Z702" s="189"/>
      <c r="AA702" s="189"/>
      <c r="AB702" s="189"/>
      <c r="AC702" s="189"/>
      <c r="AD702" s="189"/>
    </row>
    <row r="703" spans="1:30">
      <c r="A703" s="189"/>
      <c r="B703" s="189"/>
      <c r="C703" s="189"/>
      <c r="D703" s="189"/>
      <c r="E703" s="189"/>
      <c r="F703" s="189"/>
      <c r="G703" s="189"/>
      <c r="H703" s="189"/>
      <c r="I703" s="338"/>
      <c r="J703" s="338"/>
      <c r="K703" s="338"/>
      <c r="L703" s="338"/>
      <c r="M703" s="338"/>
      <c r="N703" s="338"/>
      <c r="O703" s="338"/>
      <c r="P703" s="338"/>
      <c r="Q703" s="338"/>
      <c r="R703" s="338"/>
      <c r="S703" s="338"/>
      <c r="T703" s="230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</row>
    <row r="704" spans="1:30">
      <c r="A704" s="189"/>
      <c r="B704" s="189"/>
      <c r="C704" s="189"/>
      <c r="D704" s="189"/>
      <c r="E704" s="189"/>
      <c r="F704" s="189"/>
      <c r="G704" s="189"/>
      <c r="H704" s="189"/>
      <c r="I704" s="338"/>
      <c r="J704" s="338"/>
      <c r="K704" s="338"/>
      <c r="L704" s="338"/>
      <c r="M704" s="338"/>
      <c r="N704" s="338"/>
      <c r="O704" s="338"/>
      <c r="P704" s="338"/>
      <c r="Q704" s="338"/>
      <c r="R704" s="338"/>
      <c r="S704" s="338"/>
      <c r="T704" s="230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</row>
    <row r="705" spans="1:30">
      <c r="A705" s="189"/>
      <c r="B705" s="189"/>
      <c r="C705" s="189"/>
      <c r="D705" s="189"/>
      <c r="E705" s="189"/>
      <c r="F705" s="189"/>
      <c r="G705" s="189"/>
      <c r="H705" s="189"/>
      <c r="I705" s="338"/>
      <c r="J705" s="338"/>
      <c r="K705" s="338"/>
      <c r="L705" s="338"/>
      <c r="M705" s="338"/>
      <c r="N705" s="338"/>
      <c r="O705" s="338"/>
      <c r="P705" s="338"/>
      <c r="Q705" s="338"/>
      <c r="R705" s="338"/>
      <c r="S705" s="338"/>
      <c r="T705" s="230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</row>
    <row r="706" spans="1:30">
      <c r="A706" s="189"/>
      <c r="B706" s="189"/>
      <c r="C706" s="189"/>
      <c r="D706" s="189"/>
      <c r="E706" s="189"/>
      <c r="F706" s="189"/>
      <c r="G706" s="189"/>
      <c r="H706" s="189"/>
      <c r="I706" s="338"/>
      <c r="J706" s="338"/>
      <c r="K706" s="338"/>
      <c r="L706" s="338"/>
      <c r="M706" s="338"/>
      <c r="N706" s="338"/>
      <c r="O706" s="338"/>
      <c r="P706" s="338"/>
      <c r="Q706" s="338"/>
      <c r="R706" s="338"/>
      <c r="S706" s="338"/>
      <c r="T706" s="230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</row>
    <row r="707" spans="1:30">
      <c r="A707" s="189"/>
      <c r="B707" s="189"/>
      <c r="C707" s="189"/>
      <c r="D707" s="189"/>
      <c r="E707" s="189"/>
      <c r="F707" s="189"/>
      <c r="G707" s="189"/>
      <c r="H707" s="189"/>
      <c r="I707" s="338"/>
      <c r="J707" s="338"/>
      <c r="K707" s="338"/>
      <c r="L707" s="338"/>
      <c r="M707" s="338"/>
      <c r="N707" s="338"/>
      <c r="O707" s="338"/>
      <c r="P707" s="338"/>
      <c r="Q707" s="338"/>
      <c r="R707" s="338"/>
      <c r="S707" s="338"/>
      <c r="T707" s="230"/>
      <c r="U707" s="189"/>
      <c r="V707" s="189"/>
      <c r="W707" s="189"/>
      <c r="X707" s="189"/>
      <c r="Y707" s="189"/>
      <c r="Z707" s="189"/>
      <c r="AA707" s="189"/>
      <c r="AB707" s="189"/>
      <c r="AC707" s="189"/>
      <c r="AD707" s="189"/>
    </row>
    <row r="708" spans="1:30">
      <c r="A708" s="189"/>
      <c r="B708" s="189"/>
      <c r="C708" s="189"/>
      <c r="D708" s="189"/>
      <c r="E708" s="189"/>
      <c r="F708" s="189"/>
      <c r="G708" s="189"/>
      <c r="H708" s="189"/>
      <c r="I708" s="338"/>
      <c r="J708" s="338"/>
      <c r="K708" s="338"/>
      <c r="L708" s="338"/>
      <c r="M708" s="338"/>
      <c r="N708" s="338"/>
      <c r="O708" s="338"/>
      <c r="P708" s="338"/>
      <c r="Q708" s="338"/>
      <c r="R708" s="338"/>
      <c r="S708" s="338"/>
      <c r="T708" s="230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</row>
    <row r="709" spans="1:30">
      <c r="A709" s="189"/>
      <c r="B709" s="189"/>
      <c r="C709" s="189"/>
      <c r="D709" s="189"/>
      <c r="E709" s="189"/>
      <c r="F709" s="189"/>
      <c r="G709" s="189"/>
      <c r="H709" s="189"/>
      <c r="I709" s="338"/>
      <c r="J709" s="338"/>
      <c r="K709" s="338"/>
      <c r="L709" s="338"/>
      <c r="M709" s="338"/>
      <c r="N709" s="338"/>
      <c r="O709" s="338"/>
      <c r="P709" s="338"/>
      <c r="Q709" s="338"/>
      <c r="R709" s="338"/>
      <c r="S709" s="338"/>
      <c r="T709" s="230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</row>
    <row r="710" spans="1:30">
      <c r="A710" s="189"/>
      <c r="B710" s="189"/>
      <c r="C710" s="189"/>
      <c r="D710" s="189"/>
      <c r="E710" s="189"/>
      <c r="F710" s="189"/>
      <c r="G710" s="189"/>
      <c r="H710" s="189"/>
      <c r="I710" s="338"/>
      <c r="J710" s="338"/>
      <c r="K710" s="338"/>
      <c r="L710" s="338"/>
      <c r="M710" s="338"/>
      <c r="N710" s="338"/>
      <c r="O710" s="338"/>
      <c r="P710" s="338"/>
      <c r="Q710" s="338"/>
      <c r="R710" s="338"/>
      <c r="S710" s="338"/>
      <c r="T710" s="230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</row>
    <row r="711" spans="1:30">
      <c r="A711" s="189"/>
      <c r="B711" s="189"/>
      <c r="C711" s="189"/>
      <c r="D711" s="189"/>
      <c r="E711" s="189"/>
      <c r="F711" s="189"/>
      <c r="G711" s="189"/>
      <c r="H711" s="189"/>
      <c r="I711" s="338"/>
      <c r="J711" s="338"/>
      <c r="K711" s="338"/>
      <c r="L711" s="338"/>
      <c r="M711" s="338"/>
      <c r="N711" s="338"/>
      <c r="O711" s="338"/>
      <c r="P711" s="338"/>
      <c r="Q711" s="338"/>
      <c r="R711" s="338"/>
      <c r="S711" s="338"/>
      <c r="T711" s="230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</row>
    <row r="712" spans="1:30">
      <c r="A712" s="189"/>
      <c r="B712" s="189"/>
      <c r="C712" s="189"/>
      <c r="D712" s="189"/>
      <c r="E712" s="189"/>
      <c r="F712" s="189"/>
      <c r="G712" s="189"/>
      <c r="H712" s="189"/>
      <c r="I712" s="338"/>
      <c r="J712" s="338"/>
      <c r="K712" s="338"/>
      <c r="L712" s="338"/>
      <c r="M712" s="338"/>
      <c r="N712" s="338"/>
      <c r="O712" s="338"/>
      <c r="P712" s="338"/>
      <c r="Q712" s="338"/>
      <c r="R712" s="338"/>
      <c r="S712" s="338"/>
      <c r="T712" s="230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</row>
    <row r="713" spans="1:30">
      <c r="A713" s="189"/>
      <c r="B713" s="189"/>
      <c r="C713" s="189"/>
      <c r="D713" s="189"/>
      <c r="E713" s="189"/>
      <c r="F713" s="189"/>
      <c r="G713" s="189"/>
      <c r="H713" s="189"/>
      <c r="I713" s="338"/>
      <c r="J713" s="338"/>
      <c r="K713" s="338"/>
      <c r="L713" s="338"/>
      <c r="M713" s="338"/>
      <c r="N713" s="338"/>
      <c r="O713" s="338"/>
      <c r="P713" s="338"/>
      <c r="Q713" s="338"/>
      <c r="R713" s="338"/>
      <c r="S713" s="338"/>
      <c r="T713" s="230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</row>
    <row r="714" spans="1:30">
      <c r="A714" s="189"/>
      <c r="B714" s="189"/>
      <c r="C714" s="189"/>
      <c r="D714" s="189"/>
      <c r="E714" s="189"/>
      <c r="F714" s="189"/>
      <c r="G714" s="189"/>
      <c r="H714" s="189"/>
      <c r="I714" s="338"/>
      <c r="J714" s="338"/>
      <c r="K714" s="338"/>
      <c r="L714" s="338"/>
      <c r="M714" s="338"/>
      <c r="N714" s="338"/>
      <c r="O714" s="338"/>
      <c r="P714" s="338"/>
      <c r="Q714" s="338"/>
      <c r="R714" s="338"/>
      <c r="S714" s="338"/>
      <c r="T714" s="230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</row>
    <row r="715" spans="1:30">
      <c r="A715" s="189"/>
      <c r="B715" s="189"/>
      <c r="C715" s="189"/>
      <c r="D715" s="189"/>
      <c r="E715" s="189"/>
      <c r="F715" s="189"/>
      <c r="G715" s="189"/>
      <c r="H715" s="189"/>
      <c r="I715" s="338"/>
      <c r="J715" s="338"/>
      <c r="K715" s="338"/>
      <c r="L715" s="338"/>
      <c r="M715" s="338"/>
      <c r="N715" s="338"/>
      <c r="O715" s="338"/>
      <c r="P715" s="338"/>
      <c r="Q715" s="338"/>
      <c r="R715" s="338"/>
      <c r="S715" s="338"/>
      <c r="T715" s="230"/>
      <c r="U715" s="189"/>
      <c r="V715" s="189"/>
      <c r="W715" s="189"/>
      <c r="X715" s="189"/>
      <c r="Y715" s="189"/>
      <c r="Z715" s="189"/>
      <c r="AA715" s="189"/>
      <c r="AB715" s="189"/>
      <c r="AC715" s="189"/>
      <c r="AD715" s="189"/>
    </row>
    <row r="716" spans="1:30">
      <c r="A716" s="189"/>
      <c r="B716" s="189"/>
      <c r="C716" s="189"/>
      <c r="D716" s="189"/>
      <c r="E716" s="189"/>
      <c r="F716" s="189"/>
      <c r="G716" s="189"/>
      <c r="H716" s="189"/>
      <c r="I716" s="338"/>
      <c r="J716" s="338"/>
      <c r="K716" s="338"/>
      <c r="L716" s="338"/>
      <c r="M716" s="338"/>
      <c r="N716" s="338"/>
      <c r="O716" s="338"/>
      <c r="P716" s="338"/>
      <c r="Q716" s="338"/>
      <c r="R716" s="338"/>
      <c r="S716" s="338"/>
      <c r="T716" s="230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</row>
    <row r="717" spans="1:30">
      <c r="A717" s="189"/>
      <c r="B717" s="189"/>
      <c r="C717" s="189"/>
      <c r="D717" s="189"/>
      <c r="E717" s="189"/>
      <c r="F717" s="189"/>
      <c r="G717" s="189"/>
      <c r="H717" s="189"/>
      <c r="I717" s="338"/>
      <c r="J717" s="338"/>
      <c r="K717" s="338"/>
      <c r="L717" s="338"/>
      <c r="M717" s="338"/>
      <c r="N717" s="338"/>
      <c r="O717" s="338"/>
      <c r="P717" s="338"/>
      <c r="Q717" s="338"/>
      <c r="R717" s="338"/>
      <c r="S717" s="338"/>
      <c r="T717" s="230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</row>
    <row r="718" spans="1:30">
      <c r="A718" s="189"/>
      <c r="B718" s="189"/>
      <c r="C718" s="189"/>
      <c r="D718" s="189"/>
      <c r="E718" s="189"/>
      <c r="F718" s="189"/>
      <c r="G718" s="189"/>
      <c r="H718" s="189"/>
      <c r="I718" s="338"/>
      <c r="J718" s="338"/>
      <c r="K718" s="338"/>
      <c r="L718" s="338"/>
      <c r="M718" s="338"/>
      <c r="N718" s="338"/>
      <c r="O718" s="338"/>
      <c r="P718" s="338"/>
      <c r="Q718" s="338"/>
      <c r="R718" s="338"/>
      <c r="S718" s="338"/>
      <c r="T718" s="230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</row>
    <row r="719" spans="1:30">
      <c r="A719" s="189"/>
      <c r="B719" s="189"/>
      <c r="C719" s="189"/>
      <c r="D719" s="189"/>
      <c r="E719" s="189"/>
      <c r="F719" s="189"/>
      <c r="G719" s="189"/>
      <c r="H719" s="189"/>
      <c r="I719" s="338"/>
      <c r="J719" s="338"/>
      <c r="K719" s="338"/>
      <c r="L719" s="338"/>
      <c r="M719" s="338"/>
      <c r="N719" s="338"/>
      <c r="O719" s="338"/>
      <c r="P719" s="338"/>
      <c r="Q719" s="338"/>
      <c r="R719" s="338"/>
      <c r="S719" s="338"/>
      <c r="T719" s="230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</row>
    <row r="720" spans="1:30">
      <c r="A720" s="189"/>
      <c r="B720" s="189"/>
      <c r="C720" s="189"/>
      <c r="D720" s="189"/>
      <c r="E720" s="189"/>
      <c r="F720" s="189"/>
      <c r="G720" s="189"/>
      <c r="H720" s="189"/>
      <c r="I720" s="338"/>
      <c r="J720" s="338"/>
      <c r="K720" s="338"/>
      <c r="L720" s="338"/>
      <c r="M720" s="338"/>
      <c r="N720" s="338"/>
      <c r="O720" s="338"/>
      <c r="P720" s="338"/>
      <c r="Q720" s="338"/>
      <c r="R720" s="338"/>
      <c r="S720" s="338"/>
      <c r="T720" s="230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</row>
    <row r="721" spans="1:30">
      <c r="A721" s="189"/>
      <c r="B721" s="189"/>
      <c r="C721" s="189"/>
      <c r="D721" s="189"/>
      <c r="E721" s="189"/>
      <c r="F721" s="189"/>
      <c r="G721" s="189"/>
      <c r="H721" s="189"/>
      <c r="I721" s="338"/>
      <c r="J721" s="338"/>
      <c r="K721" s="338"/>
      <c r="L721" s="338"/>
      <c r="M721" s="338"/>
      <c r="N721" s="338"/>
      <c r="O721" s="338"/>
      <c r="P721" s="338"/>
      <c r="Q721" s="338"/>
      <c r="R721" s="338"/>
      <c r="S721" s="338"/>
      <c r="T721" s="230"/>
      <c r="U721" s="189"/>
      <c r="V721" s="189"/>
      <c r="W721" s="189"/>
      <c r="X721" s="189"/>
      <c r="Y721" s="189"/>
      <c r="Z721" s="189"/>
      <c r="AA721" s="189"/>
      <c r="AB721" s="189"/>
      <c r="AC721" s="189"/>
      <c r="AD721" s="189"/>
    </row>
    <row r="722" spans="1:30">
      <c r="A722" s="189"/>
      <c r="B722" s="189"/>
      <c r="C722" s="189"/>
      <c r="D722" s="189"/>
      <c r="E722" s="189"/>
      <c r="F722" s="189"/>
      <c r="G722" s="189"/>
      <c r="H722" s="189"/>
      <c r="I722" s="338"/>
      <c r="J722" s="338"/>
      <c r="K722" s="338"/>
      <c r="L722" s="338"/>
      <c r="M722" s="338"/>
      <c r="N722" s="338"/>
      <c r="O722" s="338"/>
      <c r="P722" s="338"/>
      <c r="Q722" s="338"/>
      <c r="R722" s="338"/>
      <c r="S722" s="338"/>
      <c r="T722" s="230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</row>
    <row r="723" spans="1:30">
      <c r="A723" s="189"/>
      <c r="B723" s="189"/>
      <c r="C723" s="189"/>
      <c r="D723" s="189"/>
      <c r="E723" s="189"/>
      <c r="F723" s="189"/>
      <c r="G723" s="189"/>
      <c r="H723" s="189"/>
      <c r="I723" s="338"/>
      <c r="J723" s="338"/>
      <c r="K723" s="338"/>
      <c r="L723" s="338"/>
      <c r="M723" s="338"/>
      <c r="N723" s="338"/>
      <c r="O723" s="338"/>
      <c r="P723" s="338"/>
      <c r="Q723" s="338"/>
      <c r="R723" s="338"/>
      <c r="S723" s="338"/>
      <c r="T723" s="230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</row>
    <row r="724" spans="1:30">
      <c r="A724" s="189"/>
      <c r="B724" s="189"/>
      <c r="C724" s="189"/>
      <c r="D724" s="189"/>
      <c r="E724" s="189"/>
      <c r="F724" s="189"/>
      <c r="G724" s="189"/>
      <c r="H724" s="189"/>
      <c r="I724" s="338"/>
      <c r="J724" s="338"/>
      <c r="K724" s="338"/>
      <c r="L724" s="338"/>
      <c r="M724" s="338"/>
      <c r="N724" s="338"/>
      <c r="O724" s="338"/>
      <c r="P724" s="338"/>
      <c r="Q724" s="338"/>
      <c r="R724" s="338"/>
      <c r="S724" s="338"/>
      <c r="T724" s="230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</row>
    <row r="725" spans="1:30">
      <c r="A725" s="189"/>
      <c r="B725" s="189"/>
      <c r="C725" s="189"/>
      <c r="D725" s="189"/>
      <c r="E725" s="189"/>
      <c r="F725" s="189"/>
      <c r="G725" s="189"/>
      <c r="H725" s="189"/>
      <c r="I725" s="338"/>
      <c r="J725" s="338"/>
      <c r="K725" s="338"/>
      <c r="L725" s="338"/>
      <c r="M725" s="338"/>
      <c r="N725" s="338"/>
      <c r="O725" s="338"/>
      <c r="P725" s="338"/>
      <c r="Q725" s="338"/>
      <c r="R725" s="338"/>
      <c r="S725" s="338"/>
      <c r="T725" s="230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</row>
    <row r="726" spans="1:30">
      <c r="A726" s="189"/>
      <c r="B726" s="189"/>
      <c r="C726" s="189"/>
      <c r="D726" s="189"/>
      <c r="E726" s="189"/>
      <c r="F726" s="189"/>
      <c r="G726" s="189"/>
      <c r="H726" s="189"/>
      <c r="I726" s="338"/>
      <c r="J726" s="338"/>
      <c r="K726" s="338"/>
      <c r="L726" s="338"/>
      <c r="M726" s="338"/>
      <c r="N726" s="338"/>
      <c r="O726" s="338"/>
      <c r="P726" s="338"/>
      <c r="Q726" s="338"/>
      <c r="R726" s="338"/>
      <c r="S726" s="338"/>
      <c r="T726" s="230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</row>
    <row r="727" spans="1:30">
      <c r="A727" s="189"/>
      <c r="B727" s="189"/>
      <c r="C727" s="189"/>
      <c r="D727" s="189"/>
      <c r="E727" s="189"/>
      <c r="F727" s="189"/>
      <c r="G727" s="189"/>
      <c r="H727" s="189"/>
      <c r="I727" s="338"/>
      <c r="J727" s="338"/>
      <c r="K727" s="338"/>
      <c r="L727" s="338"/>
      <c r="M727" s="338"/>
      <c r="N727" s="338"/>
      <c r="O727" s="338"/>
      <c r="P727" s="338"/>
      <c r="Q727" s="338"/>
      <c r="R727" s="338"/>
      <c r="S727" s="338"/>
      <c r="T727" s="230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</row>
    <row r="728" spans="1:30">
      <c r="A728" s="189"/>
      <c r="B728" s="189"/>
      <c r="C728" s="189"/>
      <c r="D728" s="189"/>
      <c r="E728" s="189"/>
      <c r="F728" s="189"/>
      <c r="G728" s="189"/>
      <c r="H728" s="189"/>
      <c r="I728" s="338"/>
      <c r="J728" s="338"/>
      <c r="K728" s="338"/>
      <c r="L728" s="338"/>
      <c r="M728" s="338"/>
      <c r="N728" s="338"/>
      <c r="O728" s="338"/>
      <c r="P728" s="338"/>
      <c r="Q728" s="338"/>
      <c r="R728" s="338"/>
      <c r="S728" s="338"/>
      <c r="T728" s="230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</row>
    <row r="729" spans="1:30">
      <c r="A729" s="189"/>
      <c r="B729" s="189"/>
      <c r="C729" s="189"/>
      <c r="D729" s="189"/>
      <c r="E729" s="189"/>
      <c r="F729" s="189"/>
      <c r="G729" s="189"/>
      <c r="H729" s="189"/>
      <c r="I729" s="338"/>
      <c r="J729" s="338"/>
      <c r="K729" s="338"/>
      <c r="L729" s="338"/>
      <c r="M729" s="338"/>
      <c r="N729" s="338"/>
      <c r="O729" s="338"/>
      <c r="P729" s="338"/>
      <c r="Q729" s="338"/>
      <c r="R729" s="338"/>
      <c r="S729" s="338"/>
      <c r="T729" s="230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</row>
    <row r="730" spans="1:30">
      <c r="A730" s="189"/>
      <c r="B730" s="189"/>
      <c r="C730" s="189"/>
      <c r="D730" s="189"/>
      <c r="E730" s="189"/>
      <c r="F730" s="189"/>
      <c r="G730" s="189"/>
      <c r="H730" s="189"/>
      <c r="I730" s="338"/>
      <c r="J730" s="338"/>
      <c r="K730" s="338"/>
      <c r="L730" s="338"/>
      <c r="M730" s="338"/>
      <c r="N730" s="338"/>
      <c r="O730" s="338"/>
      <c r="P730" s="338"/>
      <c r="Q730" s="338"/>
      <c r="R730" s="338"/>
      <c r="S730" s="338"/>
      <c r="T730" s="230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</row>
    <row r="731" spans="1:30">
      <c r="A731" s="189"/>
      <c r="B731" s="189"/>
      <c r="C731" s="189"/>
      <c r="D731" s="189"/>
      <c r="E731" s="189"/>
      <c r="F731" s="189"/>
      <c r="G731" s="189"/>
      <c r="H731" s="189"/>
      <c r="I731" s="338"/>
      <c r="J731" s="338"/>
      <c r="K731" s="338"/>
      <c r="L731" s="338"/>
      <c r="M731" s="338"/>
      <c r="N731" s="338"/>
      <c r="O731" s="338"/>
      <c r="P731" s="338"/>
      <c r="Q731" s="338"/>
      <c r="R731" s="338"/>
      <c r="S731" s="338"/>
      <c r="T731" s="230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</row>
    <row r="732" spans="1:30">
      <c r="A732" s="189"/>
      <c r="B732" s="189"/>
      <c r="C732" s="189"/>
      <c r="D732" s="189"/>
      <c r="E732" s="189"/>
      <c r="F732" s="189"/>
      <c r="G732" s="189"/>
      <c r="H732" s="189"/>
      <c r="I732" s="338"/>
      <c r="J732" s="338"/>
      <c r="K732" s="338"/>
      <c r="L732" s="338"/>
      <c r="M732" s="338"/>
      <c r="N732" s="338"/>
      <c r="O732" s="338"/>
      <c r="P732" s="338"/>
      <c r="Q732" s="338"/>
      <c r="R732" s="338"/>
      <c r="S732" s="338"/>
      <c r="T732" s="230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</row>
    <row r="733" spans="1:30">
      <c r="A733" s="189"/>
      <c r="B733" s="189"/>
      <c r="C733" s="189"/>
      <c r="D733" s="189"/>
      <c r="E733" s="189"/>
      <c r="F733" s="189"/>
      <c r="G733" s="189"/>
      <c r="H733" s="189"/>
      <c r="I733" s="338"/>
      <c r="J733" s="338"/>
      <c r="K733" s="338"/>
      <c r="L733" s="338"/>
      <c r="M733" s="338"/>
      <c r="N733" s="338"/>
      <c r="O733" s="338"/>
      <c r="P733" s="338"/>
      <c r="Q733" s="338"/>
      <c r="R733" s="338"/>
      <c r="S733" s="338"/>
      <c r="T733" s="230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</row>
    <row r="734" spans="1:30">
      <c r="A734" s="189"/>
      <c r="B734" s="189"/>
      <c r="C734" s="189"/>
      <c r="D734" s="189"/>
      <c r="E734" s="189"/>
      <c r="F734" s="189"/>
      <c r="G734" s="189"/>
      <c r="H734" s="189"/>
      <c r="I734" s="338"/>
      <c r="J734" s="338"/>
      <c r="K734" s="338"/>
      <c r="L734" s="338"/>
      <c r="M734" s="338"/>
      <c r="N734" s="338"/>
      <c r="O734" s="338"/>
      <c r="P734" s="338"/>
      <c r="Q734" s="338"/>
      <c r="R734" s="338"/>
      <c r="S734" s="338"/>
      <c r="T734" s="230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</row>
    <row r="735" spans="1:30">
      <c r="A735" s="189"/>
      <c r="B735" s="189"/>
      <c r="C735" s="189"/>
      <c r="D735" s="189"/>
      <c r="E735" s="189"/>
      <c r="F735" s="189"/>
      <c r="G735" s="189"/>
      <c r="H735" s="189"/>
      <c r="I735" s="338"/>
      <c r="J735" s="338"/>
      <c r="K735" s="338"/>
      <c r="L735" s="338"/>
      <c r="M735" s="338"/>
      <c r="N735" s="338"/>
      <c r="O735" s="338"/>
      <c r="P735" s="338"/>
      <c r="Q735" s="338"/>
      <c r="R735" s="338"/>
      <c r="S735" s="338"/>
      <c r="T735" s="230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</row>
    <row r="736" spans="1:30">
      <c r="A736" s="189"/>
      <c r="B736" s="189"/>
      <c r="C736" s="189"/>
      <c r="D736" s="189"/>
      <c r="E736" s="189"/>
      <c r="F736" s="189"/>
      <c r="G736" s="189"/>
      <c r="H736" s="189"/>
      <c r="I736" s="338"/>
      <c r="J736" s="338"/>
      <c r="K736" s="338"/>
      <c r="L736" s="338"/>
      <c r="M736" s="338"/>
      <c r="N736" s="338"/>
      <c r="O736" s="338"/>
      <c r="P736" s="338"/>
      <c r="Q736" s="338"/>
      <c r="R736" s="338"/>
      <c r="S736" s="338"/>
      <c r="T736" s="230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</row>
    <row r="737" spans="1:30">
      <c r="A737" s="189"/>
      <c r="B737" s="189"/>
      <c r="C737" s="189"/>
      <c r="D737" s="189"/>
      <c r="E737" s="189"/>
      <c r="F737" s="189"/>
      <c r="G737" s="189"/>
      <c r="H737" s="189"/>
      <c r="I737" s="338"/>
      <c r="J737" s="338"/>
      <c r="K737" s="338"/>
      <c r="L737" s="338"/>
      <c r="M737" s="338"/>
      <c r="N737" s="338"/>
      <c r="O737" s="338"/>
      <c r="P737" s="338"/>
      <c r="Q737" s="338"/>
      <c r="R737" s="338"/>
      <c r="S737" s="338"/>
      <c r="T737" s="230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</row>
    <row r="738" spans="1:30">
      <c r="A738" s="189"/>
      <c r="B738" s="189"/>
      <c r="C738" s="189"/>
      <c r="D738" s="189"/>
      <c r="E738" s="189"/>
      <c r="F738" s="189"/>
      <c r="G738" s="189"/>
      <c r="H738" s="189"/>
      <c r="I738" s="338"/>
      <c r="J738" s="338"/>
      <c r="K738" s="338"/>
      <c r="L738" s="338"/>
      <c r="M738" s="338"/>
      <c r="N738" s="338"/>
      <c r="O738" s="338"/>
      <c r="P738" s="338"/>
      <c r="Q738" s="338"/>
      <c r="R738" s="338"/>
      <c r="S738" s="338"/>
      <c r="T738" s="230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</row>
    <row r="739" spans="1:30">
      <c r="A739" s="189"/>
      <c r="B739" s="189"/>
      <c r="C739" s="189"/>
      <c r="D739" s="189"/>
      <c r="E739" s="189"/>
      <c r="F739" s="189"/>
      <c r="G739" s="189"/>
      <c r="H739" s="189"/>
      <c r="I739" s="338"/>
      <c r="J739" s="338"/>
      <c r="K739" s="338"/>
      <c r="L739" s="338"/>
      <c r="M739" s="338"/>
      <c r="N739" s="338"/>
      <c r="O739" s="338"/>
      <c r="P739" s="338"/>
      <c r="Q739" s="338"/>
      <c r="R739" s="338"/>
      <c r="S739" s="338"/>
      <c r="T739" s="230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</row>
    <row r="740" spans="1:30">
      <c r="A740" s="189"/>
      <c r="B740" s="189"/>
      <c r="C740" s="189"/>
      <c r="D740" s="189"/>
      <c r="E740" s="189"/>
      <c r="F740" s="189"/>
      <c r="G740" s="189"/>
      <c r="H740" s="189"/>
      <c r="I740" s="338"/>
      <c r="J740" s="338"/>
      <c r="K740" s="338"/>
      <c r="L740" s="338"/>
      <c r="M740" s="338"/>
      <c r="N740" s="338"/>
      <c r="O740" s="338"/>
      <c r="P740" s="338"/>
      <c r="Q740" s="338"/>
      <c r="R740" s="338"/>
      <c r="S740" s="338"/>
      <c r="T740" s="230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</row>
    <row r="741" spans="1:30">
      <c r="A741" s="189"/>
      <c r="B741" s="189"/>
      <c r="C741" s="189"/>
      <c r="D741" s="189"/>
      <c r="E741" s="189"/>
      <c r="F741" s="189"/>
      <c r="G741" s="189"/>
      <c r="H741" s="189"/>
      <c r="I741" s="338"/>
      <c r="J741" s="338"/>
      <c r="K741" s="338"/>
      <c r="L741" s="338"/>
      <c r="M741" s="338"/>
      <c r="N741" s="338"/>
      <c r="O741" s="338"/>
      <c r="P741" s="338"/>
      <c r="Q741" s="338"/>
      <c r="R741" s="338"/>
      <c r="S741" s="338"/>
      <c r="T741" s="230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</row>
    <row r="742" spans="1:30">
      <c r="A742" s="189"/>
      <c r="B742" s="189"/>
      <c r="C742" s="189"/>
      <c r="D742" s="189"/>
      <c r="E742" s="189"/>
      <c r="F742" s="189"/>
      <c r="G742" s="189"/>
      <c r="H742" s="189"/>
      <c r="I742" s="338"/>
      <c r="J742" s="338"/>
      <c r="K742" s="338"/>
      <c r="L742" s="338"/>
      <c r="M742" s="338"/>
      <c r="N742" s="338"/>
      <c r="O742" s="338"/>
      <c r="P742" s="338"/>
      <c r="Q742" s="338"/>
      <c r="R742" s="338"/>
      <c r="S742" s="338"/>
      <c r="T742" s="230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</row>
    <row r="743" spans="1:30">
      <c r="A743" s="189"/>
      <c r="B743" s="189"/>
      <c r="C743" s="189"/>
      <c r="D743" s="189"/>
      <c r="E743" s="189"/>
      <c r="F743" s="189"/>
      <c r="G743" s="189"/>
      <c r="H743" s="189"/>
      <c r="I743" s="338"/>
      <c r="J743" s="338"/>
      <c r="K743" s="338"/>
      <c r="L743" s="338"/>
      <c r="M743" s="338"/>
      <c r="N743" s="338"/>
      <c r="O743" s="338"/>
      <c r="P743" s="338"/>
      <c r="Q743" s="338"/>
      <c r="R743" s="338"/>
      <c r="S743" s="338"/>
      <c r="T743" s="230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</row>
    <row r="744" spans="1:30">
      <c r="A744" s="189"/>
      <c r="B744" s="189"/>
      <c r="C744" s="189"/>
      <c r="D744" s="189"/>
      <c r="E744" s="189"/>
      <c r="F744" s="189"/>
      <c r="G744" s="189"/>
      <c r="H744" s="189"/>
      <c r="I744" s="338"/>
      <c r="J744" s="338"/>
      <c r="K744" s="338"/>
      <c r="L744" s="338"/>
      <c r="M744" s="338"/>
      <c r="N744" s="338"/>
      <c r="O744" s="338"/>
      <c r="P744" s="338"/>
      <c r="Q744" s="338"/>
      <c r="R744" s="338"/>
      <c r="S744" s="338"/>
      <c r="T744" s="230"/>
      <c r="U744" s="189"/>
      <c r="V744" s="189"/>
      <c r="W744" s="189"/>
      <c r="X744" s="189"/>
      <c r="Y744" s="189"/>
      <c r="Z744" s="189"/>
      <c r="AA744" s="189"/>
      <c r="AB744" s="189"/>
      <c r="AC744" s="189"/>
      <c r="AD744" s="189"/>
    </row>
    <row r="745" spans="1:30">
      <c r="A745" s="189"/>
      <c r="B745" s="189"/>
      <c r="C745" s="189"/>
      <c r="D745" s="189"/>
      <c r="E745" s="189"/>
      <c r="F745" s="189"/>
      <c r="G745" s="189"/>
      <c r="H745" s="189"/>
      <c r="I745" s="338"/>
      <c r="J745" s="338"/>
      <c r="K745" s="338"/>
      <c r="L745" s="338"/>
      <c r="M745" s="338"/>
      <c r="N745" s="338"/>
      <c r="O745" s="338"/>
      <c r="P745" s="338"/>
      <c r="Q745" s="338"/>
      <c r="R745" s="338"/>
      <c r="S745" s="338"/>
      <c r="T745" s="230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</row>
    <row r="746" spans="1:30">
      <c r="A746" s="189"/>
      <c r="B746" s="189"/>
      <c r="C746" s="189"/>
      <c r="D746" s="189"/>
      <c r="E746" s="189"/>
      <c r="F746" s="189"/>
      <c r="G746" s="189"/>
      <c r="H746" s="189"/>
      <c r="I746" s="338"/>
      <c r="J746" s="338"/>
      <c r="K746" s="338"/>
      <c r="L746" s="338"/>
      <c r="M746" s="338"/>
      <c r="N746" s="338"/>
      <c r="O746" s="338"/>
      <c r="P746" s="338"/>
      <c r="Q746" s="338"/>
      <c r="R746" s="338"/>
      <c r="S746" s="338"/>
      <c r="T746" s="230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</row>
    <row r="747" spans="1:30">
      <c r="A747" s="189"/>
      <c r="B747" s="189"/>
      <c r="C747" s="189"/>
      <c r="D747" s="189"/>
      <c r="E747" s="189"/>
      <c r="F747" s="189"/>
      <c r="G747" s="189"/>
      <c r="H747" s="189"/>
      <c r="I747" s="338"/>
      <c r="J747" s="338"/>
      <c r="K747" s="338"/>
      <c r="L747" s="338"/>
      <c r="M747" s="338"/>
      <c r="N747" s="338"/>
      <c r="O747" s="338"/>
      <c r="P747" s="338"/>
      <c r="Q747" s="338"/>
      <c r="R747" s="338"/>
      <c r="S747" s="338"/>
      <c r="T747" s="230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</row>
    <row r="748" spans="1:30">
      <c r="A748" s="189"/>
      <c r="B748" s="189"/>
      <c r="C748" s="189"/>
      <c r="D748" s="189"/>
      <c r="E748" s="189"/>
      <c r="F748" s="189"/>
      <c r="G748" s="189"/>
      <c r="H748" s="189"/>
      <c r="I748" s="338"/>
      <c r="J748" s="338"/>
      <c r="K748" s="338"/>
      <c r="L748" s="338"/>
      <c r="M748" s="338"/>
      <c r="N748" s="338"/>
      <c r="O748" s="338"/>
      <c r="P748" s="338"/>
      <c r="Q748" s="338"/>
      <c r="R748" s="338"/>
      <c r="S748" s="338"/>
      <c r="T748" s="230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</row>
    <row r="749" spans="1:30">
      <c r="A749" s="189"/>
      <c r="B749" s="189"/>
      <c r="C749" s="189"/>
      <c r="D749" s="189"/>
      <c r="E749" s="189"/>
      <c r="F749" s="189"/>
      <c r="G749" s="189"/>
      <c r="H749" s="189"/>
      <c r="I749" s="338"/>
      <c r="J749" s="338"/>
      <c r="K749" s="338"/>
      <c r="L749" s="338"/>
      <c r="M749" s="338"/>
      <c r="N749" s="338"/>
      <c r="O749" s="338"/>
      <c r="P749" s="338"/>
      <c r="Q749" s="338"/>
      <c r="R749" s="338"/>
      <c r="S749" s="338"/>
      <c r="T749" s="230"/>
      <c r="U749" s="189"/>
      <c r="V749" s="189"/>
      <c r="W749" s="189"/>
      <c r="X749" s="189"/>
      <c r="Y749" s="189"/>
      <c r="Z749" s="189"/>
      <c r="AA749" s="189"/>
      <c r="AB749" s="189"/>
      <c r="AC749" s="189"/>
      <c r="AD749" s="189"/>
    </row>
    <row r="750" spans="1:30">
      <c r="A750" s="189"/>
      <c r="B750" s="189"/>
      <c r="C750" s="189"/>
      <c r="D750" s="189"/>
      <c r="E750" s="189"/>
      <c r="F750" s="189"/>
      <c r="G750" s="189"/>
      <c r="H750" s="189"/>
      <c r="I750" s="338"/>
      <c r="J750" s="338"/>
      <c r="K750" s="338"/>
      <c r="L750" s="338"/>
      <c r="M750" s="338"/>
      <c r="N750" s="338"/>
      <c r="O750" s="338"/>
      <c r="P750" s="338"/>
      <c r="Q750" s="338"/>
      <c r="R750" s="338"/>
      <c r="S750" s="338"/>
      <c r="T750" s="230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</row>
    <row r="751" spans="1:30">
      <c r="A751" s="189"/>
      <c r="B751" s="189"/>
      <c r="C751" s="189"/>
      <c r="D751" s="189"/>
      <c r="E751" s="189"/>
      <c r="F751" s="189"/>
      <c r="G751" s="189"/>
      <c r="H751" s="189"/>
      <c r="I751" s="338"/>
      <c r="J751" s="338"/>
      <c r="K751" s="338"/>
      <c r="L751" s="338"/>
      <c r="M751" s="338"/>
      <c r="N751" s="338"/>
      <c r="O751" s="338"/>
      <c r="P751" s="338"/>
      <c r="Q751" s="338"/>
      <c r="R751" s="338"/>
      <c r="S751" s="338"/>
      <c r="T751" s="230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</row>
    <row r="752" spans="1:30">
      <c r="A752" s="189"/>
      <c r="B752" s="189"/>
      <c r="C752" s="189"/>
      <c r="D752" s="189"/>
      <c r="E752" s="189"/>
      <c r="F752" s="189"/>
      <c r="G752" s="189"/>
      <c r="H752" s="189"/>
      <c r="I752" s="338"/>
      <c r="J752" s="338"/>
      <c r="K752" s="338"/>
      <c r="L752" s="338"/>
      <c r="M752" s="338"/>
      <c r="N752" s="338"/>
      <c r="O752" s="338"/>
      <c r="P752" s="338"/>
      <c r="Q752" s="338"/>
      <c r="R752" s="338"/>
      <c r="S752" s="338"/>
      <c r="T752" s="230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</row>
    <row r="753" spans="1:30">
      <c r="A753" s="189"/>
      <c r="B753" s="189"/>
      <c r="C753" s="189"/>
      <c r="D753" s="189"/>
      <c r="E753" s="189"/>
      <c r="F753" s="189"/>
      <c r="G753" s="189"/>
      <c r="H753" s="189"/>
      <c r="I753" s="338"/>
      <c r="J753" s="338"/>
      <c r="K753" s="338"/>
      <c r="L753" s="338"/>
      <c r="M753" s="338"/>
      <c r="N753" s="338"/>
      <c r="O753" s="338"/>
      <c r="P753" s="338"/>
      <c r="Q753" s="338"/>
      <c r="R753" s="338"/>
      <c r="S753" s="338"/>
      <c r="T753" s="230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</row>
    <row r="754" spans="1:30">
      <c r="A754" s="189"/>
      <c r="B754" s="189"/>
      <c r="C754" s="189"/>
      <c r="D754" s="189"/>
      <c r="E754" s="189"/>
      <c r="F754" s="189"/>
      <c r="G754" s="189"/>
      <c r="H754" s="189"/>
      <c r="I754" s="338"/>
      <c r="J754" s="338"/>
      <c r="K754" s="338"/>
      <c r="L754" s="338"/>
      <c r="M754" s="338"/>
      <c r="N754" s="338"/>
      <c r="O754" s="338"/>
      <c r="P754" s="338"/>
      <c r="Q754" s="338"/>
      <c r="R754" s="338"/>
      <c r="S754" s="338"/>
      <c r="T754" s="230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</row>
    <row r="755" spans="1:30">
      <c r="A755" s="189"/>
      <c r="B755" s="189"/>
      <c r="C755" s="189"/>
      <c r="D755" s="189"/>
      <c r="E755" s="189"/>
      <c r="F755" s="189"/>
      <c r="G755" s="189"/>
      <c r="H755" s="189"/>
      <c r="I755" s="338"/>
      <c r="J755" s="338"/>
      <c r="K755" s="338"/>
      <c r="L755" s="338"/>
      <c r="M755" s="338"/>
      <c r="N755" s="338"/>
      <c r="O755" s="338"/>
      <c r="P755" s="338"/>
      <c r="Q755" s="338"/>
      <c r="R755" s="338"/>
      <c r="S755" s="338"/>
      <c r="T755" s="230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</row>
    <row r="756" spans="1:30">
      <c r="A756" s="189"/>
      <c r="B756" s="189"/>
      <c r="C756" s="189"/>
      <c r="D756" s="189"/>
      <c r="E756" s="189"/>
      <c r="F756" s="189"/>
      <c r="G756" s="189"/>
      <c r="H756" s="189"/>
      <c r="I756" s="338"/>
      <c r="J756" s="338"/>
      <c r="K756" s="338"/>
      <c r="L756" s="338"/>
      <c r="M756" s="338"/>
      <c r="N756" s="338"/>
      <c r="O756" s="338"/>
      <c r="P756" s="338"/>
      <c r="Q756" s="338"/>
      <c r="R756" s="338"/>
      <c r="S756" s="338"/>
      <c r="T756" s="230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</row>
    <row r="757" spans="1:30">
      <c r="A757" s="189"/>
      <c r="B757" s="189"/>
      <c r="C757" s="189"/>
      <c r="D757" s="189"/>
      <c r="E757" s="189"/>
      <c r="F757" s="189"/>
      <c r="G757" s="189"/>
      <c r="H757" s="189"/>
      <c r="I757" s="338"/>
      <c r="J757" s="338"/>
      <c r="K757" s="338"/>
      <c r="L757" s="338"/>
      <c r="M757" s="338"/>
      <c r="N757" s="338"/>
      <c r="O757" s="338"/>
      <c r="P757" s="338"/>
      <c r="Q757" s="338"/>
      <c r="R757" s="338"/>
      <c r="S757" s="338"/>
      <c r="T757" s="230"/>
      <c r="U757" s="189"/>
      <c r="V757" s="189"/>
      <c r="W757" s="189"/>
      <c r="X757" s="189"/>
      <c r="Y757" s="189"/>
      <c r="Z757" s="189"/>
      <c r="AA757" s="189"/>
      <c r="AB757" s="189"/>
      <c r="AC757" s="189"/>
      <c r="AD757" s="189"/>
    </row>
    <row r="758" spans="1:30">
      <c r="A758" s="189"/>
      <c r="B758" s="189"/>
      <c r="C758" s="189"/>
      <c r="D758" s="189"/>
      <c r="E758" s="189"/>
      <c r="F758" s="189"/>
      <c r="G758" s="189"/>
      <c r="H758" s="189"/>
      <c r="I758" s="338"/>
      <c r="J758" s="338"/>
      <c r="K758" s="338"/>
      <c r="L758" s="338"/>
      <c r="M758" s="338"/>
      <c r="N758" s="338"/>
      <c r="O758" s="338"/>
      <c r="P758" s="338"/>
      <c r="Q758" s="338"/>
      <c r="R758" s="338"/>
      <c r="S758" s="338"/>
      <c r="T758" s="230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</row>
    <row r="759" spans="1:30">
      <c r="A759" s="189"/>
      <c r="B759" s="189"/>
      <c r="C759" s="189"/>
      <c r="D759" s="189"/>
      <c r="E759" s="189"/>
      <c r="F759" s="189"/>
      <c r="G759" s="189"/>
      <c r="H759" s="189"/>
      <c r="I759" s="338"/>
      <c r="J759" s="338"/>
      <c r="K759" s="338"/>
      <c r="L759" s="338"/>
      <c r="M759" s="338"/>
      <c r="N759" s="338"/>
      <c r="O759" s="338"/>
      <c r="P759" s="338"/>
      <c r="Q759" s="338"/>
      <c r="R759" s="338"/>
      <c r="S759" s="338"/>
      <c r="T759" s="230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</row>
    <row r="760" spans="1:30">
      <c r="A760" s="189"/>
      <c r="B760" s="189"/>
      <c r="C760" s="189"/>
      <c r="D760" s="189"/>
      <c r="E760" s="189"/>
      <c r="F760" s="189"/>
      <c r="G760" s="189"/>
      <c r="H760" s="189"/>
      <c r="I760" s="338"/>
      <c r="J760" s="338"/>
      <c r="K760" s="338"/>
      <c r="L760" s="338"/>
      <c r="M760" s="338"/>
      <c r="N760" s="338"/>
      <c r="O760" s="338"/>
      <c r="P760" s="338"/>
      <c r="Q760" s="338"/>
      <c r="R760" s="338"/>
      <c r="S760" s="338"/>
      <c r="T760" s="230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</row>
    <row r="761" spans="1:30">
      <c r="A761" s="189"/>
      <c r="B761" s="189"/>
      <c r="C761" s="189"/>
      <c r="D761" s="189"/>
      <c r="E761" s="189"/>
      <c r="F761" s="189"/>
      <c r="G761" s="189"/>
      <c r="H761" s="189"/>
      <c r="I761" s="338"/>
      <c r="J761" s="338"/>
      <c r="K761" s="338"/>
      <c r="L761" s="338"/>
      <c r="M761" s="338"/>
      <c r="N761" s="338"/>
      <c r="O761" s="338"/>
      <c r="P761" s="338"/>
      <c r="Q761" s="338"/>
      <c r="R761" s="338"/>
      <c r="S761" s="338"/>
      <c r="T761" s="230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</row>
    <row r="762" spans="1:30">
      <c r="A762" s="189"/>
      <c r="B762" s="189"/>
      <c r="C762" s="189"/>
      <c r="D762" s="189"/>
      <c r="E762" s="189"/>
      <c r="F762" s="189"/>
      <c r="G762" s="189"/>
      <c r="H762" s="189"/>
      <c r="I762" s="338"/>
      <c r="J762" s="338"/>
      <c r="K762" s="338"/>
      <c r="L762" s="338"/>
      <c r="M762" s="338"/>
      <c r="N762" s="338"/>
      <c r="O762" s="338"/>
      <c r="P762" s="338"/>
      <c r="Q762" s="338"/>
      <c r="R762" s="338"/>
      <c r="S762" s="338"/>
      <c r="T762" s="230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</row>
    <row r="763" spans="1:30">
      <c r="A763" s="189"/>
      <c r="B763" s="189"/>
      <c r="C763" s="189"/>
      <c r="D763" s="189"/>
      <c r="E763" s="189"/>
      <c r="F763" s="189"/>
      <c r="G763" s="189"/>
      <c r="H763" s="189"/>
      <c r="I763" s="338"/>
      <c r="J763" s="338"/>
      <c r="K763" s="338"/>
      <c r="L763" s="338"/>
      <c r="M763" s="338"/>
      <c r="N763" s="338"/>
      <c r="O763" s="338"/>
      <c r="P763" s="338"/>
      <c r="Q763" s="338"/>
      <c r="R763" s="338"/>
      <c r="S763" s="338"/>
      <c r="T763" s="230"/>
      <c r="U763" s="189"/>
      <c r="V763" s="189"/>
      <c r="W763" s="189"/>
      <c r="X763" s="189"/>
      <c r="Y763" s="189"/>
      <c r="Z763" s="189"/>
      <c r="AA763" s="189"/>
      <c r="AB763" s="189"/>
      <c r="AC763" s="189"/>
      <c r="AD763" s="189"/>
    </row>
    <row r="764" spans="1:30">
      <c r="A764" s="189"/>
      <c r="B764" s="189"/>
      <c r="C764" s="189"/>
      <c r="D764" s="189"/>
      <c r="E764" s="189"/>
      <c r="F764" s="189"/>
      <c r="G764" s="189"/>
      <c r="H764" s="189"/>
      <c r="I764" s="338"/>
      <c r="J764" s="338"/>
      <c r="K764" s="338"/>
      <c r="L764" s="338"/>
      <c r="M764" s="338"/>
      <c r="N764" s="338"/>
      <c r="O764" s="338"/>
      <c r="P764" s="338"/>
      <c r="Q764" s="338"/>
      <c r="R764" s="338"/>
      <c r="S764" s="338"/>
      <c r="T764" s="230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</row>
    <row r="765" spans="1:30">
      <c r="A765" s="189"/>
      <c r="B765" s="189"/>
      <c r="C765" s="189"/>
      <c r="D765" s="189"/>
      <c r="E765" s="189"/>
      <c r="F765" s="189"/>
      <c r="G765" s="189"/>
      <c r="H765" s="189"/>
      <c r="I765" s="338"/>
      <c r="J765" s="338"/>
      <c r="K765" s="338"/>
      <c r="L765" s="338"/>
      <c r="M765" s="338"/>
      <c r="N765" s="338"/>
      <c r="O765" s="338"/>
      <c r="P765" s="338"/>
      <c r="Q765" s="338"/>
      <c r="R765" s="338"/>
      <c r="S765" s="338"/>
      <c r="T765" s="230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</row>
    <row r="766" spans="1:30">
      <c r="A766" s="189"/>
      <c r="B766" s="189"/>
      <c r="C766" s="189"/>
      <c r="D766" s="189"/>
      <c r="E766" s="189"/>
      <c r="F766" s="189"/>
      <c r="G766" s="189"/>
      <c r="H766" s="189"/>
      <c r="I766" s="338"/>
      <c r="J766" s="338"/>
      <c r="K766" s="338"/>
      <c r="L766" s="338"/>
      <c r="M766" s="338"/>
      <c r="N766" s="338"/>
      <c r="O766" s="338"/>
      <c r="P766" s="338"/>
      <c r="Q766" s="338"/>
      <c r="R766" s="338"/>
      <c r="S766" s="338"/>
      <c r="T766" s="230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</row>
    <row r="767" spans="1:30">
      <c r="A767" s="189"/>
      <c r="B767" s="189"/>
      <c r="C767" s="189"/>
      <c r="D767" s="189"/>
      <c r="E767" s="189"/>
      <c r="F767" s="189"/>
      <c r="G767" s="189"/>
      <c r="H767" s="189"/>
      <c r="I767" s="338"/>
      <c r="J767" s="338"/>
      <c r="K767" s="338"/>
      <c r="L767" s="338"/>
      <c r="M767" s="338"/>
      <c r="N767" s="338"/>
      <c r="O767" s="338"/>
      <c r="P767" s="338"/>
      <c r="Q767" s="338"/>
      <c r="R767" s="338"/>
      <c r="S767" s="338"/>
      <c r="T767" s="230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</row>
    <row r="768" spans="1:30">
      <c r="A768" s="189"/>
      <c r="B768" s="189"/>
      <c r="C768" s="189"/>
      <c r="D768" s="189"/>
      <c r="E768" s="189"/>
      <c r="F768" s="189"/>
      <c r="G768" s="189"/>
      <c r="H768" s="189"/>
      <c r="I768" s="338"/>
      <c r="J768" s="338"/>
      <c r="K768" s="338"/>
      <c r="L768" s="338"/>
      <c r="M768" s="338"/>
      <c r="N768" s="338"/>
      <c r="O768" s="338"/>
      <c r="P768" s="338"/>
      <c r="Q768" s="338"/>
      <c r="R768" s="338"/>
      <c r="S768" s="338"/>
      <c r="T768" s="230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</row>
    <row r="769" spans="1:30">
      <c r="A769" s="189"/>
      <c r="B769" s="189"/>
      <c r="C769" s="189"/>
      <c r="D769" s="189"/>
      <c r="E769" s="189"/>
      <c r="F769" s="189"/>
      <c r="G769" s="189"/>
      <c r="H769" s="189"/>
      <c r="I769" s="338"/>
      <c r="J769" s="338"/>
      <c r="K769" s="338"/>
      <c r="L769" s="338"/>
      <c r="M769" s="338"/>
      <c r="N769" s="338"/>
      <c r="O769" s="338"/>
      <c r="P769" s="338"/>
      <c r="Q769" s="338"/>
      <c r="R769" s="338"/>
      <c r="S769" s="338"/>
      <c r="T769" s="230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</row>
    <row r="770" spans="1:30">
      <c r="A770" s="189"/>
      <c r="B770" s="189"/>
      <c r="C770" s="189"/>
      <c r="D770" s="189"/>
      <c r="E770" s="189"/>
      <c r="F770" s="189"/>
      <c r="G770" s="189"/>
      <c r="H770" s="189"/>
      <c r="I770" s="338"/>
      <c r="J770" s="338"/>
      <c r="K770" s="338"/>
      <c r="L770" s="338"/>
      <c r="M770" s="338"/>
      <c r="N770" s="338"/>
      <c r="O770" s="338"/>
      <c r="P770" s="338"/>
      <c r="Q770" s="338"/>
      <c r="R770" s="338"/>
      <c r="S770" s="338"/>
      <c r="T770" s="230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</row>
    <row r="771" spans="1:30">
      <c r="A771" s="189"/>
      <c r="B771" s="189"/>
      <c r="C771" s="189"/>
      <c r="D771" s="189"/>
      <c r="E771" s="189"/>
      <c r="F771" s="189"/>
      <c r="G771" s="189"/>
      <c r="H771" s="189"/>
      <c r="I771" s="338"/>
      <c r="J771" s="338"/>
      <c r="K771" s="338"/>
      <c r="L771" s="338"/>
      <c r="M771" s="338"/>
      <c r="N771" s="338"/>
      <c r="O771" s="338"/>
      <c r="P771" s="338"/>
      <c r="Q771" s="338"/>
      <c r="R771" s="338"/>
      <c r="S771" s="338"/>
      <c r="T771" s="230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</row>
    <row r="772" spans="1:30">
      <c r="A772" s="189"/>
      <c r="B772" s="189"/>
      <c r="C772" s="189"/>
      <c r="D772" s="189"/>
      <c r="E772" s="189"/>
      <c r="F772" s="189"/>
      <c r="G772" s="189"/>
      <c r="H772" s="189"/>
      <c r="I772" s="338"/>
      <c r="J772" s="338"/>
      <c r="K772" s="338"/>
      <c r="L772" s="338"/>
      <c r="M772" s="338"/>
      <c r="N772" s="338"/>
      <c r="O772" s="338"/>
      <c r="P772" s="338"/>
      <c r="Q772" s="338"/>
      <c r="R772" s="338"/>
      <c r="S772" s="338"/>
      <c r="T772" s="230"/>
      <c r="U772" s="189"/>
      <c r="V772" s="189"/>
      <c r="W772" s="189"/>
      <c r="X772" s="189"/>
      <c r="Y772" s="189"/>
      <c r="Z772" s="189"/>
      <c r="AA772" s="189"/>
      <c r="AB772" s="189"/>
      <c r="AC772" s="189"/>
      <c r="AD772" s="189"/>
    </row>
    <row r="773" spans="1:30">
      <c r="A773" s="189"/>
      <c r="B773" s="189"/>
      <c r="C773" s="189"/>
      <c r="D773" s="189"/>
      <c r="E773" s="189"/>
      <c r="F773" s="189"/>
      <c r="G773" s="189"/>
      <c r="H773" s="189"/>
      <c r="I773" s="338"/>
      <c r="J773" s="338"/>
      <c r="K773" s="338"/>
      <c r="L773" s="338"/>
      <c r="M773" s="338"/>
      <c r="N773" s="338"/>
      <c r="O773" s="338"/>
      <c r="P773" s="338"/>
      <c r="Q773" s="338"/>
      <c r="R773" s="338"/>
      <c r="S773" s="338"/>
      <c r="T773" s="230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</row>
    <row r="774" spans="1:30">
      <c r="A774" s="189"/>
      <c r="B774" s="189"/>
      <c r="C774" s="189"/>
      <c r="D774" s="189"/>
      <c r="E774" s="189"/>
      <c r="F774" s="189"/>
      <c r="G774" s="189"/>
      <c r="H774" s="189"/>
      <c r="I774" s="338"/>
      <c r="J774" s="338"/>
      <c r="K774" s="338"/>
      <c r="L774" s="338"/>
      <c r="M774" s="338"/>
      <c r="N774" s="338"/>
      <c r="O774" s="338"/>
      <c r="P774" s="338"/>
      <c r="Q774" s="338"/>
      <c r="R774" s="338"/>
      <c r="S774" s="338"/>
      <c r="T774" s="230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</row>
    <row r="775" spans="1:30">
      <c r="A775" s="189"/>
      <c r="B775" s="189"/>
      <c r="C775" s="189"/>
      <c r="D775" s="189"/>
      <c r="E775" s="189"/>
      <c r="F775" s="189"/>
      <c r="G775" s="189"/>
      <c r="H775" s="189"/>
      <c r="I775" s="338"/>
      <c r="J775" s="338"/>
      <c r="K775" s="338"/>
      <c r="L775" s="338"/>
      <c r="M775" s="338"/>
      <c r="N775" s="338"/>
      <c r="O775" s="338"/>
      <c r="P775" s="338"/>
      <c r="Q775" s="338"/>
      <c r="R775" s="338"/>
      <c r="S775" s="338"/>
      <c r="T775" s="230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</row>
    <row r="776" spans="1:30">
      <c r="A776" s="189"/>
      <c r="B776" s="189"/>
      <c r="C776" s="189"/>
      <c r="D776" s="189"/>
      <c r="E776" s="189"/>
      <c r="F776" s="189"/>
      <c r="G776" s="189"/>
      <c r="H776" s="189"/>
      <c r="I776" s="338"/>
      <c r="J776" s="338"/>
      <c r="K776" s="338"/>
      <c r="L776" s="338"/>
      <c r="M776" s="338"/>
      <c r="N776" s="338"/>
      <c r="O776" s="338"/>
      <c r="P776" s="338"/>
      <c r="Q776" s="338"/>
      <c r="R776" s="338"/>
      <c r="S776" s="338"/>
      <c r="T776" s="230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</row>
    <row r="777" spans="1:30">
      <c r="A777" s="189"/>
      <c r="B777" s="189"/>
      <c r="C777" s="189"/>
      <c r="D777" s="189"/>
      <c r="E777" s="189"/>
      <c r="F777" s="189"/>
      <c r="G777" s="189"/>
      <c r="H777" s="189"/>
      <c r="I777" s="338"/>
      <c r="J777" s="338"/>
      <c r="K777" s="338"/>
      <c r="L777" s="338"/>
      <c r="M777" s="338"/>
      <c r="N777" s="338"/>
      <c r="O777" s="338"/>
      <c r="P777" s="338"/>
      <c r="Q777" s="338"/>
      <c r="R777" s="338"/>
      <c r="S777" s="338"/>
      <c r="T777" s="230"/>
      <c r="U777" s="189"/>
      <c r="V777" s="189"/>
      <c r="W777" s="189"/>
      <c r="X777" s="189"/>
      <c r="Y777" s="189"/>
      <c r="Z777" s="189"/>
      <c r="AA777" s="189"/>
      <c r="AB777" s="189"/>
      <c r="AC777" s="189"/>
      <c r="AD777" s="189"/>
    </row>
    <row r="778" spans="1:30">
      <c r="A778" s="189"/>
      <c r="B778" s="189"/>
      <c r="C778" s="189"/>
      <c r="D778" s="189"/>
      <c r="E778" s="189"/>
      <c r="F778" s="189"/>
      <c r="G778" s="189"/>
      <c r="H778" s="189"/>
      <c r="I778" s="338"/>
      <c r="J778" s="338"/>
      <c r="K778" s="338"/>
      <c r="L778" s="338"/>
      <c r="M778" s="338"/>
      <c r="N778" s="338"/>
      <c r="O778" s="338"/>
      <c r="P778" s="338"/>
      <c r="Q778" s="338"/>
      <c r="R778" s="338"/>
      <c r="S778" s="338"/>
      <c r="T778" s="230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</row>
    <row r="779" spans="1:30">
      <c r="A779" s="189"/>
      <c r="B779" s="189"/>
      <c r="C779" s="189"/>
      <c r="D779" s="189"/>
      <c r="E779" s="189"/>
      <c r="F779" s="189"/>
      <c r="G779" s="189"/>
      <c r="H779" s="189"/>
      <c r="I779" s="338"/>
      <c r="J779" s="338"/>
      <c r="K779" s="338"/>
      <c r="L779" s="338"/>
      <c r="M779" s="338"/>
      <c r="N779" s="338"/>
      <c r="O779" s="338"/>
      <c r="P779" s="338"/>
      <c r="Q779" s="338"/>
      <c r="R779" s="338"/>
      <c r="S779" s="338"/>
      <c r="T779" s="230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</row>
    <row r="780" spans="1:30">
      <c r="A780" s="189"/>
      <c r="B780" s="189"/>
      <c r="C780" s="189"/>
      <c r="D780" s="189"/>
      <c r="E780" s="189"/>
      <c r="F780" s="189"/>
      <c r="G780" s="189"/>
      <c r="H780" s="189"/>
      <c r="I780" s="338"/>
      <c r="J780" s="338"/>
      <c r="K780" s="338"/>
      <c r="L780" s="338"/>
      <c r="M780" s="338"/>
      <c r="N780" s="338"/>
      <c r="O780" s="338"/>
      <c r="P780" s="338"/>
      <c r="Q780" s="338"/>
      <c r="R780" s="338"/>
      <c r="S780" s="338"/>
      <c r="T780" s="230"/>
      <c r="U780" s="189"/>
      <c r="V780" s="189"/>
      <c r="W780" s="189"/>
      <c r="X780" s="189"/>
      <c r="Y780" s="189"/>
      <c r="Z780" s="189"/>
      <c r="AA780" s="189"/>
      <c r="AB780" s="189"/>
      <c r="AC780" s="189"/>
      <c r="AD780" s="189"/>
    </row>
    <row r="781" spans="1:30">
      <c r="A781" s="189"/>
      <c r="B781" s="189"/>
      <c r="C781" s="189"/>
      <c r="D781" s="189"/>
      <c r="E781" s="189"/>
      <c r="F781" s="189"/>
      <c r="G781" s="189"/>
      <c r="H781" s="189"/>
      <c r="I781" s="338"/>
      <c r="J781" s="338"/>
      <c r="K781" s="338"/>
      <c r="L781" s="338"/>
      <c r="M781" s="338"/>
      <c r="N781" s="338"/>
      <c r="O781" s="338"/>
      <c r="P781" s="338"/>
      <c r="Q781" s="338"/>
      <c r="R781" s="338"/>
      <c r="S781" s="338"/>
      <c r="T781" s="230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</row>
    <row r="782" spans="1:30">
      <c r="A782" s="189"/>
      <c r="B782" s="189"/>
      <c r="C782" s="189"/>
      <c r="D782" s="189"/>
      <c r="E782" s="189"/>
      <c r="F782" s="189"/>
      <c r="G782" s="189"/>
      <c r="H782" s="189"/>
      <c r="I782" s="338"/>
      <c r="J782" s="338"/>
      <c r="K782" s="338"/>
      <c r="L782" s="338"/>
      <c r="M782" s="338"/>
      <c r="N782" s="338"/>
      <c r="O782" s="338"/>
      <c r="P782" s="338"/>
      <c r="Q782" s="338"/>
      <c r="R782" s="338"/>
      <c r="S782" s="338"/>
      <c r="T782" s="230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</row>
    <row r="783" spans="1:30">
      <c r="A783" s="189"/>
      <c r="B783" s="189"/>
      <c r="C783" s="189"/>
      <c r="D783" s="189"/>
      <c r="E783" s="189"/>
      <c r="F783" s="189"/>
      <c r="G783" s="189"/>
      <c r="H783" s="189"/>
      <c r="I783" s="338"/>
      <c r="J783" s="338"/>
      <c r="K783" s="338"/>
      <c r="L783" s="338"/>
      <c r="M783" s="338"/>
      <c r="N783" s="338"/>
      <c r="O783" s="338"/>
      <c r="P783" s="338"/>
      <c r="Q783" s="338"/>
      <c r="R783" s="338"/>
      <c r="S783" s="338"/>
      <c r="T783" s="230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</row>
    <row r="784" spans="1:30">
      <c r="A784" s="189"/>
      <c r="B784" s="189"/>
      <c r="C784" s="189"/>
      <c r="D784" s="189"/>
      <c r="E784" s="189"/>
      <c r="F784" s="189"/>
      <c r="G784" s="189"/>
      <c r="H784" s="189"/>
      <c r="I784" s="338"/>
      <c r="J784" s="338"/>
      <c r="K784" s="338"/>
      <c r="L784" s="338"/>
      <c r="M784" s="338"/>
      <c r="N784" s="338"/>
      <c r="O784" s="338"/>
      <c r="P784" s="338"/>
      <c r="Q784" s="338"/>
      <c r="R784" s="338"/>
      <c r="S784" s="338"/>
      <c r="T784" s="230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</row>
    <row r="785" spans="1:30">
      <c r="A785" s="189"/>
      <c r="B785" s="189"/>
      <c r="C785" s="189"/>
      <c r="D785" s="189"/>
      <c r="E785" s="189"/>
      <c r="F785" s="189"/>
      <c r="G785" s="189"/>
      <c r="H785" s="189"/>
      <c r="I785" s="338"/>
      <c r="J785" s="338"/>
      <c r="K785" s="338"/>
      <c r="L785" s="338"/>
      <c r="M785" s="338"/>
      <c r="N785" s="338"/>
      <c r="O785" s="338"/>
      <c r="P785" s="338"/>
      <c r="Q785" s="338"/>
      <c r="R785" s="338"/>
      <c r="S785" s="338"/>
      <c r="T785" s="230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</row>
    <row r="786" spans="1:30">
      <c r="A786" s="189"/>
      <c r="B786" s="189"/>
      <c r="C786" s="189"/>
      <c r="D786" s="189"/>
      <c r="E786" s="189"/>
      <c r="F786" s="189"/>
      <c r="G786" s="189"/>
      <c r="H786" s="189"/>
      <c r="I786" s="338"/>
      <c r="J786" s="338"/>
      <c r="K786" s="338"/>
      <c r="L786" s="338"/>
      <c r="M786" s="338"/>
      <c r="N786" s="338"/>
      <c r="O786" s="338"/>
      <c r="P786" s="338"/>
      <c r="Q786" s="338"/>
      <c r="R786" s="338"/>
      <c r="S786" s="338"/>
      <c r="T786" s="230"/>
      <c r="U786" s="189"/>
      <c r="V786" s="189"/>
      <c r="W786" s="189"/>
      <c r="X786" s="189"/>
      <c r="Y786" s="189"/>
      <c r="Z786" s="189"/>
      <c r="AA786" s="189"/>
      <c r="AB786" s="189"/>
      <c r="AC786" s="189"/>
      <c r="AD786" s="189"/>
    </row>
    <row r="787" spans="1:30">
      <c r="A787" s="189"/>
      <c r="B787" s="189"/>
      <c r="C787" s="189"/>
      <c r="D787" s="189"/>
      <c r="E787" s="189"/>
      <c r="F787" s="189"/>
      <c r="G787" s="189"/>
      <c r="H787" s="189"/>
      <c r="I787" s="338"/>
      <c r="J787" s="338"/>
      <c r="K787" s="338"/>
      <c r="L787" s="338"/>
      <c r="M787" s="338"/>
      <c r="N787" s="338"/>
      <c r="O787" s="338"/>
      <c r="P787" s="338"/>
      <c r="Q787" s="338"/>
      <c r="R787" s="338"/>
      <c r="S787" s="338"/>
      <c r="T787" s="230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</row>
    <row r="788" spans="1:30">
      <c r="A788" s="189"/>
      <c r="B788" s="189"/>
      <c r="C788" s="189"/>
      <c r="D788" s="189"/>
      <c r="E788" s="189"/>
      <c r="F788" s="189"/>
      <c r="G788" s="189"/>
      <c r="H788" s="189"/>
      <c r="I788" s="338"/>
      <c r="J788" s="338"/>
      <c r="K788" s="338"/>
      <c r="L788" s="338"/>
      <c r="M788" s="338"/>
      <c r="N788" s="338"/>
      <c r="O788" s="338"/>
      <c r="P788" s="338"/>
      <c r="Q788" s="338"/>
      <c r="R788" s="338"/>
      <c r="S788" s="338"/>
      <c r="T788" s="230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</row>
    <row r="789" spans="1:30">
      <c r="A789" s="189"/>
      <c r="B789" s="189"/>
      <c r="C789" s="189"/>
      <c r="D789" s="189"/>
      <c r="E789" s="189"/>
      <c r="F789" s="189"/>
      <c r="G789" s="189"/>
      <c r="H789" s="189"/>
      <c r="I789" s="338"/>
      <c r="J789" s="338"/>
      <c r="K789" s="338"/>
      <c r="L789" s="338"/>
      <c r="M789" s="338"/>
      <c r="N789" s="338"/>
      <c r="O789" s="338"/>
      <c r="P789" s="338"/>
      <c r="Q789" s="338"/>
      <c r="R789" s="338"/>
      <c r="S789" s="338"/>
      <c r="T789" s="230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</row>
    <row r="790" spans="1:30">
      <c r="A790" s="189"/>
      <c r="B790" s="189"/>
      <c r="C790" s="189"/>
      <c r="D790" s="189"/>
      <c r="E790" s="189"/>
      <c r="F790" s="189"/>
      <c r="G790" s="189"/>
      <c r="H790" s="189"/>
      <c r="I790" s="338"/>
      <c r="J790" s="338"/>
      <c r="K790" s="338"/>
      <c r="L790" s="338"/>
      <c r="M790" s="338"/>
      <c r="N790" s="338"/>
      <c r="O790" s="338"/>
      <c r="P790" s="338"/>
      <c r="Q790" s="338"/>
      <c r="R790" s="338"/>
      <c r="S790" s="338"/>
      <c r="T790" s="230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</row>
    <row r="791" spans="1:30">
      <c r="A791" s="189"/>
      <c r="B791" s="189"/>
      <c r="C791" s="189"/>
      <c r="D791" s="189"/>
      <c r="E791" s="189"/>
      <c r="F791" s="189"/>
      <c r="G791" s="189"/>
      <c r="H791" s="189"/>
      <c r="I791" s="338"/>
      <c r="J791" s="338"/>
      <c r="K791" s="338"/>
      <c r="L791" s="338"/>
      <c r="M791" s="338"/>
      <c r="N791" s="338"/>
      <c r="O791" s="338"/>
      <c r="P791" s="338"/>
      <c r="Q791" s="338"/>
      <c r="R791" s="338"/>
      <c r="S791" s="338"/>
      <c r="T791" s="230"/>
      <c r="U791" s="189"/>
      <c r="V791" s="189"/>
      <c r="W791" s="189"/>
      <c r="X791" s="189"/>
      <c r="Y791" s="189"/>
      <c r="Z791" s="189"/>
      <c r="AA791" s="189"/>
      <c r="AB791" s="189"/>
      <c r="AC791" s="189"/>
      <c r="AD791" s="189"/>
    </row>
    <row r="792" spans="1:30">
      <c r="A792" s="189"/>
      <c r="B792" s="189"/>
      <c r="C792" s="189"/>
      <c r="D792" s="189"/>
      <c r="E792" s="189"/>
      <c r="F792" s="189"/>
      <c r="G792" s="189"/>
      <c r="H792" s="189"/>
      <c r="I792" s="338"/>
      <c r="J792" s="338"/>
      <c r="K792" s="338"/>
      <c r="L792" s="338"/>
      <c r="M792" s="338"/>
      <c r="N792" s="338"/>
      <c r="O792" s="338"/>
      <c r="P792" s="338"/>
      <c r="Q792" s="338"/>
      <c r="R792" s="338"/>
      <c r="S792" s="338"/>
      <c r="T792" s="230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</row>
    <row r="793" spans="1:30">
      <c r="A793" s="189"/>
      <c r="B793" s="189"/>
      <c r="C793" s="189"/>
      <c r="D793" s="189"/>
      <c r="E793" s="189"/>
      <c r="F793" s="189"/>
      <c r="G793" s="189"/>
      <c r="H793" s="189"/>
      <c r="I793" s="338"/>
      <c r="J793" s="338"/>
      <c r="K793" s="338"/>
      <c r="L793" s="338"/>
      <c r="M793" s="338"/>
      <c r="N793" s="338"/>
      <c r="O793" s="338"/>
      <c r="P793" s="338"/>
      <c r="Q793" s="338"/>
      <c r="R793" s="338"/>
      <c r="S793" s="338"/>
      <c r="T793" s="230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</row>
    <row r="794" spans="1:30">
      <c r="A794" s="189"/>
      <c r="B794" s="189"/>
      <c r="C794" s="189"/>
      <c r="D794" s="189"/>
      <c r="E794" s="189"/>
      <c r="F794" s="189"/>
      <c r="G794" s="189"/>
      <c r="H794" s="189"/>
      <c r="I794" s="338"/>
      <c r="J794" s="338"/>
      <c r="K794" s="338"/>
      <c r="L794" s="338"/>
      <c r="M794" s="338"/>
      <c r="N794" s="338"/>
      <c r="O794" s="338"/>
      <c r="P794" s="338"/>
      <c r="Q794" s="338"/>
      <c r="R794" s="338"/>
      <c r="S794" s="338"/>
      <c r="T794" s="230"/>
      <c r="U794" s="189"/>
      <c r="V794" s="189"/>
      <c r="W794" s="189"/>
      <c r="X794" s="189"/>
      <c r="Y794" s="189"/>
      <c r="Z794" s="189"/>
      <c r="AA794" s="189"/>
      <c r="AB794" s="189"/>
      <c r="AC794" s="189"/>
      <c r="AD794" s="189"/>
    </row>
    <row r="795" spans="1:30">
      <c r="A795" s="189"/>
      <c r="B795" s="189"/>
      <c r="C795" s="189"/>
      <c r="D795" s="189"/>
      <c r="E795" s="189"/>
      <c r="F795" s="189"/>
      <c r="G795" s="189"/>
      <c r="H795" s="189"/>
      <c r="I795" s="338"/>
      <c r="J795" s="338"/>
      <c r="K795" s="338"/>
      <c r="L795" s="338"/>
      <c r="M795" s="338"/>
      <c r="N795" s="338"/>
      <c r="O795" s="338"/>
      <c r="P795" s="338"/>
      <c r="Q795" s="338"/>
      <c r="R795" s="338"/>
      <c r="S795" s="338"/>
      <c r="T795" s="230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</row>
    <row r="796" spans="1:30">
      <c r="A796" s="189"/>
      <c r="B796" s="189"/>
      <c r="C796" s="189"/>
      <c r="D796" s="189"/>
      <c r="E796" s="189"/>
      <c r="F796" s="189"/>
      <c r="G796" s="189"/>
      <c r="H796" s="189"/>
      <c r="I796" s="338"/>
      <c r="J796" s="338"/>
      <c r="K796" s="338"/>
      <c r="L796" s="338"/>
      <c r="M796" s="338"/>
      <c r="N796" s="338"/>
      <c r="O796" s="338"/>
      <c r="P796" s="338"/>
      <c r="Q796" s="338"/>
      <c r="R796" s="338"/>
      <c r="S796" s="338"/>
      <c r="T796" s="230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</row>
    <row r="797" spans="1:30">
      <c r="A797" s="189"/>
      <c r="B797" s="189"/>
      <c r="C797" s="189"/>
      <c r="D797" s="189"/>
      <c r="E797" s="189"/>
      <c r="F797" s="189"/>
      <c r="G797" s="189"/>
      <c r="H797" s="189"/>
      <c r="I797" s="338"/>
      <c r="J797" s="338"/>
      <c r="K797" s="338"/>
      <c r="L797" s="338"/>
      <c r="M797" s="338"/>
      <c r="N797" s="338"/>
      <c r="O797" s="338"/>
      <c r="P797" s="338"/>
      <c r="Q797" s="338"/>
      <c r="R797" s="338"/>
      <c r="S797" s="338"/>
      <c r="T797" s="230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</row>
    <row r="798" spans="1:30">
      <c r="A798" s="189"/>
      <c r="B798" s="189"/>
      <c r="C798" s="189"/>
      <c r="D798" s="189"/>
      <c r="E798" s="189"/>
      <c r="F798" s="189"/>
      <c r="G798" s="189"/>
      <c r="H798" s="189"/>
      <c r="I798" s="338"/>
      <c r="J798" s="338"/>
      <c r="K798" s="338"/>
      <c r="L798" s="338"/>
      <c r="M798" s="338"/>
      <c r="N798" s="338"/>
      <c r="O798" s="338"/>
      <c r="P798" s="338"/>
      <c r="Q798" s="338"/>
      <c r="R798" s="338"/>
      <c r="S798" s="338"/>
      <c r="T798" s="230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</row>
    <row r="799" spans="1:30">
      <c r="A799" s="189"/>
      <c r="B799" s="189"/>
      <c r="C799" s="189"/>
      <c r="D799" s="189"/>
      <c r="E799" s="189"/>
      <c r="F799" s="189"/>
      <c r="G799" s="189"/>
      <c r="H799" s="189"/>
      <c r="I799" s="338"/>
      <c r="J799" s="338"/>
      <c r="K799" s="338"/>
      <c r="L799" s="338"/>
      <c r="M799" s="338"/>
      <c r="N799" s="338"/>
      <c r="O799" s="338"/>
      <c r="P799" s="338"/>
      <c r="Q799" s="338"/>
      <c r="R799" s="338"/>
      <c r="S799" s="338"/>
      <c r="T799" s="230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</row>
    <row r="800" spans="1:30">
      <c r="A800" s="189"/>
      <c r="B800" s="189"/>
      <c r="C800" s="189"/>
      <c r="D800" s="189"/>
      <c r="E800" s="189"/>
      <c r="F800" s="189"/>
      <c r="G800" s="189"/>
      <c r="H800" s="189"/>
      <c r="I800" s="338"/>
      <c r="J800" s="338"/>
      <c r="K800" s="338"/>
      <c r="L800" s="338"/>
      <c r="M800" s="338"/>
      <c r="N800" s="338"/>
      <c r="O800" s="338"/>
      <c r="P800" s="338"/>
      <c r="Q800" s="338"/>
      <c r="R800" s="338"/>
      <c r="S800" s="338"/>
      <c r="T800" s="230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</row>
    <row r="801" spans="1:30">
      <c r="A801" s="189"/>
      <c r="B801" s="189"/>
      <c r="C801" s="189"/>
      <c r="D801" s="189"/>
      <c r="E801" s="189"/>
      <c r="F801" s="189"/>
      <c r="G801" s="189"/>
      <c r="H801" s="189"/>
      <c r="I801" s="338"/>
      <c r="J801" s="338"/>
      <c r="K801" s="338"/>
      <c r="L801" s="338"/>
      <c r="M801" s="338"/>
      <c r="N801" s="338"/>
      <c r="O801" s="338"/>
      <c r="P801" s="338"/>
      <c r="Q801" s="338"/>
      <c r="R801" s="338"/>
      <c r="S801" s="338"/>
      <c r="T801" s="230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</row>
    <row r="802" spans="1:30">
      <c r="A802" s="189"/>
      <c r="B802" s="189"/>
      <c r="C802" s="189"/>
      <c r="D802" s="189"/>
      <c r="E802" s="189"/>
      <c r="F802" s="189"/>
      <c r="G802" s="189"/>
      <c r="H802" s="189"/>
      <c r="I802" s="338"/>
      <c r="J802" s="338"/>
      <c r="K802" s="338"/>
      <c r="L802" s="338"/>
      <c r="M802" s="338"/>
      <c r="N802" s="338"/>
      <c r="O802" s="338"/>
      <c r="P802" s="338"/>
      <c r="Q802" s="338"/>
      <c r="R802" s="338"/>
      <c r="S802" s="338"/>
      <c r="T802" s="230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</row>
    <row r="803" spans="1:30">
      <c r="A803" s="189"/>
      <c r="B803" s="189"/>
      <c r="C803" s="189"/>
      <c r="D803" s="189"/>
      <c r="E803" s="189"/>
      <c r="F803" s="189"/>
      <c r="G803" s="189"/>
      <c r="H803" s="189"/>
      <c r="I803" s="338"/>
      <c r="J803" s="338"/>
      <c r="K803" s="338"/>
      <c r="L803" s="338"/>
      <c r="M803" s="338"/>
      <c r="N803" s="338"/>
      <c r="O803" s="338"/>
      <c r="P803" s="338"/>
      <c r="Q803" s="338"/>
      <c r="R803" s="338"/>
      <c r="S803" s="338"/>
      <c r="T803" s="230"/>
      <c r="U803" s="189"/>
      <c r="V803" s="189"/>
      <c r="W803" s="189"/>
      <c r="X803" s="189"/>
      <c r="Y803" s="189"/>
      <c r="Z803" s="189"/>
      <c r="AA803" s="189"/>
      <c r="AB803" s="189"/>
      <c r="AC803" s="189"/>
      <c r="AD803" s="189"/>
    </row>
    <row r="804" spans="1:30">
      <c r="A804" s="189"/>
      <c r="B804" s="189"/>
      <c r="C804" s="189"/>
      <c r="D804" s="189"/>
      <c r="E804" s="189"/>
      <c r="F804" s="189"/>
      <c r="G804" s="189"/>
      <c r="H804" s="189"/>
      <c r="I804" s="338"/>
      <c r="J804" s="338"/>
      <c r="K804" s="338"/>
      <c r="L804" s="338"/>
      <c r="M804" s="338"/>
      <c r="N804" s="338"/>
      <c r="O804" s="338"/>
      <c r="P804" s="338"/>
      <c r="Q804" s="338"/>
      <c r="R804" s="338"/>
      <c r="S804" s="338"/>
      <c r="T804" s="230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</row>
    <row r="805" spans="1:30">
      <c r="A805" s="189"/>
      <c r="B805" s="189"/>
      <c r="C805" s="189"/>
      <c r="D805" s="189"/>
      <c r="E805" s="189"/>
      <c r="F805" s="189"/>
      <c r="G805" s="189"/>
      <c r="H805" s="189"/>
      <c r="I805" s="338"/>
      <c r="J805" s="338"/>
      <c r="K805" s="338"/>
      <c r="L805" s="338"/>
      <c r="M805" s="338"/>
      <c r="N805" s="338"/>
      <c r="O805" s="338"/>
      <c r="P805" s="338"/>
      <c r="Q805" s="338"/>
      <c r="R805" s="338"/>
      <c r="S805" s="338"/>
      <c r="T805" s="230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</row>
    <row r="806" spans="1:30">
      <c r="A806" s="189"/>
      <c r="B806" s="189"/>
      <c r="C806" s="189"/>
      <c r="D806" s="189"/>
      <c r="E806" s="189"/>
      <c r="F806" s="189"/>
      <c r="G806" s="189"/>
      <c r="H806" s="189"/>
      <c r="I806" s="338"/>
      <c r="J806" s="338"/>
      <c r="K806" s="338"/>
      <c r="L806" s="338"/>
      <c r="M806" s="338"/>
      <c r="N806" s="338"/>
      <c r="O806" s="338"/>
      <c r="P806" s="338"/>
      <c r="Q806" s="338"/>
      <c r="R806" s="338"/>
      <c r="S806" s="338"/>
      <c r="T806" s="230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</row>
    <row r="807" spans="1:30">
      <c r="A807" s="189"/>
      <c r="B807" s="189"/>
      <c r="C807" s="189"/>
      <c r="D807" s="189"/>
      <c r="E807" s="189"/>
      <c r="F807" s="189"/>
      <c r="G807" s="189"/>
      <c r="H807" s="189"/>
      <c r="I807" s="338"/>
      <c r="J807" s="338"/>
      <c r="K807" s="338"/>
      <c r="L807" s="338"/>
      <c r="M807" s="338"/>
      <c r="N807" s="338"/>
      <c r="O807" s="338"/>
      <c r="P807" s="338"/>
      <c r="Q807" s="338"/>
      <c r="R807" s="338"/>
      <c r="S807" s="338"/>
      <c r="T807" s="230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</row>
    <row r="808" spans="1:30">
      <c r="A808" s="189"/>
      <c r="B808" s="189"/>
      <c r="C808" s="189"/>
      <c r="D808" s="189"/>
      <c r="E808" s="189"/>
      <c r="F808" s="189"/>
      <c r="G808" s="189"/>
      <c r="H808" s="189"/>
      <c r="I808" s="338"/>
      <c r="J808" s="338"/>
      <c r="K808" s="338"/>
      <c r="L808" s="338"/>
      <c r="M808" s="338"/>
      <c r="N808" s="338"/>
      <c r="O808" s="338"/>
      <c r="P808" s="338"/>
      <c r="Q808" s="338"/>
      <c r="R808" s="338"/>
      <c r="S808" s="338"/>
      <c r="T808" s="230"/>
      <c r="U808" s="189"/>
      <c r="V808" s="189"/>
      <c r="W808" s="189"/>
      <c r="X808" s="189"/>
      <c r="Y808" s="189"/>
      <c r="Z808" s="189"/>
      <c r="AA808" s="189"/>
      <c r="AB808" s="189"/>
      <c r="AC808" s="189"/>
      <c r="AD808" s="189"/>
    </row>
    <row r="809" spans="1:30">
      <c r="A809" s="189"/>
      <c r="B809" s="189"/>
      <c r="C809" s="189"/>
      <c r="D809" s="189"/>
      <c r="E809" s="189"/>
      <c r="F809" s="189"/>
      <c r="G809" s="189"/>
      <c r="H809" s="189"/>
      <c r="I809" s="338"/>
      <c r="J809" s="338"/>
      <c r="K809" s="338"/>
      <c r="L809" s="338"/>
      <c r="M809" s="338"/>
      <c r="N809" s="338"/>
      <c r="O809" s="338"/>
      <c r="P809" s="338"/>
      <c r="Q809" s="338"/>
      <c r="R809" s="338"/>
      <c r="S809" s="338"/>
      <c r="T809" s="230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</row>
    <row r="810" spans="1:30">
      <c r="A810" s="189"/>
      <c r="B810" s="189"/>
      <c r="C810" s="189"/>
      <c r="D810" s="189"/>
      <c r="E810" s="189"/>
      <c r="F810" s="189"/>
      <c r="G810" s="189"/>
      <c r="H810" s="189"/>
      <c r="I810" s="338"/>
      <c r="J810" s="338"/>
      <c r="K810" s="338"/>
      <c r="L810" s="338"/>
      <c r="M810" s="338"/>
      <c r="N810" s="338"/>
      <c r="O810" s="338"/>
      <c r="P810" s="338"/>
      <c r="Q810" s="338"/>
      <c r="R810" s="338"/>
      <c r="S810" s="338"/>
      <c r="T810" s="230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</row>
    <row r="811" spans="1:30">
      <c r="A811" s="189"/>
      <c r="B811" s="189"/>
      <c r="C811" s="189"/>
      <c r="D811" s="189"/>
      <c r="E811" s="189"/>
      <c r="F811" s="189"/>
      <c r="G811" s="189"/>
      <c r="H811" s="189"/>
      <c r="I811" s="338"/>
      <c r="J811" s="338"/>
      <c r="K811" s="338"/>
      <c r="L811" s="338"/>
      <c r="M811" s="338"/>
      <c r="N811" s="338"/>
      <c r="O811" s="338"/>
      <c r="P811" s="338"/>
      <c r="Q811" s="338"/>
      <c r="R811" s="338"/>
      <c r="S811" s="338"/>
      <c r="T811" s="230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</row>
    <row r="812" spans="1:30">
      <c r="A812" s="189"/>
      <c r="B812" s="189"/>
      <c r="C812" s="189"/>
      <c r="D812" s="189"/>
      <c r="E812" s="189"/>
      <c r="F812" s="189"/>
      <c r="G812" s="189"/>
      <c r="H812" s="189"/>
      <c r="I812" s="338"/>
      <c r="J812" s="338"/>
      <c r="K812" s="338"/>
      <c r="L812" s="338"/>
      <c r="M812" s="338"/>
      <c r="N812" s="338"/>
      <c r="O812" s="338"/>
      <c r="P812" s="338"/>
      <c r="Q812" s="338"/>
      <c r="R812" s="338"/>
      <c r="S812" s="338"/>
      <c r="T812" s="230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</row>
    <row r="813" spans="1:30">
      <c r="A813" s="189"/>
      <c r="B813" s="189"/>
      <c r="C813" s="189"/>
      <c r="D813" s="189"/>
      <c r="E813" s="189"/>
      <c r="F813" s="189"/>
      <c r="G813" s="189"/>
      <c r="H813" s="189"/>
      <c r="I813" s="338"/>
      <c r="J813" s="338"/>
      <c r="K813" s="338"/>
      <c r="L813" s="338"/>
      <c r="M813" s="338"/>
      <c r="N813" s="338"/>
      <c r="O813" s="338"/>
      <c r="P813" s="338"/>
      <c r="Q813" s="338"/>
      <c r="R813" s="338"/>
      <c r="S813" s="338"/>
      <c r="T813" s="230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</row>
    <row r="814" spans="1:30">
      <c r="A814" s="189"/>
      <c r="B814" s="189"/>
      <c r="C814" s="189"/>
      <c r="D814" s="189"/>
      <c r="E814" s="189"/>
      <c r="F814" s="189"/>
      <c r="G814" s="189"/>
      <c r="H814" s="189"/>
      <c r="I814" s="338"/>
      <c r="J814" s="338"/>
      <c r="K814" s="338"/>
      <c r="L814" s="338"/>
      <c r="M814" s="338"/>
      <c r="N814" s="338"/>
      <c r="O814" s="338"/>
      <c r="P814" s="338"/>
      <c r="Q814" s="338"/>
      <c r="R814" s="338"/>
      <c r="S814" s="338"/>
      <c r="T814" s="230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</row>
    <row r="815" spans="1:30">
      <c r="A815" s="189"/>
      <c r="B815" s="189"/>
      <c r="C815" s="189"/>
      <c r="D815" s="189"/>
      <c r="E815" s="189"/>
      <c r="F815" s="189"/>
      <c r="G815" s="189"/>
      <c r="H815" s="189"/>
      <c r="I815" s="338"/>
      <c r="J815" s="338"/>
      <c r="K815" s="338"/>
      <c r="L815" s="338"/>
      <c r="M815" s="338"/>
      <c r="N815" s="338"/>
      <c r="O815" s="338"/>
      <c r="P815" s="338"/>
      <c r="Q815" s="338"/>
      <c r="R815" s="338"/>
      <c r="S815" s="338"/>
      <c r="T815" s="230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</row>
    <row r="816" spans="1:30">
      <c r="A816" s="189"/>
      <c r="B816" s="189"/>
      <c r="C816" s="189"/>
      <c r="D816" s="189"/>
      <c r="E816" s="189"/>
      <c r="F816" s="189"/>
      <c r="G816" s="189"/>
      <c r="H816" s="189"/>
      <c r="I816" s="338"/>
      <c r="J816" s="338"/>
      <c r="K816" s="338"/>
      <c r="L816" s="338"/>
      <c r="M816" s="338"/>
      <c r="N816" s="338"/>
      <c r="O816" s="338"/>
      <c r="P816" s="338"/>
      <c r="Q816" s="338"/>
      <c r="R816" s="338"/>
      <c r="S816" s="338"/>
      <c r="T816" s="230"/>
      <c r="U816" s="189"/>
      <c r="V816" s="189"/>
      <c r="W816" s="189"/>
      <c r="X816" s="189"/>
      <c r="Y816" s="189"/>
      <c r="Z816" s="189"/>
      <c r="AA816" s="189"/>
      <c r="AB816" s="189"/>
      <c r="AC816" s="189"/>
      <c r="AD816" s="189"/>
    </row>
    <row r="817" spans="1:30">
      <c r="A817" s="189"/>
      <c r="B817" s="189"/>
      <c r="C817" s="189"/>
      <c r="D817" s="189"/>
      <c r="E817" s="189"/>
      <c r="F817" s="189"/>
      <c r="G817" s="189"/>
      <c r="H817" s="189"/>
      <c r="I817" s="338"/>
      <c r="J817" s="338"/>
      <c r="K817" s="338"/>
      <c r="L817" s="338"/>
      <c r="M817" s="338"/>
      <c r="N817" s="338"/>
      <c r="O817" s="338"/>
      <c r="P817" s="338"/>
      <c r="Q817" s="338"/>
      <c r="R817" s="338"/>
      <c r="S817" s="338"/>
      <c r="T817" s="230"/>
      <c r="U817" s="189"/>
      <c r="V817" s="189"/>
      <c r="W817" s="189"/>
      <c r="X817" s="189"/>
      <c r="Y817" s="189"/>
      <c r="Z817" s="189"/>
      <c r="AA817" s="189"/>
      <c r="AB817" s="189"/>
      <c r="AC817" s="189"/>
      <c r="AD817" s="189"/>
    </row>
    <row r="818" spans="1:30">
      <c r="A818" s="189"/>
      <c r="B818" s="189"/>
      <c r="C818" s="189"/>
      <c r="D818" s="189"/>
      <c r="E818" s="189"/>
      <c r="F818" s="189"/>
      <c r="G818" s="189"/>
      <c r="H818" s="189"/>
      <c r="I818" s="338"/>
      <c r="J818" s="338"/>
      <c r="K818" s="338"/>
      <c r="L818" s="338"/>
      <c r="M818" s="338"/>
      <c r="N818" s="338"/>
      <c r="O818" s="338"/>
      <c r="P818" s="338"/>
      <c r="Q818" s="338"/>
      <c r="R818" s="338"/>
      <c r="S818" s="338"/>
      <c r="T818" s="230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</row>
    <row r="819" spans="1:30">
      <c r="A819" s="189"/>
      <c r="B819" s="189"/>
      <c r="C819" s="189"/>
      <c r="D819" s="189"/>
      <c r="E819" s="189"/>
      <c r="F819" s="189"/>
      <c r="G819" s="189"/>
      <c r="H819" s="189"/>
      <c r="I819" s="338"/>
      <c r="J819" s="338"/>
      <c r="K819" s="338"/>
      <c r="L819" s="338"/>
      <c r="M819" s="338"/>
      <c r="N819" s="338"/>
      <c r="O819" s="338"/>
      <c r="P819" s="338"/>
      <c r="Q819" s="338"/>
      <c r="R819" s="338"/>
      <c r="S819" s="338"/>
      <c r="T819" s="230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</row>
    <row r="820" spans="1:30">
      <c r="A820" s="189"/>
      <c r="B820" s="189"/>
      <c r="C820" s="189"/>
      <c r="D820" s="189"/>
      <c r="E820" s="189"/>
      <c r="F820" s="189"/>
      <c r="G820" s="189"/>
      <c r="H820" s="189"/>
      <c r="I820" s="338"/>
      <c r="J820" s="338"/>
      <c r="K820" s="338"/>
      <c r="L820" s="338"/>
      <c r="M820" s="338"/>
      <c r="N820" s="338"/>
      <c r="O820" s="338"/>
      <c r="P820" s="338"/>
      <c r="Q820" s="338"/>
      <c r="R820" s="338"/>
      <c r="S820" s="338"/>
      <c r="T820" s="230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</row>
    <row r="821" spans="1:30">
      <c r="A821" s="189"/>
      <c r="B821" s="189"/>
      <c r="C821" s="189"/>
      <c r="D821" s="189"/>
      <c r="E821" s="189"/>
      <c r="F821" s="189"/>
      <c r="G821" s="189"/>
      <c r="H821" s="189"/>
      <c r="I821" s="338"/>
      <c r="J821" s="338"/>
      <c r="K821" s="338"/>
      <c r="L821" s="338"/>
      <c r="M821" s="338"/>
      <c r="N821" s="338"/>
      <c r="O821" s="338"/>
      <c r="P821" s="338"/>
      <c r="Q821" s="338"/>
      <c r="R821" s="338"/>
      <c r="S821" s="338"/>
      <c r="T821" s="230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</row>
    <row r="822" spans="1:30">
      <c r="A822" s="189"/>
      <c r="B822" s="189"/>
      <c r="C822" s="189"/>
      <c r="D822" s="189"/>
      <c r="E822" s="189"/>
      <c r="F822" s="189"/>
      <c r="G822" s="189"/>
      <c r="H822" s="189"/>
      <c r="I822" s="338"/>
      <c r="J822" s="338"/>
      <c r="K822" s="338"/>
      <c r="L822" s="338"/>
      <c r="M822" s="338"/>
      <c r="N822" s="338"/>
      <c r="O822" s="338"/>
      <c r="P822" s="338"/>
      <c r="Q822" s="338"/>
      <c r="R822" s="338"/>
      <c r="S822" s="338"/>
      <c r="T822" s="230"/>
      <c r="U822" s="189"/>
      <c r="V822" s="189"/>
      <c r="W822" s="189"/>
      <c r="X822" s="189"/>
      <c r="Y822" s="189"/>
      <c r="Z822" s="189"/>
      <c r="AA822" s="189"/>
      <c r="AB822" s="189"/>
      <c r="AC822" s="189"/>
      <c r="AD822" s="189"/>
    </row>
    <row r="823" spans="1:30">
      <c r="A823" s="189"/>
      <c r="B823" s="189"/>
      <c r="C823" s="189"/>
      <c r="D823" s="189"/>
      <c r="E823" s="189"/>
      <c r="F823" s="189"/>
      <c r="G823" s="189"/>
      <c r="H823" s="189"/>
      <c r="I823" s="338"/>
      <c r="J823" s="338"/>
      <c r="K823" s="338"/>
      <c r="L823" s="338"/>
      <c r="M823" s="338"/>
      <c r="N823" s="338"/>
      <c r="O823" s="338"/>
      <c r="P823" s="338"/>
      <c r="Q823" s="338"/>
      <c r="R823" s="338"/>
      <c r="S823" s="338"/>
      <c r="T823" s="230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</row>
    <row r="824" spans="1:30">
      <c r="A824" s="189"/>
      <c r="B824" s="189"/>
      <c r="C824" s="189"/>
      <c r="D824" s="189"/>
      <c r="E824" s="189"/>
      <c r="F824" s="189"/>
      <c r="G824" s="189"/>
      <c r="H824" s="189"/>
      <c r="I824" s="338"/>
      <c r="J824" s="338"/>
      <c r="K824" s="338"/>
      <c r="L824" s="338"/>
      <c r="M824" s="338"/>
      <c r="N824" s="338"/>
      <c r="O824" s="338"/>
      <c r="P824" s="338"/>
      <c r="Q824" s="338"/>
      <c r="R824" s="338"/>
      <c r="S824" s="338"/>
      <c r="T824" s="230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</row>
    <row r="825" spans="1:30">
      <c r="A825" s="189"/>
      <c r="B825" s="189"/>
      <c r="C825" s="189"/>
      <c r="D825" s="189"/>
      <c r="E825" s="189"/>
      <c r="F825" s="189"/>
      <c r="G825" s="189"/>
      <c r="H825" s="189"/>
      <c r="I825" s="338"/>
      <c r="J825" s="338"/>
      <c r="K825" s="338"/>
      <c r="L825" s="338"/>
      <c r="M825" s="338"/>
      <c r="N825" s="338"/>
      <c r="O825" s="338"/>
      <c r="P825" s="338"/>
      <c r="Q825" s="338"/>
      <c r="R825" s="338"/>
      <c r="S825" s="338"/>
      <c r="T825" s="230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</row>
    <row r="826" spans="1:30">
      <c r="A826" s="189"/>
      <c r="B826" s="189"/>
      <c r="C826" s="189"/>
      <c r="D826" s="189"/>
      <c r="E826" s="189"/>
      <c r="F826" s="189"/>
      <c r="G826" s="189"/>
      <c r="H826" s="189"/>
      <c r="I826" s="338"/>
      <c r="J826" s="338"/>
      <c r="K826" s="338"/>
      <c r="L826" s="338"/>
      <c r="M826" s="338"/>
      <c r="N826" s="338"/>
      <c r="O826" s="338"/>
      <c r="P826" s="338"/>
      <c r="Q826" s="338"/>
      <c r="R826" s="338"/>
      <c r="S826" s="338"/>
      <c r="T826" s="230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</row>
    <row r="827" spans="1:30">
      <c r="A827" s="189"/>
      <c r="B827" s="189"/>
      <c r="C827" s="189"/>
      <c r="D827" s="189"/>
      <c r="E827" s="189"/>
      <c r="F827" s="189"/>
      <c r="G827" s="189"/>
      <c r="H827" s="189"/>
      <c r="I827" s="338"/>
      <c r="J827" s="338"/>
      <c r="K827" s="338"/>
      <c r="L827" s="338"/>
      <c r="M827" s="338"/>
      <c r="N827" s="338"/>
      <c r="O827" s="338"/>
      <c r="P827" s="338"/>
      <c r="Q827" s="338"/>
      <c r="R827" s="338"/>
      <c r="S827" s="338"/>
      <c r="T827" s="230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</row>
    <row r="828" spans="1:30">
      <c r="A828" s="189"/>
      <c r="B828" s="189"/>
      <c r="C828" s="189"/>
      <c r="D828" s="189"/>
      <c r="E828" s="189"/>
      <c r="F828" s="189"/>
      <c r="G828" s="189"/>
      <c r="H828" s="189"/>
      <c r="I828" s="338"/>
      <c r="J828" s="338"/>
      <c r="K828" s="338"/>
      <c r="L828" s="338"/>
      <c r="M828" s="338"/>
      <c r="N828" s="338"/>
      <c r="O828" s="338"/>
      <c r="P828" s="338"/>
      <c r="Q828" s="338"/>
      <c r="R828" s="338"/>
      <c r="S828" s="338"/>
      <c r="T828" s="230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</row>
    <row r="829" spans="1:30">
      <c r="A829" s="189"/>
      <c r="B829" s="189"/>
      <c r="C829" s="189"/>
      <c r="D829" s="189"/>
      <c r="E829" s="189"/>
      <c r="F829" s="189"/>
      <c r="G829" s="189"/>
      <c r="H829" s="189"/>
      <c r="I829" s="338"/>
      <c r="J829" s="338"/>
      <c r="K829" s="338"/>
      <c r="L829" s="338"/>
      <c r="M829" s="338"/>
      <c r="N829" s="338"/>
      <c r="O829" s="338"/>
      <c r="P829" s="338"/>
      <c r="Q829" s="338"/>
      <c r="R829" s="338"/>
      <c r="S829" s="338"/>
      <c r="T829" s="230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</row>
    <row r="830" spans="1:30">
      <c r="A830" s="189"/>
      <c r="B830" s="189"/>
      <c r="C830" s="189"/>
      <c r="D830" s="189"/>
      <c r="E830" s="189"/>
      <c r="F830" s="189"/>
      <c r="G830" s="189"/>
      <c r="H830" s="189"/>
      <c r="I830" s="338"/>
      <c r="J830" s="338"/>
      <c r="K830" s="338"/>
      <c r="L830" s="338"/>
      <c r="M830" s="338"/>
      <c r="N830" s="338"/>
      <c r="O830" s="338"/>
      <c r="P830" s="338"/>
      <c r="Q830" s="338"/>
      <c r="R830" s="338"/>
      <c r="S830" s="338"/>
      <c r="T830" s="230"/>
      <c r="U830" s="189"/>
      <c r="V830" s="189"/>
      <c r="W830" s="189"/>
      <c r="X830" s="189"/>
      <c r="Y830" s="189"/>
      <c r="Z830" s="189"/>
      <c r="AA830" s="189"/>
      <c r="AB830" s="189"/>
      <c r="AC830" s="189"/>
      <c r="AD830" s="189"/>
    </row>
    <row r="831" spans="1:30">
      <c r="A831" s="189"/>
      <c r="B831" s="189"/>
      <c r="C831" s="189"/>
      <c r="D831" s="189"/>
      <c r="E831" s="189"/>
      <c r="F831" s="189"/>
      <c r="G831" s="189"/>
      <c r="H831" s="189"/>
      <c r="I831" s="338"/>
      <c r="J831" s="338"/>
      <c r="K831" s="338"/>
      <c r="L831" s="338"/>
      <c r="M831" s="338"/>
      <c r="N831" s="338"/>
      <c r="O831" s="338"/>
      <c r="P831" s="338"/>
      <c r="Q831" s="338"/>
      <c r="R831" s="338"/>
      <c r="S831" s="338"/>
      <c r="T831" s="230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</row>
    <row r="832" spans="1:30">
      <c r="A832" s="189"/>
      <c r="B832" s="189"/>
      <c r="C832" s="189"/>
      <c r="D832" s="189"/>
      <c r="E832" s="189"/>
      <c r="F832" s="189"/>
      <c r="G832" s="189"/>
      <c r="H832" s="189"/>
      <c r="I832" s="338"/>
      <c r="J832" s="338"/>
      <c r="K832" s="338"/>
      <c r="L832" s="338"/>
      <c r="M832" s="338"/>
      <c r="N832" s="338"/>
      <c r="O832" s="338"/>
      <c r="P832" s="338"/>
      <c r="Q832" s="338"/>
      <c r="R832" s="338"/>
      <c r="S832" s="338"/>
      <c r="T832" s="230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</row>
    <row r="833" spans="1:30">
      <c r="A833" s="189"/>
      <c r="B833" s="189"/>
      <c r="C833" s="189"/>
      <c r="D833" s="189"/>
      <c r="E833" s="189"/>
      <c r="F833" s="189"/>
      <c r="G833" s="189"/>
      <c r="H833" s="189"/>
      <c r="I833" s="338"/>
      <c r="J833" s="338"/>
      <c r="K833" s="338"/>
      <c r="L833" s="338"/>
      <c r="M833" s="338"/>
      <c r="N833" s="338"/>
      <c r="O833" s="338"/>
      <c r="P833" s="338"/>
      <c r="Q833" s="338"/>
      <c r="R833" s="338"/>
      <c r="S833" s="338"/>
      <c r="T833" s="230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</row>
    <row r="834" spans="1:30">
      <c r="A834" s="189"/>
      <c r="B834" s="189"/>
      <c r="C834" s="189"/>
      <c r="D834" s="189"/>
      <c r="E834" s="189"/>
      <c r="F834" s="189"/>
      <c r="G834" s="189"/>
      <c r="H834" s="189"/>
      <c r="I834" s="338"/>
      <c r="J834" s="338"/>
      <c r="K834" s="338"/>
      <c r="L834" s="338"/>
      <c r="M834" s="338"/>
      <c r="N834" s="338"/>
      <c r="O834" s="338"/>
      <c r="P834" s="338"/>
      <c r="Q834" s="338"/>
      <c r="R834" s="338"/>
      <c r="S834" s="338"/>
      <c r="T834" s="230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</row>
    <row r="835" spans="1:30">
      <c r="A835" s="189"/>
      <c r="B835" s="189"/>
      <c r="C835" s="189"/>
      <c r="D835" s="189"/>
      <c r="E835" s="189"/>
      <c r="F835" s="189"/>
      <c r="G835" s="189"/>
      <c r="H835" s="189"/>
      <c r="I835" s="338"/>
      <c r="J835" s="338"/>
      <c r="K835" s="338"/>
      <c r="L835" s="338"/>
      <c r="M835" s="338"/>
      <c r="N835" s="338"/>
      <c r="O835" s="338"/>
      <c r="P835" s="338"/>
      <c r="Q835" s="338"/>
      <c r="R835" s="338"/>
      <c r="S835" s="338"/>
      <c r="T835" s="230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</row>
    <row r="836" spans="1:30">
      <c r="A836" s="189"/>
      <c r="B836" s="189"/>
      <c r="C836" s="189"/>
      <c r="D836" s="189"/>
      <c r="E836" s="189"/>
      <c r="F836" s="189"/>
      <c r="G836" s="189"/>
      <c r="H836" s="189"/>
      <c r="I836" s="338"/>
      <c r="J836" s="338"/>
      <c r="K836" s="338"/>
      <c r="L836" s="338"/>
      <c r="M836" s="338"/>
      <c r="N836" s="338"/>
      <c r="O836" s="338"/>
      <c r="P836" s="338"/>
      <c r="Q836" s="338"/>
      <c r="R836" s="338"/>
      <c r="S836" s="338"/>
      <c r="T836" s="230"/>
      <c r="U836" s="189"/>
      <c r="V836" s="189"/>
      <c r="W836" s="189"/>
      <c r="X836" s="189"/>
      <c r="Y836" s="189"/>
      <c r="Z836" s="189"/>
      <c r="AA836" s="189"/>
      <c r="AB836" s="189"/>
      <c r="AC836" s="189"/>
      <c r="AD836" s="189"/>
    </row>
    <row r="837" spans="1:30">
      <c r="A837" s="189"/>
      <c r="B837" s="189"/>
      <c r="C837" s="189"/>
      <c r="D837" s="189"/>
      <c r="E837" s="189"/>
      <c r="F837" s="189"/>
      <c r="G837" s="189"/>
      <c r="H837" s="189"/>
      <c r="I837" s="338"/>
      <c r="J837" s="338"/>
      <c r="K837" s="338"/>
      <c r="L837" s="338"/>
      <c r="M837" s="338"/>
      <c r="N837" s="338"/>
      <c r="O837" s="338"/>
      <c r="P837" s="338"/>
      <c r="Q837" s="338"/>
      <c r="R837" s="338"/>
      <c r="S837" s="338"/>
      <c r="T837" s="230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</row>
    <row r="838" spans="1:30">
      <c r="A838" s="189"/>
      <c r="B838" s="189"/>
      <c r="C838" s="189"/>
      <c r="D838" s="189"/>
      <c r="E838" s="189"/>
      <c r="F838" s="189"/>
      <c r="G838" s="189"/>
      <c r="H838" s="189"/>
      <c r="I838" s="338"/>
      <c r="J838" s="338"/>
      <c r="K838" s="338"/>
      <c r="L838" s="338"/>
      <c r="M838" s="338"/>
      <c r="N838" s="338"/>
      <c r="O838" s="338"/>
      <c r="P838" s="338"/>
      <c r="Q838" s="338"/>
      <c r="R838" s="338"/>
      <c r="S838" s="338"/>
      <c r="T838" s="230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</row>
    <row r="839" spans="1:30">
      <c r="A839" s="189"/>
      <c r="B839" s="189"/>
      <c r="C839" s="189"/>
      <c r="D839" s="189"/>
      <c r="E839" s="189"/>
      <c r="F839" s="189"/>
      <c r="G839" s="189"/>
      <c r="H839" s="189"/>
      <c r="I839" s="338"/>
      <c r="J839" s="338"/>
      <c r="K839" s="338"/>
      <c r="L839" s="338"/>
      <c r="M839" s="338"/>
      <c r="N839" s="338"/>
      <c r="O839" s="338"/>
      <c r="P839" s="338"/>
      <c r="Q839" s="338"/>
      <c r="R839" s="338"/>
      <c r="S839" s="338"/>
      <c r="T839" s="230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</row>
    <row r="840" spans="1:30">
      <c r="A840" s="189"/>
      <c r="B840" s="189"/>
      <c r="C840" s="189"/>
      <c r="D840" s="189"/>
      <c r="E840" s="189"/>
      <c r="F840" s="189"/>
      <c r="G840" s="189"/>
      <c r="H840" s="189"/>
      <c r="I840" s="338"/>
      <c r="J840" s="338"/>
      <c r="K840" s="338"/>
      <c r="L840" s="338"/>
      <c r="M840" s="338"/>
      <c r="N840" s="338"/>
      <c r="O840" s="338"/>
      <c r="P840" s="338"/>
      <c r="Q840" s="338"/>
      <c r="R840" s="338"/>
      <c r="S840" s="338"/>
      <c r="T840" s="230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</row>
    <row r="841" spans="1:30">
      <c r="A841" s="189"/>
      <c r="B841" s="189"/>
      <c r="C841" s="189"/>
      <c r="D841" s="189"/>
      <c r="E841" s="189"/>
      <c r="F841" s="189"/>
      <c r="G841" s="189"/>
      <c r="H841" s="189"/>
      <c r="I841" s="338"/>
      <c r="J841" s="338"/>
      <c r="K841" s="338"/>
      <c r="L841" s="338"/>
      <c r="M841" s="338"/>
      <c r="N841" s="338"/>
      <c r="O841" s="338"/>
      <c r="P841" s="338"/>
      <c r="Q841" s="338"/>
      <c r="R841" s="338"/>
      <c r="S841" s="338"/>
      <c r="T841" s="230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</row>
    <row r="842" spans="1:30">
      <c r="A842" s="189"/>
      <c r="B842" s="189"/>
      <c r="C842" s="189"/>
      <c r="D842" s="189"/>
      <c r="E842" s="189"/>
      <c r="F842" s="189"/>
      <c r="G842" s="189"/>
      <c r="H842" s="189"/>
      <c r="I842" s="338"/>
      <c r="J842" s="338"/>
      <c r="K842" s="338"/>
      <c r="L842" s="338"/>
      <c r="M842" s="338"/>
      <c r="N842" s="338"/>
      <c r="O842" s="338"/>
      <c r="P842" s="338"/>
      <c r="Q842" s="338"/>
      <c r="R842" s="338"/>
      <c r="S842" s="338"/>
      <c r="T842" s="230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</row>
    <row r="843" spans="1:30">
      <c r="A843" s="189"/>
      <c r="B843" s="189"/>
      <c r="C843" s="189"/>
      <c r="D843" s="189"/>
      <c r="E843" s="189"/>
      <c r="F843" s="189"/>
      <c r="G843" s="189"/>
      <c r="H843" s="189"/>
      <c r="I843" s="338"/>
      <c r="J843" s="338"/>
      <c r="K843" s="338"/>
      <c r="L843" s="338"/>
      <c r="M843" s="338"/>
      <c r="N843" s="338"/>
      <c r="O843" s="338"/>
      <c r="P843" s="338"/>
      <c r="Q843" s="338"/>
      <c r="R843" s="338"/>
      <c r="S843" s="338"/>
      <c r="T843" s="230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</row>
    <row r="844" spans="1:30">
      <c r="A844" s="189"/>
      <c r="B844" s="189"/>
      <c r="C844" s="189"/>
      <c r="D844" s="189"/>
      <c r="E844" s="189"/>
      <c r="F844" s="189"/>
      <c r="G844" s="189"/>
      <c r="H844" s="189"/>
      <c r="I844" s="338"/>
      <c r="J844" s="338"/>
      <c r="K844" s="338"/>
      <c r="L844" s="338"/>
      <c r="M844" s="338"/>
      <c r="N844" s="338"/>
      <c r="O844" s="338"/>
      <c r="P844" s="338"/>
      <c r="Q844" s="338"/>
      <c r="R844" s="338"/>
      <c r="S844" s="338"/>
      <c r="T844" s="230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</row>
    <row r="845" spans="1:30">
      <c r="A845" s="189"/>
      <c r="B845" s="189"/>
      <c r="C845" s="189"/>
      <c r="D845" s="189"/>
      <c r="E845" s="189"/>
      <c r="F845" s="189"/>
      <c r="G845" s="189"/>
      <c r="H845" s="189"/>
      <c r="I845" s="338"/>
      <c r="J845" s="338"/>
      <c r="K845" s="338"/>
      <c r="L845" s="338"/>
      <c r="M845" s="338"/>
      <c r="N845" s="338"/>
      <c r="O845" s="338"/>
      <c r="P845" s="338"/>
      <c r="Q845" s="338"/>
      <c r="R845" s="338"/>
      <c r="S845" s="338"/>
      <c r="T845" s="230"/>
      <c r="U845" s="189"/>
      <c r="V845" s="189"/>
      <c r="W845" s="189"/>
      <c r="X845" s="189"/>
      <c r="Y845" s="189"/>
      <c r="Z845" s="189"/>
      <c r="AA845" s="189"/>
      <c r="AB845" s="189"/>
      <c r="AC845" s="189"/>
      <c r="AD845" s="189"/>
    </row>
    <row r="846" spans="1:30">
      <c r="A846" s="189"/>
      <c r="B846" s="189"/>
      <c r="C846" s="189"/>
      <c r="D846" s="189"/>
      <c r="E846" s="189"/>
      <c r="F846" s="189"/>
      <c r="G846" s="189"/>
      <c r="H846" s="189"/>
      <c r="I846" s="338"/>
      <c r="J846" s="338"/>
      <c r="K846" s="338"/>
      <c r="L846" s="338"/>
      <c r="M846" s="338"/>
      <c r="N846" s="338"/>
      <c r="O846" s="338"/>
      <c r="P846" s="338"/>
      <c r="Q846" s="338"/>
      <c r="R846" s="338"/>
      <c r="S846" s="338"/>
      <c r="T846" s="230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</row>
    <row r="847" spans="1:30">
      <c r="A847" s="189"/>
      <c r="B847" s="189"/>
      <c r="C847" s="189"/>
      <c r="D847" s="189"/>
      <c r="E847" s="189"/>
      <c r="F847" s="189"/>
      <c r="G847" s="189"/>
      <c r="H847" s="189"/>
      <c r="I847" s="338"/>
      <c r="J847" s="338"/>
      <c r="K847" s="338"/>
      <c r="L847" s="338"/>
      <c r="M847" s="338"/>
      <c r="N847" s="338"/>
      <c r="O847" s="338"/>
      <c r="P847" s="338"/>
      <c r="Q847" s="338"/>
      <c r="R847" s="338"/>
      <c r="S847" s="338"/>
      <c r="T847" s="230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</row>
    <row r="848" spans="1:30">
      <c r="A848" s="189"/>
      <c r="B848" s="189"/>
      <c r="C848" s="189"/>
      <c r="D848" s="189"/>
      <c r="E848" s="189"/>
      <c r="F848" s="189"/>
      <c r="G848" s="189"/>
      <c r="H848" s="189"/>
      <c r="I848" s="338"/>
      <c r="J848" s="338"/>
      <c r="K848" s="338"/>
      <c r="L848" s="338"/>
      <c r="M848" s="338"/>
      <c r="N848" s="338"/>
      <c r="O848" s="338"/>
      <c r="P848" s="338"/>
      <c r="Q848" s="338"/>
      <c r="R848" s="338"/>
      <c r="S848" s="338"/>
      <c r="T848" s="230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</row>
    <row r="849" spans="1:30">
      <c r="A849" s="189"/>
      <c r="B849" s="189"/>
      <c r="C849" s="189"/>
      <c r="D849" s="189"/>
      <c r="E849" s="189"/>
      <c r="F849" s="189"/>
      <c r="G849" s="189"/>
      <c r="H849" s="189"/>
      <c r="I849" s="338"/>
      <c r="J849" s="338"/>
      <c r="K849" s="338"/>
      <c r="L849" s="338"/>
      <c r="M849" s="338"/>
      <c r="N849" s="338"/>
      <c r="O849" s="338"/>
      <c r="P849" s="338"/>
      <c r="Q849" s="338"/>
      <c r="R849" s="338"/>
      <c r="S849" s="338"/>
      <c r="T849" s="230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</row>
    <row r="850" spans="1:30">
      <c r="A850" s="189"/>
      <c r="B850" s="189"/>
      <c r="C850" s="189"/>
      <c r="D850" s="189"/>
      <c r="E850" s="189"/>
      <c r="F850" s="189"/>
      <c r="G850" s="189"/>
      <c r="H850" s="189"/>
      <c r="I850" s="338"/>
      <c r="J850" s="338"/>
      <c r="K850" s="338"/>
      <c r="L850" s="338"/>
      <c r="M850" s="338"/>
      <c r="N850" s="338"/>
      <c r="O850" s="338"/>
      <c r="P850" s="338"/>
      <c r="Q850" s="338"/>
      <c r="R850" s="338"/>
      <c r="S850" s="338"/>
      <c r="T850" s="230"/>
      <c r="U850" s="189"/>
      <c r="V850" s="189"/>
      <c r="W850" s="189"/>
      <c r="X850" s="189"/>
      <c r="Y850" s="189"/>
      <c r="Z850" s="189"/>
      <c r="AA850" s="189"/>
      <c r="AB850" s="189"/>
      <c r="AC850" s="189"/>
      <c r="AD850" s="189"/>
    </row>
    <row r="851" spans="1:30">
      <c r="A851" s="189"/>
      <c r="B851" s="189"/>
      <c r="C851" s="189"/>
      <c r="D851" s="189"/>
      <c r="E851" s="189"/>
      <c r="F851" s="189"/>
      <c r="G851" s="189"/>
      <c r="H851" s="189"/>
      <c r="I851" s="338"/>
      <c r="J851" s="338"/>
      <c r="K851" s="338"/>
      <c r="L851" s="338"/>
      <c r="M851" s="338"/>
      <c r="N851" s="338"/>
      <c r="O851" s="338"/>
      <c r="P851" s="338"/>
      <c r="Q851" s="338"/>
      <c r="R851" s="338"/>
      <c r="S851" s="338"/>
      <c r="T851" s="230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</row>
    <row r="852" spans="1:30">
      <c r="A852" s="189"/>
      <c r="B852" s="189"/>
      <c r="C852" s="189"/>
      <c r="D852" s="189"/>
      <c r="E852" s="189"/>
      <c r="F852" s="189"/>
      <c r="G852" s="189"/>
      <c r="H852" s="189"/>
      <c r="I852" s="338"/>
      <c r="J852" s="338"/>
      <c r="K852" s="338"/>
      <c r="L852" s="338"/>
      <c r="M852" s="338"/>
      <c r="N852" s="338"/>
      <c r="O852" s="338"/>
      <c r="P852" s="338"/>
      <c r="Q852" s="338"/>
      <c r="R852" s="338"/>
      <c r="S852" s="338"/>
      <c r="T852" s="230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</row>
    <row r="853" spans="1:30">
      <c r="A853" s="189"/>
      <c r="B853" s="189"/>
      <c r="C853" s="189"/>
      <c r="D853" s="189"/>
      <c r="E853" s="189"/>
      <c r="F853" s="189"/>
      <c r="G853" s="189"/>
      <c r="H853" s="189"/>
      <c r="I853" s="338"/>
      <c r="J853" s="338"/>
      <c r="K853" s="338"/>
      <c r="L853" s="338"/>
      <c r="M853" s="338"/>
      <c r="N853" s="338"/>
      <c r="O853" s="338"/>
      <c r="P853" s="338"/>
      <c r="Q853" s="338"/>
      <c r="R853" s="338"/>
      <c r="S853" s="338"/>
      <c r="T853" s="230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</row>
    <row r="854" spans="1:30">
      <c r="A854" s="189"/>
      <c r="B854" s="189"/>
      <c r="C854" s="189"/>
      <c r="D854" s="189"/>
      <c r="E854" s="189"/>
      <c r="F854" s="189"/>
      <c r="G854" s="189"/>
      <c r="H854" s="189"/>
      <c r="I854" s="338"/>
      <c r="J854" s="338"/>
      <c r="K854" s="338"/>
      <c r="L854" s="338"/>
      <c r="M854" s="338"/>
      <c r="N854" s="338"/>
      <c r="O854" s="338"/>
      <c r="P854" s="338"/>
      <c r="Q854" s="338"/>
      <c r="R854" s="338"/>
      <c r="S854" s="338"/>
      <c r="T854" s="230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</row>
    <row r="855" spans="1:30">
      <c r="A855" s="189"/>
      <c r="B855" s="189"/>
      <c r="C855" s="189"/>
      <c r="D855" s="189"/>
      <c r="E855" s="189"/>
      <c r="F855" s="189"/>
      <c r="G855" s="189"/>
      <c r="H855" s="189"/>
      <c r="I855" s="338"/>
      <c r="J855" s="338"/>
      <c r="K855" s="338"/>
      <c r="L855" s="338"/>
      <c r="M855" s="338"/>
      <c r="N855" s="338"/>
      <c r="O855" s="338"/>
      <c r="P855" s="338"/>
      <c r="Q855" s="338"/>
      <c r="R855" s="338"/>
      <c r="S855" s="338"/>
      <c r="T855" s="230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</row>
    <row r="856" spans="1:30">
      <c r="A856" s="189"/>
      <c r="B856" s="189"/>
      <c r="C856" s="189"/>
      <c r="D856" s="189"/>
      <c r="E856" s="189"/>
      <c r="F856" s="189"/>
      <c r="G856" s="189"/>
      <c r="H856" s="189"/>
      <c r="I856" s="338"/>
      <c r="J856" s="338"/>
      <c r="K856" s="338"/>
      <c r="L856" s="338"/>
      <c r="M856" s="338"/>
      <c r="N856" s="338"/>
      <c r="O856" s="338"/>
      <c r="P856" s="338"/>
      <c r="Q856" s="338"/>
      <c r="R856" s="338"/>
      <c r="S856" s="338"/>
      <c r="T856" s="230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</row>
    <row r="857" spans="1:30">
      <c r="A857" s="189"/>
      <c r="B857" s="189"/>
      <c r="C857" s="189"/>
      <c r="D857" s="189"/>
      <c r="E857" s="189"/>
      <c r="F857" s="189"/>
      <c r="G857" s="189"/>
      <c r="H857" s="189"/>
      <c r="I857" s="338"/>
      <c r="J857" s="338"/>
      <c r="K857" s="338"/>
      <c r="L857" s="338"/>
      <c r="M857" s="338"/>
      <c r="N857" s="338"/>
      <c r="O857" s="338"/>
      <c r="P857" s="338"/>
      <c r="Q857" s="338"/>
      <c r="R857" s="338"/>
      <c r="S857" s="338"/>
      <c r="T857" s="230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</row>
    <row r="858" spans="1:30">
      <c r="A858" s="189"/>
      <c r="B858" s="189"/>
      <c r="C858" s="189"/>
      <c r="D858" s="189"/>
      <c r="E858" s="189"/>
      <c r="F858" s="189"/>
      <c r="G858" s="189"/>
      <c r="H858" s="189"/>
      <c r="I858" s="338"/>
      <c r="J858" s="338"/>
      <c r="K858" s="338"/>
      <c r="L858" s="338"/>
      <c r="M858" s="338"/>
      <c r="N858" s="338"/>
      <c r="O858" s="338"/>
      <c r="P858" s="338"/>
      <c r="Q858" s="338"/>
      <c r="R858" s="338"/>
      <c r="S858" s="338"/>
      <c r="T858" s="230"/>
      <c r="U858" s="189"/>
      <c r="V858" s="189"/>
      <c r="W858" s="189"/>
      <c r="X858" s="189"/>
      <c r="Y858" s="189"/>
      <c r="Z858" s="189"/>
      <c r="AA858" s="189"/>
      <c r="AB858" s="189"/>
      <c r="AC858" s="189"/>
      <c r="AD858" s="189"/>
    </row>
    <row r="859" spans="1:30">
      <c r="A859" s="189"/>
      <c r="B859" s="189"/>
      <c r="C859" s="189"/>
      <c r="D859" s="189"/>
      <c r="E859" s="189"/>
      <c r="F859" s="189"/>
      <c r="G859" s="189"/>
      <c r="H859" s="189"/>
      <c r="I859" s="338"/>
      <c r="J859" s="338"/>
      <c r="K859" s="338"/>
      <c r="L859" s="338"/>
      <c r="M859" s="338"/>
      <c r="N859" s="338"/>
      <c r="O859" s="338"/>
      <c r="P859" s="338"/>
      <c r="Q859" s="338"/>
      <c r="R859" s="338"/>
      <c r="S859" s="338"/>
      <c r="T859" s="230"/>
      <c r="U859" s="189"/>
      <c r="V859" s="189"/>
      <c r="W859" s="189"/>
      <c r="X859" s="189"/>
      <c r="Y859" s="189"/>
      <c r="Z859" s="189"/>
      <c r="AA859" s="189"/>
      <c r="AB859" s="189"/>
      <c r="AC859" s="189"/>
      <c r="AD859" s="189"/>
    </row>
    <row r="860" spans="1:30">
      <c r="A860" s="189"/>
      <c r="B860" s="189"/>
      <c r="C860" s="189"/>
      <c r="D860" s="189"/>
      <c r="E860" s="189"/>
      <c r="F860" s="189"/>
      <c r="G860" s="189"/>
      <c r="H860" s="189"/>
      <c r="I860" s="338"/>
      <c r="J860" s="338"/>
      <c r="K860" s="338"/>
      <c r="L860" s="338"/>
      <c r="M860" s="338"/>
      <c r="N860" s="338"/>
      <c r="O860" s="338"/>
      <c r="P860" s="338"/>
      <c r="Q860" s="338"/>
      <c r="R860" s="338"/>
      <c r="S860" s="338"/>
      <c r="T860" s="230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</row>
    <row r="861" spans="1:30">
      <c r="A861" s="189"/>
      <c r="B861" s="189"/>
      <c r="C861" s="189"/>
      <c r="D861" s="189"/>
      <c r="E861" s="189"/>
      <c r="F861" s="189"/>
      <c r="G861" s="189"/>
      <c r="H861" s="189"/>
      <c r="I861" s="338"/>
      <c r="J861" s="338"/>
      <c r="K861" s="338"/>
      <c r="L861" s="338"/>
      <c r="M861" s="338"/>
      <c r="N861" s="338"/>
      <c r="O861" s="338"/>
      <c r="P861" s="338"/>
      <c r="Q861" s="338"/>
      <c r="R861" s="338"/>
      <c r="S861" s="338"/>
      <c r="T861" s="230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</row>
    <row r="862" spans="1:30">
      <c r="A862" s="189"/>
      <c r="B862" s="189"/>
      <c r="C862" s="189"/>
      <c r="D862" s="189"/>
      <c r="E862" s="189"/>
      <c r="F862" s="189"/>
      <c r="G862" s="189"/>
      <c r="H862" s="189"/>
      <c r="I862" s="338"/>
      <c r="J862" s="338"/>
      <c r="K862" s="338"/>
      <c r="L862" s="338"/>
      <c r="M862" s="338"/>
      <c r="N862" s="338"/>
      <c r="O862" s="338"/>
      <c r="P862" s="338"/>
      <c r="Q862" s="338"/>
      <c r="R862" s="338"/>
      <c r="S862" s="338"/>
      <c r="T862" s="230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</row>
    <row r="863" spans="1:30">
      <c r="A863" s="189"/>
      <c r="B863" s="189"/>
      <c r="C863" s="189"/>
      <c r="D863" s="189"/>
      <c r="E863" s="189"/>
      <c r="F863" s="189"/>
      <c r="G863" s="189"/>
      <c r="H863" s="189"/>
      <c r="I863" s="338"/>
      <c r="J863" s="338"/>
      <c r="K863" s="338"/>
      <c r="L863" s="338"/>
      <c r="M863" s="338"/>
      <c r="N863" s="338"/>
      <c r="O863" s="338"/>
      <c r="P863" s="338"/>
      <c r="Q863" s="338"/>
      <c r="R863" s="338"/>
      <c r="S863" s="338"/>
      <c r="T863" s="230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</row>
    <row r="864" spans="1:30">
      <c r="A864" s="189"/>
      <c r="B864" s="189"/>
      <c r="C864" s="189"/>
      <c r="D864" s="189"/>
      <c r="E864" s="189"/>
      <c r="F864" s="189"/>
      <c r="G864" s="189"/>
      <c r="H864" s="189"/>
      <c r="I864" s="338"/>
      <c r="J864" s="338"/>
      <c r="K864" s="338"/>
      <c r="L864" s="338"/>
      <c r="M864" s="338"/>
      <c r="N864" s="338"/>
      <c r="O864" s="338"/>
      <c r="P864" s="338"/>
      <c r="Q864" s="338"/>
      <c r="R864" s="338"/>
      <c r="S864" s="338"/>
      <c r="T864" s="230"/>
      <c r="U864" s="189"/>
      <c r="V864" s="189"/>
      <c r="W864" s="189"/>
      <c r="X864" s="189"/>
      <c r="Y864" s="189"/>
      <c r="Z864" s="189"/>
      <c r="AA864" s="189"/>
      <c r="AB864" s="189"/>
      <c r="AC864" s="189"/>
      <c r="AD864" s="189"/>
    </row>
    <row r="865" spans="1:30">
      <c r="A865" s="189"/>
      <c r="B865" s="189"/>
      <c r="C865" s="189"/>
      <c r="D865" s="189"/>
      <c r="E865" s="189"/>
      <c r="F865" s="189"/>
      <c r="G865" s="189"/>
      <c r="H865" s="189"/>
      <c r="I865" s="338"/>
      <c r="J865" s="338"/>
      <c r="K865" s="338"/>
      <c r="L865" s="338"/>
      <c r="M865" s="338"/>
      <c r="N865" s="338"/>
      <c r="O865" s="338"/>
      <c r="P865" s="338"/>
      <c r="Q865" s="338"/>
      <c r="R865" s="338"/>
      <c r="S865" s="338"/>
      <c r="T865" s="230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</row>
    <row r="866" spans="1:30">
      <c r="A866" s="189"/>
      <c r="B866" s="189"/>
      <c r="C866" s="189"/>
      <c r="D866" s="189"/>
      <c r="E866" s="189"/>
      <c r="F866" s="189"/>
      <c r="G866" s="189"/>
      <c r="H866" s="189"/>
      <c r="I866" s="338"/>
      <c r="J866" s="338"/>
      <c r="K866" s="338"/>
      <c r="L866" s="338"/>
      <c r="M866" s="338"/>
      <c r="N866" s="338"/>
      <c r="O866" s="338"/>
      <c r="P866" s="338"/>
      <c r="Q866" s="338"/>
      <c r="R866" s="338"/>
      <c r="S866" s="338"/>
      <c r="T866" s="230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</row>
    <row r="867" spans="1:30">
      <c r="A867" s="189"/>
      <c r="B867" s="189"/>
      <c r="C867" s="189"/>
      <c r="D867" s="189"/>
      <c r="E867" s="189"/>
      <c r="F867" s="189"/>
      <c r="G867" s="189"/>
      <c r="H867" s="189"/>
      <c r="I867" s="338"/>
      <c r="J867" s="338"/>
      <c r="K867" s="338"/>
      <c r="L867" s="338"/>
      <c r="M867" s="338"/>
      <c r="N867" s="338"/>
      <c r="O867" s="338"/>
      <c r="P867" s="338"/>
      <c r="Q867" s="338"/>
      <c r="R867" s="338"/>
      <c r="S867" s="338"/>
      <c r="T867" s="230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</row>
    <row r="868" spans="1:30">
      <c r="A868" s="189"/>
      <c r="B868" s="189"/>
      <c r="C868" s="189"/>
      <c r="D868" s="189"/>
      <c r="E868" s="189"/>
      <c r="F868" s="189"/>
      <c r="G868" s="189"/>
      <c r="H868" s="189"/>
      <c r="I868" s="338"/>
      <c r="J868" s="338"/>
      <c r="K868" s="338"/>
      <c r="L868" s="338"/>
      <c r="M868" s="338"/>
      <c r="N868" s="338"/>
      <c r="O868" s="338"/>
      <c r="P868" s="338"/>
      <c r="Q868" s="338"/>
      <c r="R868" s="338"/>
      <c r="S868" s="338"/>
      <c r="T868" s="230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</row>
    <row r="869" spans="1:30">
      <c r="A869" s="189"/>
      <c r="B869" s="189"/>
      <c r="C869" s="189"/>
      <c r="D869" s="189"/>
      <c r="E869" s="189"/>
      <c r="F869" s="189"/>
      <c r="G869" s="189"/>
      <c r="H869" s="189"/>
      <c r="I869" s="338"/>
      <c r="J869" s="338"/>
      <c r="K869" s="338"/>
      <c r="L869" s="338"/>
      <c r="M869" s="338"/>
      <c r="N869" s="338"/>
      <c r="O869" s="338"/>
      <c r="P869" s="338"/>
      <c r="Q869" s="338"/>
      <c r="R869" s="338"/>
      <c r="S869" s="338"/>
      <c r="T869" s="230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</row>
    <row r="870" spans="1:30">
      <c r="A870" s="189"/>
      <c r="B870" s="189"/>
      <c r="C870" s="189"/>
      <c r="D870" s="189"/>
      <c r="E870" s="189"/>
      <c r="F870" s="189"/>
      <c r="G870" s="189"/>
      <c r="H870" s="189"/>
      <c r="I870" s="338"/>
      <c r="J870" s="338"/>
      <c r="K870" s="338"/>
      <c r="L870" s="338"/>
      <c r="M870" s="338"/>
      <c r="N870" s="338"/>
      <c r="O870" s="338"/>
      <c r="P870" s="338"/>
      <c r="Q870" s="338"/>
      <c r="R870" s="338"/>
      <c r="S870" s="338"/>
      <c r="T870" s="230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</row>
    <row r="871" spans="1:30">
      <c r="A871" s="189"/>
      <c r="B871" s="189"/>
      <c r="C871" s="189"/>
      <c r="D871" s="189"/>
      <c r="E871" s="189"/>
      <c r="F871" s="189"/>
      <c r="G871" s="189"/>
      <c r="H871" s="189"/>
      <c r="I871" s="338"/>
      <c r="J871" s="338"/>
      <c r="K871" s="338"/>
      <c r="L871" s="338"/>
      <c r="M871" s="338"/>
      <c r="N871" s="338"/>
      <c r="O871" s="338"/>
      <c r="P871" s="338"/>
      <c r="Q871" s="338"/>
      <c r="R871" s="338"/>
      <c r="S871" s="338"/>
      <c r="T871" s="230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</row>
    <row r="872" spans="1:30">
      <c r="A872" s="189"/>
      <c r="B872" s="189"/>
      <c r="C872" s="189"/>
      <c r="D872" s="189"/>
      <c r="E872" s="189"/>
      <c r="F872" s="189"/>
      <c r="G872" s="189"/>
      <c r="H872" s="189"/>
      <c r="I872" s="338"/>
      <c r="J872" s="338"/>
      <c r="K872" s="338"/>
      <c r="L872" s="338"/>
      <c r="M872" s="338"/>
      <c r="N872" s="338"/>
      <c r="O872" s="338"/>
      <c r="P872" s="338"/>
      <c r="Q872" s="338"/>
      <c r="R872" s="338"/>
      <c r="S872" s="338"/>
      <c r="T872" s="230"/>
      <c r="U872" s="189"/>
      <c r="V872" s="189"/>
      <c r="W872" s="189"/>
      <c r="X872" s="189"/>
      <c r="Y872" s="189"/>
      <c r="Z872" s="189"/>
      <c r="AA872" s="189"/>
      <c r="AB872" s="189"/>
      <c r="AC872" s="189"/>
      <c r="AD872" s="189"/>
    </row>
    <row r="873" spans="1:30">
      <c r="A873" s="189"/>
      <c r="B873" s="189"/>
      <c r="C873" s="189"/>
      <c r="D873" s="189"/>
      <c r="E873" s="189"/>
      <c r="F873" s="189"/>
      <c r="G873" s="189"/>
      <c r="H873" s="189"/>
      <c r="I873" s="338"/>
      <c r="J873" s="338"/>
      <c r="K873" s="338"/>
      <c r="L873" s="338"/>
      <c r="M873" s="338"/>
      <c r="N873" s="338"/>
      <c r="O873" s="338"/>
      <c r="P873" s="338"/>
      <c r="Q873" s="338"/>
      <c r="R873" s="338"/>
      <c r="S873" s="338"/>
      <c r="T873" s="230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</row>
    <row r="874" spans="1:30">
      <c r="A874" s="189"/>
      <c r="B874" s="189"/>
      <c r="C874" s="189"/>
      <c r="D874" s="189"/>
      <c r="E874" s="189"/>
      <c r="F874" s="189"/>
      <c r="G874" s="189"/>
      <c r="H874" s="189"/>
      <c r="I874" s="338"/>
      <c r="J874" s="338"/>
      <c r="K874" s="338"/>
      <c r="L874" s="338"/>
      <c r="M874" s="338"/>
      <c r="N874" s="338"/>
      <c r="O874" s="338"/>
      <c r="P874" s="338"/>
      <c r="Q874" s="338"/>
      <c r="R874" s="338"/>
      <c r="S874" s="338"/>
      <c r="T874" s="230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</row>
    <row r="875" spans="1:30">
      <c r="A875" s="189"/>
      <c r="B875" s="189"/>
      <c r="C875" s="189"/>
      <c r="D875" s="189"/>
      <c r="E875" s="189"/>
      <c r="F875" s="189"/>
      <c r="G875" s="189"/>
      <c r="H875" s="189"/>
      <c r="I875" s="338"/>
      <c r="J875" s="338"/>
      <c r="K875" s="338"/>
      <c r="L875" s="338"/>
      <c r="M875" s="338"/>
      <c r="N875" s="338"/>
      <c r="O875" s="338"/>
      <c r="P875" s="338"/>
      <c r="Q875" s="338"/>
      <c r="R875" s="338"/>
      <c r="S875" s="338"/>
      <c r="T875" s="230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</row>
    <row r="876" spans="1:30">
      <c r="A876" s="189"/>
      <c r="B876" s="189"/>
      <c r="C876" s="189"/>
      <c r="D876" s="189"/>
      <c r="E876" s="189"/>
      <c r="F876" s="189"/>
      <c r="G876" s="189"/>
      <c r="H876" s="189"/>
      <c r="I876" s="338"/>
      <c r="J876" s="338"/>
      <c r="K876" s="338"/>
      <c r="L876" s="338"/>
      <c r="M876" s="338"/>
      <c r="N876" s="338"/>
      <c r="O876" s="338"/>
      <c r="P876" s="338"/>
      <c r="Q876" s="338"/>
      <c r="R876" s="338"/>
      <c r="S876" s="338"/>
      <c r="T876" s="230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</row>
    <row r="877" spans="1:30">
      <c r="A877" s="189"/>
      <c r="B877" s="189"/>
      <c r="C877" s="189"/>
      <c r="D877" s="189"/>
      <c r="E877" s="189"/>
      <c r="F877" s="189"/>
      <c r="G877" s="189"/>
      <c r="H877" s="189"/>
      <c r="I877" s="338"/>
      <c r="J877" s="338"/>
      <c r="K877" s="338"/>
      <c r="L877" s="338"/>
      <c r="M877" s="338"/>
      <c r="N877" s="338"/>
      <c r="O877" s="338"/>
      <c r="P877" s="338"/>
      <c r="Q877" s="338"/>
      <c r="R877" s="338"/>
      <c r="S877" s="338"/>
      <c r="T877" s="230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</row>
    <row r="878" spans="1:30">
      <c r="A878" s="189"/>
      <c r="B878" s="189"/>
      <c r="C878" s="189"/>
      <c r="D878" s="189"/>
      <c r="E878" s="189"/>
      <c r="F878" s="189"/>
      <c r="G878" s="189"/>
      <c r="H878" s="189"/>
      <c r="I878" s="338"/>
      <c r="J878" s="338"/>
      <c r="K878" s="338"/>
      <c r="L878" s="338"/>
      <c r="M878" s="338"/>
      <c r="N878" s="338"/>
      <c r="O878" s="338"/>
      <c r="P878" s="338"/>
      <c r="Q878" s="338"/>
      <c r="R878" s="338"/>
      <c r="S878" s="338"/>
      <c r="T878" s="230"/>
      <c r="U878" s="189"/>
      <c r="V878" s="189"/>
      <c r="W878" s="189"/>
      <c r="X878" s="189"/>
      <c r="Y878" s="189"/>
      <c r="Z878" s="189"/>
      <c r="AA878" s="189"/>
      <c r="AB878" s="189"/>
      <c r="AC878" s="189"/>
      <c r="AD878" s="189"/>
    </row>
    <row r="879" spans="1:30">
      <c r="A879" s="189"/>
      <c r="B879" s="189"/>
      <c r="C879" s="189"/>
      <c r="D879" s="189"/>
      <c r="E879" s="189"/>
      <c r="F879" s="189"/>
      <c r="G879" s="189"/>
      <c r="H879" s="189"/>
      <c r="I879" s="338"/>
      <c r="J879" s="338"/>
      <c r="K879" s="338"/>
      <c r="L879" s="338"/>
      <c r="M879" s="338"/>
      <c r="N879" s="338"/>
      <c r="O879" s="338"/>
      <c r="P879" s="338"/>
      <c r="Q879" s="338"/>
      <c r="R879" s="338"/>
      <c r="S879" s="338"/>
      <c r="T879" s="230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</row>
    <row r="880" spans="1:30">
      <c r="A880" s="189"/>
      <c r="B880" s="189"/>
      <c r="C880" s="189"/>
      <c r="D880" s="189"/>
      <c r="E880" s="189"/>
      <c r="F880" s="189"/>
      <c r="G880" s="189"/>
      <c r="H880" s="189"/>
      <c r="I880" s="338"/>
      <c r="J880" s="338"/>
      <c r="K880" s="338"/>
      <c r="L880" s="338"/>
      <c r="M880" s="338"/>
      <c r="N880" s="338"/>
      <c r="O880" s="338"/>
      <c r="P880" s="338"/>
      <c r="Q880" s="338"/>
      <c r="R880" s="338"/>
      <c r="S880" s="338"/>
      <c r="T880" s="230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</row>
    <row r="881" spans="1:30">
      <c r="A881" s="189"/>
      <c r="B881" s="189"/>
      <c r="C881" s="189"/>
      <c r="D881" s="189"/>
      <c r="E881" s="189"/>
      <c r="F881" s="189"/>
      <c r="G881" s="189"/>
      <c r="H881" s="189"/>
      <c r="I881" s="338"/>
      <c r="J881" s="338"/>
      <c r="K881" s="338"/>
      <c r="L881" s="338"/>
      <c r="M881" s="338"/>
      <c r="N881" s="338"/>
      <c r="O881" s="338"/>
      <c r="P881" s="338"/>
      <c r="Q881" s="338"/>
      <c r="R881" s="338"/>
      <c r="S881" s="338"/>
      <c r="T881" s="230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</row>
    <row r="882" spans="1:30">
      <c r="A882" s="189"/>
      <c r="B882" s="189"/>
      <c r="C882" s="189"/>
      <c r="D882" s="189"/>
      <c r="E882" s="189"/>
      <c r="F882" s="189"/>
      <c r="G882" s="189"/>
      <c r="H882" s="189"/>
      <c r="I882" s="338"/>
      <c r="J882" s="338"/>
      <c r="K882" s="338"/>
      <c r="L882" s="338"/>
      <c r="M882" s="338"/>
      <c r="N882" s="338"/>
      <c r="O882" s="338"/>
      <c r="P882" s="338"/>
      <c r="Q882" s="338"/>
      <c r="R882" s="338"/>
      <c r="S882" s="338"/>
      <c r="T882" s="230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</row>
    <row r="883" spans="1:30">
      <c r="A883" s="189"/>
      <c r="B883" s="189"/>
      <c r="C883" s="189"/>
      <c r="D883" s="189"/>
      <c r="E883" s="189"/>
      <c r="F883" s="189"/>
      <c r="G883" s="189"/>
      <c r="H883" s="189"/>
      <c r="I883" s="338"/>
      <c r="J883" s="338"/>
      <c r="K883" s="338"/>
      <c r="L883" s="338"/>
      <c r="M883" s="338"/>
      <c r="N883" s="338"/>
      <c r="O883" s="338"/>
      <c r="P883" s="338"/>
      <c r="Q883" s="338"/>
      <c r="R883" s="338"/>
      <c r="S883" s="338"/>
      <c r="T883" s="230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</row>
    <row r="884" spans="1:30">
      <c r="A884" s="189"/>
      <c r="B884" s="189"/>
      <c r="C884" s="189"/>
      <c r="D884" s="189"/>
      <c r="E884" s="189"/>
      <c r="F884" s="189"/>
      <c r="G884" s="189"/>
      <c r="H884" s="189"/>
      <c r="I884" s="338"/>
      <c r="J884" s="338"/>
      <c r="K884" s="338"/>
      <c r="L884" s="338"/>
      <c r="M884" s="338"/>
      <c r="N884" s="338"/>
      <c r="O884" s="338"/>
      <c r="P884" s="338"/>
      <c r="Q884" s="338"/>
      <c r="R884" s="338"/>
      <c r="S884" s="338"/>
      <c r="T884" s="230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</row>
    <row r="885" spans="1:30">
      <c r="A885" s="189"/>
      <c r="B885" s="189"/>
      <c r="C885" s="189"/>
      <c r="D885" s="189"/>
      <c r="E885" s="189"/>
      <c r="F885" s="189"/>
      <c r="G885" s="189"/>
      <c r="H885" s="189"/>
      <c r="I885" s="338"/>
      <c r="J885" s="338"/>
      <c r="K885" s="338"/>
      <c r="L885" s="338"/>
      <c r="M885" s="338"/>
      <c r="N885" s="338"/>
      <c r="O885" s="338"/>
      <c r="P885" s="338"/>
      <c r="Q885" s="338"/>
      <c r="R885" s="338"/>
      <c r="S885" s="338"/>
      <c r="T885" s="230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</row>
    <row r="886" spans="1:30">
      <c r="A886" s="189"/>
      <c r="B886" s="189"/>
      <c r="C886" s="189"/>
      <c r="D886" s="189"/>
      <c r="E886" s="189"/>
      <c r="F886" s="189"/>
      <c r="G886" s="189"/>
      <c r="H886" s="189"/>
      <c r="I886" s="338"/>
      <c r="J886" s="338"/>
      <c r="K886" s="338"/>
      <c r="L886" s="338"/>
      <c r="M886" s="338"/>
      <c r="N886" s="338"/>
      <c r="O886" s="338"/>
      <c r="P886" s="338"/>
      <c r="Q886" s="338"/>
      <c r="R886" s="338"/>
      <c r="S886" s="338"/>
      <c r="T886" s="230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</row>
    <row r="887" spans="1:30">
      <c r="A887" s="189"/>
      <c r="B887" s="189"/>
      <c r="C887" s="189"/>
      <c r="D887" s="189"/>
      <c r="E887" s="189"/>
      <c r="F887" s="189"/>
      <c r="G887" s="189"/>
      <c r="H887" s="189"/>
      <c r="I887" s="338"/>
      <c r="J887" s="338"/>
      <c r="K887" s="338"/>
      <c r="L887" s="338"/>
      <c r="M887" s="338"/>
      <c r="N887" s="338"/>
      <c r="O887" s="338"/>
      <c r="P887" s="338"/>
      <c r="Q887" s="338"/>
      <c r="R887" s="338"/>
      <c r="S887" s="338"/>
      <c r="T887" s="230"/>
      <c r="U887" s="189"/>
      <c r="V887" s="189"/>
      <c r="W887" s="189"/>
      <c r="X887" s="189"/>
      <c r="Y887" s="189"/>
      <c r="Z887" s="189"/>
      <c r="AA887" s="189"/>
      <c r="AB887" s="189"/>
      <c r="AC887" s="189"/>
      <c r="AD887" s="189"/>
    </row>
    <row r="888" spans="1:30">
      <c r="A888" s="189"/>
      <c r="B888" s="189"/>
      <c r="C888" s="189"/>
      <c r="D888" s="189"/>
      <c r="E888" s="189"/>
      <c r="F888" s="189"/>
      <c r="G888" s="189"/>
      <c r="H888" s="189"/>
      <c r="I888" s="338"/>
      <c r="J888" s="338"/>
      <c r="K888" s="338"/>
      <c r="L888" s="338"/>
      <c r="M888" s="338"/>
      <c r="N888" s="338"/>
      <c r="O888" s="338"/>
      <c r="P888" s="338"/>
      <c r="Q888" s="338"/>
      <c r="R888" s="338"/>
      <c r="S888" s="338"/>
      <c r="T888" s="230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</row>
    <row r="889" spans="1:30">
      <c r="A889" s="189"/>
      <c r="B889" s="189"/>
      <c r="C889" s="189"/>
      <c r="D889" s="189"/>
      <c r="E889" s="189"/>
      <c r="F889" s="189"/>
      <c r="G889" s="189"/>
      <c r="H889" s="189"/>
      <c r="I889" s="338"/>
      <c r="J889" s="338"/>
      <c r="K889" s="338"/>
      <c r="L889" s="338"/>
      <c r="M889" s="338"/>
      <c r="N889" s="338"/>
      <c r="O889" s="338"/>
      <c r="P889" s="338"/>
      <c r="Q889" s="338"/>
      <c r="R889" s="338"/>
      <c r="S889" s="338"/>
      <c r="T889" s="230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</row>
    <row r="890" spans="1:30">
      <c r="A890" s="189"/>
      <c r="B890" s="189"/>
      <c r="C890" s="189"/>
      <c r="D890" s="189"/>
      <c r="E890" s="189"/>
      <c r="F890" s="189"/>
      <c r="G890" s="189"/>
      <c r="H890" s="189"/>
      <c r="I890" s="338"/>
      <c r="J890" s="338"/>
      <c r="K890" s="338"/>
      <c r="L890" s="338"/>
      <c r="M890" s="338"/>
      <c r="N890" s="338"/>
      <c r="O890" s="338"/>
      <c r="P890" s="338"/>
      <c r="Q890" s="338"/>
      <c r="R890" s="338"/>
      <c r="S890" s="338"/>
      <c r="T890" s="230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</row>
    <row r="891" spans="1:30">
      <c r="A891" s="189"/>
      <c r="B891" s="189"/>
      <c r="C891" s="189"/>
      <c r="D891" s="189"/>
      <c r="E891" s="189"/>
      <c r="F891" s="189"/>
      <c r="G891" s="189"/>
      <c r="H891" s="189"/>
      <c r="I891" s="338"/>
      <c r="J891" s="338"/>
      <c r="K891" s="338"/>
      <c r="L891" s="338"/>
      <c r="M891" s="338"/>
      <c r="N891" s="338"/>
      <c r="O891" s="338"/>
      <c r="P891" s="338"/>
      <c r="Q891" s="338"/>
      <c r="R891" s="338"/>
      <c r="S891" s="338"/>
      <c r="T891" s="230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</row>
    <row r="892" spans="1:30">
      <c r="A892" s="189"/>
      <c r="B892" s="189"/>
      <c r="C892" s="189"/>
      <c r="D892" s="189"/>
      <c r="E892" s="189"/>
      <c r="F892" s="189"/>
      <c r="G892" s="189"/>
      <c r="H892" s="189"/>
      <c r="I892" s="338"/>
      <c r="J892" s="338"/>
      <c r="K892" s="338"/>
      <c r="L892" s="338"/>
      <c r="M892" s="338"/>
      <c r="N892" s="338"/>
      <c r="O892" s="338"/>
      <c r="P892" s="338"/>
      <c r="Q892" s="338"/>
      <c r="R892" s="338"/>
      <c r="S892" s="338"/>
      <c r="T892" s="230"/>
      <c r="U892" s="189"/>
      <c r="V892" s="189"/>
      <c r="W892" s="189"/>
      <c r="X892" s="189"/>
      <c r="Y892" s="189"/>
      <c r="Z892" s="189"/>
      <c r="AA892" s="189"/>
      <c r="AB892" s="189"/>
      <c r="AC892" s="189"/>
      <c r="AD892" s="189"/>
    </row>
    <row r="893" spans="1:30">
      <c r="A893" s="189"/>
      <c r="B893" s="189"/>
      <c r="C893" s="189"/>
      <c r="D893" s="189"/>
      <c r="E893" s="189"/>
      <c r="F893" s="189"/>
      <c r="G893" s="189"/>
      <c r="H893" s="189"/>
      <c r="I893" s="338"/>
      <c r="J893" s="338"/>
      <c r="K893" s="338"/>
      <c r="L893" s="338"/>
      <c r="M893" s="338"/>
      <c r="N893" s="338"/>
      <c r="O893" s="338"/>
      <c r="P893" s="338"/>
      <c r="Q893" s="338"/>
      <c r="R893" s="338"/>
      <c r="S893" s="338"/>
      <c r="T893" s="230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</row>
    <row r="894" spans="1:30">
      <c r="A894" s="189"/>
      <c r="B894" s="189"/>
      <c r="C894" s="189"/>
      <c r="D894" s="189"/>
      <c r="E894" s="189"/>
      <c r="F894" s="189"/>
      <c r="G894" s="189"/>
      <c r="H894" s="189"/>
      <c r="I894" s="338"/>
      <c r="J894" s="338"/>
      <c r="K894" s="338"/>
      <c r="L894" s="338"/>
      <c r="M894" s="338"/>
      <c r="N894" s="338"/>
      <c r="O894" s="338"/>
      <c r="P894" s="338"/>
      <c r="Q894" s="338"/>
      <c r="R894" s="338"/>
      <c r="S894" s="338"/>
      <c r="T894" s="230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</row>
    <row r="895" spans="1:30">
      <c r="A895" s="189"/>
      <c r="B895" s="189"/>
      <c r="C895" s="189"/>
      <c r="D895" s="189"/>
      <c r="E895" s="189"/>
      <c r="F895" s="189"/>
      <c r="G895" s="189"/>
      <c r="H895" s="189"/>
      <c r="I895" s="338"/>
      <c r="J895" s="338"/>
      <c r="K895" s="338"/>
      <c r="L895" s="338"/>
      <c r="M895" s="338"/>
      <c r="N895" s="338"/>
      <c r="O895" s="338"/>
      <c r="P895" s="338"/>
      <c r="Q895" s="338"/>
      <c r="R895" s="338"/>
      <c r="S895" s="338"/>
      <c r="T895" s="230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</row>
    <row r="896" spans="1:30">
      <c r="A896" s="189"/>
      <c r="B896" s="189"/>
      <c r="C896" s="189"/>
      <c r="D896" s="189"/>
      <c r="E896" s="189"/>
      <c r="F896" s="189"/>
      <c r="G896" s="189"/>
      <c r="H896" s="189"/>
      <c r="I896" s="338"/>
      <c r="J896" s="338"/>
      <c r="K896" s="338"/>
      <c r="L896" s="338"/>
      <c r="M896" s="338"/>
      <c r="N896" s="338"/>
      <c r="O896" s="338"/>
      <c r="P896" s="338"/>
      <c r="Q896" s="338"/>
      <c r="R896" s="338"/>
      <c r="S896" s="338"/>
      <c r="T896" s="230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</row>
    <row r="897" spans="1:30">
      <c r="A897" s="189"/>
      <c r="B897" s="189"/>
      <c r="C897" s="189"/>
      <c r="D897" s="189"/>
      <c r="E897" s="189"/>
      <c r="F897" s="189"/>
      <c r="G897" s="189"/>
      <c r="H897" s="189"/>
      <c r="I897" s="338"/>
      <c r="J897" s="338"/>
      <c r="K897" s="338"/>
      <c r="L897" s="338"/>
      <c r="M897" s="338"/>
      <c r="N897" s="338"/>
      <c r="O897" s="338"/>
      <c r="P897" s="338"/>
      <c r="Q897" s="338"/>
      <c r="R897" s="338"/>
      <c r="S897" s="338"/>
      <c r="T897" s="230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</row>
    <row r="898" spans="1:30">
      <c r="A898" s="189"/>
      <c r="B898" s="189"/>
      <c r="C898" s="189"/>
      <c r="D898" s="189"/>
      <c r="E898" s="189"/>
      <c r="F898" s="189"/>
      <c r="G898" s="189"/>
      <c r="H898" s="189"/>
      <c r="I898" s="338"/>
      <c r="J898" s="338"/>
      <c r="K898" s="338"/>
      <c r="L898" s="338"/>
      <c r="M898" s="338"/>
      <c r="N898" s="338"/>
      <c r="O898" s="338"/>
      <c r="P898" s="338"/>
      <c r="Q898" s="338"/>
      <c r="R898" s="338"/>
      <c r="S898" s="338"/>
      <c r="T898" s="230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</row>
    <row r="899" spans="1:30">
      <c r="A899" s="189"/>
      <c r="B899" s="189"/>
      <c r="C899" s="189"/>
      <c r="D899" s="189"/>
      <c r="E899" s="189"/>
      <c r="F899" s="189"/>
      <c r="G899" s="189"/>
      <c r="H899" s="189"/>
      <c r="I899" s="338"/>
      <c r="J899" s="338"/>
      <c r="K899" s="338"/>
      <c r="L899" s="338"/>
      <c r="M899" s="338"/>
      <c r="N899" s="338"/>
      <c r="O899" s="338"/>
      <c r="P899" s="338"/>
      <c r="Q899" s="338"/>
      <c r="R899" s="338"/>
      <c r="S899" s="338"/>
      <c r="T899" s="230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</row>
    <row r="900" spans="1:30">
      <c r="A900" s="189"/>
      <c r="B900" s="189"/>
      <c r="C900" s="189"/>
      <c r="D900" s="189"/>
      <c r="E900" s="189"/>
      <c r="F900" s="189"/>
      <c r="G900" s="189"/>
      <c r="H900" s="189"/>
      <c r="I900" s="338"/>
      <c r="J900" s="338"/>
      <c r="K900" s="338"/>
      <c r="L900" s="338"/>
      <c r="M900" s="338"/>
      <c r="N900" s="338"/>
      <c r="O900" s="338"/>
      <c r="P900" s="338"/>
      <c r="Q900" s="338"/>
      <c r="R900" s="338"/>
      <c r="S900" s="338"/>
      <c r="T900" s="230"/>
      <c r="U900" s="189"/>
      <c r="V900" s="189"/>
      <c r="W900" s="189"/>
      <c r="X900" s="189"/>
      <c r="Y900" s="189"/>
      <c r="Z900" s="189"/>
      <c r="AA900" s="189"/>
      <c r="AB900" s="189"/>
      <c r="AC900" s="189"/>
      <c r="AD900" s="189"/>
    </row>
    <row r="901" spans="1:30">
      <c r="A901" s="189"/>
      <c r="B901" s="189"/>
      <c r="C901" s="189"/>
      <c r="D901" s="189"/>
      <c r="E901" s="189"/>
      <c r="F901" s="189"/>
      <c r="G901" s="189"/>
      <c r="H901" s="189"/>
      <c r="I901" s="338"/>
      <c r="J901" s="338"/>
      <c r="K901" s="338"/>
      <c r="L901" s="338"/>
      <c r="M901" s="338"/>
      <c r="N901" s="338"/>
      <c r="O901" s="338"/>
      <c r="P901" s="338"/>
      <c r="Q901" s="338"/>
      <c r="R901" s="338"/>
      <c r="S901" s="338"/>
      <c r="T901" s="230"/>
      <c r="U901" s="189"/>
      <c r="V901" s="189"/>
      <c r="W901" s="189"/>
      <c r="X901" s="189"/>
      <c r="Y901" s="189"/>
      <c r="Z901" s="189"/>
      <c r="AA901" s="189"/>
      <c r="AB901" s="189"/>
      <c r="AC901" s="189"/>
      <c r="AD901" s="189"/>
    </row>
    <row r="902" spans="1:30">
      <c r="A902" s="189"/>
      <c r="B902" s="189"/>
      <c r="C902" s="189"/>
      <c r="D902" s="189"/>
      <c r="E902" s="189"/>
      <c r="F902" s="189"/>
      <c r="G902" s="189"/>
      <c r="H902" s="189"/>
      <c r="I902" s="338"/>
      <c r="J902" s="338"/>
      <c r="K902" s="338"/>
      <c r="L902" s="338"/>
      <c r="M902" s="338"/>
      <c r="N902" s="338"/>
      <c r="O902" s="338"/>
      <c r="P902" s="338"/>
      <c r="Q902" s="338"/>
      <c r="R902" s="338"/>
      <c r="S902" s="338"/>
      <c r="T902" s="230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</row>
    <row r="903" spans="1:30">
      <c r="A903" s="189"/>
      <c r="B903" s="189"/>
      <c r="C903" s="189"/>
      <c r="D903" s="189"/>
      <c r="E903" s="189"/>
      <c r="F903" s="189"/>
      <c r="G903" s="189"/>
      <c r="H903" s="189"/>
      <c r="I903" s="338"/>
      <c r="J903" s="338"/>
      <c r="K903" s="338"/>
      <c r="L903" s="338"/>
      <c r="M903" s="338"/>
      <c r="N903" s="338"/>
      <c r="O903" s="338"/>
      <c r="P903" s="338"/>
      <c r="Q903" s="338"/>
      <c r="R903" s="338"/>
      <c r="S903" s="338"/>
      <c r="T903" s="230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</row>
    <row r="904" spans="1:30">
      <c r="A904" s="189"/>
      <c r="B904" s="189"/>
      <c r="C904" s="189"/>
      <c r="D904" s="189"/>
      <c r="E904" s="189"/>
      <c r="F904" s="189"/>
      <c r="G904" s="189"/>
      <c r="H904" s="189"/>
      <c r="I904" s="338"/>
      <c r="J904" s="338"/>
      <c r="K904" s="338"/>
      <c r="L904" s="338"/>
      <c r="M904" s="338"/>
      <c r="N904" s="338"/>
      <c r="O904" s="338"/>
      <c r="P904" s="338"/>
      <c r="Q904" s="338"/>
      <c r="R904" s="338"/>
      <c r="S904" s="338"/>
      <c r="T904" s="230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</row>
    <row r="905" spans="1:30">
      <c r="A905" s="189"/>
      <c r="B905" s="189"/>
      <c r="C905" s="189"/>
      <c r="D905" s="189"/>
      <c r="E905" s="189"/>
      <c r="F905" s="189"/>
      <c r="G905" s="189"/>
      <c r="H905" s="189"/>
      <c r="I905" s="338"/>
      <c r="J905" s="338"/>
      <c r="K905" s="338"/>
      <c r="L905" s="338"/>
      <c r="M905" s="338"/>
      <c r="N905" s="338"/>
      <c r="O905" s="338"/>
      <c r="P905" s="338"/>
      <c r="Q905" s="338"/>
      <c r="R905" s="338"/>
      <c r="S905" s="338"/>
      <c r="T905" s="230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</row>
    <row r="906" spans="1:30">
      <c r="A906" s="189"/>
      <c r="B906" s="189"/>
      <c r="C906" s="189"/>
      <c r="D906" s="189"/>
      <c r="E906" s="189"/>
      <c r="F906" s="189"/>
      <c r="G906" s="189"/>
      <c r="H906" s="189"/>
      <c r="I906" s="338"/>
      <c r="J906" s="338"/>
      <c r="K906" s="338"/>
      <c r="L906" s="338"/>
      <c r="M906" s="338"/>
      <c r="N906" s="338"/>
      <c r="O906" s="338"/>
      <c r="P906" s="338"/>
      <c r="Q906" s="338"/>
      <c r="R906" s="338"/>
      <c r="S906" s="338"/>
      <c r="T906" s="230"/>
      <c r="U906" s="189"/>
      <c r="V906" s="189"/>
      <c r="W906" s="189"/>
      <c r="X906" s="189"/>
      <c r="Y906" s="189"/>
      <c r="Z906" s="189"/>
      <c r="AA906" s="189"/>
      <c r="AB906" s="189"/>
      <c r="AC906" s="189"/>
      <c r="AD906" s="189"/>
    </row>
    <row r="907" spans="1:30">
      <c r="A907" s="189"/>
      <c r="B907" s="189"/>
      <c r="C907" s="189"/>
      <c r="D907" s="189"/>
      <c r="E907" s="189"/>
      <c r="F907" s="189"/>
      <c r="G907" s="189"/>
      <c r="H907" s="189"/>
      <c r="I907" s="338"/>
      <c r="J907" s="338"/>
      <c r="K907" s="338"/>
      <c r="L907" s="338"/>
      <c r="M907" s="338"/>
      <c r="N907" s="338"/>
      <c r="O907" s="338"/>
      <c r="P907" s="338"/>
      <c r="Q907" s="338"/>
      <c r="R907" s="338"/>
      <c r="S907" s="338"/>
      <c r="T907" s="230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</row>
    <row r="908" spans="1:30">
      <c r="A908" s="189"/>
      <c r="B908" s="189"/>
      <c r="C908" s="189"/>
      <c r="D908" s="189"/>
      <c r="E908" s="189"/>
      <c r="F908" s="189"/>
      <c r="G908" s="189"/>
      <c r="H908" s="189"/>
      <c r="I908" s="338"/>
      <c r="J908" s="338"/>
      <c r="K908" s="338"/>
      <c r="L908" s="338"/>
      <c r="M908" s="338"/>
      <c r="N908" s="338"/>
      <c r="O908" s="338"/>
      <c r="P908" s="338"/>
      <c r="Q908" s="338"/>
      <c r="R908" s="338"/>
      <c r="S908" s="338"/>
      <c r="T908" s="230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</row>
    <row r="909" spans="1:30">
      <c r="A909" s="189"/>
      <c r="B909" s="189"/>
      <c r="C909" s="189"/>
      <c r="D909" s="189"/>
      <c r="E909" s="189"/>
      <c r="F909" s="189"/>
      <c r="G909" s="189"/>
      <c r="H909" s="189"/>
      <c r="I909" s="338"/>
      <c r="J909" s="338"/>
      <c r="K909" s="338"/>
      <c r="L909" s="338"/>
      <c r="M909" s="338"/>
      <c r="N909" s="338"/>
      <c r="O909" s="338"/>
      <c r="P909" s="338"/>
      <c r="Q909" s="338"/>
      <c r="R909" s="338"/>
      <c r="S909" s="338"/>
      <c r="T909" s="230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</row>
    <row r="910" spans="1:30">
      <c r="A910" s="189"/>
      <c r="B910" s="189"/>
      <c r="C910" s="189"/>
      <c r="D910" s="189"/>
      <c r="E910" s="189"/>
      <c r="F910" s="189"/>
      <c r="G910" s="189"/>
      <c r="H910" s="189"/>
      <c r="I910" s="338"/>
      <c r="J910" s="338"/>
      <c r="K910" s="338"/>
      <c r="L910" s="338"/>
      <c r="M910" s="338"/>
      <c r="N910" s="338"/>
      <c r="O910" s="338"/>
      <c r="P910" s="338"/>
      <c r="Q910" s="338"/>
      <c r="R910" s="338"/>
      <c r="S910" s="338"/>
      <c r="T910" s="230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</row>
    <row r="911" spans="1:30">
      <c r="A911" s="189"/>
      <c r="B911" s="189"/>
      <c r="C911" s="189"/>
      <c r="D911" s="189"/>
      <c r="E911" s="189"/>
      <c r="F911" s="189"/>
      <c r="G911" s="189"/>
      <c r="H911" s="189"/>
      <c r="I911" s="338"/>
      <c r="J911" s="338"/>
      <c r="K911" s="338"/>
      <c r="L911" s="338"/>
      <c r="M911" s="338"/>
      <c r="N911" s="338"/>
      <c r="O911" s="338"/>
      <c r="P911" s="338"/>
      <c r="Q911" s="338"/>
      <c r="R911" s="338"/>
      <c r="S911" s="338"/>
      <c r="T911" s="230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</row>
    <row r="912" spans="1:30">
      <c r="A912" s="189"/>
      <c r="B912" s="189"/>
      <c r="C912" s="189"/>
      <c r="D912" s="189"/>
      <c r="E912" s="189"/>
      <c r="F912" s="189"/>
      <c r="G912" s="189"/>
      <c r="H912" s="189"/>
      <c r="I912" s="338"/>
      <c r="J912" s="338"/>
      <c r="K912" s="338"/>
      <c r="L912" s="338"/>
      <c r="M912" s="338"/>
      <c r="N912" s="338"/>
      <c r="O912" s="338"/>
      <c r="P912" s="338"/>
      <c r="Q912" s="338"/>
      <c r="R912" s="338"/>
      <c r="S912" s="338"/>
      <c r="T912" s="230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</row>
    <row r="913" spans="1:30">
      <c r="A913" s="189"/>
      <c r="B913" s="189"/>
      <c r="C913" s="189"/>
      <c r="D913" s="189"/>
      <c r="E913" s="189"/>
      <c r="F913" s="189"/>
      <c r="G913" s="189"/>
      <c r="H913" s="189"/>
      <c r="I913" s="338"/>
      <c r="J913" s="338"/>
      <c r="K913" s="338"/>
      <c r="L913" s="338"/>
      <c r="M913" s="338"/>
      <c r="N913" s="338"/>
      <c r="O913" s="338"/>
      <c r="P913" s="338"/>
      <c r="Q913" s="338"/>
      <c r="R913" s="338"/>
      <c r="S913" s="338"/>
      <c r="T913" s="230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</row>
    <row r="914" spans="1:30">
      <c r="A914" s="189"/>
      <c r="B914" s="189"/>
      <c r="C914" s="189"/>
      <c r="D914" s="189"/>
      <c r="E914" s="189"/>
      <c r="F914" s="189"/>
      <c r="G914" s="189"/>
      <c r="H914" s="189"/>
      <c r="I914" s="338"/>
      <c r="J914" s="338"/>
      <c r="K914" s="338"/>
      <c r="L914" s="338"/>
      <c r="M914" s="338"/>
      <c r="N914" s="338"/>
      <c r="O914" s="338"/>
      <c r="P914" s="338"/>
      <c r="Q914" s="338"/>
      <c r="R914" s="338"/>
      <c r="S914" s="338"/>
      <c r="T914" s="230"/>
      <c r="U914" s="189"/>
      <c r="V914" s="189"/>
      <c r="W914" s="189"/>
      <c r="X914" s="189"/>
      <c r="Y914" s="189"/>
      <c r="Z914" s="189"/>
      <c r="AA914" s="189"/>
      <c r="AB914" s="189"/>
      <c r="AC914" s="189"/>
      <c r="AD914" s="189"/>
    </row>
    <row r="915" spans="1:30">
      <c r="A915" s="189"/>
      <c r="B915" s="189"/>
      <c r="C915" s="189"/>
      <c r="D915" s="189"/>
      <c r="E915" s="189"/>
      <c r="F915" s="189"/>
      <c r="G915" s="189"/>
      <c r="H915" s="189"/>
      <c r="I915" s="338"/>
      <c r="J915" s="338"/>
      <c r="K915" s="338"/>
      <c r="L915" s="338"/>
      <c r="M915" s="338"/>
      <c r="N915" s="338"/>
      <c r="O915" s="338"/>
      <c r="P915" s="338"/>
      <c r="Q915" s="338"/>
      <c r="R915" s="338"/>
      <c r="S915" s="338"/>
      <c r="T915" s="230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</row>
    <row r="916" spans="1:30">
      <c r="A916" s="189"/>
      <c r="B916" s="189"/>
      <c r="C916" s="189"/>
      <c r="D916" s="189"/>
      <c r="E916" s="189"/>
      <c r="F916" s="189"/>
      <c r="G916" s="189"/>
      <c r="H916" s="189"/>
      <c r="I916" s="338"/>
      <c r="J916" s="338"/>
      <c r="K916" s="338"/>
      <c r="L916" s="338"/>
      <c r="M916" s="338"/>
      <c r="N916" s="338"/>
      <c r="O916" s="338"/>
      <c r="P916" s="338"/>
      <c r="Q916" s="338"/>
      <c r="R916" s="338"/>
      <c r="S916" s="338"/>
      <c r="T916" s="230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</row>
    <row r="917" spans="1:30">
      <c r="A917" s="189"/>
      <c r="B917" s="189"/>
      <c r="C917" s="189"/>
      <c r="D917" s="189"/>
      <c r="E917" s="189"/>
      <c r="F917" s="189"/>
      <c r="G917" s="189"/>
      <c r="H917" s="189"/>
      <c r="I917" s="338"/>
      <c r="J917" s="338"/>
      <c r="K917" s="338"/>
      <c r="L917" s="338"/>
      <c r="M917" s="338"/>
      <c r="N917" s="338"/>
      <c r="O917" s="338"/>
      <c r="P917" s="338"/>
      <c r="Q917" s="338"/>
      <c r="R917" s="338"/>
      <c r="S917" s="338"/>
      <c r="T917" s="230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</row>
    <row r="918" spans="1:30">
      <c r="A918" s="189"/>
      <c r="B918" s="189"/>
      <c r="C918" s="189"/>
      <c r="D918" s="189"/>
      <c r="E918" s="189"/>
      <c r="F918" s="189"/>
      <c r="G918" s="189"/>
      <c r="H918" s="189"/>
      <c r="I918" s="338"/>
      <c r="J918" s="338"/>
      <c r="K918" s="338"/>
      <c r="L918" s="338"/>
      <c r="M918" s="338"/>
      <c r="N918" s="338"/>
      <c r="O918" s="338"/>
      <c r="P918" s="338"/>
      <c r="Q918" s="338"/>
      <c r="R918" s="338"/>
      <c r="S918" s="338"/>
      <c r="T918" s="230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</row>
    <row r="919" spans="1:30">
      <c r="A919" s="189"/>
      <c r="B919" s="189"/>
      <c r="C919" s="189"/>
      <c r="D919" s="189"/>
      <c r="E919" s="189"/>
      <c r="F919" s="189"/>
      <c r="G919" s="189"/>
      <c r="H919" s="189"/>
      <c r="I919" s="338"/>
      <c r="J919" s="338"/>
      <c r="K919" s="338"/>
      <c r="L919" s="338"/>
      <c r="M919" s="338"/>
      <c r="N919" s="338"/>
      <c r="O919" s="338"/>
      <c r="P919" s="338"/>
      <c r="Q919" s="338"/>
      <c r="R919" s="338"/>
      <c r="S919" s="338"/>
      <c r="T919" s="230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</row>
    <row r="920" spans="1:30">
      <c r="A920" s="189"/>
      <c r="B920" s="189"/>
      <c r="C920" s="189"/>
      <c r="D920" s="189"/>
      <c r="E920" s="189"/>
      <c r="F920" s="189"/>
      <c r="G920" s="189"/>
      <c r="H920" s="189"/>
      <c r="I920" s="338"/>
      <c r="J920" s="338"/>
      <c r="K920" s="338"/>
      <c r="L920" s="338"/>
      <c r="M920" s="338"/>
      <c r="N920" s="338"/>
      <c r="O920" s="338"/>
      <c r="P920" s="338"/>
      <c r="Q920" s="338"/>
      <c r="R920" s="338"/>
      <c r="S920" s="338"/>
      <c r="T920" s="230"/>
      <c r="U920" s="189"/>
      <c r="V920" s="189"/>
      <c r="W920" s="189"/>
      <c r="X920" s="189"/>
      <c r="Y920" s="189"/>
      <c r="Z920" s="189"/>
      <c r="AA920" s="189"/>
      <c r="AB920" s="189"/>
      <c r="AC920" s="189"/>
      <c r="AD920" s="189"/>
    </row>
    <row r="921" spans="1:30">
      <c r="A921" s="189"/>
      <c r="B921" s="189"/>
      <c r="C921" s="189"/>
      <c r="D921" s="189"/>
      <c r="E921" s="189"/>
      <c r="F921" s="189"/>
      <c r="G921" s="189"/>
      <c r="H921" s="189"/>
      <c r="I921" s="338"/>
      <c r="J921" s="338"/>
      <c r="K921" s="338"/>
      <c r="L921" s="338"/>
      <c r="M921" s="338"/>
      <c r="N921" s="338"/>
      <c r="O921" s="338"/>
      <c r="P921" s="338"/>
      <c r="Q921" s="338"/>
      <c r="R921" s="338"/>
      <c r="S921" s="338"/>
      <c r="T921" s="230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</row>
    <row r="922" spans="1:30">
      <c r="A922" s="189"/>
      <c r="B922" s="189"/>
      <c r="C922" s="189"/>
      <c r="D922" s="189"/>
      <c r="E922" s="189"/>
      <c r="F922" s="189"/>
      <c r="G922" s="189"/>
      <c r="H922" s="189"/>
      <c r="I922" s="338"/>
      <c r="J922" s="338"/>
      <c r="K922" s="338"/>
      <c r="L922" s="338"/>
      <c r="M922" s="338"/>
      <c r="N922" s="338"/>
      <c r="O922" s="338"/>
      <c r="P922" s="338"/>
      <c r="Q922" s="338"/>
      <c r="R922" s="338"/>
      <c r="S922" s="338"/>
      <c r="T922" s="230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</row>
    <row r="923" spans="1:30">
      <c r="A923" s="189"/>
      <c r="B923" s="189"/>
      <c r="C923" s="189"/>
      <c r="D923" s="189"/>
      <c r="E923" s="189"/>
      <c r="F923" s="189"/>
      <c r="G923" s="189"/>
      <c r="H923" s="189"/>
      <c r="I923" s="338"/>
      <c r="J923" s="338"/>
      <c r="K923" s="338"/>
      <c r="L923" s="338"/>
      <c r="M923" s="338"/>
      <c r="N923" s="338"/>
      <c r="O923" s="338"/>
      <c r="P923" s="338"/>
      <c r="Q923" s="338"/>
      <c r="R923" s="338"/>
      <c r="S923" s="338"/>
      <c r="T923" s="230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</row>
    <row r="924" spans="1:30">
      <c r="A924" s="189"/>
      <c r="B924" s="189"/>
      <c r="C924" s="189"/>
      <c r="D924" s="189"/>
      <c r="E924" s="189"/>
      <c r="F924" s="189"/>
      <c r="G924" s="189"/>
      <c r="H924" s="189"/>
      <c r="I924" s="338"/>
      <c r="J924" s="338"/>
      <c r="K924" s="338"/>
      <c r="L924" s="338"/>
      <c r="M924" s="338"/>
      <c r="N924" s="338"/>
      <c r="O924" s="338"/>
      <c r="P924" s="338"/>
      <c r="Q924" s="338"/>
      <c r="R924" s="338"/>
      <c r="S924" s="338"/>
      <c r="T924" s="230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</row>
    <row r="925" spans="1:30">
      <c r="A925" s="189"/>
      <c r="B925" s="189"/>
      <c r="C925" s="189"/>
      <c r="D925" s="189"/>
      <c r="E925" s="189"/>
      <c r="F925" s="189"/>
      <c r="G925" s="189"/>
      <c r="H925" s="189"/>
      <c r="I925" s="338"/>
      <c r="J925" s="338"/>
      <c r="K925" s="338"/>
      <c r="L925" s="338"/>
      <c r="M925" s="338"/>
      <c r="N925" s="338"/>
      <c r="O925" s="338"/>
      <c r="P925" s="338"/>
      <c r="Q925" s="338"/>
      <c r="R925" s="338"/>
      <c r="S925" s="338"/>
      <c r="T925" s="230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</row>
    <row r="926" spans="1:30">
      <c r="A926" s="189"/>
      <c r="B926" s="189"/>
      <c r="C926" s="189"/>
      <c r="D926" s="189"/>
      <c r="E926" s="189"/>
      <c r="F926" s="189"/>
      <c r="G926" s="189"/>
      <c r="H926" s="189"/>
      <c r="I926" s="338"/>
      <c r="J926" s="338"/>
      <c r="K926" s="338"/>
      <c r="L926" s="338"/>
      <c r="M926" s="338"/>
      <c r="N926" s="338"/>
      <c r="O926" s="338"/>
      <c r="P926" s="338"/>
      <c r="Q926" s="338"/>
      <c r="R926" s="338"/>
      <c r="S926" s="338"/>
      <c r="T926" s="230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</row>
    <row r="927" spans="1:30">
      <c r="A927" s="189"/>
      <c r="B927" s="189"/>
      <c r="C927" s="189"/>
      <c r="D927" s="189"/>
      <c r="E927" s="189"/>
      <c r="F927" s="189"/>
      <c r="G927" s="189"/>
      <c r="H927" s="189"/>
      <c r="I927" s="338"/>
      <c r="J927" s="338"/>
      <c r="K927" s="338"/>
      <c r="L927" s="338"/>
      <c r="M927" s="338"/>
      <c r="N927" s="338"/>
      <c r="O927" s="338"/>
      <c r="P927" s="338"/>
      <c r="Q927" s="338"/>
      <c r="R927" s="338"/>
      <c r="S927" s="338"/>
      <c r="T927" s="230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</row>
    <row r="928" spans="1:30">
      <c r="A928" s="189"/>
      <c r="B928" s="189"/>
      <c r="C928" s="189"/>
      <c r="D928" s="189"/>
      <c r="E928" s="189"/>
      <c r="F928" s="189"/>
      <c r="G928" s="189"/>
      <c r="H928" s="189"/>
      <c r="I928" s="338"/>
      <c r="J928" s="338"/>
      <c r="K928" s="338"/>
      <c r="L928" s="338"/>
      <c r="M928" s="338"/>
      <c r="N928" s="338"/>
      <c r="O928" s="338"/>
      <c r="P928" s="338"/>
      <c r="Q928" s="338"/>
      <c r="R928" s="338"/>
      <c r="S928" s="338"/>
      <c r="T928" s="230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</row>
    <row r="929" spans="1:30">
      <c r="A929" s="189"/>
      <c r="B929" s="189"/>
      <c r="C929" s="189"/>
      <c r="D929" s="189"/>
      <c r="E929" s="189"/>
      <c r="F929" s="189"/>
      <c r="G929" s="189"/>
      <c r="H929" s="189"/>
      <c r="I929" s="338"/>
      <c r="J929" s="338"/>
      <c r="K929" s="338"/>
      <c r="L929" s="338"/>
      <c r="M929" s="338"/>
      <c r="N929" s="338"/>
      <c r="O929" s="338"/>
      <c r="P929" s="338"/>
      <c r="Q929" s="338"/>
      <c r="R929" s="338"/>
      <c r="S929" s="338"/>
      <c r="T929" s="230"/>
      <c r="U929" s="189"/>
      <c r="V929" s="189"/>
      <c r="W929" s="189"/>
      <c r="X929" s="189"/>
      <c r="Y929" s="189"/>
      <c r="Z929" s="189"/>
      <c r="AA929" s="189"/>
      <c r="AB929" s="189"/>
      <c r="AC929" s="189"/>
      <c r="AD929" s="189"/>
    </row>
    <row r="930" spans="1:30">
      <c r="A930" s="189"/>
      <c r="B930" s="189"/>
      <c r="C930" s="189"/>
      <c r="D930" s="189"/>
      <c r="E930" s="189"/>
      <c r="F930" s="189"/>
      <c r="G930" s="189"/>
      <c r="H930" s="189"/>
      <c r="I930" s="338"/>
      <c r="J930" s="338"/>
      <c r="K930" s="338"/>
      <c r="L930" s="338"/>
      <c r="M930" s="338"/>
      <c r="N930" s="338"/>
      <c r="O930" s="338"/>
      <c r="P930" s="338"/>
      <c r="Q930" s="338"/>
      <c r="R930" s="338"/>
      <c r="S930" s="338"/>
      <c r="T930" s="230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</row>
    <row r="931" spans="1:30">
      <c r="A931" s="189"/>
      <c r="B931" s="189"/>
      <c r="C931" s="189"/>
      <c r="D931" s="189"/>
      <c r="E931" s="189"/>
      <c r="F931" s="189"/>
      <c r="G931" s="189"/>
      <c r="H931" s="189"/>
      <c r="I931" s="338"/>
      <c r="J931" s="338"/>
      <c r="K931" s="338"/>
      <c r="L931" s="338"/>
      <c r="M931" s="338"/>
      <c r="N931" s="338"/>
      <c r="O931" s="338"/>
      <c r="P931" s="338"/>
      <c r="Q931" s="338"/>
      <c r="R931" s="338"/>
      <c r="S931" s="338"/>
      <c r="T931" s="230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</row>
    <row r="932" spans="1:30">
      <c r="A932" s="189"/>
      <c r="B932" s="189"/>
      <c r="C932" s="189"/>
      <c r="D932" s="189"/>
      <c r="E932" s="189"/>
      <c r="F932" s="189"/>
      <c r="G932" s="189"/>
      <c r="H932" s="189"/>
      <c r="I932" s="338"/>
      <c r="J932" s="338"/>
      <c r="K932" s="338"/>
      <c r="L932" s="338"/>
      <c r="M932" s="338"/>
      <c r="N932" s="338"/>
      <c r="O932" s="338"/>
      <c r="P932" s="338"/>
      <c r="Q932" s="338"/>
      <c r="R932" s="338"/>
      <c r="S932" s="338"/>
      <c r="T932" s="230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</row>
    <row r="933" spans="1:30">
      <c r="A933" s="189"/>
      <c r="B933" s="189"/>
      <c r="C933" s="189"/>
      <c r="D933" s="189"/>
      <c r="E933" s="189"/>
      <c r="F933" s="189"/>
      <c r="G933" s="189"/>
      <c r="H933" s="189"/>
      <c r="I933" s="338"/>
      <c r="J933" s="338"/>
      <c r="K933" s="338"/>
      <c r="L933" s="338"/>
      <c r="M933" s="338"/>
      <c r="N933" s="338"/>
      <c r="O933" s="338"/>
      <c r="P933" s="338"/>
      <c r="Q933" s="338"/>
      <c r="R933" s="338"/>
      <c r="S933" s="338"/>
      <c r="T933" s="230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</row>
    <row r="934" spans="1:30">
      <c r="A934" s="189"/>
      <c r="B934" s="189"/>
      <c r="C934" s="189"/>
      <c r="D934" s="189"/>
      <c r="E934" s="189"/>
      <c r="F934" s="189"/>
      <c r="G934" s="189"/>
      <c r="H934" s="189"/>
      <c r="I934" s="338"/>
      <c r="J934" s="338"/>
      <c r="K934" s="338"/>
      <c r="L934" s="338"/>
      <c r="M934" s="338"/>
      <c r="N934" s="338"/>
      <c r="O934" s="338"/>
      <c r="P934" s="338"/>
      <c r="Q934" s="338"/>
      <c r="R934" s="338"/>
      <c r="S934" s="338"/>
      <c r="T934" s="230"/>
      <c r="U934" s="189"/>
      <c r="V934" s="189"/>
      <c r="W934" s="189"/>
      <c r="X934" s="189"/>
      <c r="Y934" s="189"/>
      <c r="Z934" s="189"/>
      <c r="AA934" s="189"/>
      <c r="AB934" s="189"/>
      <c r="AC934" s="189"/>
      <c r="AD934" s="189"/>
    </row>
    <row r="935" spans="1:30">
      <c r="A935" s="189"/>
      <c r="B935" s="189"/>
      <c r="C935" s="189"/>
      <c r="D935" s="189"/>
      <c r="E935" s="189"/>
      <c r="F935" s="189"/>
      <c r="G935" s="189"/>
      <c r="H935" s="189"/>
      <c r="I935" s="338"/>
      <c r="J935" s="338"/>
      <c r="K935" s="338"/>
      <c r="L935" s="338"/>
      <c r="M935" s="338"/>
      <c r="N935" s="338"/>
      <c r="O935" s="338"/>
      <c r="P935" s="338"/>
      <c r="Q935" s="338"/>
      <c r="R935" s="338"/>
      <c r="S935" s="338"/>
      <c r="T935" s="230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</row>
    <row r="936" spans="1:30">
      <c r="A936" s="189"/>
      <c r="B936" s="189"/>
      <c r="C936" s="189"/>
      <c r="D936" s="189"/>
      <c r="E936" s="189"/>
      <c r="F936" s="189"/>
      <c r="G936" s="189"/>
      <c r="H936" s="189"/>
      <c r="I936" s="338"/>
      <c r="J936" s="338"/>
      <c r="K936" s="338"/>
      <c r="L936" s="338"/>
      <c r="M936" s="338"/>
      <c r="N936" s="338"/>
      <c r="O936" s="338"/>
      <c r="P936" s="338"/>
      <c r="Q936" s="338"/>
      <c r="R936" s="338"/>
      <c r="S936" s="338"/>
      <c r="T936" s="230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</row>
    <row r="937" spans="1:30">
      <c r="A937" s="189"/>
      <c r="B937" s="189"/>
      <c r="C937" s="189"/>
      <c r="D937" s="189"/>
      <c r="E937" s="189"/>
      <c r="F937" s="189"/>
      <c r="G937" s="189"/>
      <c r="H937" s="189"/>
      <c r="I937" s="338"/>
      <c r="J937" s="338"/>
      <c r="K937" s="338"/>
      <c r="L937" s="338"/>
      <c r="M937" s="338"/>
      <c r="N937" s="338"/>
      <c r="O937" s="338"/>
      <c r="P937" s="338"/>
      <c r="Q937" s="338"/>
      <c r="R937" s="338"/>
      <c r="S937" s="338"/>
      <c r="T937" s="230"/>
      <c r="U937" s="189"/>
      <c r="V937" s="189"/>
      <c r="W937" s="189"/>
      <c r="X937" s="189"/>
      <c r="Y937" s="189"/>
      <c r="Z937" s="189"/>
      <c r="AA937" s="189"/>
      <c r="AB937" s="189"/>
      <c r="AC937" s="189"/>
      <c r="AD937" s="189"/>
    </row>
    <row r="938" spans="1:30">
      <c r="A938" s="189"/>
      <c r="B938" s="189"/>
      <c r="C938" s="189"/>
      <c r="D938" s="189"/>
      <c r="E938" s="189"/>
      <c r="F938" s="189"/>
      <c r="G938" s="189"/>
      <c r="H938" s="189"/>
      <c r="I938" s="338"/>
      <c r="J938" s="338"/>
      <c r="K938" s="338"/>
      <c r="L938" s="338"/>
      <c r="M938" s="338"/>
      <c r="N938" s="338"/>
      <c r="O938" s="338"/>
      <c r="P938" s="338"/>
      <c r="Q938" s="338"/>
      <c r="R938" s="338"/>
      <c r="S938" s="338"/>
      <c r="T938" s="230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</row>
    <row r="939" spans="1:30">
      <c r="A939" s="189"/>
      <c r="B939" s="189"/>
      <c r="C939" s="189"/>
      <c r="D939" s="189"/>
      <c r="E939" s="189"/>
      <c r="F939" s="189"/>
      <c r="G939" s="189"/>
      <c r="H939" s="189"/>
      <c r="I939" s="338"/>
      <c r="J939" s="338"/>
      <c r="K939" s="338"/>
      <c r="L939" s="338"/>
      <c r="M939" s="338"/>
      <c r="N939" s="338"/>
      <c r="O939" s="338"/>
      <c r="P939" s="338"/>
      <c r="Q939" s="338"/>
      <c r="R939" s="338"/>
      <c r="S939" s="338"/>
      <c r="T939" s="230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</row>
    <row r="940" spans="1:30">
      <c r="A940" s="189"/>
      <c r="B940" s="189"/>
      <c r="C940" s="189"/>
      <c r="D940" s="189"/>
      <c r="E940" s="189"/>
      <c r="F940" s="189"/>
      <c r="G940" s="189"/>
      <c r="H940" s="189"/>
      <c r="I940" s="338"/>
      <c r="J940" s="338"/>
      <c r="K940" s="338"/>
      <c r="L940" s="338"/>
      <c r="M940" s="338"/>
      <c r="N940" s="338"/>
      <c r="O940" s="338"/>
      <c r="P940" s="338"/>
      <c r="Q940" s="338"/>
      <c r="R940" s="338"/>
      <c r="S940" s="338"/>
      <c r="T940" s="230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</row>
    <row r="941" spans="1:30">
      <c r="A941" s="189"/>
      <c r="B941" s="189"/>
      <c r="C941" s="189"/>
      <c r="D941" s="189"/>
      <c r="E941" s="189"/>
      <c r="F941" s="189"/>
      <c r="G941" s="189"/>
      <c r="H941" s="189"/>
      <c r="I941" s="338"/>
      <c r="J941" s="338"/>
      <c r="K941" s="338"/>
      <c r="L941" s="338"/>
      <c r="M941" s="338"/>
      <c r="N941" s="338"/>
      <c r="O941" s="338"/>
      <c r="P941" s="338"/>
      <c r="Q941" s="338"/>
      <c r="R941" s="338"/>
      <c r="S941" s="338"/>
      <c r="T941" s="230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</row>
    <row r="942" spans="1:30">
      <c r="A942" s="189"/>
      <c r="B942" s="189"/>
      <c r="C942" s="189"/>
      <c r="D942" s="189"/>
      <c r="E942" s="189"/>
      <c r="F942" s="189"/>
      <c r="G942" s="189"/>
      <c r="H942" s="189"/>
      <c r="I942" s="338"/>
      <c r="J942" s="338"/>
      <c r="K942" s="338"/>
      <c r="L942" s="338"/>
      <c r="M942" s="338"/>
      <c r="N942" s="338"/>
      <c r="O942" s="338"/>
      <c r="P942" s="338"/>
      <c r="Q942" s="338"/>
      <c r="R942" s="338"/>
      <c r="S942" s="338"/>
      <c r="T942" s="230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</row>
    <row r="943" spans="1:30">
      <c r="A943" s="189"/>
      <c r="B943" s="189"/>
      <c r="C943" s="189"/>
      <c r="D943" s="189"/>
      <c r="E943" s="189"/>
      <c r="F943" s="189"/>
      <c r="G943" s="189"/>
      <c r="H943" s="189"/>
      <c r="I943" s="338"/>
      <c r="J943" s="338"/>
      <c r="K943" s="338"/>
      <c r="L943" s="338"/>
      <c r="M943" s="338"/>
      <c r="N943" s="338"/>
      <c r="O943" s="338"/>
      <c r="P943" s="338"/>
      <c r="Q943" s="338"/>
      <c r="R943" s="338"/>
      <c r="S943" s="338"/>
      <c r="T943" s="230"/>
      <c r="U943" s="189"/>
      <c r="V943" s="189"/>
      <c r="W943" s="189"/>
      <c r="X943" s="189"/>
      <c r="Y943" s="189"/>
      <c r="Z943" s="189"/>
      <c r="AA943" s="189"/>
      <c r="AB943" s="189"/>
      <c r="AC943" s="189"/>
      <c r="AD943" s="189"/>
    </row>
    <row r="944" spans="1:30">
      <c r="A944" s="189"/>
      <c r="B944" s="189"/>
      <c r="C944" s="189"/>
      <c r="D944" s="189"/>
      <c r="E944" s="189"/>
      <c r="F944" s="189"/>
      <c r="G944" s="189"/>
      <c r="H944" s="189"/>
      <c r="I944" s="338"/>
      <c r="J944" s="338"/>
      <c r="K944" s="338"/>
      <c r="L944" s="338"/>
      <c r="M944" s="338"/>
      <c r="N944" s="338"/>
      <c r="O944" s="338"/>
      <c r="P944" s="338"/>
      <c r="Q944" s="338"/>
      <c r="R944" s="338"/>
      <c r="S944" s="338"/>
      <c r="T944" s="230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</row>
    <row r="945" spans="1:30">
      <c r="A945" s="189"/>
      <c r="B945" s="189"/>
      <c r="C945" s="189"/>
      <c r="D945" s="189"/>
      <c r="E945" s="189"/>
      <c r="F945" s="189"/>
      <c r="G945" s="189"/>
      <c r="H945" s="189"/>
      <c r="I945" s="338"/>
      <c r="J945" s="338"/>
      <c r="K945" s="338"/>
      <c r="L945" s="338"/>
      <c r="M945" s="338"/>
      <c r="N945" s="338"/>
      <c r="O945" s="338"/>
      <c r="P945" s="338"/>
      <c r="Q945" s="338"/>
      <c r="R945" s="338"/>
      <c r="S945" s="338"/>
      <c r="T945" s="230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</row>
    <row r="946" spans="1:30">
      <c r="A946" s="189"/>
      <c r="B946" s="189"/>
      <c r="C946" s="189"/>
      <c r="D946" s="189"/>
      <c r="E946" s="189"/>
      <c r="F946" s="189"/>
      <c r="G946" s="189"/>
      <c r="H946" s="189"/>
      <c r="I946" s="338"/>
      <c r="J946" s="338"/>
      <c r="K946" s="338"/>
      <c r="L946" s="338"/>
      <c r="M946" s="338"/>
      <c r="N946" s="338"/>
      <c r="O946" s="338"/>
      <c r="P946" s="338"/>
      <c r="Q946" s="338"/>
      <c r="R946" s="338"/>
      <c r="S946" s="338"/>
      <c r="T946" s="230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</row>
    <row r="947" spans="1:30">
      <c r="A947" s="189"/>
      <c r="B947" s="189"/>
      <c r="C947" s="189"/>
      <c r="D947" s="189"/>
      <c r="E947" s="189"/>
      <c r="F947" s="189"/>
      <c r="G947" s="189"/>
      <c r="H947" s="189"/>
      <c r="I947" s="338"/>
      <c r="J947" s="338"/>
      <c r="K947" s="338"/>
      <c r="L947" s="338"/>
      <c r="M947" s="338"/>
      <c r="N947" s="338"/>
      <c r="O947" s="338"/>
      <c r="P947" s="338"/>
      <c r="Q947" s="338"/>
      <c r="R947" s="338"/>
      <c r="S947" s="338"/>
      <c r="T947" s="230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</row>
    <row r="948" spans="1:30">
      <c r="A948" s="189"/>
      <c r="B948" s="189"/>
      <c r="C948" s="189"/>
      <c r="D948" s="189"/>
      <c r="E948" s="189"/>
      <c r="F948" s="189"/>
      <c r="G948" s="189"/>
      <c r="H948" s="189"/>
      <c r="I948" s="338"/>
      <c r="J948" s="338"/>
      <c r="K948" s="338"/>
      <c r="L948" s="338"/>
      <c r="M948" s="338"/>
      <c r="N948" s="338"/>
      <c r="O948" s="338"/>
      <c r="P948" s="338"/>
      <c r="Q948" s="338"/>
      <c r="R948" s="338"/>
      <c r="S948" s="338"/>
      <c r="T948" s="230"/>
      <c r="U948" s="189"/>
      <c r="V948" s="189"/>
      <c r="W948" s="189"/>
      <c r="X948" s="189"/>
      <c r="Y948" s="189"/>
      <c r="Z948" s="189"/>
      <c r="AA948" s="189"/>
      <c r="AB948" s="189"/>
      <c r="AC948" s="189"/>
      <c r="AD948" s="189"/>
    </row>
    <row r="949" spans="1:30">
      <c r="A949" s="189"/>
      <c r="B949" s="189"/>
      <c r="C949" s="189"/>
      <c r="D949" s="189"/>
      <c r="E949" s="189"/>
      <c r="F949" s="189"/>
      <c r="G949" s="189"/>
      <c r="H949" s="189"/>
      <c r="I949" s="338"/>
      <c r="J949" s="338"/>
      <c r="K949" s="338"/>
      <c r="L949" s="338"/>
      <c r="M949" s="338"/>
      <c r="N949" s="338"/>
      <c r="O949" s="338"/>
      <c r="P949" s="338"/>
      <c r="Q949" s="338"/>
      <c r="R949" s="338"/>
      <c r="S949" s="338"/>
      <c r="T949" s="230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</row>
    <row r="950" spans="1:30">
      <c r="A950" s="189"/>
      <c r="B950" s="189"/>
      <c r="C950" s="189"/>
      <c r="D950" s="189"/>
      <c r="E950" s="189"/>
      <c r="F950" s="189"/>
      <c r="G950" s="189"/>
      <c r="H950" s="189"/>
      <c r="I950" s="338"/>
      <c r="J950" s="338"/>
      <c r="K950" s="338"/>
      <c r="L950" s="338"/>
      <c r="M950" s="338"/>
      <c r="N950" s="338"/>
      <c r="O950" s="338"/>
      <c r="P950" s="338"/>
      <c r="Q950" s="338"/>
      <c r="R950" s="338"/>
      <c r="S950" s="338"/>
      <c r="T950" s="230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</row>
    <row r="951" spans="1:30">
      <c r="A951" s="189"/>
      <c r="B951" s="189"/>
      <c r="C951" s="189"/>
      <c r="D951" s="189"/>
      <c r="E951" s="189"/>
      <c r="F951" s="189"/>
      <c r="G951" s="189"/>
      <c r="H951" s="189"/>
      <c r="I951" s="338"/>
      <c r="J951" s="338"/>
      <c r="K951" s="338"/>
      <c r="L951" s="338"/>
      <c r="M951" s="338"/>
      <c r="N951" s="338"/>
      <c r="O951" s="338"/>
      <c r="P951" s="338"/>
      <c r="Q951" s="338"/>
      <c r="R951" s="338"/>
      <c r="S951" s="338"/>
      <c r="T951" s="230"/>
      <c r="U951" s="189"/>
      <c r="V951" s="189"/>
      <c r="W951" s="189"/>
      <c r="X951" s="189"/>
      <c r="Y951" s="189"/>
      <c r="Z951" s="189"/>
      <c r="AA951" s="189"/>
      <c r="AB951" s="189"/>
      <c r="AC951" s="189"/>
      <c r="AD951" s="189"/>
    </row>
    <row r="952" spans="1:30">
      <c r="A952" s="189"/>
      <c r="B952" s="189"/>
      <c r="C952" s="189"/>
      <c r="D952" s="189"/>
      <c r="E952" s="189"/>
      <c r="F952" s="189"/>
      <c r="G952" s="189"/>
      <c r="H952" s="189"/>
      <c r="I952" s="338"/>
      <c r="J952" s="338"/>
      <c r="K952" s="338"/>
      <c r="L952" s="338"/>
      <c r="M952" s="338"/>
      <c r="N952" s="338"/>
      <c r="O952" s="338"/>
      <c r="P952" s="338"/>
      <c r="Q952" s="338"/>
      <c r="R952" s="338"/>
      <c r="S952" s="338"/>
      <c r="T952" s="230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</row>
    <row r="953" spans="1:30">
      <c r="A953" s="189"/>
      <c r="B953" s="189"/>
      <c r="C953" s="189"/>
      <c r="D953" s="189"/>
      <c r="E953" s="189"/>
      <c r="F953" s="189"/>
      <c r="G953" s="189"/>
      <c r="H953" s="189"/>
      <c r="I953" s="338"/>
      <c r="J953" s="338"/>
      <c r="K953" s="338"/>
      <c r="L953" s="338"/>
      <c r="M953" s="338"/>
      <c r="N953" s="338"/>
      <c r="O953" s="338"/>
      <c r="P953" s="338"/>
      <c r="Q953" s="338"/>
      <c r="R953" s="338"/>
      <c r="S953" s="338"/>
      <c r="T953" s="230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</row>
    <row r="954" spans="1:30">
      <c r="A954" s="189"/>
      <c r="B954" s="189"/>
      <c r="C954" s="189"/>
      <c r="D954" s="189"/>
      <c r="E954" s="189"/>
      <c r="F954" s="189"/>
      <c r="G954" s="189"/>
      <c r="H954" s="189"/>
      <c r="I954" s="338"/>
      <c r="J954" s="338"/>
      <c r="K954" s="338"/>
      <c r="L954" s="338"/>
      <c r="M954" s="338"/>
      <c r="N954" s="338"/>
      <c r="O954" s="338"/>
      <c r="P954" s="338"/>
      <c r="Q954" s="338"/>
      <c r="R954" s="338"/>
      <c r="S954" s="338"/>
      <c r="T954" s="230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</row>
    <row r="955" spans="1:30">
      <c r="A955" s="189"/>
      <c r="B955" s="189"/>
      <c r="C955" s="189"/>
      <c r="D955" s="189"/>
      <c r="E955" s="189"/>
      <c r="F955" s="189"/>
      <c r="G955" s="189"/>
      <c r="H955" s="189"/>
      <c r="I955" s="338"/>
      <c r="J955" s="338"/>
      <c r="K955" s="338"/>
      <c r="L955" s="338"/>
      <c r="M955" s="338"/>
      <c r="N955" s="338"/>
      <c r="O955" s="338"/>
      <c r="P955" s="338"/>
      <c r="Q955" s="338"/>
      <c r="R955" s="338"/>
      <c r="S955" s="338"/>
      <c r="T955" s="230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</row>
    <row r="956" spans="1:30">
      <c r="A956" s="189"/>
      <c r="B956" s="189"/>
      <c r="C956" s="189"/>
      <c r="D956" s="189"/>
      <c r="E956" s="189"/>
      <c r="F956" s="189"/>
      <c r="G956" s="189"/>
      <c r="H956" s="189"/>
      <c r="I956" s="338"/>
      <c r="J956" s="338"/>
      <c r="K956" s="338"/>
      <c r="L956" s="338"/>
      <c r="M956" s="338"/>
      <c r="N956" s="338"/>
      <c r="O956" s="338"/>
      <c r="P956" s="338"/>
      <c r="Q956" s="338"/>
      <c r="R956" s="338"/>
      <c r="S956" s="338"/>
      <c r="T956" s="230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</row>
    <row r="957" spans="1:30">
      <c r="A957" s="189"/>
      <c r="B957" s="189"/>
      <c r="C957" s="189"/>
      <c r="D957" s="189"/>
      <c r="E957" s="189"/>
      <c r="F957" s="189"/>
      <c r="G957" s="189"/>
      <c r="H957" s="189"/>
      <c r="I957" s="338"/>
      <c r="J957" s="338"/>
      <c r="K957" s="338"/>
      <c r="L957" s="338"/>
      <c r="M957" s="338"/>
      <c r="N957" s="338"/>
      <c r="O957" s="338"/>
      <c r="P957" s="338"/>
      <c r="Q957" s="338"/>
      <c r="R957" s="338"/>
      <c r="S957" s="338"/>
      <c r="T957" s="230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</row>
    <row r="958" spans="1:30">
      <c r="A958" s="189"/>
      <c r="B958" s="189"/>
      <c r="C958" s="189"/>
      <c r="D958" s="189"/>
      <c r="E958" s="189"/>
      <c r="F958" s="189"/>
      <c r="G958" s="189"/>
      <c r="H958" s="189"/>
      <c r="I958" s="338"/>
      <c r="J958" s="338"/>
      <c r="K958" s="338"/>
      <c r="L958" s="338"/>
      <c r="M958" s="338"/>
      <c r="N958" s="338"/>
      <c r="O958" s="338"/>
      <c r="P958" s="338"/>
      <c r="Q958" s="338"/>
      <c r="R958" s="338"/>
      <c r="S958" s="338"/>
      <c r="T958" s="230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</row>
    <row r="959" spans="1:30">
      <c r="A959" s="189"/>
      <c r="B959" s="189"/>
      <c r="C959" s="189"/>
      <c r="D959" s="189"/>
      <c r="E959" s="189"/>
      <c r="F959" s="189"/>
      <c r="G959" s="189"/>
      <c r="H959" s="189"/>
      <c r="I959" s="338"/>
      <c r="J959" s="338"/>
      <c r="K959" s="338"/>
      <c r="L959" s="338"/>
      <c r="M959" s="338"/>
      <c r="N959" s="338"/>
      <c r="O959" s="338"/>
      <c r="P959" s="338"/>
      <c r="Q959" s="338"/>
      <c r="R959" s="338"/>
      <c r="S959" s="338"/>
      <c r="T959" s="230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</row>
    <row r="960" spans="1:30">
      <c r="A960" s="189"/>
      <c r="B960" s="189"/>
      <c r="C960" s="189"/>
      <c r="D960" s="189"/>
      <c r="E960" s="189"/>
      <c r="F960" s="189"/>
      <c r="G960" s="189"/>
      <c r="H960" s="189"/>
      <c r="I960" s="338"/>
      <c r="J960" s="338"/>
      <c r="K960" s="338"/>
      <c r="L960" s="338"/>
      <c r="M960" s="338"/>
      <c r="N960" s="338"/>
      <c r="O960" s="338"/>
      <c r="P960" s="338"/>
      <c r="Q960" s="338"/>
      <c r="R960" s="338"/>
      <c r="S960" s="338"/>
      <c r="T960" s="230"/>
      <c r="U960" s="189"/>
      <c r="V960" s="189"/>
      <c r="W960" s="189"/>
      <c r="X960" s="189"/>
      <c r="Y960" s="189"/>
      <c r="Z960" s="189"/>
      <c r="AA960" s="189"/>
      <c r="AB960" s="189"/>
      <c r="AC960" s="189"/>
      <c r="AD960" s="189"/>
    </row>
    <row r="961" spans="1:30">
      <c r="A961" s="189"/>
      <c r="B961" s="189"/>
      <c r="C961" s="189"/>
      <c r="D961" s="189"/>
      <c r="E961" s="189"/>
      <c r="F961" s="189"/>
      <c r="G961" s="189"/>
      <c r="H961" s="189"/>
      <c r="I961" s="338"/>
      <c r="J961" s="338"/>
      <c r="K961" s="338"/>
      <c r="L961" s="338"/>
      <c r="M961" s="338"/>
      <c r="N961" s="338"/>
      <c r="O961" s="338"/>
      <c r="P961" s="338"/>
      <c r="Q961" s="338"/>
      <c r="R961" s="338"/>
      <c r="S961" s="338"/>
      <c r="T961" s="230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</row>
    <row r="962" spans="1:30">
      <c r="A962" s="189"/>
      <c r="B962" s="189"/>
      <c r="C962" s="189"/>
      <c r="D962" s="189"/>
      <c r="E962" s="189"/>
      <c r="F962" s="189"/>
      <c r="G962" s="189"/>
      <c r="H962" s="189"/>
      <c r="I962" s="338"/>
      <c r="J962" s="338"/>
      <c r="K962" s="338"/>
      <c r="L962" s="338"/>
      <c r="M962" s="338"/>
      <c r="N962" s="338"/>
      <c r="O962" s="338"/>
      <c r="P962" s="338"/>
      <c r="Q962" s="338"/>
      <c r="R962" s="338"/>
      <c r="S962" s="338"/>
      <c r="T962" s="230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</row>
    <row r="963" spans="1:30">
      <c r="A963" s="189"/>
      <c r="B963" s="189"/>
      <c r="C963" s="189"/>
      <c r="D963" s="189"/>
      <c r="E963" s="189"/>
      <c r="F963" s="189"/>
      <c r="G963" s="189"/>
      <c r="H963" s="189"/>
      <c r="I963" s="338"/>
      <c r="J963" s="338"/>
      <c r="K963" s="338"/>
      <c r="L963" s="338"/>
      <c r="M963" s="338"/>
      <c r="N963" s="338"/>
      <c r="O963" s="338"/>
      <c r="P963" s="338"/>
      <c r="Q963" s="338"/>
      <c r="R963" s="338"/>
      <c r="S963" s="338"/>
      <c r="T963" s="230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</row>
    <row r="964" spans="1:30">
      <c r="A964" s="189"/>
      <c r="B964" s="189"/>
      <c r="C964" s="189"/>
      <c r="D964" s="189"/>
      <c r="E964" s="189"/>
      <c r="F964" s="189"/>
      <c r="G964" s="189"/>
      <c r="H964" s="189"/>
      <c r="I964" s="338"/>
      <c r="J964" s="338"/>
      <c r="K964" s="338"/>
      <c r="L964" s="338"/>
      <c r="M964" s="338"/>
      <c r="N964" s="338"/>
      <c r="O964" s="338"/>
      <c r="P964" s="338"/>
      <c r="Q964" s="338"/>
      <c r="R964" s="338"/>
      <c r="S964" s="338"/>
      <c r="T964" s="230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</row>
    <row r="965" spans="1:30">
      <c r="A965" s="189"/>
      <c r="B965" s="189"/>
      <c r="C965" s="189"/>
      <c r="D965" s="189"/>
      <c r="E965" s="189"/>
      <c r="F965" s="189"/>
      <c r="G965" s="189"/>
      <c r="H965" s="189"/>
      <c r="I965" s="338"/>
      <c r="J965" s="338"/>
      <c r="K965" s="338"/>
      <c r="L965" s="338"/>
      <c r="M965" s="338"/>
      <c r="N965" s="338"/>
      <c r="O965" s="338"/>
      <c r="P965" s="338"/>
      <c r="Q965" s="338"/>
      <c r="R965" s="338"/>
      <c r="S965" s="338"/>
      <c r="T965" s="230"/>
      <c r="U965" s="189"/>
      <c r="V965" s="189"/>
      <c r="W965" s="189"/>
      <c r="X965" s="189"/>
      <c r="Y965" s="189"/>
      <c r="Z965" s="189"/>
      <c r="AA965" s="189"/>
      <c r="AB965" s="189"/>
      <c r="AC965" s="189"/>
      <c r="AD965" s="189"/>
    </row>
    <row r="966" spans="1:30">
      <c r="A966" s="189"/>
      <c r="B966" s="189"/>
      <c r="C966" s="189"/>
      <c r="D966" s="189"/>
      <c r="E966" s="189"/>
      <c r="F966" s="189"/>
      <c r="G966" s="189"/>
      <c r="H966" s="189"/>
      <c r="I966" s="338"/>
      <c r="J966" s="338"/>
      <c r="K966" s="338"/>
      <c r="L966" s="338"/>
      <c r="M966" s="338"/>
      <c r="N966" s="338"/>
      <c r="O966" s="338"/>
      <c r="P966" s="338"/>
      <c r="Q966" s="338"/>
      <c r="R966" s="338"/>
      <c r="S966" s="338"/>
      <c r="T966" s="230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</row>
    <row r="967" spans="1:30">
      <c r="A967" s="189"/>
      <c r="B967" s="189"/>
      <c r="C967" s="189"/>
      <c r="D967" s="189"/>
      <c r="E967" s="189"/>
      <c r="F967" s="189"/>
      <c r="G967" s="189"/>
      <c r="H967" s="189"/>
      <c r="I967" s="338"/>
      <c r="J967" s="338"/>
      <c r="K967" s="338"/>
      <c r="L967" s="338"/>
      <c r="M967" s="338"/>
      <c r="N967" s="338"/>
      <c r="O967" s="338"/>
      <c r="P967" s="338"/>
      <c r="Q967" s="338"/>
      <c r="R967" s="338"/>
      <c r="S967" s="338"/>
      <c r="T967" s="230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</row>
    <row r="968" spans="1:30">
      <c r="A968" s="189"/>
      <c r="B968" s="189"/>
      <c r="C968" s="189"/>
      <c r="D968" s="189"/>
      <c r="E968" s="189"/>
      <c r="F968" s="189"/>
      <c r="G968" s="189"/>
      <c r="H968" s="189"/>
      <c r="I968" s="338"/>
      <c r="J968" s="338"/>
      <c r="K968" s="338"/>
      <c r="L968" s="338"/>
      <c r="M968" s="338"/>
      <c r="N968" s="338"/>
      <c r="O968" s="338"/>
      <c r="P968" s="338"/>
      <c r="Q968" s="338"/>
      <c r="R968" s="338"/>
      <c r="S968" s="338"/>
      <c r="T968" s="230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</row>
    <row r="969" spans="1:30">
      <c r="A969" s="189"/>
      <c r="B969" s="189"/>
      <c r="C969" s="189"/>
      <c r="D969" s="189"/>
      <c r="E969" s="189"/>
      <c r="F969" s="189"/>
      <c r="G969" s="189"/>
      <c r="H969" s="189"/>
      <c r="I969" s="338"/>
      <c r="J969" s="338"/>
      <c r="K969" s="338"/>
      <c r="L969" s="338"/>
      <c r="M969" s="338"/>
      <c r="N969" s="338"/>
      <c r="O969" s="338"/>
      <c r="P969" s="338"/>
      <c r="Q969" s="338"/>
      <c r="R969" s="338"/>
      <c r="S969" s="338"/>
      <c r="T969" s="230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</row>
    <row r="970" spans="1:30">
      <c r="A970" s="189"/>
      <c r="B970" s="189"/>
      <c r="C970" s="189"/>
      <c r="D970" s="189"/>
      <c r="E970" s="189"/>
      <c r="F970" s="189"/>
      <c r="G970" s="189"/>
      <c r="H970" s="189"/>
      <c r="I970" s="338"/>
      <c r="J970" s="338"/>
      <c r="K970" s="338"/>
      <c r="L970" s="338"/>
      <c r="M970" s="338"/>
      <c r="N970" s="338"/>
      <c r="O970" s="338"/>
      <c r="P970" s="338"/>
      <c r="Q970" s="338"/>
      <c r="R970" s="338"/>
      <c r="S970" s="338"/>
      <c r="T970" s="230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</row>
    <row r="971" spans="1:30">
      <c r="A971" s="189"/>
      <c r="B971" s="189"/>
      <c r="C971" s="189"/>
      <c r="D971" s="189"/>
      <c r="E971" s="189"/>
      <c r="F971" s="189"/>
      <c r="G971" s="189"/>
      <c r="H971" s="189"/>
      <c r="I971" s="338"/>
      <c r="J971" s="338"/>
      <c r="K971" s="338"/>
      <c r="L971" s="338"/>
      <c r="M971" s="338"/>
      <c r="N971" s="338"/>
      <c r="O971" s="338"/>
      <c r="P971" s="338"/>
      <c r="Q971" s="338"/>
      <c r="R971" s="338"/>
      <c r="S971" s="338"/>
      <c r="T971" s="230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</row>
    <row r="972" spans="1:30">
      <c r="A972" s="189"/>
      <c r="B972" s="189"/>
      <c r="C972" s="189"/>
      <c r="D972" s="189"/>
      <c r="E972" s="189"/>
      <c r="F972" s="189"/>
      <c r="G972" s="189"/>
      <c r="H972" s="189"/>
      <c r="I972" s="338"/>
      <c r="J972" s="338"/>
      <c r="K972" s="338"/>
      <c r="L972" s="338"/>
      <c r="M972" s="338"/>
      <c r="N972" s="338"/>
      <c r="O972" s="338"/>
      <c r="P972" s="338"/>
      <c r="Q972" s="338"/>
      <c r="R972" s="338"/>
      <c r="S972" s="338"/>
      <c r="T972" s="230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</row>
    <row r="973" spans="1:30">
      <c r="A973" s="189"/>
      <c r="B973" s="189"/>
      <c r="C973" s="189"/>
      <c r="D973" s="189"/>
      <c r="E973" s="189"/>
      <c r="F973" s="189"/>
      <c r="G973" s="189"/>
      <c r="H973" s="189"/>
      <c r="I973" s="338"/>
      <c r="J973" s="338"/>
      <c r="K973" s="338"/>
      <c r="L973" s="338"/>
      <c r="M973" s="338"/>
      <c r="N973" s="338"/>
      <c r="O973" s="338"/>
      <c r="P973" s="338"/>
      <c r="Q973" s="338"/>
      <c r="R973" s="338"/>
      <c r="S973" s="338"/>
      <c r="T973" s="230"/>
      <c r="U973" s="189"/>
      <c r="V973" s="189"/>
      <c r="W973" s="189"/>
      <c r="X973" s="189"/>
      <c r="Y973" s="189"/>
      <c r="Z973" s="189"/>
      <c r="AA973" s="189"/>
      <c r="AB973" s="189"/>
      <c r="AC973" s="189"/>
      <c r="AD973" s="189"/>
    </row>
    <row r="974" spans="1:30">
      <c r="A974" s="189"/>
      <c r="B974" s="189"/>
      <c r="C974" s="189"/>
      <c r="D974" s="189"/>
      <c r="E974" s="189"/>
      <c r="F974" s="189"/>
      <c r="G974" s="189"/>
      <c r="H974" s="189"/>
      <c r="I974" s="338"/>
      <c r="J974" s="338"/>
      <c r="K974" s="338"/>
      <c r="L974" s="338"/>
      <c r="M974" s="338"/>
      <c r="N974" s="338"/>
      <c r="O974" s="338"/>
      <c r="P974" s="338"/>
      <c r="Q974" s="338"/>
      <c r="R974" s="338"/>
      <c r="S974" s="338"/>
      <c r="T974" s="230"/>
      <c r="U974" s="189"/>
      <c r="V974" s="189"/>
      <c r="W974" s="189"/>
      <c r="X974" s="189"/>
      <c r="Y974" s="189"/>
      <c r="Z974" s="189"/>
      <c r="AA974" s="189"/>
      <c r="AB974" s="189"/>
      <c r="AC974" s="189"/>
      <c r="AD974" s="189"/>
    </row>
    <row r="975" spans="1:30">
      <c r="A975" s="189"/>
      <c r="B975" s="189"/>
      <c r="C975" s="189"/>
      <c r="D975" s="189"/>
      <c r="E975" s="189"/>
      <c r="F975" s="189"/>
      <c r="G975" s="189"/>
      <c r="H975" s="189"/>
      <c r="I975" s="338"/>
      <c r="J975" s="338"/>
      <c r="K975" s="338"/>
      <c r="L975" s="338"/>
      <c r="M975" s="338"/>
      <c r="N975" s="338"/>
      <c r="O975" s="338"/>
      <c r="P975" s="338"/>
      <c r="Q975" s="338"/>
      <c r="R975" s="338"/>
      <c r="S975" s="338"/>
      <c r="T975" s="230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</row>
    <row r="976" spans="1:30">
      <c r="A976" s="189"/>
      <c r="B976" s="189"/>
      <c r="C976" s="189"/>
      <c r="D976" s="189"/>
      <c r="E976" s="189"/>
      <c r="F976" s="189"/>
      <c r="G976" s="189"/>
      <c r="H976" s="189"/>
      <c r="I976" s="338"/>
      <c r="J976" s="338"/>
      <c r="K976" s="338"/>
      <c r="L976" s="338"/>
      <c r="M976" s="338"/>
      <c r="N976" s="338"/>
      <c r="O976" s="338"/>
      <c r="P976" s="338"/>
      <c r="Q976" s="338"/>
      <c r="R976" s="338"/>
      <c r="S976" s="338"/>
      <c r="T976" s="230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</row>
    <row r="977" spans="1:30">
      <c r="A977" s="189"/>
      <c r="B977" s="189"/>
      <c r="C977" s="189"/>
      <c r="D977" s="189"/>
      <c r="E977" s="189"/>
      <c r="F977" s="189"/>
      <c r="G977" s="189"/>
      <c r="H977" s="189"/>
      <c r="I977" s="338"/>
      <c r="J977" s="338"/>
      <c r="K977" s="338"/>
      <c r="L977" s="338"/>
      <c r="M977" s="338"/>
      <c r="N977" s="338"/>
      <c r="O977" s="338"/>
      <c r="P977" s="338"/>
      <c r="Q977" s="338"/>
      <c r="R977" s="338"/>
      <c r="S977" s="338"/>
      <c r="T977" s="230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</row>
    <row r="978" spans="1:30">
      <c r="A978" s="189"/>
      <c r="B978" s="189"/>
      <c r="C978" s="189"/>
      <c r="D978" s="189"/>
      <c r="E978" s="189"/>
      <c r="F978" s="189"/>
      <c r="G978" s="189"/>
      <c r="H978" s="189"/>
      <c r="I978" s="338"/>
      <c r="J978" s="338"/>
      <c r="K978" s="338"/>
      <c r="L978" s="338"/>
      <c r="M978" s="338"/>
      <c r="N978" s="338"/>
      <c r="O978" s="338"/>
      <c r="P978" s="338"/>
      <c r="Q978" s="338"/>
      <c r="R978" s="338"/>
      <c r="S978" s="338"/>
      <c r="T978" s="230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</row>
    <row r="979" spans="1:30">
      <c r="A979" s="189"/>
      <c r="B979" s="189"/>
      <c r="C979" s="189"/>
      <c r="D979" s="189"/>
      <c r="E979" s="189"/>
      <c r="F979" s="189"/>
      <c r="G979" s="189"/>
      <c r="H979" s="189"/>
      <c r="I979" s="338"/>
      <c r="J979" s="338"/>
      <c r="K979" s="338"/>
      <c r="L979" s="338"/>
      <c r="M979" s="338"/>
      <c r="N979" s="338"/>
      <c r="O979" s="338"/>
      <c r="P979" s="338"/>
      <c r="Q979" s="338"/>
      <c r="R979" s="338"/>
      <c r="S979" s="338"/>
      <c r="T979" s="230"/>
      <c r="U979" s="189"/>
      <c r="V979" s="189"/>
      <c r="W979" s="189"/>
      <c r="X979" s="189"/>
      <c r="Y979" s="189"/>
      <c r="Z979" s="189"/>
      <c r="AA979" s="189"/>
      <c r="AB979" s="189"/>
      <c r="AC979" s="189"/>
      <c r="AD979" s="189"/>
    </row>
    <row r="980" spans="1:30">
      <c r="A980" s="189"/>
      <c r="B980" s="189"/>
      <c r="C980" s="189"/>
      <c r="D980" s="189"/>
      <c r="E980" s="189"/>
      <c r="F980" s="189"/>
      <c r="G980" s="189"/>
      <c r="H980" s="189"/>
      <c r="I980" s="338"/>
      <c r="J980" s="338"/>
      <c r="K980" s="338"/>
      <c r="L980" s="338"/>
      <c r="M980" s="338"/>
      <c r="N980" s="338"/>
      <c r="O980" s="338"/>
      <c r="P980" s="338"/>
      <c r="Q980" s="338"/>
      <c r="R980" s="338"/>
      <c r="S980" s="338"/>
      <c r="T980" s="230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</row>
    <row r="981" spans="1:30">
      <c r="A981" s="189"/>
      <c r="B981" s="189"/>
      <c r="C981" s="189"/>
      <c r="D981" s="189"/>
      <c r="E981" s="189"/>
      <c r="F981" s="189"/>
      <c r="G981" s="189"/>
      <c r="H981" s="189"/>
      <c r="I981" s="338"/>
      <c r="J981" s="338"/>
      <c r="K981" s="338"/>
      <c r="L981" s="338"/>
      <c r="M981" s="338"/>
      <c r="N981" s="338"/>
      <c r="O981" s="338"/>
      <c r="P981" s="338"/>
      <c r="Q981" s="338"/>
      <c r="R981" s="338"/>
      <c r="S981" s="338"/>
      <c r="T981" s="230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</row>
    <row r="982" spans="1:30">
      <c r="A982" s="189"/>
      <c r="B982" s="189"/>
      <c r="C982" s="189"/>
      <c r="D982" s="189"/>
      <c r="E982" s="189"/>
      <c r="F982" s="189"/>
      <c r="G982" s="189"/>
      <c r="H982" s="189"/>
      <c r="I982" s="338"/>
      <c r="J982" s="338"/>
      <c r="K982" s="338"/>
      <c r="L982" s="338"/>
      <c r="M982" s="338"/>
      <c r="N982" s="338"/>
      <c r="O982" s="338"/>
      <c r="P982" s="338"/>
      <c r="Q982" s="338"/>
      <c r="R982" s="338"/>
      <c r="S982" s="338"/>
      <c r="T982" s="230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</row>
    <row r="983" spans="1:30">
      <c r="A983" s="189"/>
      <c r="B983" s="189"/>
      <c r="C983" s="189"/>
      <c r="D983" s="189"/>
      <c r="E983" s="189"/>
      <c r="F983" s="189"/>
      <c r="G983" s="189"/>
      <c r="H983" s="189"/>
      <c r="I983" s="338"/>
      <c r="J983" s="338"/>
      <c r="K983" s="338"/>
      <c r="L983" s="338"/>
      <c r="M983" s="338"/>
      <c r="N983" s="338"/>
      <c r="O983" s="338"/>
      <c r="P983" s="338"/>
      <c r="Q983" s="338"/>
      <c r="R983" s="338"/>
      <c r="S983" s="338"/>
      <c r="T983" s="230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</row>
    <row r="984" spans="1:30">
      <c r="A984" s="189"/>
      <c r="B984" s="189"/>
      <c r="C984" s="189"/>
      <c r="D984" s="189"/>
      <c r="E984" s="189"/>
      <c r="F984" s="189"/>
      <c r="G984" s="189"/>
      <c r="H984" s="189"/>
      <c r="I984" s="338"/>
      <c r="J984" s="338"/>
      <c r="K984" s="338"/>
      <c r="L984" s="338"/>
      <c r="M984" s="338"/>
      <c r="N984" s="338"/>
      <c r="O984" s="338"/>
      <c r="P984" s="338"/>
      <c r="Q984" s="338"/>
      <c r="R984" s="338"/>
      <c r="S984" s="338"/>
      <c r="T984" s="230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</row>
    <row r="985" spans="1:30">
      <c r="A985" s="189"/>
      <c r="B985" s="189"/>
      <c r="C985" s="189"/>
      <c r="D985" s="189"/>
      <c r="E985" s="189"/>
      <c r="F985" s="189"/>
      <c r="G985" s="189"/>
      <c r="H985" s="189"/>
      <c r="I985" s="338"/>
      <c r="J985" s="338"/>
      <c r="K985" s="338"/>
      <c r="L985" s="338"/>
      <c r="M985" s="338"/>
      <c r="N985" s="338"/>
      <c r="O985" s="338"/>
      <c r="P985" s="338"/>
      <c r="Q985" s="338"/>
      <c r="R985" s="338"/>
      <c r="S985" s="338"/>
      <c r="T985" s="230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</row>
    <row r="986" spans="1:30">
      <c r="A986" s="189"/>
      <c r="B986" s="189"/>
      <c r="C986" s="189"/>
      <c r="D986" s="189"/>
      <c r="E986" s="189"/>
      <c r="F986" s="189"/>
      <c r="G986" s="189"/>
      <c r="H986" s="189"/>
      <c r="I986" s="338"/>
      <c r="J986" s="338"/>
      <c r="K986" s="338"/>
      <c r="L986" s="338"/>
      <c r="M986" s="338"/>
      <c r="N986" s="338"/>
      <c r="O986" s="338"/>
      <c r="P986" s="338"/>
      <c r="Q986" s="338"/>
      <c r="R986" s="338"/>
      <c r="S986" s="338"/>
      <c r="T986" s="230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</row>
    <row r="987" spans="1:30">
      <c r="A987" s="189"/>
      <c r="B987" s="189"/>
      <c r="C987" s="189"/>
      <c r="D987" s="189"/>
      <c r="E987" s="189"/>
      <c r="F987" s="189"/>
      <c r="G987" s="189"/>
      <c r="H987" s="189"/>
      <c r="I987" s="338"/>
      <c r="J987" s="338"/>
      <c r="K987" s="338"/>
      <c r="L987" s="338"/>
      <c r="M987" s="338"/>
      <c r="N987" s="338"/>
      <c r="O987" s="338"/>
      <c r="P987" s="338"/>
      <c r="Q987" s="338"/>
      <c r="R987" s="338"/>
      <c r="S987" s="338"/>
      <c r="T987" s="230"/>
      <c r="U987" s="189"/>
      <c r="V987" s="189"/>
      <c r="W987" s="189"/>
      <c r="X987" s="189"/>
      <c r="Y987" s="189"/>
      <c r="Z987" s="189"/>
      <c r="AA987" s="189"/>
      <c r="AB987" s="189"/>
      <c r="AC987" s="189"/>
      <c r="AD987" s="189"/>
    </row>
    <row r="988" spans="1:30">
      <c r="A988" s="189"/>
      <c r="B988" s="189"/>
      <c r="C988" s="189"/>
      <c r="D988" s="189"/>
      <c r="E988" s="189"/>
      <c r="F988" s="189"/>
      <c r="G988" s="189"/>
      <c r="H988" s="189"/>
      <c r="I988" s="338"/>
      <c r="J988" s="338"/>
      <c r="K988" s="338"/>
      <c r="L988" s="338"/>
      <c r="M988" s="338"/>
      <c r="N988" s="338"/>
      <c r="O988" s="338"/>
      <c r="P988" s="338"/>
      <c r="Q988" s="338"/>
      <c r="R988" s="338"/>
      <c r="S988" s="338"/>
      <c r="T988" s="230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</row>
    <row r="989" spans="1:30">
      <c r="A989" s="189"/>
      <c r="B989" s="189"/>
      <c r="C989" s="189"/>
      <c r="D989" s="189"/>
      <c r="E989" s="189"/>
      <c r="F989" s="189"/>
      <c r="G989" s="189"/>
      <c r="H989" s="189"/>
      <c r="I989" s="338"/>
      <c r="J989" s="338"/>
      <c r="K989" s="338"/>
      <c r="L989" s="338"/>
      <c r="M989" s="338"/>
      <c r="N989" s="338"/>
      <c r="O989" s="338"/>
      <c r="P989" s="338"/>
      <c r="Q989" s="338"/>
      <c r="R989" s="338"/>
      <c r="S989" s="338"/>
      <c r="T989" s="230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</row>
    <row r="990" spans="1:30">
      <c r="A990" s="189"/>
      <c r="B990" s="189"/>
      <c r="C990" s="189"/>
      <c r="D990" s="189"/>
      <c r="E990" s="189"/>
      <c r="F990" s="189"/>
      <c r="G990" s="189"/>
      <c r="H990" s="189"/>
      <c r="I990" s="338"/>
      <c r="J990" s="338"/>
      <c r="K990" s="338"/>
      <c r="L990" s="338"/>
      <c r="M990" s="338"/>
      <c r="N990" s="338"/>
      <c r="O990" s="338"/>
      <c r="P990" s="338"/>
      <c r="Q990" s="338"/>
      <c r="R990" s="338"/>
      <c r="S990" s="338"/>
      <c r="T990" s="230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</row>
    <row r="991" spans="1:30">
      <c r="A991" s="189"/>
      <c r="B991" s="189"/>
      <c r="C991" s="189"/>
      <c r="D991" s="189"/>
      <c r="E991" s="189"/>
      <c r="F991" s="189"/>
      <c r="G991" s="189"/>
      <c r="H991" s="189"/>
      <c r="I991" s="338"/>
      <c r="J991" s="338"/>
      <c r="K991" s="338"/>
      <c r="L991" s="338"/>
      <c r="M991" s="338"/>
      <c r="N991" s="338"/>
      <c r="O991" s="338"/>
      <c r="P991" s="338"/>
      <c r="Q991" s="338"/>
      <c r="R991" s="338"/>
      <c r="S991" s="338"/>
      <c r="T991" s="230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</row>
    <row r="992" spans="1:30">
      <c r="A992" s="189"/>
      <c r="B992" s="189"/>
      <c r="C992" s="189"/>
      <c r="D992" s="189"/>
      <c r="E992" s="189"/>
      <c r="F992" s="189"/>
      <c r="G992" s="189"/>
      <c r="H992" s="189"/>
      <c r="I992" s="338"/>
      <c r="J992" s="338"/>
      <c r="K992" s="338"/>
      <c r="L992" s="338"/>
      <c r="M992" s="338"/>
      <c r="N992" s="338"/>
      <c r="O992" s="338"/>
      <c r="P992" s="338"/>
      <c r="Q992" s="338"/>
      <c r="R992" s="338"/>
      <c r="S992" s="338"/>
      <c r="T992" s="230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</row>
    <row r="993" spans="1:30">
      <c r="A993" s="189"/>
      <c r="B993" s="189"/>
      <c r="C993" s="189"/>
      <c r="D993" s="189"/>
      <c r="E993" s="189"/>
      <c r="F993" s="189"/>
      <c r="G993" s="189"/>
      <c r="H993" s="189"/>
      <c r="I993" s="338"/>
      <c r="J993" s="338"/>
      <c r="K993" s="338"/>
      <c r="L993" s="338"/>
      <c r="M993" s="338"/>
      <c r="N993" s="338"/>
      <c r="O993" s="338"/>
      <c r="P993" s="338"/>
      <c r="Q993" s="338"/>
      <c r="R993" s="338"/>
      <c r="S993" s="338"/>
      <c r="T993" s="230"/>
      <c r="U993" s="189"/>
      <c r="V993" s="189"/>
      <c r="W993" s="189"/>
      <c r="X993" s="189"/>
      <c r="Y993" s="189"/>
      <c r="Z993" s="189"/>
      <c r="AA993" s="189"/>
      <c r="AB993" s="189"/>
      <c r="AC993" s="189"/>
      <c r="AD993" s="189"/>
    </row>
    <row r="994" spans="1:30">
      <c r="A994" s="189"/>
      <c r="B994" s="189"/>
      <c r="C994" s="189"/>
      <c r="D994" s="189"/>
      <c r="E994" s="189"/>
      <c r="F994" s="189"/>
      <c r="G994" s="189"/>
      <c r="H994" s="189"/>
      <c r="I994" s="338"/>
      <c r="J994" s="338"/>
      <c r="K994" s="338"/>
      <c r="L994" s="338"/>
      <c r="M994" s="338"/>
      <c r="N994" s="338"/>
      <c r="O994" s="338"/>
      <c r="P994" s="338"/>
      <c r="Q994" s="338"/>
      <c r="R994" s="338"/>
      <c r="S994" s="338"/>
      <c r="T994" s="230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</row>
    <row r="995" spans="1:30">
      <c r="A995" s="189"/>
      <c r="B995" s="189"/>
      <c r="C995" s="189"/>
      <c r="D995" s="189"/>
      <c r="E995" s="189"/>
      <c r="F995" s="189"/>
      <c r="G995" s="189"/>
      <c r="H995" s="189"/>
      <c r="I995" s="338"/>
      <c r="J995" s="338"/>
      <c r="K995" s="338"/>
      <c r="L995" s="338"/>
      <c r="M995" s="338"/>
      <c r="N995" s="338"/>
      <c r="O995" s="338"/>
      <c r="P995" s="338"/>
      <c r="Q995" s="338"/>
      <c r="R995" s="338"/>
      <c r="S995" s="338"/>
      <c r="T995" s="230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</row>
    <row r="996" spans="1:30">
      <c r="A996" s="189"/>
      <c r="B996" s="189"/>
      <c r="C996" s="189"/>
      <c r="D996" s="189"/>
      <c r="E996" s="189"/>
      <c r="F996" s="189"/>
      <c r="G996" s="189"/>
      <c r="H996" s="189"/>
      <c r="I996" s="338"/>
      <c r="J996" s="338"/>
      <c r="K996" s="338"/>
      <c r="L996" s="338"/>
      <c r="M996" s="338"/>
      <c r="N996" s="338"/>
      <c r="O996" s="338"/>
      <c r="P996" s="338"/>
      <c r="Q996" s="338"/>
      <c r="R996" s="338"/>
      <c r="S996" s="338"/>
      <c r="T996" s="230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</row>
    <row r="997" spans="1:30">
      <c r="A997" s="189"/>
      <c r="B997" s="189"/>
      <c r="C997" s="189"/>
      <c r="D997" s="189"/>
      <c r="E997" s="189"/>
      <c r="F997" s="189"/>
      <c r="G997" s="189"/>
      <c r="H997" s="189"/>
      <c r="I997" s="338"/>
      <c r="J997" s="338"/>
      <c r="K997" s="338"/>
      <c r="L997" s="338"/>
      <c r="M997" s="338"/>
      <c r="N997" s="338"/>
      <c r="O997" s="338"/>
      <c r="P997" s="338"/>
      <c r="Q997" s="338"/>
      <c r="R997" s="338"/>
      <c r="S997" s="338"/>
      <c r="T997" s="230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</row>
    <row r="998" spans="1:30">
      <c r="A998" s="189"/>
      <c r="B998" s="189"/>
      <c r="C998" s="189"/>
      <c r="D998" s="189"/>
      <c r="E998" s="189"/>
      <c r="F998" s="189"/>
      <c r="G998" s="189"/>
      <c r="H998" s="189"/>
      <c r="I998" s="338"/>
      <c r="J998" s="338"/>
      <c r="K998" s="338"/>
      <c r="L998" s="338"/>
      <c r="M998" s="338"/>
      <c r="N998" s="338"/>
      <c r="O998" s="338"/>
      <c r="P998" s="338"/>
      <c r="Q998" s="338"/>
      <c r="R998" s="338"/>
      <c r="S998" s="338"/>
      <c r="T998" s="230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</row>
    <row r="999" spans="1:30"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</row>
    <row r="1000" spans="1:30"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</row>
  </sheetData>
  <mergeCells count="2">
    <mergeCell ref="I2:T2"/>
    <mergeCell ref="A263:L26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96"/>
  <sheetViews>
    <sheetView showGridLines="0" zoomScale="71" zoomScaleNormal="71" workbookViewId="0">
      <selection activeCell="H1" sqref="G1:H1"/>
    </sheetView>
  </sheetViews>
  <sheetFormatPr baseColWidth="10" defaultColWidth="15.140625" defaultRowHeight="15" customHeight="1"/>
  <cols>
    <col min="1" max="1" width="5.140625" customWidth="1"/>
    <col min="2" max="2" width="5.7109375" customWidth="1"/>
    <col min="3" max="3" width="5.28515625" customWidth="1"/>
    <col min="4" max="4" width="18.42578125" customWidth="1"/>
    <col min="5" max="5" width="20.85546875" customWidth="1"/>
    <col min="6" max="6" width="7.140625" customWidth="1"/>
    <col min="7" max="7" width="7.85546875" bestFit="1" customWidth="1"/>
    <col min="8" max="8" width="5.5703125" customWidth="1"/>
    <col min="9" max="9" width="18" customWidth="1"/>
    <col min="10" max="10" width="20" customWidth="1"/>
    <col min="11" max="11" width="33.7109375" customWidth="1"/>
    <col min="12" max="12" width="34" customWidth="1"/>
    <col min="13" max="18" width="8" customWidth="1"/>
  </cols>
  <sheetData>
    <row r="1" spans="1:18" ht="10.5" customHeight="1">
      <c r="A1" s="342"/>
      <c r="B1" s="342"/>
      <c r="C1" s="343"/>
      <c r="D1" s="344"/>
      <c r="E1" s="345"/>
      <c r="F1" s="346"/>
      <c r="G1" s="344"/>
      <c r="H1" s="347"/>
      <c r="I1" s="348" t="s">
        <v>262</v>
      </c>
      <c r="J1" s="349" t="s">
        <v>263</v>
      </c>
      <c r="K1" s="350" t="s">
        <v>264</v>
      </c>
      <c r="L1" s="350" t="s">
        <v>1</v>
      </c>
    </row>
    <row r="2" spans="1:18" ht="30" customHeight="1">
      <c r="A2" s="344"/>
      <c r="B2" s="344"/>
      <c r="C2" s="344"/>
      <c r="D2" s="344"/>
      <c r="E2" s="345"/>
      <c r="F2" s="346"/>
      <c r="G2" s="344"/>
      <c r="H2" s="11"/>
      <c r="I2" s="669"/>
      <c r="J2" s="670"/>
      <c r="K2" s="670"/>
      <c r="L2" s="670"/>
    </row>
    <row r="3" spans="1:18" ht="24.75" customHeight="1">
      <c r="A3" s="12" t="s">
        <v>3</v>
      </c>
      <c r="B3" s="12" t="s">
        <v>4</v>
      </c>
      <c r="C3" s="12" t="s">
        <v>5</v>
      </c>
      <c r="D3" s="12" t="s">
        <v>6</v>
      </c>
      <c r="E3" s="13" t="s">
        <v>7</v>
      </c>
      <c r="F3" s="12" t="s">
        <v>8</v>
      </c>
      <c r="G3" s="12" t="s">
        <v>9</v>
      </c>
      <c r="H3" s="12" t="s">
        <v>10</v>
      </c>
      <c r="I3" s="351" t="s">
        <v>262</v>
      </c>
      <c r="J3" s="349" t="s">
        <v>263</v>
      </c>
      <c r="K3" s="349" t="s">
        <v>264</v>
      </c>
      <c r="L3" s="12" t="s">
        <v>1</v>
      </c>
      <c r="M3" s="15"/>
      <c r="N3" s="15"/>
      <c r="O3" s="15"/>
      <c r="P3" s="15"/>
      <c r="Q3" s="15"/>
      <c r="R3" s="15"/>
    </row>
    <row r="4" spans="1:18" ht="15.75" customHeight="1">
      <c r="A4" s="352">
        <v>2</v>
      </c>
      <c r="B4" s="352">
        <v>1</v>
      </c>
      <c r="C4" s="352">
        <v>1</v>
      </c>
      <c r="D4" s="352" t="s">
        <v>22</v>
      </c>
      <c r="E4" s="353" t="s">
        <v>23</v>
      </c>
      <c r="F4" s="354" t="s">
        <v>25</v>
      </c>
      <c r="G4" s="355">
        <v>30876</v>
      </c>
      <c r="H4" s="356">
        <v>510</v>
      </c>
      <c r="I4" s="357"/>
      <c r="J4" s="358"/>
      <c r="K4" s="358"/>
      <c r="L4" s="358" t="s">
        <v>26</v>
      </c>
    </row>
    <row r="5" spans="1:18" ht="15.75" customHeight="1">
      <c r="A5" s="352">
        <v>2</v>
      </c>
      <c r="B5" s="352">
        <v>1</v>
      </c>
      <c r="C5" s="352">
        <v>2</v>
      </c>
      <c r="D5" s="352" t="s">
        <v>27</v>
      </c>
      <c r="E5" s="353" t="s">
        <v>28</v>
      </c>
      <c r="F5" s="354" t="s">
        <v>25</v>
      </c>
      <c r="G5" s="355">
        <v>30877</v>
      </c>
      <c r="H5" s="356">
        <v>250</v>
      </c>
      <c r="I5" s="357"/>
      <c r="J5" s="358"/>
      <c r="K5" s="358"/>
      <c r="L5" s="358" t="s">
        <v>26</v>
      </c>
    </row>
    <row r="6" spans="1:18" ht="15.75" customHeight="1">
      <c r="A6" s="352">
        <v>2</v>
      </c>
      <c r="B6" s="352">
        <v>1</v>
      </c>
      <c r="C6" s="352">
        <v>2</v>
      </c>
      <c r="D6" s="352" t="s">
        <v>22</v>
      </c>
      <c r="E6" s="353" t="s">
        <v>23</v>
      </c>
      <c r="F6" s="354" t="s">
        <v>25</v>
      </c>
      <c r="G6" s="355">
        <v>30876</v>
      </c>
      <c r="H6" s="356">
        <v>290</v>
      </c>
      <c r="I6" s="357"/>
      <c r="J6" s="358"/>
      <c r="K6" s="358"/>
      <c r="L6" s="358" t="s">
        <v>26</v>
      </c>
    </row>
    <row r="7" spans="1:18" ht="15.75" customHeight="1">
      <c r="A7" s="359">
        <v>2</v>
      </c>
      <c r="B7" s="359">
        <v>1</v>
      </c>
      <c r="C7" s="359">
        <v>3</v>
      </c>
      <c r="D7" s="359" t="s">
        <v>29</v>
      </c>
      <c r="E7" s="360" t="s">
        <v>30</v>
      </c>
      <c r="F7" s="361" t="s">
        <v>31</v>
      </c>
      <c r="G7" s="362">
        <v>50759</v>
      </c>
      <c r="H7" s="363">
        <v>232</v>
      </c>
      <c r="I7" s="364" t="s">
        <v>265</v>
      </c>
      <c r="J7" s="365">
        <v>2</v>
      </c>
      <c r="K7" s="365" t="s">
        <v>267</v>
      </c>
      <c r="L7" s="366"/>
    </row>
    <row r="8" spans="1:18" ht="15.75" customHeight="1">
      <c r="A8" s="359">
        <v>2</v>
      </c>
      <c r="B8" s="359">
        <v>1</v>
      </c>
      <c r="C8" s="359">
        <v>5</v>
      </c>
      <c r="D8" s="359" t="s">
        <v>32</v>
      </c>
      <c r="E8" s="360" t="s">
        <v>33</v>
      </c>
      <c r="F8" s="361" t="s">
        <v>34</v>
      </c>
      <c r="G8" s="362">
        <v>50616</v>
      </c>
      <c r="H8" s="363">
        <v>468</v>
      </c>
      <c r="I8" s="364" t="s">
        <v>265</v>
      </c>
      <c r="J8" s="365">
        <v>2</v>
      </c>
      <c r="K8" s="365" t="s">
        <v>269</v>
      </c>
      <c r="L8" s="366"/>
    </row>
    <row r="9" spans="1:18" ht="15.75" customHeight="1">
      <c r="A9" s="359">
        <v>2</v>
      </c>
      <c r="B9" s="359">
        <v>1</v>
      </c>
      <c r="C9" s="359">
        <v>8</v>
      </c>
      <c r="D9" s="359" t="s">
        <v>35</v>
      </c>
      <c r="E9" s="360" t="s">
        <v>36</v>
      </c>
      <c r="F9" s="361" t="s">
        <v>31</v>
      </c>
      <c r="G9" s="362">
        <v>50794</v>
      </c>
      <c r="H9" s="363">
        <v>392</v>
      </c>
      <c r="I9" s="364" t="s">
        <v>265</v>
      </c>
      <c r="J9" s="365">
        <v>2</v>
      </c>
      <c r="K9" s="365" t="s">
        <v>270</v>
      </c>
      <c r="L9" s="366"/>
    </row>
    <row r="10" spans="1:18" ht="15.75" customHeight="1">
      <c r="A10" s="359">
        <v>2</v>
      </c>
      <c r="B10" s="359">
        <v>1</v>
      </c>
      <c r="C10" s="359">
        <v>9</v>
      </c>
      <c r="D10" s="359" t="s">
        <v>37</v>
      </c>
      <c r="E10" s="360" t="s">
        <v>38</v>
      </c>
      <c r="F10" s="361" t="s">
        <v>34</v>
      </c>
      <c r="G10" s="362">
        <v>50663</v>
      </c>
      <c r="H10" s="363">
        <v>127</v>
      </c>
      <c r="I10" s="364" t="s">
        <v>265</v>
      </c>
      <c r="J10" s="365">
        <v>2</v>
      </c>
      <c r="K10" s="365" t="s">
        <v>271</v>
      </c>
      <c r="L10" s="366"/>
    </row>
    <row r="11" spans="1:18" ht="15.75" customHeight="1">
      <c r="A11" s="359">
        <v>2</v>
      </c>
      <c r="B11" s="359">
        <v>1</v>
      </c>
      <c r="C11" s="359">
        <v>9</v>
      </c>
      <c r="D11" s="359" t="s">
        <v>39</v>
      </c>
      <c r="E11" s="360" t="s">
        <v>40</v>
      </c>
      <c r="F11" s="361" t="s">
        <v>25</v>
      </c>
      <c r="G11" s="362">
        <v>50530</v>
      </c>
      <c r="H11" s="363">
        <v>48</v>
      </c>
      <c r="I11" s="364" t="s">
        <v>265</v>
      </c>
      <c r="J11" s="365">
        <v>2</v>
      </c>
      <c r="K11" s="365" t="s">
        <v>269</v>
      </c>
      <c r="L11" s="366"/>
    </row>
    <row r="12" spans="1:18" ht="15.75" customHeight="1">
      <c r="A12" s="84">
        <v>2</v>
      </c>
      <c r="B12" s="84">
        <v>1</v>
      </c>
      <c r="C12" s="84">
        <v>9</v>
      </c>
      <c r="D12" s="84" t="s">
        <v>41</v>
      </c>
      <c r="E12" s="367" t="s">
        <v>42</v>
      </c>
      <c r="F12" s="368" t="s">
        <v>25</v>
      </c>
      <c r="G12" s="369">
        <v>50721</v>
      </c>
      <c r="H12" s="370">
        <v>23</v>
      </c>
      <c r="I12" s="371"/>
      <c r="J12" s="372"/>
      <c r="K12" s="372"/>
      <c r="L12" s="372" t="s">
        <v>43</v>
      </c>
    </row>
    <row r="13" spans="1:18" ht="15.75" customHeight="1">
      <c r="A13" s="359">
        <v>2</v>
      </c>
      <c r="B13" s="359">
        <v>1</v>
      </c>
      <c r="C13" s="359">
        <v>11</v>
      </c>
      <c r="D13" s="359" t="s">
        <v>44</v>
      </c>
      <c r="E13" s="360" t="s">
        <v>45</v>
      </c>
      <c r="F13" s="361" t="s">
        <v>31</v>
      </c>
      <c r="G13" s="362">
        <v>50795</v>
      </c>
      <c r="H13" s="363">
        <v>754</v>
      </c>
      <c r="I13" s="364" t="s">
        <v>272</v>
      </c>
      <c r="J13" s="365">
        <v>3</v>
      </c>
      <c r="K13" s="365" t="s">
        <v>273</v>
      </c>
      <c r="L13" s="366"/>
    </row>
    <row r="14" spans="1:18" ht="15.75" customHeight="1">
      <c r="A14" s="359">
        <v>2</v>
      </c>
      <c r="B14" s="359">
        <v>1</v>
      </c>
      <c r="C14" s="359">
        <v>12</v>
      </c>
      <c r="D14" s="359" t="s">
        <v>46</v>
      </c>
      <c r="E14" s="360" t="s">
        <v>47</v>
      </c>
      <c r="F14" s="361" t="s">
        <v>25</v>
      </c>
      <c r="G14" s="362">
        <v>50262</v>
      </c>
      <c r="H14" s="363">
        <v>472</v>
      </c>
      <c r="I14" s="364" t="s">
        <v>265</v>
      </c>
      <c r="J14" s="365">
        <v>2</v>
      </c>
      <c r="K14" s="365" t="s">
        <v>269</v>
      </c>
      <c r="L14" s="366"/>
    </row>
    <row r="15" spans="1:18" ht="15.75" customHeight="1">
      <c r="A15" s="359">
        <v>2</v>
      </c>
      <c r="B15" s="359">
        <v>1</v>
      </c>
      <c r="C15" s="359">
        <v>13</v>
      </c>
      <c r="D15" s="359" t="s">
        <v>32</v>
      </c>
      <c r="E15" s="360" t="s">
        <v>33</v>
      </c>
      <c r="F15" s="361" t="s">
        <v>48</v>
      </c>
      <c r="G15" s="362">
        <v>50267</v>
      </c>
      <c r="H15" s="363">
        <v>442</v>
      </c>
      <c r="I15" s="364" t="s">
        <v>272</v>
      </c>
      <c r="J15" s="365">
        <v>3</v>
      </c>
      <c r="K15" s="365" t="s">
        <v>273</v>
      </c>
      <c r="L15" s="366"/>
    </row>
    <row r="16" spans="1:18" ht="15.75" customHeight="1">
      <c r="A16" s="359">
        <v>2</v>
      </c>
      <c r="B16" s="359">
        <v>1</v>
      </c>
      <c r="C16" s="359">
        <v>13</v>
      </c>
      <c r="D16" s="359" t="s">
        <v>32</v>
      </c>
      <c r="E16" s="360" t="s">
        <v>33</v>
      </c>
      <c r="F16" s="361" t="s">
        <v>34</v>
      </c>
      <c r="G16" s="362">
        <v>50462</v>
      </c>
      <c r="H16" s="363">
        <v>206</v>
      </c>
      <c r="I16" s="364" t="s">
        <v>272</v>
      </c>
      <c r="J16" s="365">
        <v>3</v>
      </c>
      <c r="K16" s="365" t="s">
        <v>273</v>
      </c>
      <c r="L16" s="366"/>
    </row>
    <row r="17" spans="1:12" ht="15.75" customHeight="1">
      <c r="A17" s="359">
        <v>2</v>
      </c>
      <c r="B17" s="359">
        <v>1</v>
      </c>
      <c r="C17" s="359">
        <v>13</v>
      </c>
      <c r="D17" s="359" t="s">
        <v>32</v>
      </c>
      <c r="E17" s="360" t="s">
        <v>33</v>
      </c>
      <c r="F17" s="361" t="s">
        <v>34</v>
      </c>
      <c r="G17" s="362">
        <v>50616</v>
      </c>
      <c r="H17" s="363">
        <v>21</v>
      </c>
      <c r="I17" s="364" t="s">
        <v>272</v>
      </c>
      <c r="J17" s="365">
        <v>3</v>
      </c>
      <c r="K17" s="365" t="s">
        <v>273</v>
      </c>
      <c r="L17" s="366"/>
    </row>
    <row r="18" spans="1:12" ht="15.75" customHeight="1">
      <c r="A18" s="359">
        <v>2</v>
      </c>
      <c r="B18" s="359">
        <v>1</v>
      </c>
      <c r="C18" s="359">
        <v>13</v>
      </c>
      <c r="D18" s="359" t="s">
        <v>32</v>
      </c>
      <c r="E18" s="360" t="s">
        <v>33</v>
      </c>
      <c r="F18" s="361" t="s">
        <v>31</v>
      </c>
      <c r="G18" s="362">
        <v>50184</v>
      </c>
      <c r="H18" s="363">
        <v>39</v>
      </c>
      <c r="I18" s="364" t="s">
        <v>272</v>
      </c>
      <c r="J18" s="365">
        <v>3</v>
      </c>
      <c r="K18" s="365" t="s">
        <v>273</v>
      </c>
      <c r="L18" s="366"/>
    </row>
    <row r="19" spans="1:12" ht="15.75" customHeight="1">
      <c r="A19" s="359">
        <v>2</v>
      </c>
      <c r="B19" s="359">
        <v>1</v>
      </c>
      <c r="C19" s="359">
        <v>13</v>
      </c>
      <c r="D19" s="359" t="s">
        <v>32</v>
      </c>
      <c r="E19" s="360" t="s">
        <v>33</v>
      </c>
      <c r="F19" s="361" t="s">
        <v>34</v>
      </c>
      <c r="G19" s="362">
        <v>50104</v>
      </c>
      <c r="H19" s="363">
        <v>22</v>
      </c>
      <c r="I19" s="364" t="s">
        <v>272</v>
      </c>
      <c r="J19" s="365">
        <v>3</v>
      </c>
      <c r="K19" s="365" t="s">
        <v>273</v>
      </c>
      <c r="L19" s="366"/>
    </row>
    <row r="20" spans="1:12" ht="15.75" customHeight="1">
      <c r="A20" s="359">
        <v>2</v>
      </c>
      <c r="B20" s="359">
        <v>1</v>
      </c>
      <c r="C20" s="359">
        <v>14</v>
      </c>
      <c r="D20" s="359" t="s">
        <v>49</v>
      </c>
      <c r="E20" s="360" t="s">
        <v>50</v>
      </c>
      <c r="F20" s="361" t="s">
        <v>25</v>
      </c>
      <c r="G20" s="362">
        <v>50874</v>
      </c>
      <c r="H20" s="363">
        <v>282</v>
      </c>
      <c r="I20" s="364" t="s">
        <v>265</v>
      </c>
      <c r="J20" s="365">
        <v>2</v>
      </c>
      <c r="K20" s="365" t="s">
        <v>275</v>
      </c>
      <c r="L20" s="366"/>
    </row>
    <row r="21" spans="1:12" ht="15.75" customHeight="1">
      <c r="A21" s="359">
        <v>2</v>
      </c>
      <c r="B21" s="359">
        <v>1</v>
      </c>
      <c r="C21" s="359">
        <v>14</v>
      </c>
      <c r="D21" s="359" t="s">
        <v>51</v>
      </c>
      <c r="E21" s="360" t="s">
        <v>52</v>
      </c>
      <c r="F21" s="361" t="s">
        <v>25</v>
      </c>
      <c r="G21" s="362">
        <v>50875</v>
      </c>
      <c r="H21" s="363">
        <v>348</v>
      </c>
      <c r="I21" s="364" t="s">
        <v>272</v>
      </c>
      <c r="J21" s="365">
        <v>3</v>
      </c>
      <c r="K21" s="365" t="s">
        <v>273</v>
      </c>
      <c r="L21" s="366"/>
    </row>
    <row r="22" spans="1:12" ht="15.75" customHeight="1">
      <c r="A22" s="324">
        <v>2</v>
      </c>
      <c r="B22" s="324">
        <v>1</v>
      </c>
      <c r="C22" s="324">
        <v>14</v>
      </c>
      <c r="D22" s="324" t="s">
        <v>53</v>
      </c>
      <c r="E22" s="373" t="s">
        <v>54</v>
      </c>
      <c r="F22" s="374" t="s">
        <v>25</v>
      </c>
      <c r="G22" s="375">
        <v>50877</v>
      </c>
      <c r="H22" s="376">
        <v>101</v>
      </c>
      <c r="I22" s="377"/>
      <c r="J22" s="378"/>
      <c r="K22" s="378"/>
      <c r="L22" s="378" t="s">
        <v>55</v>
      </c>
    </row>
    <row r="23" spans="1:12" ht="15.75" customHeight="1">
      <c r="A23" s="359">
        <v>2</v>
      </c>
      <c r="B23" s="359">
        <v>1</v>
      </c>
      <c r="C23" s="359">
        <v>15</v>
      </c>
      <c r="D23" s="359" t="s">
        <v>56</v>
      </c>
      <c r="E23" s="360" t="s">
        <v>57</v>
      </c>
      <c r="F23" s="361" t="s">
        <v>34</v>
      </c>
      <c r="G23" s="362">
        <v>50594</v>
      </c>
      <c r="H23" s="363">
        <v>154</v>
      </c>
      <c r="I23" s="364" t="s">
        <v>266</v>
      </c>
      <c r="J23" s="365">
        <v>1</v>
      </c>
      <c r="K23" s="365" t="s">
        <v>278</v>
      </c>
      <c r="L23" s="366"/>
    </row>
    <row r="24" spans="1:12" ht="15.75" customHeight="1">
      <c r="A24" s="359">
        <v>2</v>
      </c>
      <c r="B24" s="359">
        <v>1</v>
      </c>
      <c r="C24" s="359">
        <v>16</v>
      </c>
      <c r="D24" s="359" t="s">
        <v>58</v>
      </c>
      <c r="E24" s="360" t="s">
        <v>59</v>
      </c>
      <c r="F24" s="361" t="s">
        <v>31</v>
      </c>
      <c r="G24" s="362">
        <v>50797</v>
      </c>
      <c r="H24" s="363">
        <v>311</v>
      </c>
      <c r="I24" s="364" t="s">
        <v>265</v>
      </c>
      <c r="J24" s="365">
        <v>2</v>
      </c>
      <c r="K24" s="365" t="s">
        <v>269</v>
      </c>
      <c r="L24" s="366"/>
    </row>
    <row r="25" spans="1:12" ht="15.75" customHeight="1">
      <c r="A25" s="359">
        <v>2</v>
      </c>
      <c r="B25" s="359">
        <v>1</v>
      </c>
      <c r="C25" s="359">
        <v>17</v>
      </c>
      <c r="D25" s="359" t="s">
        <v>60</v>
      </c>
      <c r="E25" s="360" t="s">
        <v>61</v>
      </c>
      <c r="F25" s="361" t="s">
        <v>34</v>
      </c>
      <c r="G25" s="362">
        <v>50467</v>
      </c>
      <c r="H25" s="363">
        <v>426</v>
      </c>
      <c r="I25" s="364" t="s">
        <v>265</v>
      </c>
      <c r="J25" s="365">
        <v>2</v>
      </c>
      <c r="K25" s="365" t="s">
        <v>269</v>
      </c>
      <c r="L25" s="366"/>
    </row>
    <row r="26" spans="1:12" ht="15.75" customHeight="1">
      <c r="A26" s="359">
        <v>2</v>
      </c>
      <c r="B26" s="359">
        <v>1</v>
      </c>
      <c r="C26" s="359">
        <v>18</v>
      </c>
      <c r="D26" s="359" t="s">
        <v>46</v>
      </c>
      <c r="E26" s="360" t="s">
        <v>47</v>
      </c>
      <c r="F26" s="361" t="s">
        <v>25</v>
      </c>
      <c r="G26" s="362">
        <v>50262</v>
      </c>
      <c r="H26" s="363">
        <v>81</v>
      </c>
      <c r="I26" s="364" t="s">
        <v>265</v>
      </c>
      <c r="J26" s="365">
        <v>2</v>
      </c>
      <c r="K26" s="365" t="s">
        <v>269</v>
      </c>
      <c r="L26" s="366"/>
    </row>
    <row r="27" spans="1:12" ht="15.75" customHeight="1">
      <c r="A27" s="359">
        <v>2</v>
      </c>
      <c r="B27" s="359">
        <v>1</v>
      </c>
      <c r="C27" s="359">
        <v>18</v>
      </c>
      <c r="D27" s="359" t="s">
        <v>46</v>
      </c>
      <c r="E27" s="360" t="s">
        <v>47</v>
      </c>
      <c r="F27" s="361" t="s">
        <v>34</v>
      </c>
      <c r="G27" s="362">
        <v>50542</v>
      </c>
      <c r="H27" s="363">
        <v>109</v>
      </c>
      <c r="I27" s="364" t="s">
        <v>265</v>
      </c>
      <c r="J27" s="365">
        <v>2</v>
      </c>
      <c r="K27" s="365" t="s">
        <v>269</v>
      </c>
      <c r="L27" s="366"/>
    </row>
    <row r="28" spans="1:12" ht="15.75" customHeight="1">
      <c r="A28" s="359">
        <v>2</v>
      </c>
      <c r="B28" s="359">
        <v>2</v>
      </c>
      <c r="C28" s="359">
        <v>2</v>
      </c>
      <c r="D28" s="359" t="s">
        <v>62</v>
      </c>
      <c r="E28" s="360" t="s">
        <v>63</v>
      </c>
      <c r="F28" s="361" t="s">
        <v>34</v>
      </c>
      <c r="G28" s="362">
        <v>50752</v>
      </c>
      <c r="H28" s="363">
        <v>89</v>
      </c>
      <c r="I28" s="364" t="s">
        <v>265</v>
      </c>
      <c r="J28" s="365">
        <v>2</v>
      </c>
      <c r="K28" s="365" t="s">
        <v>279</v>
      </c>
      <c r="L28" s="366"/>
    </row>
    <row r="29" spans="1:12" ht="15.75" customHeight="1">
      <c r="A29" s="84">
        <v>2</v>
      </c>
      <c r="B29" s="84">
        <v>2</v>
      </c>
      <c r="C29" s="84">
        <v>2</v>
      </c>
      <c r="D29" s="84" t="s">
        <v>64</v>
      </c>
      <c r="E29" s="367" t="s">
        <v>65</v>
      </c>
      <c r="F29" s="368" t="s">
        <v>31</v>
      </c>
      <c r="G29" s="369">
        <v>30869</v>
      </c>
      <c r="H29" s="370">
        <v>319</v>
      </c>
      <c r="I29" s="371"/>
      <c r="J29" s="372"/>
      <c r="K29" s="372"/>
      <c r="L29" s="372" t="s">
        <v>43</v>
      </c>
    </row>
    <row r="30" spans="1:12" ht="15.75" customHeight="1">
      <c r="A30" s="359">
        <v>2</v>
      </c>
      <c r="B30" s="359">
        <v>2</v>
      </c>
      <c r="C30" s="359">
        <v>2</v>
      </c>
      <c r="D30" s="359" t="s">
        <v>62</v>
      </c>
      <c r="E30" s="360" t="s">
        <v>63</v>
      </c>
      <c r="F30" s="361" t="s">
        <v>34</v>
      </c>
      <c r="G30" s="362">
        <v>50719</v>
      </c>
      <c r="H30" s="363">
        <v>25</v>
      </c>
      <c r="I30" s="364" t="s">
        <v>265</v>
      </c>
      <c r="J30" s="365">
        <v>2</v>
      </c>
      <c r="K30" s="365" t="s">
        <v>279</v>
      </c>
      <c r="L30" s="366"/>
    </row>
    <row r="31" spans="1:12" ht="15.75" customHeight="1">
      <c r="A31" s="359">
        <v>2</v>
      </c>
      <c r="B31" s="359">
        <v>2</v>
      </c>
      <c r="C31" s="359">
        <v>2</v>
      </c>
      <c r="D31" s="359" t="s">
        <v>62</v>
      </c>
      <c r="E31" s="360" t="s">
        <v>63</v>
      </c>
      <c r="F31" s="361" t="s">
        <v>25</v>
      </c>
      <c r="G31" s="362">
        <v>50188</v>
      </c>
      <c r="H31" s="363">
        <v>24</v>
      </c>
      <c r="I31" s="364" t="s">
        <v>265</v>
      </c>
      <c r="J31" s="365">
        <v>2</v>
      </c>
      <c r="K31" s="365" t="s">
        <v>279</v>
      </c>
      <c r="L31" s="366"/>
    </row>
    <row r="32" spans="1:12" ht="15.75" customHeight="1">
      <c r="A32" s="359">
        <v>2</v>
      </c>
      <c r="B32" s="359">
        <v>2</v>
      </c>
      <c r="C32" s="359">
        <v>3</v>
      </c>
      <c r="D32" s="359" t="s">
        <v>66</v>
      </c>
      <c r="E32" s="360" t="s">
        <v>67</v>
      </c>
      <c r="F32" s="361" t="s">
        <v>68</v>
      </c>
      <c r="G32" s="362">
        <v>50632</v>
      </c>
      <c r="H32" s="363">
        <v>220</v>
      </c>
      <c r="I32" s="364" t="s">
        <v>272</v>
      </c>
      <c r="J32" s="365">
        <v>3</v>
      </c>
      <c r="K32" s="365" t="s">
        <v>273</v>
      </c>
      <c r="L32" s="366"/>
    </row>
    <row r="33" spans="1:12" ht="15.75" customHeight="1">
      <c r="A33" s="359">
        <v>2</v>
      </c>
      <c r="B33" s="359">
        <v>2</v>
      </c>
      <c r="C33" s="359">
        <v>3</v>
      </c>
      <c r="D33" s="359" t="s">
        <v>66</v>
      </c>
      <c r="E33" s="360" t="s">
        <v>67</v>
      </c>
      <c r="F33" s="361" t="s">
        <v>34</v>
      </c>
      <c r="G33" s="362">
        <v>50558</v>
      </c>
      <c r="H33" s="363">
        <v>227</v>
      </c>
      <c r="I33" s="364" t="s">
        <v>265</v>
      </c>
      <c r="J33" s="365">
        <v>2</v>
      </c>
      <c r="K33" s="365" t="s">
        <v>280</v>
      </c>
      <c r="L33" s="366"/>
    </row>
    <row r="34" spans="1:12" ht="15.75" customHeight="1">
      <c r="A34" s="359">
        <v>2</v>
      </c>
      <c r="B34" s="359">
        <v>2</v>
      </c>
      <c r="C34" s="359">
        <v>4</v>
      </c>
      <c r="D34" s="359" t="s">
        <v>69</v>
      </c>
      <c r="E34" s="360" t="s">
        <v>70</v>
      </c>
      <c r="F34" s="361" t="s">
        <v>25</v>
      </c>
      <c r="G34" s="362">
        <v>50754</v>
      </c>
      <c r="H34" s="363">
        <v>205</v>
      </c>
      <c r="I34" s="364" t="s">
        <v>265</v>
      </c>
      <c r="J34" s="365">
        <v>2</v>
      </c>
      <c r="K34" s="365" t="s">
        <v>281</v>
      </c>
      <c r="L34" s="366"/>
    </row>
    <row r="35" spans="1:12" ht="15.75" customHeight="1">
      <c r="A35" s="359">
        <v>2</v>
      </c>
      <c r="B35" s="359">
        <v>2</v>
      </c>
      <c r="C35" s="359">
        <v>4</v>
      </c>
      <c r="D35" s="359" t="s">
        <v>69</v>
      </c>
      <c r="E35" s="360" t="s">
        <v>70</v>
      </c>
      <c r="F35" s="361" t="s">
        <v>68</v>
      </c>
      <c r="G35" s="362">
        <v>50820</v>
      </c>
      <c r="H35" s="363">
        <v>9</v>
      </c>
      <c r="I35" s="364" t="s">
        <v>265</v>
      </c>
      <c r="J35" s="365">
        <v>2</v>
      </c>
      <c r="K35" s="365" t="s">
        <v>281</v>
      </c>
      <c r="L35" s="366"/>
    </row>
    <row r="36" spans="1:12" ht="15.75" customHeight="1">
      <c r="A36" s="359">
        <v>2</v>
      </c>
      <c r="B36" s="359">
        <v>2</v>
      </c>
      <c r="C36" s="359">
        <v>5</v>
      </c>
      <c r="D36" s="359" t="s">
        <v>60</v>
      </c>
      <c r="E36" s="360" t="s">
        <v>71</v>
      </c>
      <c r="F36" s="361" t="s">
        <v>31</v>
      </c>
      <c r="G36" s="362">
        <v>50764</v>
      </c>
      <c r="H36" s="363">
        <v>175</v>
      </c>
      <c r="I36" s="364" t="s">
        <v>266</v>
      </c>
      <c r="J36" s="365">
        <v>1</v>
      </c>
      <c r="K36" s="365" t="s">
        <v>283</v>
      </c>
      <c r="L36" s="366"/>
    </row>
    <row r="37" spans="1:12" ht="15.75" customHeight="1">
      <c r="A37" s="359">
        <v>2</v>
      </c>
      <c r="B37" s="359">
        <v>2</v>
      </c>
      <c r="C37" s="359">
        <v>8</v>
      </c>
      <c r="D37" s="359" t="s">
        <v>72</v>
      </c>
      <c r="E37" s="360" t="s">
        <v>73</v>
      </c>
      <c r="F37" s="361" t="s">
        <v>34</v>
      </c>
      <c r="G37" s="362">
        <v>50426</v>
      </c>
      <c r="H37" s="363">
        <v>320</v>
      </c>
      <c r="I37" s="364" t="s">
        <v>272</v>
      </c>
      <c r="J37" s="365">
        <v>3</v>
      </c>
      <c r="K37" s="365" t="s">
        <v>273</v>
      </c>
      <c r="L37" s="366"/>
    </row>
    <row r="38" spans="1:12" ht="15.75" customHeight="1">
      <c r="A38" s="359">
        <v>2</v>
      </c>
      <c r="B38" s="359">
        <v>2</v>
      </c>
      <c r="C38" s="359">
        <v>8</v>
      </c>
      <c r="D38" s="359" t="s">
        <v>72</v>
      </c>
      <c r="E38" s="360" t="s">
        <v>73</v>
      </c>
      <c r="F38" s="361" t="s">
        <v>34</v>
      </c>
      <c r="G38" s="362">
        <v>50760</v>
      </c>
      <c r="H38" s="363">
        <v>140</v>
      </c>
      <c r="I38" s="364" t="s">
        <v>272</v>
      </c>
      <c r="J38" s="365">
        <v>3</v>
      </c>
      <c r="K38" s="365" t="s">
        <v>273</v>
      </c>
      <c r="L38" s="366"/>
    </row>
    <row r="39" spans="1:12" ht="15.75" customHeight="1">
      <c r="A39" s="359">
        <v>2</v>
      </c>
      <c r="B39" s="359">
        <v>2</v>
      </c>
      <c r="C39" s="359">
        <v>9</v>
      </c>
      <c r="D39" s="359" t="s">
        <v>60</v>
      </c>
      <c r="E39" s="360" t="s">
        <v>71</v>
      </c>
      <c r="F39" s="361" t="s">
        <v>31</v>
      </c>
      <c r="G39" s="362">
        <v>50764</v>
      </c>
      <c r="H39" s="363">
        <v>48</v>
      </c>
      <c r="I39" s="364" t="s">
        <v>266</v>
      </c>
      <c r="J39" s="365">
        <v>1</v>
      </c>
      <c r="K39" s="365" t="s">
        <v>279</v>
      </c>
      <c r="L39" s="366"/>
    </row>
    <row r="40" spans="1:12" ht="15.75" customHeight="1">
      <c r="A40" s="359">
        <v>2</v>
      </c>
      <c r="B40" s="359">
        <v>2</v>
      </c>
      <c r="C40" s="359">
        <v>11</v>
      </c>
      <c r="D40" s="359" t="s">
        <v>74</v>
      </c>
      <c r="E40" s="360" t="s">
        <v>75</v>
      </c>
      <c r="F40" s="361" t="s">
        <v>25</v>
      </c>
      <c r="G40" s="362">
        <v>50736</v>
      </c>
      <c r="H40" s="363">
        <v>354</v>
      </c>
      <c r="I40" s="364" t="s">
        <v>272</v>
      </c>
      <c r="J40" s="365">
        <v>3</v>
      </c>
      <c r="K40" s="365" t="s">
        <v>273</v>
      </c>
      <c r="L40" s="366"/>
    </row>
    <row r="41" spans="1:12" ht="15.75" customHeight="1">
      <c r="A41" s="359">
        <v>2</v>
      </c>
      <c r="B41" s="359">
        <v>2</v>
      </c>
      <c r="C41" s="359">
        <v>11</v>
      </c>
      <c r="D41" s="359" t="s">
        <v>74</v>
      </c>
      <c r="E41" s="360" t="s">
        <v>75</v>
      </c>
      <c r="F41" s="361" t="s">
        <v>34</v>
      </c>
      <c r="G41" s="362">
        <v>50505</v>
      </c>
      <c r="H41" s="363">
        <v>15</v>
      </c>
      <c r="I41" s="364" t="s">
        <v>272</v>
      </c>
      <c r="J41" s="365">
        <v>3</v>
      </c>
      <c r="K41" s="365" t="s">
        <v>273</v>
      </c>
      <c r="L41" s="366"/>
    </row>
    <row r="42" spans="1:12" ht="15.75" customHeight="1">
      <c r="A42" s="359">
        <v>2</v>
      </c>
      <c r="B42" s="359">
        <v>2</v>
      </c>
      <c r="C42" s="359">
        <v>13</v>
      </c>
      <c r="D42" s="359" t="s">
        <v>60</v>
      </c>
      <c r="E42" s="360" t="s">
        <v>61</v>
      </c>
      <c r="F42" s="361" t="s">
        <v>25</v>
      </c>
      <c r="G42" s="362">
        <v>50749</v>
      </c>
      <c r="H42" s="363">
        <v>200</v>
      </c>
      <c r="I42" s="364" t="s">
        <v>265</v>
      </c>
      <c r="J42" s="365">
        <v>2</v>
      </c>
      <c r="K42" s="365" t="s">
        <v>279</v>
      </c>
      <c r="L42" s="381"/>
    </row>
    <row r="43" spans="1:12" ht="15.75" customHeight="1">
      <c r="A43" s="359">
        <v>2</v>
      </c>
      <c r="B43" s="359">
        <v>2</v>
      </c>
      <c r="C43" s="359">
        <v>13</v>
      </c>
      <c r="D43" s="359" t="s">
        <v>76</v>
      </c>
      <c r="E43" s="360" t="s">
        <v>77</v>
      </c>
      <c r="F43" s="361" t="s">
        <v>25</v>
      </c>
      <c r="G43" s="362">
        <v>50748</v>
      </c>
      <c r="H43" s="363">
        <v>296</v>
      </c>
      <c r="I43" s="364" t="s">
        <v>265</v>
      </c>
      <c r="J43" s="365">
        <v>2</v>
      </c>
      <c r="K43" s="365" t="s">
        <v>285</v>
      </c>
      <c r="L43" s="381"/>
    </row>
    <row r="44" spans="1:12" ht="15.75" customHeight="1">
      <c r="A44" s="359">
        <v>2</v>
      </c>
      <c r="B44" s="359">
        <v>2</v>
      </c>
      <c r="C44" s="359">
        <v>18</v>
      </c>
      <c r="D44" s="359" t="s">
        <v>72</v>
      </c>
      <c r="E44" s="360" t="s">
        <v>73</v>
      </c>
      <c r="F44" s="361" t="s">
        <v>25</v>
      </c>
      <c r="G44" s="362">
        <v>50706</v>
      </c>
      <c r="H44" s="363">
        <v>71</v>
      </c>
      <c r="I44" s="364" t="s">
        <v>265</v>
      </c>
      <c r="J44" s="365">
        <v>2</v>
      </c>
      <c r="K44" s="365" t="s">
        <v>286</v>
      </c>
      <c r="L44" s="381"/>
    </row>
    <row r="45" spans="1:12" ht="15.75" customHeight="1">
      <c r="A45" s="359">
        <v>2</v>
      </c>
      <c r="B45" s="359">
        <v>3</v>
      </c>
      <c r="C45" s="359">
        <v>1</v>
      </c>
      <c r="D45" s="359" t="s">
        <v>78</v>
      </c>
      <c r="E45" s="360" t="s">
        <v>79</v>
      </c>
      <c r="F45" s="361" t="s">
        <v>31</v>
      </c>
      <c r="G45" s="362">
        <v>50801</v>
      </c>
      <c r="H45" s="363">
        <v>371</v>
      </c>
      <c r="I45" s="364" t="s">
        <v>266</v>
      </c>
      <c r="J45" s="365">
        <v>1</v>
      </c>
      <c r="K45" s="365" t="s">
        <v>287</v>
      </c>
      <c r="L45" s="381"/>
    </row>
    <row r="46" spans="1:12" ht="15.75" customHeight="1">
      <c r="A46" s="359">
        <v>2</v>
      </c>
      <c r="B46" s="359">
        <v>3</v>
      </c>
      <c r="C46" s="359">
        <v>1</v>
      </c>
      <c r="D46" s="359" t="s">
        <v>78</v>
      </c>
      <c r="E46" s="360" t="s">
        <v>79</v>
      </c>
      <c r="F46" s="361" t="s">
        <v>68</v>
      </c>
      <c r="G46" s="362">
        <v>50814</v>
      </c>
      <c r="H46" s="363">
        <v>218</v>
      </c>
      <c r="I46" s="364" t="s">
        <v>266</v>
      </c>
      <c r="J46" s="365">
        <v>1</v>
      </c>
      <c r="K46" s="365" t="s">
        <v>287</v>
      </c>
      <c r="L46" s="366"/>
    </row>
    <row r="47" spans="1:12" ht="15.75" customHeight="1">
      <c r="A47" s="359">
        <v>2</v>
      </c>
      <c r="B47" s="359">
        <v>3</v>
      </c>
      <c r="C47" s="359">
        <v>1</v>
      </c>
      <c r="D47" s="359" t="s">
        <v>78</v>
      </c>
      <c r="E47" s="360" t="s">
        <v>79</v>
      </c>
      <c r="F47" s="361" t="s">
        <v>25</v>
      </c>
      <c r="G47" s="362">
        <v>50741</v>
      </c>
      <c r="H47" s="363">
        <v>55</v>
      </c>
      <c r="I47" s="364" t="s">
        <v>266</v>
      </c>
      <c r="J47" s="365">
        <v>1</v>
      </c>
      <c r="K47" s="365" t="s">
        <v>287</v>
      </c>
      <c r="L47" s="366"/>
    </row>
    <row r="48" spans="1:12" ht="15.75" customHeight="1">
      <c r="A48" s="359">
        <v>2</v>
      </c>
      <c r="B48" s="359">
        <v>3</v>
      </c>
      <c r="C48" s="359">
        <v>1</v>
      </c>
      <c r="D48" s="359" t="s">
        <v>78</v>
      </c>
      <c r="E48" s="360" t="s">
        <v>79</v>
      </c>
      <c r="F48" s="361" t="s">
        <v>31</v>
      </c>
      <c r="G48" s="362">
        <v>50791</v>
      </c>
      <c r="H48" s="363">
        <v>49</v>
      </c>
      <c r="I48" s="364" t="s">
        <v>266</v>
      </c>
      <c r="J48" s="365">
        <v>1</v>
      </c>
      <c r="K48" s="365" t="s">
        <v>287</v>
      </c>
      <c r="L48" s="366"/>
    </row>
    <row r="49" spans="1:13" ht="15.75" customHeight="1">
      <c r="A49" s="359">
        <v>2</v>
      </c>
      <c r="B49" s="359">
        <v>3</v>
      </c>
      <c r="C49" s="359">
        <v>1</v>
      </c>
      <c r="D49" s="359" t="s">
        <v>78</v>
      </c>
      <c r="E49" s="360" t="s">
        <v>79</v>
      </c>
      <c r="F49" s="361" t="s">
        <v>34</v>
      </c>
      <c r="G49" s="362">
        <v>50850</v>
      </c>
      <c r="H49" s="363">
        <v>46</v>
      </c>
      <c r="I49" s="364" t="s">
        <v>266</v>
      </c>
      <c r="J49" s="365">
        <v>1</v>
      </c>
      <c r="K49" s="365" t="s">
        <v>287</v>
      </c>
      <c r="L49" s="366"/>
    </row>
    <row r="50" spans="1:13" ht="15.75" customHeight="1">
      <c r="A50" s="359">
        <v>2</v>
      </c>
      <c r="B50" s="359">
        <v>3</v>
      </c>
      <c r="C50" s="359">
        <v>2</v>
      </c>
      <c r="D50" s="359" t="s">
        <v>81</v>
      </c>
      <c r="E50" s="360" t="s">
        <v>82</v>
      </c>
      <c r="F50" s="361" t="s">
        <v>25</v>
      </c>
      <c r="G50" s="362">
        <v>50723</v>
      </c>
      <c r="H50" s="363">
        <v>44</v>
      </c>
      <c r="I50" s="364" t="s">
        <v>265</v>
      </c>
      <c r="J50" s="365">
        <v>2</v>
      </c>
      <c r="K50" s="365" t="s">
        <v>289</v>
      </c>
      <c r="L50" s="366"/>
    </row>
    <row r="51" spans="1:13" ht="15.75" customHeight="1">
      <c r="A51" s="359">
        <v>2</v>
      </c>
      <c r="B51" s="359">
        <v>3</v>
      </c>
      <c r="C51" s="359">
        <v>2</v>
      </c>
      <c r="D51" s="359" t="s">
        <v>81</v>
      </c>
      <c r="E51" s="360" t="s">
        <v>82</v>
      </c>
      <c r="F51" s="361" t="s">
        <v>34</v>
      </c>
      <c r="G51" s="362">
        <v>50518</v>
      </c>
      <c r="H51" s="363">
        <v>61</v>
      </c>
      <c r="I51" s="364" t="s">
        <v>265</v>
      </c>
      <c r="J51" s="365">
        <v>2</v>
      </c>
      <c r="K51" s="365" t="s">
        <v>289</v>
      </c>
      <c r="L51" s="366"/>
    </row>
    <row r="52" spans="1:13" ht="15.75" customHeight="1">
      <c r="A52" s="382">
        <v>2</v>
      </c>
      <c r="B52" s="359">
        <v>3</v>
      </c>
      <c r="C52" s="359">
        <v>2</v>
      </c>
      <c r="D52" s="359" t="s">
        <v>85</v>
      </c>
      <c r="E52" s="360" t="s">
        <v>86</v>
      </c>
      <c r="F52" s="361" t="s">
        <v>68</v>
      </c>
      <c r="G52" s="362">
        <v>50832</v>
      </c>
      <c r="H52" s="363">
        <v>251</v>
      </c>
      <c r="I52" s="364" t="s">
        <v>272</v>
      </c>
      <c r="J52" s="365">
        <v>3</v>
      </c>
      <c r="K52" s="365" t="s">
        <v>273</v>
      </c>
      <c r="L52" s="366"/>
    </row>
    <row r="53" spans="1:13" ht="15.75" customHeight="1">
      <c r="A53" s="359">
        <v>2</v>
      </c>
      <c r="B53" s="359">
        <v>3</v>
      </c>
      <c r="C53" s="359">
        <v>2</v>
      </c>
      <c r="D53" s="359" t="s">
        <v>81</v>
      </c>
      <c r="E53" s="360" t="s">
        <v>82</v>
      </c>
      <c r="F53" s="361" t="s">
        <v>34</v>
      </c>
      <c r="G53" s="362">
        <v>50628</v>
      </c>
      <c r="H53" s="363">
        <v>28</v>
      </c>
      <c r="I53" s="364" t="s">
        <v>265</v>
      </c>
      <c r="J53" s="365">
        <v>2</v>
      </c>
      <c r="K53" s="365" t="s">
        <v>289</v>
      </c>
      <c r="L53" s="366"/>
    </row>
    <row r="54" spans="1:13" ht="15.75" customHeight="1">
      <c r="A54" s="359">
        <v>2</v>
      </c>
      <c r="B54" s="359">
        <v>3</v>
      </c>
      <c r="C54" s="359">
        <v>2</v>
      </c>
      <c r="D54" s="359" t="s">
        <v>81</v>
      </c>
      <c r="E54" s="360" t="s">
        <v>82</v>
      </c>
      <c r="F54" s="361" t="s">
        <v>34</v>
      </c>
      <c r="G54" s="362">
        <v>50520</v>
      </c>
      <c r="H54" s="363">
        <v>142</v>
      </c>
      <c r="I54" s="364" t="s">
        <v>265</v>
      </c>
      <c r="J54" s="365">
        <v>2</v>
      </c>
      <c r="K54" s="365" t="s">
        <v>289</v>
      </c>
      <c r="L54" s="366"/>
    </row>
    <row r="55" spans="1:13" ht="15.75" customHeight="1">
      <c r="A55" s="359">
        <v>2</v>
      </c>
      <c r="B55" s="359">
        <v>3</v>
      </c>
      <c r="C55" s="359">
        <v>2</v>
      </c>
      <c r="D55" s="359" t="s">
        <v>81</v>
      </c>
      <c r="E55" s="360" t="s">
        <v>82</v>
      </c>
      <c r="F55" s="361" t="s">
        <v>34</v>
      </c>
      <c r="G55" s="362">
        <v>50483</v>
      </c>
      <c r="H55" s="363">
        <v>3</v>
      </c>
      <c r="I55" s="364" t="s">
        <v>265</v>
      </c>
      <c r="J55" s="365">
        <v>2</v>
      </c>
      <c r="K55" s="365" t="s">
        <v>289</v>
      </c>
      <c r="L55" s="366"/>
    </row>
    <row r="56" spans="1:13" ht="15.75" customHeight="1">
      <c r="A56" s="383">
        <v>2</v>
      </c>
      <c r="B56" s="383">
        <v>3</v>
      </c>
      <c r="C56" s="383">
        <v>3</v>
      </c>
      <c r="D56" s="383" t="s">
        <v>72</v>
      </c>
      <c r="E56" s="384" t="s">
        <v>73</v>
      </c>
      <c r="F56" s="385" t="s">
        <v>68</v>
      </c>
      <c r="G56" s="386">
        <v>50618</v>
      </c>
      <c r="H56" s="387">
        <v>96</v>
      </c>
      <c r="I56" s="385" t="s">
        <v>266</v>
      </c>
      <c r="J56" s="388">
        <v>1</v>
      </c>
      <c r="K56" s="388" t="s">
        <v>267</v>
      </c>
      <c r="L56" s="388" t="s">
        <v>87</v>
      </c>
    </row>
    <row r="57" spans="1:13" ht="15.75" customHeight="1">
      <c r="A57" s="359">
        <v>2</v>
      </c>
      <c r="B57" s="359">
        <v>3</v>
      </c>
      <c r="C57" s="359">
        <v>4</v>
      </c>
      <c r="D57" s="359" t="s">
        <v>72</v>
      </c>
      <c r="E57" s="360" t="s">
        <v>73</v>
      </c>
      <c r="F57" s="361" t="s">
        <v>31</v>
      </c>
      <c r="G57" s="362">
        <v>50803</v>
      </c>
      <c r="H57" s="363">
        <v>486</v>
      </c>
      <c r="I57" s="364" t="s">
        <v>266</v>
      </c>
      <c r="J57" s="365">
        <v>1</v>
      </c>
      <c r="K57" s="365" t="s">
        <v>267</v>
      </c>
      <c r="L57" s="366"/>
    </row>
    <row r="58" spans="1:13" ht="15.75" customHeight="1">
      <c r="A58" s="383">
        <v>2</v>
      </c>
      <c r="B58" s="383">
        <v>3</v>
      </c>
      <c r="C58" s="383">
        <v>4</v>
      </c>
      <c r="D58" s="383" t="s">
        <v>72</v>
      </c>
      <c r="E58" s="384" t="s">
        <v>73</v>
      </c>
      <c r="F58" s="385" t="s">
        <v>68</v>
      </c>
      <c r="G58" s="386">
        <v>50618</v>
      </c>
      <c r="H58" s="387">
        <v>49</v>
      </c>
      <c r="I58" s="389"/>
      <c r="J58" s="388"/>
      <c r="K58" s="388"/>
      <c r="L58" s="388" t="s">
        <v>87</v>
      </c>
      <c r="M58" s="91"/>
    </row>
    <row r="59" spans="1:13" ht="15.75" customHeight="1">
      <c r="A59" s="359">
        <v>2</v>
      </c>
      <c r="B59" s="359">
        <v>3</v>
      </c>
      <c r="C59" s="359">
        <v>5</v>
      </c>
      <c r="D59" s="359" t="s">
        <v>89</v>
      </c>
      <c r="E59" s="360" t="s">
        <v>90</v>
      </c>
      <c r="F59" s="361" t="s">
        <v>34</v>
      </c>
      <c r="G59" s="362">
        <v>50854</v>
      </c>
      <c r="H59" s="363">
        <v>179</v>
      </c>
      <c r="I59" s="364" t="s">
        <v>265</v>
      </c>
      <c r="J59" s="365">
        <v>2</v>
      </c>
      <c r="K59" s="365" t="s">
        <v>270</v>
      </c>
      <c r="L59" s="366"/>
    </row>
    <row r="60" spans="1:13" ht="15.75" customHeight="1">
      <c r="A60" s="359">
        <v>2</v>
      </c>
      <c r="B60" s="359">
        <v>3</v>
      </c>
      <c r="C60" s="359">
        <v>5</v>
      </c>
      <c r="D60" s="359" t="s">
        <v>89</v>
      </c>
      <c r="E60" s="360" t="s">
        <v>90</v>
      </c>
      <c r="F60" s="361" t="s">
        <v>25</v>
      </c>
      <c r="G60" s="362">
        <v>50846</v>
      </c>
      <c r="H60" s="363">
        <v>114</v>
      </c>
      <c r="I60" s="364" t="s">
        <v>265</v>
      </c>
      <c r="J60" s="365">
        <v>2</v>
      </c>
      <c r="K60" s="365" t="s">
        <v>270</v>
      </c>
      <c r="L60" s="366"/>
    </row>
    <row r="61" spans="1:13" ht="15.75" customHeight="1">
      <c r="A61" s="359">
        <v>2</v>
      </c>
      <c r="B61" s="359">
        <v>3</v>
      </c>
      <c r="C61" s="359">
        <v>6</v>
      </c>
      <c r="D61" s="359" t="s">
        <v>58</v>
      </c>
      <c r="E61" s="360" t="s">
        <v>59</v>
      </c>
      <c r="F61" s="361" t="s">
        <v>68</v>
      </c>
      <c r="G61" s="362">
        <v>50816</v>
      </c>
      <c r="H61" s="363">
        <v>983</v>
      </c>
      <c r="I61" s="364" t="s">
        <v>266</v>
      </c>
      <c r="J61" s="364">
        <v>1</v>
      </c>
      <c r="K61" s="365" t="s">
        <v>270</v>
      </c>
      <c r="L61" s="390"/>
    </row>
    <row r="62" spans="1:13" ht="15.75" customHeight="1">
      <c r="A62" s="359">
        <v>2</v>
      </c>
      <c r="B62" s="359">
        <v>3</v>
      </c>
      <c r="C62" s="359">
        <v>6</v>
      </c>
      <c r="D62" s="359" t="s">
        <v>58</v>
      </c>
      <c r="E62" s="360" t="s">
        <v>59</v>
      </c>
      <c r="F62" s="361" t="s">
        <v>34</v>
      </c>
      <c r="G62" s="362">
        <v>50773</v>
      </c>
      <c r="H62" s="363">
        <v>13</v>
      </c>
      <c r="I62" s="364" t="s">
        <v>266</v>
      </c>
      <c r="J62" s="364">
        <v>1</v>
      </c>
      <c r="K62" s="365" t="s">
        <v>270</v>
      </c>
      <c r="L62" s="366"/>
    </row>
    <row r="63" spans="1:13" ht="15.75" customHeight="1">
      <c r="A63" s="359">
        <v>2</v>
      </c>
      <c r="B63" s="359">
        <v>3</v>
      </c>
      <c r="C63" s="359">
        <v>6</v>
      </c>
      <c r="D63" s="359" t="s">
        <v>91</v>
      </c>
      <c r="E63" s="360" t="s">
        <v>92</v>
      </c>
      <c r="F63" s="361" t="s">
        <v>31</v>
      </c>
      <c r="G63" s="362">
        <v>50784</v>
      </c>
      <c r="H63" s="363">
        <v>32</v>
      </c>
      <c r="I63" s="364" t="s">
        <v>272</v>
      </c>
      <c r="J63" s="365">
        <v>3</v>
      </c>
      <c r="K63" s="365" t="s">
        <v>273</v>
      </c>
      <c r="L63" s="366"/>
    </row>
    <row r="64" spans="1:13" ht="15.75" customHeight="1">
      <c r="A64" s="359">
        <v>2</v>
      </c>
      <c r="B64" s="359">
        <v>3</v>
      </c>
      <c r="C64" s="359">
        <v>7</v>
      </c>
      <c r="D64" s="359" t="s">
        <v>93</v>
      </c>
      <c r="E64" s="360" t="s">
        <v>94</v>
      </c>
      <c r="F64" s="361" t="s">
        <v>34</v>
      </c>
      <c r="G64" s="362">
        <v>50604</v>
      </c>
      <c r="H64" s="363">
        <v>350</v>
      </c>
      <c r="I64" s="364" t="s">
        <v>272</v>
      </c>
      <c r="J64" s="365">
        <v>3</v>
      </c>
      <c r="K64" s="365" t="s">
        <v>290</v>
      </c>
      <c r="L64" s="366"/>
    </row>
    <row r="65" spans="1:12" ht="15.75" customHeight="1">
      <c r="A65" s="324">
        <v>2</v>
      </c>
      <c r="B65" s="324">
        <v>3</v>
      </c>
      <c r="C65" s="324">
        <v>7</v>
      </c>
      <c r="D65" s="324" t="s">
        <v>72</v>
      </c>
      <c r="E65" s="373" t="s">
        <v>73</v>
      </c>
      <c r="F65" s="374" t="s">
        <v>31</v>
      </c>
      <c r="G65" s="375">
        <v>50803</v>
      </c>
      <c r="H65" s="376">
        <v>132</v>
      </c>
      <c r="I65" s="377"/>
      <c r="J65" s="378"/>
      <c r="K65" s="378"/>
      <c r="L65" s="378" t="s">
        <v>55</v>
      </c>
    </row>
    <row r="66" spans="1:12" ht="15.75" customHeight="1">
      <c r="A66" s="359">
        <v>2</v>
      </c>
      <c r="B66" s="359">
        <v>3</v>
      </c>
      <c r="C66" s="359">
        <v>8</v>
      </c>
      <c r="D66" s="359" t="s">
        <v>95</v>
      </c>
      <c r="E66" s="360" t="s">
        <v>96</v>
      </c>
      <c r="F66" s="361" t="s">
        <v>34</v>
      </c>
      <c r="G66" s="362">
        <v>50886</v>
      </c>
      <c r="H66" s="363">
        <v>289</v>
      </c>
      <c r="I66" s="364" t="s">
        <v>272</v>
      </c>
      <c r="J66" s="365">
        <v>3</v>
      </c>
      <c r="K66" s="365" t="s">
        <v>273</v>
      </c>
      <c r="L66" s="366"/>
    </row>
    <row r="67" spans="1:12" ht="15.75" customHeight="1">
      <c r="A67" s="359">
        <v>2</v>
      </c>
      <c r="B67" s="359">
        <v>3</v>
      </c>
      <c r="C67" s="359">
        <v>8</v>
      </c>
      <c r="D67" s="359" t="s">
        <v>74</v>
      </c>
      <c r="E67" s="360" t="s">
        <v>75</v>
      </c>
      <c r="F67" s="361" t="s">
        <v>34</v>
      </c>
      <c r="G67" s="362">
        <v>50887</v>
      </c>
      <c r="H67" s="363">
        <v>179</v>
      </c>
      <c r="I67" s="364" t="s">
        <v>272</v>
      </c>
      <c r="J67" s="365">
        <v>3</v>
      </c>
      <c r="K67" s="365" t="s">
        <v>273</v>
      </c>
      <c r="L67" s="366"/>
    </row>
    <row r="68" spans="1:12" ht="15.75" customHeight="1">
      <c r="A68" s="359">
        <v>2</v>
      </c>
      <c r="B68" s="359">
        <v>3</v>
      </c>
      <c r="C68" s="359">
        <v>9</v>
      </c>
      <c r="D68" s="359" t="s">
        <v>97</v>
      </c>
      <c r="E68" s="360" t="s">
        <v>98</v>
      </c>
      <c r="F68" s="361" t="s">
        <v>68</v>
      </c>
      <c r="G68" s="362">
        <v>50845</v>
      </c>
      <c r="H68" s="363">
        <v>459</v>
      </c>
      <c r="I68" s="364" t="s">
        <v>265</v>
      </c>
      <c r="J68" s="365">
        <v>2</v>
      </c>
      <c r="K68" s="365" t="s">
        <v>291</v>
      </c>
      <c r="L68" s="366"/>
    </row>
    <row r="69" spans="1:12" ht="15.75" customHeight="1">
      <c r="A69" s="84">
        <v>2</v>
      </c>
      <c r="B69" s="84">
        <v>3</v>
      </c>
      <c r="C69" s="84">
        <v>9</v>
      </c>
      <c r="D69" s="84" t="s">
        <v>97</v>
      </c>
      <c r="E69" s="367" t="s">
        <v>98</v>
      </c>
      <c r="F69" s="368" t="s">
        <v>34</v>
      </c>
      <c r="G69" s="369">
        <v>50590</v>
      </c>
      <c r="H69" s="370">
        <v>3</v>
      </c>
      <c r="I69" s="371"/>
      <c r="J69" s="372"/>
      <c r="K69" s="372"/>
      <c r="L69" s="372" t="s">
        <v>43</v>
      </c>
    </row>
    <row r="70" spans="1:12" ht="15.75" customHeight="1">
      <c r="A70" s="359">
        <v>2</v>
      </c>
      <c r="B70" s="359">
        <v>3</v>
      </c>
      <c r="C70" s="359">
        <v>9</v>
      </c>
      <c r="D70" s="359" t="s">
        <v>99</v>
      </c>
      <c r="E70" s="391"/>
      <c r="F70" s="361" t="s">
        <v>25</v>
      </c>
      <c r="G70" s="362">
        <v>50848</v>
      </c>
      <c r="H70" s="363">
        <v>217</v>
      </c>
      <c r="I70" s="364" t="s">
        <v>265</v>
      </c>
      <c r="J70" s="365">
        <v>2</v>
      </c>
      <c r="K70" s="365" t="s">
        <v>270</v>
      </c>
      <c r="L70" s="366"/>
    </row>
    <row r="71" spans="1:12" ht="15.75" customHeight="1">
      <c r="A71" s="324">
        <v>2</v>
      </c>
      <c r="B71" s="324">
        <v>3</v>
      </c>
      <c r="C71" s="324">
        <v>9</v>
      </c>
      <c r="D71" s="324" t="s">
        <v>100</v>
      </c>
      <c r="E71" s="373" t="s">
        <v>101</v>
      </c>
      <c r="F71" s="374" t="s">
        <v>68</v>
      </c>
      <c r="G71" s="375">
        <v>50645</v>
      </c>
      <c r="H71" s="376">
        <v>102</v>
      </c>
      <c r="I71" s="377"/>
      <c r="J71" s="378"/>
      <c r="K71" s="378"/>
      <c r="L71" s="378" t="s">
        <v>55</v>
      </c>
    </row>
    <row r="72" spans="1:12" ht="15.75" customHeight="1">
      <c r="A72" s="359">
        <v>2</v>
      </c>
      <c r="B72" s="359">
        <v>3</v>
      </c>
      <c r="C72" s="359">
        <v>9</v>
      </c>
      <c r="D72" s="359" t="s">
        <v>100</v>
      </c>
      <c r="E72" s="360" t="s">
        <v>101</v>
      </c>
      <c r="F72" s="361" t="s">
        <v>25</v>
      </c>
      <c r="G72" s="362">
        <v>50746</v>
      </c>
      <c r="H72" s="363">
        <v>53</v>
      </c>
      <c r="I72" s="364" t="s">
        <v>265</v>
      </c>
      <c r="J72" s="365">
        <v>2</v>
      </c>
      <c r="K72" s="365" t="s">
        <v>270</v>
      </c>
      <c r="L72" s="366"/>
    </row>
    <row r="73" spans="1:12" ht="15.75" customHeight="1">
      <c r="A73" s="359">
        <v>2</v>
      </c>
      <c r="B73" s="359">
        <v>3</v>
      </c>
      <c r="C73" s="359">
        <v>9</v>
      </c>
      <c r="D73" s="359" t="s">
        <v>100</v>
      </c>
      <c r="E73" s="360" t="s">
        <v>101</v>
      </c>
      <c r="F73" s="361" t="s">
        <v>31</v>
      </c>
      <c r="G73" s="362">
        <v>50804</v>
      </c>
      <c r="H73" s="363">
        <v>29</v>
      </c>
      <c r="I73" s="364" t="s">
        <v>265</v>
      </c>
      <c r="J73" s="365">
        <v>2</v>
      </c>
      <c r="K73" s="365" t="s">
        <v>270</v>
      </c>
      <c r="L73" s="366"/>
    </row>
    <row r="74" spans="1:12" ht="15.75" customHeight="1">
      <c r="A74" s="359">
        <v>2</v>
      </c>
      <c r="B74" s="359">
        <v>3</v>
      </c>
      <c r="C74" s="359">
        <v>11</v>
      </c>
      <c r="D74" s="359" t="s">
        <v>102</v>
      </c>
      <c r="E74" s="360" t="s">
        <v>103</v>
      </c>
      <c r="F74" s="361" t="s">
        <v>31</v>
      </c>
      <c r="G74" s="362">
        <v>50821</v>
      </c>
      <c r="H74" s="363">
        <v>369</v>
      </c>
      <c r="I74" s="364" t="s">
        <v>272</v>
      </c>
      <c r="J74" s="365">
        <v>3</v>
      </c>
      <c r="K74" s="365" t="s">
        <v>273</v>
      </c>
      <c r="L74" s="366"/>
    </row>
    <row r="75" spans="1:12" ht="15.75" customHeight="1">
      <c r="A75" s="324">
        <v>2</v>
      </c>
      <c r="B75" s="324">
        <v>3</v>
      </c>
      <c r="C75" s="324">
        <v>11</v>
      </c>
      <c r="D75" s="324" t="s">
        <v>102</v>
      </c>
      <c r="E75" s="373" t="s">
        <v>103</v>
      </c>
      <c r="F75" s="374" t="s">
        <v>34</v>
      </c>
      <c r="G75" s="375">
        <v>50415</v>
      </c>
      <c r="H75" s="376">
        <v>4</v>
      </c>
      <c r="I75" s="377"/>
      <c r="J75" s="378"/>
      <c r="K75" s="378"/>
      <c r="L75" s="378" t="s">
        <v>55</v>
      </c>
    </row>
    <row r="76" spans="1:12" ht="15.75" customHeight="1">
      <c r="A76" s="359">
        <v>2</v>
      </c>
      <c r="B76" s="359">
        <v>3</v>
      </c>
      <c r="C76" s="359">
        <v>11</v>
      </c>
      <c r="D76" s="359" t="s">
        <v>102</v>
      </c>
      <c r="E76" s="360" t="s">
        <v>104</v>
      </c>
      <c r="F76" s="361" t="s">
        <v>68</v>
      </c>
      <c r="G76" s="362">
        <v>50658</v>
      </c>
      <c r="H76" s="363">
        <v>136</v>
      </c>
      <c r="I76" s="364" t="s">
        <v>272</v>
      </c>
      <c r="J76" s="365">
        <v>3</v>
      </c>
      <c r="K76" s="365" t="s">
        <v>273</v>
      </c>
      <c r="L76" s="366"/>
    </row>
    <row r="77" spans="1:12" ht="15.75" customHeight="1">
      <c r="A77" s="359">
        <v>2</v>
      </c>
      <c r="B77" s="359">
        <v>3</v>
      </c>
      <c r="C77" s="359">
        <v>12</v>
      </c>
      <c r="D77" s="359" t="s">
        <v>102</v>
      </c>
      <c r="E77" s="360" t="s">
        <v>103</v>
      </c>
      <c r="F77" s="361" t="s">
        <v>68</v>
      </c>
      <c r="G77" s="362">
        <v>50817</v>
      </c>
      <c r="H77" s="363">
        <v>1429</v>
      </c>
      <c r="I77" s="364" t="s">
        <v>272</v>
      </c>
      <c r="J77" s="365">
        <v>3</v>
      </c>
      <c r="K77" s="365" t="s">
        <v>273</v>
      </c>
      <c r="L77" s="366"/>
    </row>
    <row r="78" spans="1:12" ht="15.75" customHeight="1">
      <c r="A78" s="359">
        <v>2</v>
      </c>
      <c r="B78" s="359">
        <v>3</v>
      </c>
      <c r="C78" s="359">
        <v>13</v>
      </c>
      <c r="D78" s="359" t="s">
        <v>105</v>
      </c>
      <c r="E78" s="360" t="s">
        <v>106</v>
      </c>
      <c r="F78" s="361" t="s">
        <v>25</v>
      </c>
      <c r="G78" s="362">
        <v>50859</v>
      </c>
      <c r="H78" s="363">
        <v>349</v>
      </c>
      <c r="I78" s="364" t="s">
        <v>272</v>
      </c>
      <c r="J78" s="365">
        <v>3</v>
      </c>
      <c r="K78" s="365" t="s">
        <v>273</v>
      </c>
      <c r="L78" s="366"/>
    </row>
    <row r="79" spans="1:12" ht="15.75" customHeight="1">
      <c r="A79" s="359">
        <v>2</v>
      </c>
      <c r="B79" s="359">
        <v>3</v>
      </c>
      <c r="C79" s="359">
        <v>13</v>
      </c>
      <c r="D79" s="359" t="s">
        <v>105</v>
      </c>
      <c r="E79" s="360" t="s">
        <v>106</v>
      </c>
      <c r="F79" s="361" t="s">
        <v>25</v>
      </c>
      <c r="G79" s="362">
        <v>50735</v>
      </c>
      <c r="H79" s="363">
        <v>22</v>
      </c>
      <c r="I79" s="364" t="s">
        <v>272</v>
      </c>
      <c r="J79" s="365">
        <v>3</v>
      </c>
      <c r="K79" s="365" t="s">
        <v>273</v>
      </c>
      <c r="L79" s="366"/>
    </row>
    <row r="80" spans="1:12" ht="15.75" customHeight="1">
      <c r="A80" s="359">
        <v>2</v>
      </c>
      <c r="B80" s="359">
        <v>3</v>
      </c>
      <c r="C80" s="359">
        <v>13</v>
      </c>
      <c r="D80" s="359" t="s">
        <v>105</v>
      </c>
      <c r="E80" s="360" t="s">
        <v>106</v>
      </c>
      <c r="F80" s="361" t="s">
        <v>25</v>
      </c>
      <c r="G80" s="362">
        <v>50756</v>
      </c>
      <c r="H80" s="363">
        <v>37</v>
      </c>
      <c r="I80" s="364" t="s">
        <v>272</v>
      </c>
      <c r="J80" s="365">
        <v>3</v>
      </c>
      <c r="K80" s="365" t="s">
        <v>273</v>
      </c>
      <c r="L80" s="366"/>
    </row>
    <row r="81" spans="1:18" ht="15.75" customHeight="1">
      <c r="A81" s="359">
        <v>2</v>
      </c>
      <c r="B81" s="359">
        <v>3</v>
      </c>
      <c r="C81" s="359">
        <v>13</v>
      </c>
      <c r="D81" s="359" t="s">
        <v>105</v>
      </c>
      <c r="E81" s="360" t="s">
        <v>106</v>
      </c>
      <c r="F81" s="361" t="s">
        <v>68</v>
      </c>
      <c r="G81" s="362">
        <v>50836</v>
      </c>
      <c r="H81" s="363">
        <v>172</v>
      </c>
      <c r="I81" s="364" t="s">
        <v>272</v>
      </c>
      <c r="J81" s="365">
        <v>3</v>
      </c>
      <c r="K81" s="365" t="s">
        <v>273</v>
      </c>
      <c r="L81" s="366"/>
    </row>
    <row r="82" spans="1:18" ht="15.75" customHeight="1">
      <c r="A82" s="359">
        <v>2</v>
      </c>
      <c r="B82" s="359">
        <v>3</v>
      </c>
      <c r="C82" s="359">
        <v>14</v>
      </c>
      <c r="D82" s="359" t="s">
        <v>107</v>
      </c>
      <c r="E82" s="360" t="s">
        <v>108</v>
      </c>
      <c r="F82" s="361" t="s">
        <v>25</v>
      </c>
      <c r="G82" s="362">
        <v>50847</v>
      </c>
      <c r="H82" s="363">
        <v>371</v>
      </c>
      <c r="I82" s="364" t="s">
        <v>272</v>
      </c>
      <c r="J82" s="365">
        <v>3</v>
      </c>
      <c r="K82" s="365" t="s">
        <v>273</v>
      </c>
      <c r="L82" s="366"/>
    </row>
    <row r="83" spans="1:18" ht="15.75" customHeight="1">
      <c r="A83" s="359">
        <v>2</v>
      </c>
      <c r="B83" s="359">
        <v>3</v>
      </c>
      <c r="C83" s="359">
        <v>14</v>
      </c>
      <c r="D83" s="359" t="s">
        <v>107</v>
      </c>
      <c r="E83" s="360" t="s">
        <v>108</v>
      </c>
      <c r="F83" s="361" t="s">
        <v>109</v>
      </c>
      <c r="G83" s="362">
        <v>50743</v>
      </c>
      <c r="H83" s="363">
        <v>88</v>
      </c>
      <c r="I83" s="364" t="s">
        <v>272</v>
      </c>
      <c r="J83" s="365">
        <v>3</v>
      </c>
      <c r="K83" s="365" t="s">
        <v>273</v>
      </c>
      <c r="L83" s="366"/>
    </row>
    <row r="84" spans="1:18" ht="15.75" customHeight="1">
      <c r="A84" s="359">
        <v>2</v>
      </c>
      <c r="B84" s="359">
        <v>3</v>
      </c>
      <c r="C84" s="359">
        <v>17</v>
      </c>
      <c r="D84" s="359" t="s">
        <v>60</v>
      </c>
      <c r="E84" s="360" t="s">
        <v>71</v>
      </c>
      <c r="F84" s="361" t="s">
        <v>25</v>
      </c>
      <c r="G84" s="362">
        <v>50747</v>
      </c>
      <c r="H84" s="363">
        <v>1</v>
      </c>
      <c r="I84" s="364" t="s">
        <v>265</v>
      </c>
      <c r="J84" s="365">
        <v>2</v>
      </c>
      <c r="K84" s="365" t="s">
        <v>270</v>
      </c>
      <c r="L84" s="366"/>
    </row>
    <row r="85" spans="1:18" ht="15.75" customHeight="1">
      <c r="A85" s="101">
        <v>2</v>
      </c>
      <c r="B85" s="101">
        <v>3</v>
      </c>
      <c r="C85" s="101">
        <v>17</v>
      </c>
      <c r="D85" s="101" t="s">
        <v>60</v>
      </c>
      <c r="E85" s="104" t="s">
        <v>61</v>
      </c>
      <c r="F85" s="392" t="s">
        <v>25</v>
      </c>
      <c r="G85" s="107">
        <v>50733</v>
      </c>
      <c r="H85" s="110">
        <v>114</v>
      </c>
      <c r="I85" s="392" t="s">
        <v>265</v>
      </c>
      <c r="J85" s="393">
        <v>2</v>
      </c>
      <c r="K85" s="393" t="s">
        <v>269</v>
      </c>
      <c r="L85" s="393" t="s">
        <v>111</v>
      </c>
      <c r="M85" s="90"/>
      <c r="N85" s="90"/>
      <c r="O85" s="90"/>
      <c r="P85" s="90"/>
      <c r="Q85" s="90"/>
      <c r="R85" s="90"/>
    </row>
    <row r="86" spans="1:18" ht="15.75" customHeight="1">
      <c r="A86" s="359">
        <v>2</v>
      </c>
      <c r="B86" s="359">
        <v>3</v>
      </c>
      <c r="C86" s="359">
        <v>17</v>
      </c>
      <c r="D86" s="359" t="s">
        <v>60</v>
      </c>
      <c r="E86" s="360" t="s">
        <v>61</v>
      </c>
      <c r="F86" s="361" t="s">
        <v>68</v>
      </c>
      <c r="G86" s="362">
        <v>50636</v>
      </c>
      <c r="H86" s="363">
        <v>36</v>
      </c>
      <c r="I86" s="364" t="s">
        <v>265</v>
      </c>
      <c r="J86" s="365">
        <v>2</v>
      </c>
      <c r="K86" s="365" t="s">
        <v>292</v>
      </c>
      <c r="L86" s="366"/>
    </row>
    <row r="87" spans="1:18" ht="15.75" customHeight="1">
      <c r="A87" s="84">
        <v>2</v>
      </c>
      <c r="B87" s="84">
        <v>3</v>
      </c>
      <c r="C87" s="84">
        <v>17</v>
      </c>
      <c r="D87" s="84" t="s">
        <v>60</v>
      </c>
      <c r="E87" s="367" t="s">
        <v>61</v>
      </c>
      <c r="F87" s="368" t="s">
        <v>68</v>
      </c>
      <c r="G87" s="369">
        <v>50668</v>
      </c>
      <c r="H87" s="370">
        <v>34</v>
      </c>
      <c r="I87" s="371"/>
      <c r="J87" s="372"/>
      <c r="K87" s="372"/>
      <c r="L87" s="372" t="s">
        <v>43</v>
      </c>
    </row>
    <row r="88" spans="1:18" ht="15.75" customHeight="1">
      <c r="A88" s="359">
        <v>2</v>
      </c>
      <c r="B88" s="359">
        <v>3</v>
      </c>
      <c r="C88" s="359">
        <v>17</v>
      </c>
      <c r="D88" s="359" t="s">
        <v>60</v>
      </c>
      <c r="E88" s="360" t="s">
        <v>61</v>
      </c>
      <c r="F88" s="361" t="s">
        <v>68</v>
      </c>
      <c r="G88" s="362">
        <v>50626</v>
      </c>
      <c r="H88" s="363">
        <v>8</v>
      </c>
      <c r="I88" s="364" t="s">
        <v>265</v>
      </c>
      <c r="J88" s="365">
        <v>2</v>
      </c>
      <c r="K88" s="365" t="s">
        <v>270</v>
      </c>
      <c r="L88" s="366"/>
    </row>
    <row r="89" spans="1:18" ht="15.75" customHeight="1">
      <c r="A89" s="359">
        <v>2</v>
      </c>
      <c r="B89" s="359">
        <v>3</v>
      </c>
      <c r="C89" s="359">
        <v>17</v>
      </c>
      <c r="D89" s="359" t="s">
        <v>60</v>
      </c>
      <c r="E89" s="360" t="s">
        <v>61</v>
      </c>
      <c r="F89" s="361" t="s">
        <v>34</v>
      </c>
      <c r="G89" s="362">
        <v>50595</v>
      </c>
      <c r="H89" s="363">
        <v>45</v>
      </c>
      <c r="I89" s="364" t="s">
        <v>265</v>
      </c>
      <c r="J89" s="365">
        <v>2</v>
      </c>
      <c r="K89" s="365" t="s">
        <v>270</v>
      </c>
      <c r="L89" s="366"/>
    </row>
    <row r="90" spans="1:18" ht="15.75" customHeight="1">
      <c r="A90" s="359">
        <v>2</v>
      </c>
      <c r="B90" s="359">
        <v>3</v>
      </c>
      <c r="C90" s="359">
        <v>17</v>
      </c>
      <c r="D90" s="359" t="s">
        <v>60</v>
      </c>
      <c r="E90" s="360" t="s">
        <v>61</v>
      </c>
      <c r="F90" s="361" t="s">
        <v>68</v>
      </c>
      <c r="G90" s="362">
        <v>50818</v>
      </c>
      <c r="H90" s="363">
        <v>67</v>
      </c>
      <c r="I90" s="364" t="s">
        <v>265</v>
      </c>
      <c r="J90" s="365">
        <v>2</v>
      </c>
      <c r="K90" s="365" t="s">
        <v>270</v>
      </c>
      <c r="L90" s="366"/>
    </row>
    <row r="91" spans="1:18" ht="15.75" customHeight="1">
      <c r="A91" s="359">
        <v>2</v>
      </c>
      <c r="B91" s="359">
        <v>3</v>
      </c>
      <c r="C91" s="359">
        <v>17</v>
      </c>
      <c r="D91" s="359" t="s">
        <v>60</v>
      </c>
      <c r="E91" s="360" t="s">
        <v>61</v>
      </c>
      <c r="F91" s="361" t="s">
        <v>31</v>
      </c>
      <c r="G91" s="362">
        <v>50810</v>
      </c>
      <c r="H91" s="363">
        <v>127</v>
      </c>
      <c r="I91" s="364" t="s">
        <v>265</v>
      </c>
      <c r="J91" s="365">
        <v>2</v>
      </c>
      <c r="K91" s="365" t="s">
        <v>270</v>
      </c>
      <c r="L91" s="366"/>
    </row>
    <row r="92" spans="1:18" ht="15.75" customHeight="1">
      <c r="A92" s="359">
        <v>2</v>
      </c>
      <c r="B92" s="359">
        <v>3</v>
      </c>
      <c r="C92" s="359">
        <v>17</v>
      </c>
      <c r="D92" s="359" t="s">
        <v>60</v>
      </c>
      <c r="E92" s="360" t="s">
        <v>61</v>
      </c>
      <c r="F92" s="361" t="s">
        <v>25</v>
      </c>
      <c r="G92" s="362">
        <v>50749</v>
      </c>
      <c r="H92" s="363">
        <v>29</v>
      </c>
      <c r="I92" s="364" t="s">
        <v>265</v>
      </c>
      <c r="J92" s="365">
        <v>2</v>
      </c>
      <c r="K92" s="365" t="s">
        <v>270</v>
      </c>
      <c r="L92" s="366"/>
    </row>
    <row r="93" spans="1:18" ht="15.75" customHeight="1">
      <c r="A93" s="359">
        <v>2</v>
      </c>
      <c r="B93" s="359">
        <v>3</v>
      </c>
      <c r="C93" s="359">
        <v>18</v>
      </c>
      <c r="D93" s="359" t="s">
        <v>112</v>
      </c>
      <c r="E93" s="360" t="s">
        <v>113</v>
      </c>
      <c r="F93" s="361" t="s">
        <v>25</v>
      </c>
      <c r="G93" s="362">
        <v>50758</v>
      </c>
      <c r="H93" s="363">
        <v>246</v>
      </c>
      <c r="I93" s="364" t="s">
        <v>265</v>
      </c>
      <c r="J93" s="365">
        <v>2</v>
      </c>
      <c r="K93" s="365" t="s">
        <v>270</v>
      </c>
      <c r="L93" s="366"/>
    </row>
    <row r="94" spans="1:18" ht="15.75" customHeight="1">
      <c r="A94" s="359">
        <v>2</v>
      </c>
      <c r="B94" s="359">
        <v>3</v>
      </c>
      <c r="C94" s="359">
        <v>18</v>
      </c>
      <c r="D94" s="359" t="s">
        <v>114</v>
      </c>
      <c r="E94" s="360" t="s">
        <v>115</v>
      </c>
      <c r="F94" s="361" t="s">
        <v>25</v>
      </c>
      <c r="G94" s="362">
        <v>50858</v>
      </c>
      <c r="H94" s="363">
        <v>98</v>
      </c>
      <c r="I94" s="364" t="s">
        <v>265</v>
      </c>
      <c r="J94" s="365">
        <v>2</v>
      </c>
      <c r="K94" s="365" t="s">
        <v>294</v>
      </c>
      <c r="L94" s="366"/>
    </row>
    <row r="95" spans="1:18" ht="15.75" customHeight="1">
      <c r="A95" s="359">
        <v>2</v>
      </c>
      <c r="B95" s="359">
        <v>3</v>
      </c>
      <c r="C95" s="359">
        <v>18</v>
      </c>
      <c r="D95" s="359" t="s">
        <v>112</v>
      </c>
      <c r="E95" s="360" t="s">
        <v>113</v>
      </c>
      <c r="F95" s="361" t="s">
        <v>25</v>
      </c>
      <c r="G95" s="362">
        <v>50812</v>
      </c>
      <c r="H95" s="363">
        <v>29</v>
      </c>
      <c r="I95" s="364" t="s">
        <v>265</v>
      </c>
      <c r="J95" s="365">
        <v>2</v>
      </c>
      <c r="K95" s="365" t="s">
        <v>270</v>
      </c>
      <c r="L95" s="366"/>
    </row>
    <row r="96" spans="1:18" ht="15.75" customHeight="1">
      <c r="A96" s="84">
        <v>2</v>
      </c>
      <c r="B96" s="84">
        <v>3</v>
      </c>
      <c r="C96" s="84">
        <v>18</v>
      </c>
      <c r="D96" s="84" t="s">
        <v>112</v>
      </c>
      <c r="E96" s="367" t="s">
        <v>113</v>
      </c>
      <c r="F96" s="368" t="s">
        <v>116</v>
      </c>
      <c r="G96" s="369">
        <v>50065</v>
      </c>
      <c r="H96" s="370">
        <v>10</v>
      </c>
      <c r="I96" s="371"/>
      <c r="J96" s="372"/>
      <c r="K96" s="372"/>
      <c r="L96" s="372" t="s">
        <v>43</v>
      </c>
    </row>
    <row r="97" spans="1:18" ht="15.75" customHeight="1">
      <c r="A97" s="359">
        <v>2</v>
      </c>
      <c r="B97" s="359">
        <v>3</v>
      </c>
      <c r="C97" s="359">
        <v>18</v>
      </c>
      <c r="D97" s="359" t="s">
        <v>114</v>
      </c>
      <c r="E97" s="360" t="s">
        <v>115</v>
      </c>
      <c r="F97" s="361" t="s">
        <v>117</v>
      </c>
      <c r="G97" s="362">
        <v>50535</v>
      </c>
      <c r="H97" s="363">
        <v>24</v>
      </c>
      <c r="I97" s="364" t="s">
        <v>265</v>
      </c>
      <c r="J97" s="365">
        <v>2</v>
      </c>
      <c r="K97" s="365" t="s">
        <v>269</v>
      </c>
      <c r="L97" s="366"/>
    </row>
    <row r="98" spans="1:18" ht="15.75" customHeight="1">
      <c r="A98" s="359">
        <v>2</v>
      </c>
      <c r="B98" s="359">
        <v>3</v>
      </c>
      <c r="C98" s="359">
        <v>19</v>
      </c>
      <c r="D98" s="359" t="s">
        <v>32</v>
      </c>
      <c r="E98" s="360" t="s">
        <v>33</v>
      </c>
      <c r="F98" s="361" t="s">
        <v>34</v>
      </c>
      <c r="G98" s="362">
        <v>50563</v>
      </c>
      <c r="H98" s="363">
        <v>338</v>
      </c>
      <c r="I98" s="364" t="s">
        <v>265</v>
      </c>
      <c r="J98" s="365">
        <v>2</v>
      </c>
      <c r="K98" s="365" t="s">
        <v>270</v>
      </c>
      <c r="L98" s="366"/>
    </row>
    <row r="99" spans="1:18" ht="15.75" customHeight="1">
      <c r="A99" s="116">
        <v>2</v>
      </c>
      <c r="B99" s="116">
        <v>3</v>
      </c>
      <c r="C99" s="116">
        <v>19</v>
      </c>
      <c r="D99" s="116" t="s">
        <v>112</v>
      </c>
      <c r="E99" s="117" t="s">
        <v>113</v>
      </c>
      <c r="F99" s="394" t="s">
        <v>34</v>
      </c>
      <c r="G99" s="118">
        <v>50688</v>
      </c>
      <c r="H99" s="119">
        <v>113</v>
      </c>
      <c r="I99" s="394" t="s">
        <v>272</v>
      </c>
      <c r="J99" s="395">
        <v>3</v>
      </c>
      <c r="K99" s="395" t="s">
        <v>273</v>
      </c>
      <c r="L99" s="395" t="s">
        <v>118</v>
      </c>
      <c r="M99" s="90"/>
      <c r="N99" s="90"/>
      <c r="O99" s="90"/>
      <c r="P99" s="90"/>
      <c r="Q99" s="90"/>
      <c r="R99" s="90"/>
    </row>
    <row r="100" spans="1:18" ht="15.75" customHeight="1">
      <c r="A100" s="382">
        <v>2</v>
      </c>
      <c r="B100" s="359">
        <v>3</v>
      </c>
      <c r="C100" s="359">
        <v>19</v>
      </c>
      <c r="D100" s="359" t="s">
        <v>112</v>
      </c>
      <c r="E100" s="360" t="s">
        <v>113</v>
      </c>
      <c r="F100" s="361" t="s">
        <v>68</v>
      </c>
      <c r="G100" s="362">
        <v>50146</v>
      </c>
      <c r="H100" s="363">
        <v>9</v>
      </c>
      <c r="I100" s="364" t="s">
        <v>272</v>
      </c>
      <c r="J100" s="365">
        <v>3</v>
      </c>
      <c r="K100" s="365" t="s">
        <v>273</v>
      </c>
      <c r="L100" s="366"/>
    </row>
    <row r="101" spans="1:18" ht="15.75" customHeight="1">
      <c r="A101" s="116">
        <v>2</v>
      </c>
      <c r="B101" s="116">
        <v>3</v>
      </c>
      <c r="C101" s="116">
        <v>19</v>
      </c>
      <c r="D101" s="116" t="s">
        <v>112</v>
      </c>
      <c r="E101" s="117" t="s">
        <v>113</v>
      </c>
      <c r="F101" s="394" t="s">
        <v>25</v>
      </c>
      <c r="G101" s="118">
        <v>50758</v>
      </c>
      <c r="H101" s="119">
        <v>133</v>
      </c>
      <c r="I101" s="396"/>
      <c r="J101" s="395"/>
      <c r="K101" s="395"/>
      <c r="L101" s="395" t="s">
        <v>119</v>
      </c>
      <c r="M101" s="90"/>
      <c r="N101" s="90"/>
      <c r="O101" s="90"/>
      <c r="P101" s="90"/>
      <c r="Q101" s="90"/>
      <c r="R101" s="90"/>
    </row>
    <row r="102" spans="1:18" ht="15.75" customHeight="1">
      <c r="A102" s="359">
        <v>2</v>
      </c>
      <c r="B102" s="359">
        <v>3</v>
      </c>
      <c r="C102" s="359">
        <v>21</v>
      </c>
      <c r="D102" s="359" t="s">
        <v>120</v>
      </c>
      <c r="E102" s="360" t="s">
        <v>121</v>
      </c>
      <c r="F102" s="361" t="s">
        <v>25</v>
      </c>
      <c r="G102" s="362">
        <v>50745</v>
      </c>
      <c r="H102" s="363">
        <v>131</v>
      </c>
      <c r="I102" s="364" t="s">
        <v>272</v>
      </c>
      <c r="J102" s="365">
        <v>3</v>
      </c>
      <c r="K102" s="365" t="s">
        <v>273</v>
      </c>
      <c r="L102" s="366"/>
    </row>
    <row r="103" spans="1:18" ht="15.75" customHeight="1">
      <c r="A103" s="359">
        <v>2</v>
      </c>
      <c r="B103" s="359">
        <v>3</v>
      </c>
      <c r="C103" s="359">
        <v>21</v>
      </c>
      <c r="D103" s="359" t="s">
        <v>120</v>
      </c>
      <c r="E103" s="360" t="s">
        <v>121</v>
      </c>
      <c r="F103" s="361" t="s">
        <v>31</v>
      </c>
      <c r="G103" s="362">
        <v>50718</v>
      </c>
      <c r="H103" s="363">
        <v>168</v>
      </c>
      <c r="I103" s="364" t="s">
        <v>272</v>
      </c>
      <c r="J103" s="365">
        <v>3</v>
      </c>
      <c r="K103" s="365" t="s">
        <v>273</v>
      </c>
      <c r="L103" s="366"/>
    </row>
    <row r="104" spans="1:18" ht="15.75" customHeight="1">
      <c r="A104" s="359">
        <v>2</v>
      </c>
      <c r="B104" s="359">
        <v>3</v>
      </c>
      <c r="C104" s="359">
        <v>21</v>
      </c>
      <c r="D104" s="359" t="s">
        <v>120</v>
      </c>
      <c r="E104" s="360" t="s">
        <v>121</v>
      </c>
      <c r="F104" s="361" t="s">
        <v>25</v>
      </c>
      <c r="G104" s="362">
        <v>50681</v>
      </c>
      <c r="H104" s="363">
        <v>9</v>
      </c>
      <c r="I104" s="364" t="s">
        <v>272</v>
      </c>
      <c r="J104" s="365">
        <v>3</v>
      </c>
      <c r="K104" s="365" t="s">
        <v>273</v>
      </c>
      <c r="L104" s="366"/>
    </row>
    <row r="105" spans="1:18" ht="15.75" customHeight="1">
      <c r="A105" s="359">
        <v>2</v>
      </c>
      <c r="B105" s="359">
        <v>3</v>
      </c>
      <c r="C105" s="359">
        <v>22</v>
      </c>
      <c r="D105" s="359" t="s">
        <v>122</v>
      </c>
      <c r="E105" s="360" t="s">
        <v>123</v>
      </c>
      <c r="F105" s="361" t="s">
        <v>34</v>
      </c>
      <c r="G105" s="362">
        <v>50732</v>
      </c>
      <c r="H105" s="363">
        <v>274</v>
      </c>
      <c r="I105" s="364" t="s">
        <v>272</v>
      </c>
      <c r="J105" s="365">
        <v>3</v>
      </c>
      <c r="K105" s="365" t="s">
        <v>273</v>
      </c>
      <c r="L105" s="366"/>
    </row>
    <row r="106" spans="1:18" ht="15.75" customHeight="1">
      <c r="A106" s="359">
        <v>2</v>
      </c>
      <c r="B106" s="359">
        <v>3</v>
      </c>
      <c r="C106" s="359">
        <v>22</v>
      </c>
      <c r="D106" s="359" t="s">
        <v>122</v>
      </c>
      <c r="E106" s="360" t="s">
        <v>123</v>
      </c>
      <c r="F106" s="361" t="s">
        <v>34</v>
      </c>
      <c r="G106" s="362">
        <v>50545</v>
      </c>
      <c r="H106" s="363">
        <v>13</v>
      </c>
      <c r="I106" s="364" t="s">
        <v>265</v>
      </c>
      <c r="J106" s="365">
        <v>2</v>
      </c>
      <c r="K106" s="365" t="s">
        <v>269</v>
      </c>
      <c r="L106" s="366"/>
    </row>
    <row r="107" spans="1:18" ht="15.75" customHeight="1">
      <c r="A107" s="359">
        <v>2</v>
      </c>
      <c r="B107" s="359">
        <v>3</v>
      </c>
      <c r="C107" s="359">
        <v>22</v>
      </c>
      <c r="D107" s="359" t="s">
        <v>122</v>
      </c>
      <c r="E107" s="360" t="s">
        <v>123</v>
      </c>
      <c r="F107" s="361" t="s">
        <v>25</v>
      </c>
      <c r="G107" s="362">
        <v>50833</v>
      </c>
      <c r="H107" s="363">
        <v>204</v>
      </c>
      <c r="I107" s="364" t="s">
        <v>265</v>
      </c>
      <c r="J107" s="365">
        <v>2</v>
      </c>
      <c r="K107" s="365" t="s">
        <v>270</v>
      </c>
      <c r="L107" s="366"/>
    </row>
    <row r="108" spans="1:18" ht="15.75" customHeight="1">
      <c r="A108" s="359">
        <v>2</v>
      </c>
      <c r="B108" s="359">
        <v>3</v>
      </c>
      <c r="C108" s="359">
        <v>22</v>
      </c>
      <c r="D108" s="359" t="s">
        <v>122</v>
      </c>
      <c r="E108" s="360" t="s">
        <v>123</v>
      </c>
      <c r="F108" s="361" t="s">
        <v>25</v>
      </c>
      <c r="G108" s="362">
        <v>50725</v>
      </c>
      <c r="H108" s="363">
        <v>62</v>
      </c>
      <c r="I108" s="364" t="s">
        <v>265</v>
      </c>
      <c r="J108" s="365">
        <v>2</v>
      </c>
      <c r="K108" s="365" t="s">
        <v>270</v>
      </c>
      <c r="L108" s="366"/>
    </row>
    <row r="109" spans="1:18" ht="15.75" customHeight="1">
      <c r="A109" s="359">
        <v>2</v>
      </c>
      <c r="B109" s="359">
        <v>4</v>
      </c>
      <c r="C109" s="359">
        <v>2</v>
      </c>
      <c r="D109" s="359" t="s">
        <v>124</v>
      </c>
      <c r="E109" s="360" t="s">
        <v>125</v>
      </c>
      <c r="F109" s="361" t="s">
        <v>31</v>
      </c>
      <c r="G109" s="362">
        <v>50761</v>
      </c>
      <c r="H109" s="363">
        <v>250</v>
      </c>
      <c r="I109" s="364" t="s">
        <v>265</v>
      </c>
      <c r="J109" s="365">
        <v>2</v>
      </c>
      <c r="K109" s="365" t="s">
        <v>297</v>
      </c>
      <c r="L109" s="366"/>
    </row>
    <row r="110" spans="1:18" ht="15.75" customHeight="1">
      <c r="A110" s="359">
        <v>2</v>
      </c>
      <c r="B110" s="359">
        <v>4</v>
      </c>
      <c r="C110" s="359">
        <v>2</v>
      </c>
      <c r="D110" s="359" t="s">
        <v>124</v>
      </c>
      <c r="E110" s="360" t="s">
        <v>125</v>
      </c>
      <c r="F110" s="361" t="s">
        <v>25</v>
      </c>
      <c r="G110" s="362">
        <v>50113</v>
      </c>
      <c r="H110" s="363">
        <v>172</v>
      </c>
      <c r="I110" s="364" t="s">
        <v>265</v>
      </c>
      <c r="J110" s="365">
        <v>2</v>
      </c>
      <c r="K110" s="365" t="s">
        <v>299</v>
      </c>
      <c r="L110" s="366"/>
    </row>
    <row r="111" spans="1:18" ht="15.75" customHeight="1">
      <c r="A111" s="84">
        <v>2</v>
      </c>
      <c r="B111" s="84">
        <v>4</v>
      </c>
      <c r="C111" s="84">
        <v>2</v>
      </c>
      <c r="D111" s="84" t="s">
        <v>124</v>
      </c>
      <c r="E111" s="367" t="s">
        <v>125</v>
      </c>
      <c r="F111" s="368" t="s">
        <v>25</v>
      </c>
      <c r="G111" s="369">
        <v>50659</v>
      </c>
      <c r="H111" s="370">
        <v>63</v>
      </c>
      <c r="I111" s="371"/>
      <c r="J111" s="372"/>
      <c r="K111" s="372"/>
      <c r="L111" s="372" t="s">
        <v>43</v>
      </c>
    </row>
    <row r="112" spans="1:18" ht="15.75" customHeight="1">
      <c r="A112" s="128">
        <v>2</v>
      </c>
      <c r="B112" s="128">
        <v>4</v>
      </c>
      <c r="C112" s="128">
        <v>2</v>
      </c>
      <c r="D112" s="128" t="s">
        <v>126</v>
      </c>
      <c r="E112" s="130" t="s">
        <v>127</v>
      </c>
      <c r="F112" s="163" t="s">
        <v>25</v>
      </c>
      <c r="G112" s="131">
        <v>50767</v>
      </c>
      <c r="H112" s="132">
        <v>145</v>
      </c>
      <c r="I112" s="163" t="s">
        <v>265</v>
      </c>
      <c r="J112" s="397">
        <v>2</v>
      </c>
      <c r="K112" s="397" t="s">
        <v>301</v>
      </c>
      <c r="L112" s="397" t="s">
        <v>128</v>
      </c>
      <c r="M112" s="137"/>
      <c r="N112" s="137"/>
      <c r="O112" s="137"/>
      <c r="P112" s="137"/>
      <c r="Q112" s="137"/>
      <c r="R112" s="137"/>
    </row>
    <row r="113" spans="1:18" ht="15.75" customHeight="1">
      <c r="A113" s="359">
        <v>2</v>
      </c>
      <c r="B113" s="359">
        <v>4</v>
      </c>
      <c r="C113" s="359">
        <v>3</v>
      </c>
      <c r="D113" s="359" t="s">
        <v>60</v>
      </c>
      <c r="E113" s="360" t="s">
        <v>61</v>
      </c>
      <c r="F113" s="361" t="s">
        <v>31</v>
      </c>
      <c r="G113" s="362">
        <v>50810</v>
      </c>
      <c r="H113" s="363">
        <v>482</v>
      </c>
      <c r="I113" s="364" t="s">
        <v>265</v>
      </c>
      <c r="J113" s="365">
        <v>2</v>
      </c>
      <c r="K113" s="365" t="s">
        <v>270</v>
      </c>
      <c r="L113" s="366"/>
    </row>
    <row r="114" spans="1:18" ht="15.75" customHeight="1">
      <c r="A114" s="359">
        <v>2</v>
      </c>
      <c r="B114" s="359">
        <v>4</v>
      </c>
      <c r="C114" s="359">
        <v>4</v>
      </c>
      <c r="D114" s="359" t="s">
        <v>129</v>
      </c>
      <c r="E114" s="360" t="s">
        <v>130</v>
      </c>
      <c r="F114" s="361" t="s">
        <v>31</v>
      </c>
      <c r="G114" s="362">
        <v>50827</v>
      </c>
      <c r="H114" s="363">
        <v>654</v>
      </c>
      <c r="I114" s="364" t="s">
        <v>265</v>
      </c>
      <c r="J114" s="365">
        <v>2</v>
      </c>
      <c r="K114" s="365" t="s">
        <v>270</v>
      </c>
      <c r="L114" s="366"/>
    </row>
    <row r="115" spans="1:18" ht="15.75" customHeight="1">
      <c r="A115" s="128">
        <v>2</v>
      </c>
      <c r="B115" s="128">
        <v>4</v>
      </c>
      <c r="C115" s="128">
        <v>4</v>
      </c>
      <c r="D115" s="128" t="s">
        <v>60</v>
      </c>
      <c r="E115" s="130" t="s">
        <v>61</v>
      </c>
      <c r="F115" s="163" t="s">
        <v>31</v>
      </c>
      <c r="G115" s="131">
        <v>50860</v>
      </c>
      <c r="H115" s="132">
        <v>214</v>
      </c>
      <c r="I115" s="163" t="s">
        <v>265</v>
      </c>
      <c r="J115" s="397">
        <v>2</v>
      </c>
      <c r="K115" s="397" t="s">
        <v>270</v>
      </c>
      <c r="L115" s="397" t="s">
        <v>131</v>
      </c>
      <c r="M115" s="137"/>
      <c r="N115" s="137"/>
      <c r="O115" s="137"/>
      <c r="P115" s="137"/>
      <c r="Q115" s="137"/>
      <c r="R115" s="137"/>
    </row>
    <row r="116" spans="1:18" ht="15.75" customHeight="1">
      <c r="A116" s="359">
        <v>2</v>
      </c>
      <c r="B116" s="359">
        <v>4</v>
      </c>
      <c r="C116" s="359">
        <v>5</v>
      </c>
      <c r="D116" s="359" t="s">
        <v>56</v>
      </c>
      <c r="E116" s="360" t="s">
        <v>57</v>
      </c>
      <c r="F116" s="361" t="s">
        <v>31</v>
      </c>
      <c r="G116" s="362">
        <v>50712</v>
      </c>
      <c r="H116" s="363">
        <v>621</v>
      </c>
      <c r="I116" s="364" t="s">
        <v>272</v>
      </c>
      <c r="J116" s="365">
        <v>3</v>
      </c>
      <c r="K116" s="365" t="s">
        <v>273</v>
      </c>
      <c r="L116" s="366"/>
    </row>
    <row r="117" spans="1:18" ht="15.75" customHeight="1">
      <c r="A117" s="359">
        <v>2</v>
      </c>
      <c r="B117" s="359">
        <v>4</v>
      </c>
      <c r="C117" s="359">
        <v>6</v>
      </c>
      <c r="D117" s="359" t="s">
        <v>132</v>
      </c>
      <c r="E117" s="360" t="s">
        <v>133</v>
      </c>
      <c r="F117" s="361" t="s">
        <v>109</v>
      </c>
      <c r="G117" s="362">
        <v>50716</v>
      </c>
      <c r="H117" s="363">
        <v>82</v>
      </c>
      <c r="I117" s="364" t="s">
        <v>265</v>
      </c>
      <c r="J117" s="365">
        <v>2</v>
      </c>
      <c r="K117" s="365" t="s">
        <v>269</v>
      </c>
      <c r="L117" s="366"/>
    </row>
    <row r="118" spans="1:18" ht="15.75" customHeight="1">
      <c r="A118" s="359">
        <v>2</v>
      </c>
      <c r="B118" s="359">
        <v>4</v>
      </c>
      <c r="C118" s="359">
        <v>6</v>
      </c>
      <c r="D118" s="359" t="s">
        <v>132</v>
      </c>
      <c r="E118" s="360" t="s">
        <v>133</v>
      </c>
      <c r="F118" s="361" t="s">
        <v>109</v>
      </c>
      <c r="G118" s="362">
        <v>50789</v>
      </c>
      <c r="H118" s="363">
        <v>327</v>
      </c>
      <c r="I118" s="364" t="s">
        <v>265</v>
      </c>
      <c r="J118" s="365">
        <v>2</v>
      </c>
      <c r="K118" s="365" t="s">
        <v>304</v>
      </c>
      <c r="L118" s="366"/>
    </row>
    <row r="119" spans="1:18" ht="15.75" customHeight="1">
      <c r="A119" s="359">
        <v>2</v>
      </c>
      <c r="B119" s="359">
        <v>4</v>
      </c>
      <c r="C119" s="359">
        <v>6</v>
      </c>
      <c r="D119" s="359" t="s">
        <v>132</v>
      </c>
      <c r="E119" s="360" t="s">
        <v>133</v>
      </c>
      <c r="F119" s="361" t="s">
        <v>34</v>
      </c>
      <c r="G119" s="362">
        <v>50710</v>
      </c>
      <c r="H119" s="363">
        <v>15</v>
      </c>
      <c r="I119" s="364" t="s">
        <v>265</v>
      </c>
      <c r="J119" s="365">
        <v>2</v>
      </c>
      <c r="K119" s="365" t="s">
        <v>304</v>
      </c>
      <c r="L119" s="366"/>
    </row>
    <row r="120" spans="1:18" ht="15.75" customHeight="1">
      <c r="A120" s="359">
        <v>2</v>
      </c>
      <c r="B120" s="359">
        <v>4</v>
      </c>
      <c r="C120" s="359">
        <v>7</v>
      </c>
      <c r="D120" s="359" t="s">
        <v>134</v>
      </c>
      <c r="E120" s="360" t="s">
        <v>135</v>
      </c>
      <c r="F120" s="361" t="s">
        <v>25</v>
      </c>
      <c r="G120" s="362">
        <v>50268</v>
      </c>
      <c r="H120" s="363">
        <v>411</v>
      </c>
      <c r="I120" s="364" t="s">
        <v>272</v>
      </c>
      <c r="J120" s="365">
        <v>3</v>
      </c>
      <c r="K120" s="365" t="s">
        <v>273</v>
      </c>
      <c r="L120" s="366"/>
    </row>
    <row r="121" spans="1:18" ht="15.75" customHeight="1">
      <c r="A121" s="324">
        <v>2</v>
      </c>
      <c r="B121" s="324">
        <v>4</v>
      </c>
      <c r="C121" s="324">
        <v>7</v>
      </c>
      <c r="D121" s="324" t="s">
        <v>134</v>
      </c>
      <c r="E121" s="373" t="s">
        <v>135</v>
      </c>
      <c r="F121" s="374" t="s">
        <v>68</v>
      </c>
      <c r="G121" s="375">
        <v>50169</v>
      </c>
      <c r="H121" s="376">
        <v>10</v>
      </c>
      <c r="I121" s="377"/>
      <c r="J121" s="378"/>
      <c r="K121" s="378"/>
      <c r="L121" s="378" t="s">
        <v>55</v>
      </c>
    </row>
    <row r="122" spans="1:18" ht="15.75" customHeight="1">
      <c r="A122" s="359">
        <v>2</v>
      </c>
      <c r="B122" s="359">
        <v>4</v>
      </c>
      <c r="C122" s="359">
        <v>9</v>
      </c>
      <c r="D122" s="359" t="s">
        <v>136</v>
      </c>
      <c r="E122" s="360" t="s">
        <v>137</v>
      </c>
      <c r="F122" s="361" t="s">
        <v>68</v>
      </c>
      <c r="G122" s="362">
        <v>50830</v>
      </c>
      <c r="H122" s="363">
        <v>329</v>
      </c>
      <c r="I122" s="364" t="s">
        <v>265</v>
      </c>
      <c r="J122" s="365">
        <v>2</v>
      </c>
      <c r="K122" s="365" t="s">
        <v>306</v>
      </c>
      <c r="L122" s="366"/>
    </row>
    <row r="123" spans="1:18" ht="15.75" customHeight="1">
      <c r="A123" s="359">
        <v>2</v>
      </c>
      <c r="B123" s="359">
        <v>4</v>
      </c>
      <c r="C123" s="359">
        <v>9</v>
      </c>
      <c r="D123" s="359" t="s">
        <v>136</v>
      </c>
      <c r="E123" s="360" t="s">
        <v>137</v>
      </c>
      <c r="F123" s="361" t="s">
        <v>25</v>
      </c>
      <c r="G123" s="362">
        <v>50757</v>
      </c>
      <c r="H123" s="363">
        <v>10</v>
      </c>
      <c r="I123" s="364" t="s">
        <v>265</v>
      </c>
      <c r="J123" s="365">
        <v>2</v>
      </c>
      <c r="K123" s="365" t="s">
        <v>306</v>
      </c>
      <c r="L123" s="366"/>
    </row>
    <row r="124" spans="1:18" ht="15.75" customHeight="1">
      <c r="A124" s="359">
        <v>2</v>
      </c>
      <c r="B124" s="359">
        <v>4</v>
      </c>
      <c r="C124" s="359">
        <v>10</v>
      </c>
      <c r="D124" s="359" t="s">
        <v>138</v>
      </c>
      <c r="E124" s="360" t="s">
        <v>139</v>
      </c>
      <c r="F124" s="361" t="s">
        <v>68</v>
      </c>
      <c r="G124" s="362">
        <v>50828</v>
      </c>
      <c r="H124" s="363">
        <v>954</v>
      </c>
      <c r="I124" s="364" t="s">
        <v>272</v>
      </c>
      <c r="J124" s="365">
        <v>3</v>
      </c>
      <c r="K124" s="365" t="s">
        <v>273</v>
      </c>
      <c r="L124" s="366"/>
    </row>
    <row r="125" spans="1:18" ht="15.75" customHeight="1">
      <c r="A125" s="359">
        <v>2</v>
      </c>
      <c r="B125" s="359">
        <v>4</v>
      </c>
      <c r="C125" s="359">
        <v>10</v>
      </c>
      <c r="D125" s="359" t="s">
        <v>140</v>
      </c>
      <c r="E125" s="360" t="s">
        <v>141</v>
      </c>
      <c r="F125" s="361" t="s">
        <v>25</v>
      </c>
      <c r="G125" s="362">
        <v>50763</v>
      </c>
      <c r="H125" s="363">
        <v>19</v>
      </c>
      <c r="I125" s="364" t="s">
        <v>272</v>
      </c>
      <c r="J125" s="365">
        <v>3</v>
      </c>
      <c r="K125" s="365" t="s">
        <v>273</v>
      </c>
      <c r="L125" s="366"/>
    </row>
    <row r="126" spans="1:18" ht="15.75" customHeight="1">
      <c r="A126" s="359">
        <v>2</v>
      </c>
      <c r="B126" s="359">
        <v>4</v>
      </c>
      <c r="C126" s="359">
        <v>10</v>
      </c>
      <c r="D126" s="359" t="s">
        <v>138</v>
      </c>
      <c r="E126" s="360" t="s">
        <v>139</v>
      </c>
      <c r="F126" s="361" t="s">
        <v>68</v>
      </c>
      <c r="G126" s="362">
        <v>50295</v>
      </c>
      <c r="H126" s="363">
        <v>11</v>
      </c>
      <c r="I126" s="364" t="s">
        <v>272</v>
      </c>
      <c r="J126" s="365">
        <v>3</v>
      </c>
      <c r="K126" s="365" t="s">
        <v>273</v>
      </c>
      <c r="L126" s="366"/>
    </row>
    <row r="127" spans="1:18" ht="15.75" customHeight="1">
      <c r="A127" s="359">
        <v>2</v>
      </c>
      <c r="B127" s="359">
        <v>4</v>
      </c>
      <c r="C127" s="359">
        <v>10</v>
      </c>
      <c r="D127" s="359" t="s">
        <v>140</v>
      </c>
      <c r="E127" s="360" t="s">
        <v>141</v>
      </c>
      <c r="F127" s="361" t="s">
        <v>68</v>
      </c>
      <c r="G127" s="362">
        <v>50638</v>
      </c>
      <c r="H127" s="363">
        <v>52</v>
      </c>
      <c r="I127" s="364" t="s">
        <v>272</v>
      </c>
      <c r="J127" s="365">
        <v>3</v>
      </c>
      <c r="K127" s="365" t="s">
        <v>273</v>
      </c>
      <c r="L127" s="366"/>
    </row>
    <row r="128" spans="1:18" ht="15.75" customHeight="1">
      <c r="A128" s="359">
        <v>2</v>
      </c>
      <c r="B128" s="359">
        <v>4</v>
      </c>
      <c r="C128" s="359">
        <v>10</v>
      </c>
      <c r="D128" s="359" t="s">
        <v>138</v>
      </c>
      <c r="E128" s="360" t="s">
        <v>139</v>
      </c>
      <c r="F128" s="361" t="s">
        <v>25</v>
      </c>
      <c r="G128" s="362">
        <v>50750</v>
      </c>
      <c r="H128" s="363">
        <v>82</v>
      </c>
      <c r="I128" s="364" t="s">
        <v>272</v>
      </c>
      <c r="J128" s="365">
        <v>3</v>
      </c>
      <c r="K128" s="365" t="s">
        <v>273</v>
      </c>
      <c r="L128" s="366"/>
    </row>
    <row r="129" spans="1:12" ht="15.75" customHeight="1">
      <c r="A129" s="84">
        <v>2</v>
      </c>
      <c r="B129" s="84">
        <v>4</v>
      </c>
      <c r="C129" s="84">
        <v>11</v>
      </c>
      <c r="D129" s="84" t="s">
        <v>142</v>
      </c>
      <c r="E129" s="367" t="s">
        <v>143</v>
      </c>
      <c r="F129" s="368" t="s">
        <v>144</v>
      </c>
      <c r="G129" s="369">
        <v>50769</v>
      </c>
      <c r="H129" s="370">
        <v>2</v>
      </c>
      <c r="I129" s="371"/>
      <c r="J129" s="372"/>
      <c r="K129" s="372"/>
      <c r="L129" s="372" t="s">
        <v>43</v>
      </c>
    </row>
    <row r="130" spans="1:12" ht="15.75" customHeight="1">
      <c r="A130" s="359">
        <v>2</v>
      </c>
      <c r="B130" s="359">
        <v>4</v>
      </c>
      <c r="C130" s="359">
        <v>13</v>
      </c>
      <c r="D130" s="359" t="s">
        <v>32</v>
      </c>
      <c r="E130" s="360" t="s">
        <v>33</v>
      </c>
      <c r="F130" s="361" t="s">
        <v>68</v>
      </c>
      <c r="G130" s="362">
        <v>50819</v>
      </c>
      <c r="H130" s="363">
        <v>1285</v>
      </c>
      <c r="I130" s="364" t="s">
        <v>265</v>
      </c>
      <c r="J130" s="365">
        <v>2</v>
      </c>
      <c r="K130" s="365" t="s">
        <v>270</v>
      </c>
      <c r="L130" s="366"/>
    </row>
    <row r="131" spans="1:12" ht="15.75" customHeight="1">
      <c r="A131" s="359">
        <v>2</v>
      </c>
      <c r="B131" s="359">
        <v>4</v>
      </c>
      <c r="C131" s="359">
        <v>14</v>
      </c>
      <c r="D131" s="359" t="s">
        <v>145</v>
      </c>
      <c r="E131" s="360" t="s">
        <v>146</v>
      </c>
      <c r="F131" s="361" t="s">
        <v>31</v>
      </c>
      <c r="G131" s="362">
        <v>50809</v>
      </c>
      <c r="H131" s="363">
        <v>664</v>
      </c>
      <c r="I131" s="364" t="s">
        <v>265</v>
      </c>
      <c r="J131" s="365">
        <v>2</v>
      </c>
      <c r="K131" s="365" t="s">
        <v>269</v>
      </c>
      <c r="L131" s="366"/>
    </row>
    <row r="132" spans="1:12" ht="15.75" customHeight="1">
      <c r="A132" s="84">
        <v>2</v>
      </c>
      <c r="B132" s="84">
        <v>4</v>
      </c>
      <c r="C132" s="84">
        <v>15</v>
      </c>
      <c r="D132" s="84" t="s">
        <v>147</v>
      </c>
      <c r="E132" s="367" t="s">
        <v>148</v>
      </c>
      <c r="F132" s="368" t="s">
        <v>25</v>
      </c>
      <c r="G132" s="369">
        <v>50376</v>
      </c>
      <c r="H132" s="370">
        <v>6</v>
      </c>
      <c r="I132" s="371"/>
      <c r="J132" s="372"/>
      <c r="K132" s="372"/>
      <c r="L132" s="372" t="s">
        <v>43</v>
      </c>
    </row>
    <row r="133" spans="1:12" ht="15.75" customHeight="1">
      <c r="A133" s="359">
        <v>2</v>
      </c>
      <c r="B133" s="359">
        <v>4</v>
      </c>
      <c r="C133" s="359">
        <v>15</v>
      </c>
      <c r="D133" s="359" t="s">
        <v>149</v>
      </c>
      <c r="E133" s="360" t="s">
        <v>150</v>
      </c>
      <c r="F133" s="361" t="s">
        <v>31</v>
      </c>
      <c r="G133" s="362">
        <v>50815</v>
      </c>
      <c r="H133" s="363">
        <v>81</v>
      </c>
      <c r="I133" s="364" t="s">
        <v>265</v>
      </c>
      <c r="J133" s="365">
        <v>2</v>
      </c>
      <c r="K133" s="365" t="s">
        <v>270</v>
      </c>
      <c r="L133" s="366"/>
    </row>
    <row r="134" spans="1:12" ht="15.75" customHeight="1">
      <c r="A134" s="359">
        <v>2</v>
      </c>
      <c r="B134" s="359">
        <v>4</v>
      </c>
      <c r="C134" s="359">
        <v>15</v>
      </c>
      <c r="D134" s="359" t="s">
        <v>145</v>
      </c>
      <c r="E134" s="360" t="s">
        <v>146</v>
      </c>
      <c r="F134" s="361" t="s">
        <v>31</v>
      </c>
      <c r="G134" s="362">
        <v>50711</v>
      </c>
      <c r="H134" s="363">
        <v>100</v>
      </c>
      <c r="I134" s="364" t="s">
        <v>265</v>
      </c>
      <c r="J134" s="365">
        <v>2</v>
      </c>
      <c r="K134" s="365" t="s">
        <v>269</v>
      </c>
      <c r="L134" s="366"/>
    </row>
    <row r="135" spans="1:12" ht="15.75" customHeight="1">
      <c r="A135" s="359">
        <v>2</v>
      </c>
      <c r="B135" s="359">
        <v>4</v>
      </c>
      <c r="C135" s="359">
        <v>15</v>
      </c>
      <c r="D135" s="359" t="s">
        <v>145</v>
      </c>
      <c r="E135" s="360" t="s">
        <v>146</v>
      </c>
      <c r="F135" s="361" t="s">
        <v>68</v>
      </c>
      <c r="G135" s="362">
        <v>50701</v>
      </c>
      <c r="H135" s="363">
        <v>70</v>
      </c>
      <c r="I135" s="364" t="s">
        <v>265</v>
      </c>
      <c r="J135" s="365">
        <v>2</v>
      </c>
      <c r="K135" s="365" t="s">
        <v>269</v>
      </c>
      <c r="L135" s="366"/>
    </row>
    <row r="136" spans="1:12" ht="15.75" customHeight="1">
      <c r="A136" s="359">
        <v>2</v>
      </c>
      <c r="B136" s="359">
        <v>4</v>
      </c>
      <c r="C136" s="359">
        <v>15</v>
      </c>
      <c r="D136" s="359" t="s">
        <v>151</v>
      </c>
      <c r="E136" s="360" t="s">
        <v>152</v>
      </c>
      <c r="F136" s="361" t="s">
        <v>144</v>
      </c>
      <c r="G136" s="362">
        <v>50776</v>
      </c>
      <c r="H136" s="363">
        <v>28</v>
      </c>
      <c r="I136" s="364" t="s">
        <v>272</v>
      </c>
      <c r="J136" s="365">
        <v>3</v>
      </c>
      <c r="K136" s="365" t="s">
        <v>273</v>
      </c>
      <c r="L136" s="366"/>
    </row>
    <row r="137" spans="1:12" ht="15.75" customHeight="1">
      <c r="A137" s="84">
        <v>2</v>
      </c>
      <c r="B137" s="84">
        <v>4</v>
      </c>
      <c r="C137" s="84">
        <v>15</v>
      </c>
      <c r="D137" s="84" t="s">
        <v>151</v>
      </c>
      <c r="E137" s="367" t="s">
        <v>152</v>
      </c>
      <c r="F137" s="368" t="s">
        <v>31</v>
      </c>
      <c r="G137" s="369">
        <v>50811</v>
      </c>
      <c r="H137" s="370">
        <v>4</v>
      </c>
      <c r="I137" s="371"/>
      <c r="J137" s="372"/>
      <c r="K137" s="372"/>
      <c r="L137" s="372" t="s">
        <v>43</v>
      </c>
    </row>
    <row r="138" spans="1:12" ht="15.75" customHeight="1">
      <c r="A138" s="359">
        <v>2</v>
      </c>
      <c r="B138" s="359">
        <v>4</v>
      </c>
      <c r="C138" s="359">
        <v>15</v>
      </c>
      <c r="D138" s="359" t="s">
        <v>153</v>
      </c>
      <c r="E138" s="360" t="s">
        <v>154</v>
      </c>
      <c r="F138" s="361" t="s">
        <v>155</v>
      </c>
      <c r="G138" s="362">
        <v>50851</v>
      </c>
      <c r="H138" s="363">
        <v>15</v>
      </c>
      <c r="I138" s="364" t="s">
        <v>272</v>
      </c>
      <c r="J138" s="365">
        <v>3</v>
      </c>
      <c r="K138" s="365" t="s">
        <v>273</v>
      </c>
      <c r="L138" s="366"/>
    </row>
    <row r="139" spans="1:12" ht="15.75" customHeight="1">
      <c r="A139" s="359">
        <v>2</v>
      </c>
      <c r="B139" s="359">
        <v>4</v>
      </c>
      <c r="C139" s="359">
        <v>15</v>
      </c>
      <c r="D139" s="359" t="s">
        <v>156</v>
      </c>
      <c r="E139" s="360" t="s">
        <v>157</v>
      </c>
      <c r="F139" s="361" t="s">
        <v>31</v>
      </c>
      <c r="G139" s="362">
        <v>50805</v>
      </c>
      <c r="H139" s="363">
        <v>15</v>
      </c>
      <c r="I139" s="364" t="s">
        <v>266</v>
      </c>
      <c r="J139" s="365">
        <v>1</v>
      </c>
      <c r="K139" s="365" t="s">
        <v>307</v>
      </c>
      <c r="L139" s="366"/>
    </row>
    <row r="140" spans="1:12" ht="15.75" customHeight="1">
      <c r="A140" s="359">
        <v>2</v>
      </c>
      <c r="B140" s="359">
        <v>4</v>
      </c>
      <c r="C140" s="359">
        <v>15</v>
      </c>
      <c r="D140" s="359" t="s">
        <v>158</v>
      </c>
      <c r="E140" s="360" t="s">
        <v>159</v>
      </c>
      <c r="F140" s="361" t="s">
        <v>31</v>
      </c>
      <c r="G140" s="362">
        <v>50849</v>
      </c>
      <c r="H140" s="363">
        <v>27</v>
      </c>
      <c r="I140" s="364" t="s">
        <v>265</v>
      </c>
      <c r="J140" s="365">
        <v>2</v>
      </c>
      <c r="K140" s="365" t="s">
        <v>308</v>
      </c>
      <c r="L140" s="366"/>
    </row>
    <row r="141" spans="1:12" ht="15.75" customHeight="1">
      <c r="A141" s="359">
        <v>2</v>
      </c>
      <c r="B141" s="359">
        <v>4</v>
      </c>
      <c r="C141" s="359">
        <v>15</v>
      </c>
      <c r="D141" s="359" t="s">
        <v>160</v>
      </c>
      <c r="E141" s="360" t="s">
        <v>161</v>
      </c>
      <c r="F141" s="361" t="s">
        <v>34</v>
      </c>
      <c r="G141" s="362">
        <v>50707</v>
      </c>
      <c r="H141" s="363">
        <v>30</v>
      </c>
      <c r="I141" s="364" t="s">
        <v>265</v>
      </c>
      <c r="J141" s="365">
        <v>2</v>
      </c>
      <c r="K141" s="365" t="s">
        <v>270</v>
      </c>
      <c r="L141" s="366"/>
    </row>
    <row r="142" spans="1:12" ht="15.75" customHeight="1">
      <c r="A142" s="359">
        <v>2</v>
      </c>
      <c r="B142" s="359">
        <v>4</v>
      </c>
      <c r="C142" s="359">
        <v>15</v>
      </c>
      <c r="D142" s="359" t="s">
        <v>162</v>
      </c>
      <c r="E142" s="360" t="s">
        <v>163</v>
      </c>
      <c r="F142" s="361" t="s">
        <v>34</v>
      </c>
      <c r="G142" s="362">
        <v>50840</v>
      </c>
      <c r="H142" s="363">
        <v>1</v>
      </c>
      <c r="I142" s="364" t="s">
        <v>272</v>
      </c>
      <c r="J142" s="365">
        <v>3</v>
      </c>
      <c r="K142" s="365" t="s">
        <v>273</v>
      </c>
      <c r="L142" s="366"/>
    </row>
    <row r="143" spans="1:12" ht="15.75" customHeight="1">
      <c r="A143" s="324">
        <v>2</v>
      </c>
      <c r="B143" s="324">
        <v>4</v>
      </c>
      <c r="C143" s="324">
        <v>15</v>
      </c>
      <c r="D143" s="324" t="s">
        <v>164</v>
      </c>
      <c r="E143" s="373" t="s">
        <v>165</v>
      </c>
      <c r="F143" s="374" t="s">
        <v>166</v>
      </c>
      <c r="G143" s="375">
        <v>50775</v>
      </c>
      <c r="H143" s="376">
        <v>1</v>
      </c>
      <c r="I143" s="377"/>
      <c r="J143" s="378"/>
      <c r="K143" s="378"/>
      <c r="L143" s="378" t="s">
        <v>55</v>
      </c>
    </row>
    <row r="144" spans="1:12" ht="15.75" customHeight="1">
      <c r="A144" s="84">
        <v>2</v>
      </c>
      <c r="B144" s="84">
        <v>4</v>
      </c>
      <c r="C144" s="84">
        <v>15</v>
      </c>
      <c r="D144" s="84" t="s">
        <v>149</v>
      </c>
      <c r="E144" s="367" t="s">
        <v>150</v>
      </c>
      <c r="F144" s="368" t="s">
        <v>68</v>
      </c>
      <c r="G144" s="369">
        <v>50669</v>
      </c>
      <c r="H144" s="370">
        <v>4</v>
      </c>
      <c r="I144" s="371"/>
      <c r="J144" s="372"/>
      <c r="K144" s="372"/>
      <c r="L144" s="372" t="s">
        <v>43</v>
      </c>
    </row>
    <row r="145" spans="1:12" ht="15.75" customHeight="1">
      <c r="A145" s="84">
        <v>2</v>
      </c>
      <c r="B145" s="84">
        <v>4</v>
      </c>
      <c r="C145" s="84">
        <v>15</v>
      </c>
      <c r="D145" s="84" t="s">
        <v>149</v>
      </c>
      <c r="E145" s="367" t="s">
        <v>150</v>
      </c>
      <c r="F145" s="368" t="s">
        <v>34</v>
      </c>
      <c r="G145" s="369">
        <v>50433</v>
      </c>
      <c r="H145" s="370">
        <v>3</v>
      </c>
      <c r="I145" s="371"/>
      <c r="J145" s="372"/>
      <c r="K145" s="372"/>
      <c r="L145" s="372" t="s">
        <v>43</v>
      </c>
    </row>
    <row r="146" spans="1:12" ht="15.75" customHeight="1">
      <c r="A146" s="359">
        <v>2</v>
      </c>
      <c r="B146" s="359">
        <v>4</v>
      </c>
      <c r="C146" s="359">
        <v>16</v>
      </c>
      <c r="D146" s="359" t="s">
        <v>167</v>
      </c>
      <c r="E146" s="360" t="s">
        <v>168</v>
      </c>
      <c r="F146" s="361" t="s">
        <v>31</v>
      </c>
      <c r="G146" s="362">
        <v>50865</v>
      </c>
      <c r="H146" s="363">
        <v>628</v>
      </c>
      <c r="I146" s="364" t="s">
        <v>272</v>
      </c>
      <c r="J146" s="365">
        <v>3</v>
      </c>
      <c r="K146" s="365" t="s">
        <v>273</v>
      </c>
      <c r="L146" s="366"/>
    </row>
    <row r="147" spans="1:12" ht="15.75" customHeight="1">
      <c r="A147" s="359">
        <v>2</v>
      </c>
      <c r="B147" s="359">
        <v>4</v>
      </c>
      <c r="C147" s="359">
        <v>16</v>
      </c>
      <c r="D147" s="359" t="s">
        <v>145</v>
      </c>
      <c r="E147" s="360" t="s">
        <v>146</v>
      </c>
      <c r="F147" s="361" t="s">
        <v>31</v>
      </c>
      <c r="G147" s="362">
        <v>50866</v>
      </c>
      <c r="H147" s="363">
        <v>86</v>
      </c>
      <c r="I147" s="364" t="s">
        <v>272</v>
      </c>
      <c r="J147" s="365">
        <v>3</v>
      </c>
      <c r="K147" s="365" t="s">
        <v>273</v>
      </c>
      <c r="L147" s="366"/>
    </row>
    <row r="148" spans="1:12" ht="15.75" customHeight="1">
      <c r="A148" s="382">
        <v>2</v>
      </c>
      <c r="B148" s="359">
        <v>4</v>
      </c>
      <c r="C148" s="359">
        <v>17</v>
      </c>
      <c r="D148" s="359" t="s">
        <v>169</v>
      </c>
      <c r="E148" s="360" t="s">
        <v>170</v>
      </c>
      <c r="F148" s="361" t="s">
        <v>34</v>
      </c>
      <c r="G148" s="362">
        <v>50596</v>
      </c>
      <c r="H148" s="363">
        <v>110</v>
      </c>
      <c r="I148" s="364" t="s">
        <v>265</v>
      </c>
      <c r="J148" s="365">
        <v>2</v>
      </c>
      <c r="K148" s="365" t="s">
        <v>270</v>
      </c>
      <c r="L148" s="366"/>
    </row>
    <row r="149" spans="1:12" ht="15.75" customHeight="1">
      <c r="A149" s="359">
        <v>2</v>
      </c>
      <c r="B149" s="359">
        <v>4</v>
      </c>
      <c r="C149" s="359">
        <v>17</v>
      </c>
      <c r="D149" s="359" t="s">
        <v>169</v>
      </c>
      <c r="E149" s="360" t="s">
        <v>170</v>
      </c>
      <c r="F149" s="361" t="s">
        <v>34</v>
      </c>
      <c r="G149" s="362">
        <v>50571</v>
      </c>
      <c r="H149" s="363">
        <v>223</v>
      </c>
      <c r="I149" s="364" t="s">
        <v>265</v>
      </c>
      <c r="J149" s="365">
        <v>2</v>
      </c>
      <c r="K149" s="365" t="s">
        <v>270</v>
      </c>
      <c r="L149" s="366"/>
    </row>
    <row r="150" spans="1:12" ht="15.75" customHeight="1">
      <c r="A150" s="359">
        <v>2</v>
      </c>
      <c r="B150" s="359">
        <v>4</v>
      </c>
      <c r="C150" s="359">
        <v>18</v>
      </c>
      <c r="D150" s="359" t="s">
        <v>171</v>
      </c>
      <c r="E150" s="360" t="s">
        <v>172</v>
      </c>
      <c r="F150" s="361" t="s">
        <v>25</v>
      </c>
      <c r="G150" s="362">
        <v>50831</v>
      </c>
      <c r="H150" s="363">
        <v>249</v>
      </c>
      <c r="I150" s="364" t="s">
        <v>272</v>
      </c>
      <c r="J150" s="365">
        <v>3</v>
      </c>
      <c r="K150" s="365" t="s">
        <v>273</v>
      </c>
      <c r="L150" s="366"/>
    </row>
    <row r="151" spans="1:12" ht="15.75" customHeight="1">
      <c r="A151" s="359">
        <v>2</v>
      </c>
      <c r="B151" s="359">
        <v>4</v>
      </c>
      <c r="C151" s="359">
        <v>19</v>
      </c>
      <c r="D151" s="359" t="s">
        <v>107</v>
      </c>
      <c r="E151" s="360" t="s">
        <v>108</v>
      </c>
      <c r="F151" s="361" t="s">
        <v>31</v>
      </c>
      <c r="G151" s="362">
        <v>50862</v>
      </c>
      <c r="H151" s="363">
        <v>714</v>
      </c>
      <c r="I151" s="364" t="s">
        <v>272</v>
      </c>
      <c r="J151" s="365">
        <v>3</v>
      </c>
      <c r="K151" s="365" t="s">
        <v>273</v>
      </c>
      <c r="L151" s="366"/>
    </row>
    <row r="152" spans="1:12" ht="15.75" customHeight="1">
      <c r="A152" s="359">
        <v>2</v>
      </c>
      <c r="B152" s="359">
        <v>4</v>
      </c>
      <c r="C152" s="359">
        <v>20</v>
      </c>
      <c r="D152" s="359" t="s">
        <v>173</v>
      </c>
      <c r="E152" s="360" t="s">
        <v>174</v>
      </c>
      <c r="F152" s="361" t="s">
        <v>25</v>
      </c>
      <c r="G152" s="362">
        <v>50678</v>
      </c>
      <c r="H152" s="363">
        <v>4</v>
      </c>
      <c r="I152" s="364" t="s">
        <v>272</v>
      </c>
      <c r="J152" s="365">
        <v>3</v>
      </c>
      <c r="K152" s="365" t="s">
        <v>273</v>
      </c>
      <c r="L152" s="366"/>
    </row>
    <row r="153" spans="1:12" ht="15.75" customHeight="1">
      <c r="A153" s="359">
        <v>2</v>
      </c>
      <c r="B153" s="359">
        <v>4</v>
      </c>
      <c r="C153" s="359">
        <v>20</v>
      </c>
      <c r="D153" s="359" t="s">
        <v>175</v>
      </c>
      <c r="E153" s="360" t="s">
        <v>176</v>
      </c>
      <c r="F153" s="361" t="s">
        <v>31</v>
      </c>
      <c r="G153" s="362">
        <v>50867</v>
      </c>
      <c r="H153" s="363">
        <v>303</v>
      </c>
      <c r="I153" s="364" t="s">
        <v>266</v>
      </c>
      <c r="J153" s="365">
        <v>1</v>
      </c>
      <c r="K153" s="365" t="s">
        <v>269</v>
      </c>
      <c r="L153" s="366"/>
    </row>
    <row r="154" spans="1:12" ht="15.75" customHeight="1">
      <c r="A154" s="359">
        <v>2</v>
      </c>
      <c r="B154" s="359">
        <v>4</v>
      </c>
      <c r="C154" s="359">
        <v>21</v>
      </c>
      <c r="D154" s="359" t="s">
        <v>177</v>
      </c>
      <c r="E154" s="360" t="s">
        <v>178</v>
      </c>
      <c r="F154" s="361" t="s">
        <v>31</v>
      </c>
      <c r="G154" s="362">
        <v>50861</v>
      </c>
      <c r="H154" s="363">
        <v>714</v>
      </c>
      <c r="I154" s="364" t="s">
        <v>272</v>
      </c>
      <c r="J154" s="365">
        <v>3</v>
      </c>
      <c r="K154" s="365" t="s">
        <v>273</v>
      </c>
      <c r="L154" s="366"/>
    </row>
    <row r="155" spans="1:12" ht="15.75" customHeight="1">
      <c r="A155" s="359">
        <v>2</v>
      </c>
      <c r="B155" s="359">
        <v>4</v>
      </c>
      <c r="C155" s="359">
        <v>22</v>
      </c>
      <c r="D155" s="359" t="s">
        <v>179</v>
      </c>
      <c r="E155" s="360" t="s">
        <v>180</v>
      </c>
      <c r="F155" s="361" t="s">
        <v>31</v>
      </c>
      <c r="G155" s="362">
        <v>50843</v>
      </c>
      <c r="H155" s="363">
        <v>330</v>
      </c>
      <c r="I155" s="364" t="s">
        <v>265</v>
      </c>
      <c r="J155" s="365">
        <v>2</v>
      </c>
      <c r="K155" s="365" t="s">
        <v>313</v>
      </c>
      <c r="L155" s="366"/>
    </row>
    <row r="156" spans="1:12" ht="15.75" customHeight="1">
      <c r="A156" s="359">
        <v>2</v>
      </c>
      <c r="B156" s="359">
        <v>5</v>
      </c>
      <c r="C156" s="359">
        <v>1</v>
      </c>
      <c r="D156" s="359" t="s">
        <v>95</v>
      </c>
      <c r="E156" s="360" t="s">
        <v>96</v>
      </c>
      <c r="F156" s="361" t="s">
        <v>68</v>
      </c>
      <c r="G156" s="362">
        <v>50620</v>
      </c>
      <c r="H156" s="363">
        <v>260</v>
      </c>
      <c r="I156" s="364" t="s">
        <v>272</v>
      </c>
      <c r="J156" s="365">
        <v>3</v>
      </c>
      <c r="K156" s="365" t="s">
        <v>273</v>
      </c>
      <c r="L156" s="366"/>
    </row>
    <row r="157" spans="1:12" ht="15.75" customHeight="1">
      <c r="A157" s="359">
        <v>2</v>
      </c>
      <c r="B157" s="359">
        <v>5</v>
      </c>
      <c r="C157" s="359">
        <v>1</v>
      </c>
      <c r="D157" s="359" t="s">
        <v>181</v>
      </c>
      <c r="E157" s="360" t="s">
        <v>182</v>
      </c>
      <c r="F157" s="361" t="s">
        <v>31</v>
      </c>
      <c r="G157" s="362">
        <v>50782</v>
      </c>
      <c r="H157" s="363">
        <v>162</v>
      </c>
      <c r="I157" s="364" t="s">
        <v>265</v>
      </c>
      <c r="J157" s="365">
        <v>2</v>
      </c>
      <c r="K157" s="365" t="s">
        <v>270</v>
      </c>
      <c r="L157" s="366"/>
    </row>
    <row r="158" spans="1:12" ht="15.75" customHeight="1">
      <c r="A158" s="359">
        <v>2</v>
      </c>
      <c r="B158" s="359">
        <v>5</v>
      </c>
      <c r="C158" s="359">
        <v>2</v>
      </c>
      <c r="D158" s="359" t="s">
        <v>56</v>
      </c>
      <c r="E158" s="360" t="s">
        <v>57</v>
      </c>
      <c r="F158" s="361" t="s">
        <v>68</v>
      </c>
      <c r="G158" s="362">
        <v>50664</v>
      </c>
      <c r="H158" s="363">
        <v>125</v>
      </c>
      <c r="I158" s="364" t="s">
        <v>265</v>
      </c>
      <c r="J158" s="365">
        <v>2</v>
      </c>
      <c r="K158" s="365" t="s">
        <v>270</v>
      </c>
      <c r="L158" s="366"/>
    </row>
    <row r="159" spans="1:12" ht="15.75" customHeight="1">
      <c r="A159" s="359">
        <v>2</v>
      </c>
      <c r="B159" s="359">
        <v>5</v>
      </c>
      <c r="C159" s="359">
        <v>3</v>
      </c>
      <c r="D159" s="359" t="s">
        <v>37</v>
      </c>
      <c r="E159" s="360" t="s">
        <v>38</v>
      </c>
      <c r="F159" s="361" t="s">
        <v>31</v>
      </c>
      <c r="G159" s="362">
        <v>50785</v>
      </c>
      <c r="H159" s="363">
        <v>128</v>
      </c>
      <c r="I159" s="364" t="s">
        <v>272</v>
      </c>
      <c r="J159" s="365">
        <v>3</v>
      </c>
      <c r="K159" s="365" t="s">
        <v>273</v>
      </c>
      <c r="L159" s="366"/>
    </row>
    <row r="160" spans="1:12" ht="15.75" customHeight="1">
      <c r="A160" s="359">
        <v>2</v>
      </c>
      <c r="B160" s="359">
        <v>5</v>
      </c>
      <c r="C160" s="359">
        <v>4</v>
      </c>
      <c r="D160" s="359" t="s">
        <v>35</v>
      </c>
      <c r="E160" s="360" t="s">
        <v>36</v>
      </c>
      <c r="F160" s="361" t="s">
        <v>31</v>
      </c>
      <c r="G160" s="362">
        <v>50806</v>
      </c>
      <c r="H160" s="363">
        <v>284</v>
      </c>
      <c r="I160" s="364" t="s">
        <v>272</v>
      </c>
      <c r="J160" s="365">
        <v>3</v>
      </c>
      <c r="K160" s="365" t="s">
        <v>273</v>
      </c>
      <c r="L160" s="366"/>
    </row>
    <row r="161" spans="1:18" ht="15.75" customHeight="1">
      <c r="A161" s="359">
        <v>2</v>
      </c>
      <c r="B161" s="359">
        <v>5</v>
      </c>
      <c r="C161" s="359">
        <v>4</v>
      </c>
      <c r="D161" s="359" t="s">
        <v>35</v>
      </c>
      <c r="E161" s="360" t="s">
        <v>36</v>
      </c>
      <c r="F161" s="361" t="s">
        <v>68</v>
      </c>
      <c r="G161" s="362">
        <v>50829</v>
      </c>
      <c r="H161" s="363">
        <v>418</v>
      </c>
      <c r="I161" s="364" t="s">
        <v>272</v>
      </c>
      <c r="J161" s="365">
        <v>3</v>
      </c>
      <c r="K161" s="365" t="s">
        <v>273</v>
      </c>
      <c r="L161" s="366"/>
    </row>
    <row r="162" spans="1:18" ht="15.75" customHeight="1">
      <c r="A162" s="359">
        <v>2</v>
      </c>
      <c r="B162" s="359">
        <v>5</v>
      </c>
      <c r="C162" s="359">
        <v>5</v>
      </c>
      <c r="D162" s="359" t="s">
        <v>183</v>
      </c>
      <c r="E162" s="360" t="s">
        <v>184</v>
      </c>
      <c r="F162" s="361" t="s">
        <v>31</v>
      </c>
      <c r="G162" s="362">
        <v>50808</v>
      </c>
      <c r="H162" s="363">
        <v>363</v>
      </c>
      <c r="I162" s="364" t="s">
        <v>272</v>
      </c>
      <c r="J162" s="365">
        <v>3</v>
      </c>
      <c r="K162" s="365" t="s">
        <v>273</v>
      </c>
      <c r="L162" s="366"/>
    </row>
    <row r="163" spans="1:18" ht="15.75" customHeight="1">
      <c r="A163" s="359">
        <v>2</v>
      </c>
      <c r="B163" s="359">
        <v>5</v>
      </c>
      <c r="C163" s="359">
        <v>5</v>
      </c>
      <c r="D163" s="359" t="s">
        <v>183</v>
      </c>
      <c r="E163" s="360" t="s">
        <v>184</v>
      </c>
      <c r="F163" s="361" t="s">
        <v>25</v>
      </c>
      <c r="G163" s="362">
        <v>50774</v>
      </c>
      <c r="H163" s="363">
        <v>2</v>
      </c>
      <c r="I163" s="364" t="s">
        <v>272</v>
      </c>
      <c r="J163" s="365">
        <v>3</v>
      </c>
      <c r="K163" s="365" t="s">
        <v>273</v>
      </c>
      <c r="L163" s="366"/>
    </row>
    <row r="164" spans="1:18" ht="15.75" customHeight="1">
      <c r="A164" s="359">
        <v>2</v>
      </c>
      <c r="B164" s="359">
        <v>5</v>
      </c>
      <c r="C164" s="359">
        <v>6</v>
      </c>
      <c r="D164" s="359" t="s">
        <v>49</v>
      </c>
      <c r="E164" s="360" t="s">
        <v>50</v>
      </c>
      <c r="F164" s="361" t="s">
        <v>68</v>
      </c>
      <c r="G164" s="362">
        <v>50838</v>
      </c>
      <c r="H164" s="363">
        <v>1374</v>
      </c>
      <c r="I164" s="364" t="s">
        <v>272</v>
      </c>
      <c r="J164" s="365">
        <v>3</v>
      </c>
      <c r="K164" s="365" t="s">
        <v>273</v>
      </c>
      <c r="L164" s="366"/>
    </row>
    <row r="165" spans="1:18" ht="15.75" customHeight="1">
      <c r="A165" s="359">
        <v>2</v>
      </c>
      <c r="B165" s="359">
        <v>5</v>
      </c>
      <c r="C165" s="359">
        <v>7</v>
      </c>
      <c r="D165" s="359" t="s">
        <v>185</v>
      </c>
      <c r="E165" s="360" t="s">
        <v>186</v>
      </c>
      <c r="F165" s="361" t="s">
        <v>31</v>
      </c>
      <c r="G165" s="362">
        <v>50844</v>
      </c>
      <c r="H165" s="363">
        <v>515</v>
      </c>
      <c r="I165" s="364" t="s">
        <v>272</v>
      </c>
      <c r="J165" s="365">
        <v>3</v>
      </c>
      <c r="K165" s="365" t="s">
        <v>273</v>
      </c>
      <c r="L165" s="366"/>
    </row>
    <row r="166" spans="1:18" ht="15.75" customHeight="1">
      <c r="A166" s="359">
        <v>2</v>
      </c>
      <c r="B166" s="359">
        <v>5</v>
      </c>
      <c r="C166" s="359">
        <v>8</v>
      </c>
      <c r="D166" s="359" t="s">
        <v>187</v>
      </c>
      <c r="E166" s="360" t="s">
        <v>188</v>
      </c>
      <c r="F166" s="361" t="s">
        <v>68</v>
      </c>
      <c r="G166" s="362">
        <v>50881</v>
      </c>
      <c r="H166" s="363">
        <v>738</v>
      </c>
      <c r="I166" s="364" t="s">
        <v>272</v>
      </c>
      <c r="J166" s="365">
        <v>3</v>
      </c>
      <c r="K166" s="365" t="s">
        <v>273</v>
      </c>
      <c r="L166" s="366"/>
    </row>
    <row r="167" spans="1:18" ht="15.75" customHeight="1">
      <c r="A167" s="359">
        <v>2</v>
      </c>
      <c r="B167" s="359">
        <v>5</v>
      </c>
      <c r="C167" s="359">
        <v>8</v>
      </c>
      <c r="D167" s="359" t="s">
        <v>102</v>
      </c>
      <c r="E167" s="360" t="s">
        <v>103</v>
      </c>
      <c r="F167" s="361" t="s">
        <v>68</v>
      </c>
      <c r="G167" s="362">
        <v>50882</v>
      </c>
      <c r="H167" s="363">
        <v>549</v>
      </c>
      <c r="I167" s="364" t="s">
        <v>272</v>
      </c>
      <c r="J167" s="365">
        <v>3</v>
      </c>
      <c r="K167" s="365" t="s">
        <v>273</v>
      </c>
      <c r="L167" s="366"/>
    </row>
    <row r="168" spans="1:18" ht="15.75" customHeight="1">
      <c r="A168" s="359">
        <v>2</v>
      </c>
      <c r="B168" s="359">
        <v>5</v>
      </c>
      <c r="C168" s="359">
        <v>9</v>
      </c>
      <c r="D168" s="359" t="s">
        <v>189</v>
      </c>
      <c r="E168" s="360" t="s">
        <v>190</v>
      </c>
      <c r="F168" s="361" t="s">
        <v>31</v>
      </c>
      <c r="G168" s="362">
        <v>50798</v>
      </c>
      <c r="H168" s="363">
        <v>182</v>
      </c>
      <c r="I168" s="364" t="s">
        <v>272</v>
      </c>
      <c r="J168" s="365">
        <v>3</v>
      </c>
      <c r="K168" s="365" t="s">
        <v>273</v>
      </c>
      <c r="L168" s="366"/>
    </row>
    <row r="169" spans="1:18" ht="15.75" customHeight="1">
      <c r="A169" s="359">
        <v>2</v>
      </c>
      <c r="B169" s="359">
        <v>5</v>
      </c>
      <c r="C169" s="359">
        <v>9</v>
      </c>
      <c r="D169" s="359" t="s">
        <v>189</v>
      </c>
      <c r="E169" s="360" t="s">
        <v>190</v>
      </c>
      <c r="F169" s="361" t="s">
        <v>31</v>
      </c>
      <c r="G169" s="362">
        <v>50856</v>
      </c>
      <c r="H169" s="363">
        <v>162</v>
      </c>
      <c r="I169" s="364" t="s">
        <v>272</v>
      </c>
      <c r="J169" s="365">
        <v>3</v>
      </c>
      <c r="K169" s="365" t="s">
        <v>273</v>
      </c>
      <c r="L169" s="366"/>
    </row>
    <row r="170" spans="1:18" ht="15.75" customHeight="1">
      <c r="A170" s="359">
        <v>2</v>
      </c>
      <c r="B170" s="359">
        <v>5</v>
      </c>
      <c r="C170" s="359">
        <v>9</v>
      </c>
      <c r="D170" s="359" t="s">
        <v>189</v>
      </c>
      <c r="E170" s="360" t="s">
        <v>190</v>
      </c>
      <c r="F170" s="361" t="s">
        <v>68</v>
      </c>
      <c r="G170" s="362">
        <v>50698</v>
      </c>
      <c r="H170" s="363">
        <v>87</v>
      </c>
      <c r="I170" s="364" t="s">
        <v>272</v>
      </c>
      <c r="J170" s="365">
        <v>3</v>
      </c>
      <c r="K170" s="365" t="s">
        <v>273</v>
      </c>
      <c r="L170" s="366"/>
    </row>
    <row r="171" spans="1:18" ht="15.75" customHeight="1">
      <c r="A171" s="84">
        <v>2</v>
      </c>
      <c r="B171" s="84">
        <v>5</v>
      </c>
      <c r="C171" s="84">
        <v>10</v>
      </c>
      <c r="D171" s="84" t="s">
        <v>112</v>
      </c>
      <c r="E171" s="367" t="s">
        <v>113</v>
      </c>
      <c r="F171" s="368" t="s">
        <v>31</v>
      </c>
      <c r="G171" s="369">
        <v>50538</v>
      </c>
      <c r="H171" s="402"/>
      <c r="I171" s="371"/>
      <c r="J171" s="372"/>
      <c r="K171" s="372"/>
      <c r="L171" s="372" t="s">
        <v>43</v>
      </c>
    </row>
    <row r="172" spans="1:18" ht="15.75" customHeight="1">
      <c r="A172" s="359">
        <v>2</v>
      </c>
      <c r="B172" s="359">
        <v>5</v>
      </c>
      <c r="C172" s="359">
        <v>10</v>
      </c>
      <c r="D172" s="359" t="s">
        <v>191</v>
      </c>
      <c r="E172" s="360" t="s">
        <v>192</v>
      </c>
      <c r="F172" s="361" t="s">
        <v>68</v>
      </c>
      <c r="G172" s="362">
        <v>50837</v>
      </c>
      <c r="H172" s="363">
        <v>330</v>
      </c>
      <c r="I172" s="364" t="s">
        <v>272</v>
      </c>
      <c r="J172" s="365">
        <v>3</v>
      </c>
      <c r="K172" s="365" t="s">
        <v>273</v>
      </c>
      <c r="L172" s="366"/>
    </row>
    <row r="173" spans="1:18" ht="15.75" customHeight="1">
      <c r="A173" s="153">
        <v>2</v>
      </c>
      <c r="B173" s="153">
        <v>5</v>
      </c>
      <c r="C173" s="153">
        <v>12</v>
      </c>
      <c r="D173" s="153" t="s">
        <v>49</v>
      </c>
      <c r="E173" s="155" t="s">
        <v>50</v>
      </c>
      <c r="F173" s="403" t="s">
        <v>31</v>
      </c>
      <c r="G173" s="156">
        <v>50566</v>
      </c>
      <c r="H173" s="157">
        <v>90</v>
      </c>
      <c r="I173" s="403" t="s">
        <v>272</v>
      </c>
      <c r="J173" s="397">
        <v>3</v>
      </c>
      <c r="K173" s="397" t="s">
        <v>273</v>
      </c>
      <c r="L173" s="397" t="s">
        <v>193</v>
      </c>
      <c r="M173" s="90"/>
      <c r="N173" s="90"/>
      <c r="O173" s="90"/>
      <c r="P173" s="90"/>
      <c r="Q173" s="90"/>
      <c r="R173" s="90"/>
    </row>
    <row r="174" spans="1:18" ht="15.75" customHeight="1">
      <c r="A174" s="359">
        <v>2</v>
      </c>
      <c r="B174" s="359">
        <v>5</v>
      </c>
      <c r="C174" s="359">
        <v>12</v>
      </c>
      <c r="D174" s="359" t="s">
        <v>49</v>
      </c>
      <c r="E174" s="360" t="s">
        <v>50</v>
      </c>
      <c r="F174" s="361" t="s">
        <v>34</v>
      </c>
      <c r="G174" s="362">
        <v>50476</v>
      </c>
      <c r="H174" s="363">
        <v>192</v>
      </c>
      <c r="I174" s="364" t="s">
        <v>272</v>
      </c>
      <c r="J174" s="365">
        <v>3</v>
      </c>
      <c r="K174" s="365" t="s">
        <v>273</v>
      </c>
      <c r="L174" s="366"/>
    </row>
    <row r="175" spans="1:18" ht="15.75" customHeight="1">
      <c r="A175" s="359">
        <v>2</v>
      </c>
      <c r="B175" s="359">
        <v>5</v>
      </c>
      <c r="C175" s="359">
        <v>12</v>
      </c>
      <c r="D175" s="359" t="s">
        <v>49</v>
      </c>
      <c r="E175" s="360" t="s">
        <v>194</v>
      </c>
      <c r="F175" s="361" t="s">
        <v>34</v>
      </c>
      <c r="G175" s="362">
        <v>50634</v>
      </c>
      <c r="H175" s="363">
        <v>74</v>
      </c>
      <c r="I175" s="364" t="s">
        <v>272</v>
      </c>
      <c r="J175" s="365">
        <v>3</v>
      </c>
      <c r="K175" s="365" t="s">
        <v>273</v>
      </c>
      <c r="L175" s="366"/>
    </row>
    <row r="176" spans="1:18" ht="15.75" customHeight="1">
      <c r="A176" s="359">
        <v>2</v>
      </c>
      <c r="B176" s="359">
        <v>5</v>
      </c>
      <c r="C176" s="359">
        <v>12</v>
      </c>
      <c r="D176" s="359" t="s">
        <v>49</v>
      </c>
      <c r="E176" s="360" t="s">
        <v>50</v>
      </c>
      <c r="F176" s="361" t="s">
        <v>68</v>
      </c>
      <c r="G176" s="362">
        <v>50633</v>
      </c>
      <c r="H176" s="363">
        <v>158</v>
      </c>
      <c r="I176" s="364" t="s">
        <v>272</v>
      </c>
      <c r="J176" s="365">
        <v>3</v>
      </c>
      <c r="K176" s="365" t="s">
        <v>273</v>
      </c>
      <c r="L176" s="366"/>
    </row>
    <row r="177" spans="1:12" ht="15.75" customHeight="1">
      <c r="A177" s="359">
        <v>2</v>
      </c>
      <c r="B177" s="359">
        <v>5</v>
      </c>
      <c r="C177" s="359">
        <v>13</v>
      </c>
      <c r="D177" s="359" t="s">
        <v>37</v>
      </c>
      <c r="E177" s="360" t="s">
        <v>38</v>
      </c>
      <c r="F177" s="361" t="s">
        <v>25</v>
      </c>
      <c r="G177" s="362">
        <v>50342</v>
      </c>
      <c r="H177" s="363">
        <v>3</v>
      </c>
      <c r="I177" s="364" t="s">
        <v>272</v>
      </c>
      <c r="J177" s="365">
        <v>3</v>
      </c>
      <c r="K177" s="365" t="s">
        <v>273</v>
      </c>
      <c r="L177" s="366"/>
    </row>
    <row r="178" spans="1:12" ht="15.75" customHeight="1">
      <c r="A178" s="359">
        <v>2</v>
      </c>
      <c r="B178" s="359">
        <v>5</v>
      </c>
      <c r="C178" s="359">
        <v>13</v>
      </c>
      <c r="D178" s="359" t="s">
        <v>37</v>
      </c>
      <c r="E178" s="360" t="s">
        <v>38</v>
      </c>
      <c r="F178" s="361" t="s">
        <v>31</v>
      </c>
      <c r="G178" s="362">
        <v>50785</v>
      </c>
      <c r="H178" s="363">
        <v>131</v>
      </c>
      <c r="I178" s="364" t="s">
        <v>272</v>
      </c>
      <c r="J178" s="365">
        <v>3</v>
      </c>
      <c r="K178" s="365" t="s">
        <v>273</v>
      </c>
      <c r="L178" s="366"/>
    </row>
    <row r="179" spans="1:12" ht="15.75" customHeight="1">
      <c r="A179" s="359">
        <v>2</v>
      </c>
      <c r="B179" s="359">
        <v>5</v>
      </c>
      <c r="C179" s="359">
        <v>13</v>
      </c>
      <c r="D179" s="359" t="s">
        <v>37</v>
      </c>
      <c r="E179" s="360" t="s">
        <v>38</v>
      </c>
      <c r="F179" s="361" t="s">
        <v>25</v>
      </c>
      <c r="G179" s="362">
        <v>50694</v>
      </c>
      <c r="H179" s="363">
        <v>161</v>
      </c>
      <c r="I179" s="364" t="s">
        <v>272</v>
      </c>
      <c r="J179" s="365">
        <v>3</v>
      </c>
      <c r="K179" s="365" t="s">
        <v>273</v>
      </c>
      <c r="L179" s="366"/>
    </row>
    <row r="180" spans="1:12" ht="15.75" customHeight="1">
      <c r="A180" s="359">
        <v>2</v>
      </c>
      <c r="B180" s="359">
        <v>5</v>
      </c>
      <c r="C180" s="359">
        <v>13</v>
      </c>
      <c r="D180" s="359" t="s">
        <v>37</v>
      </c>
      <c r="E180" s="360" t="s">
        <v>38</v>
      </c>
      <c r="F180" s="361" t="s">
        <v>68</v>
      </c>
      <c r="G180" s="362">
        <v>50600</v>
      </c>
      <c r="H180" s="363">
        <v>36</v>
      </c>
      <c r="I180" s="364" t="s">
        <v>272</v>
      </c>
      <c r="J180" s="365">
        <v>3</v>
      </c>
      <c r="K180" s="365" t="s">
        <v>273</v>
      </c>
      <c r="L180" s="366"/>
    </row>
    <row r="181" spans="1:12" ht="15.75" customHeight="1">
      <c r="A181" s="359">
        <v>2</v>
      </c>
      <c r="B181" s="359">
        <v>5</v>
      </c>
      <c r="C181" s="359">
        <v>13</v>
      </c>
      <c r="D181" s="359" t="s">
        <v>37</v>
      </c>
      <c r="E181" s="360" t="s">
        <v>38</v>
      </c>
      <c r="F181" s="361" t="s">
        <v>34</v>
      </c>
      <c r="G181" s="362">
        <v>50663</v>
      </c>
      <c r="H181" s="363">
        <v>14</v>
      </c>
      <c r="I181" s="364" t="s">
        <v>272</v>
      </c>
      <c r="J181" s="365">
        <v>3</v>
      </c>
      <c r="K181" s="365" t="s">
        <v>273</v>
      </c>
      <c r="L181" s="366"/>
    </row>
    <row r="182" spans="1:12" ht="15.75" customHeight="1">
      <c r="A182" s="359">
        <v>2</v>
      </c>
      <c r="B182" s="359">
        <v>5</v>
      </c>
      <c r="C182" s="359">
        <v>13</v>
      </c>
      <c r="D182" s="359" t="s">
        <v>37</v>
      </c>
      <c r="E182" s="360" t="s">
        <v>38</v>
      </c>
      <c r="F182" s="361" t="s">
        <v>68</v>
      </c>
      <c r="G182" s="362">
        <v>50696</v>
      </c>
      <c r="H182" s="363">
        <v>45</v>
      </c>
      <c r="I182" s="364" t="s">
        <v>272</v>
      </c>
      <c r="J182" s="365">
        <v>3</v>
      </c>
      <c r="K182" s="365" t="s">
        <v>273</v>
      </c>
      <c r="L182" s="366"/>
    </row>
    <row r="183" spans="1:12" ht="15.75" customHeight="1">
      <c r="A183" s="359">
        <v>2</v>
      </c>
      <c r="B183" s="359">
        <v>6</v>
      </c>
      <c r="C183" s="359">
        <v>1</v>
      </c>
      <c r="D183" s="359" t="s">
        <v>195</v>
      </c>
      <c r="E183" s="360" t="s">
        <v>196</v>
      </c>
      <c r="F183" s="361" t="s">
        <v>34</v>
      </c>
      <c r="G183" s="362">
        <v>50703</v>
      </c>
      <c r="H183" s="363">
        <v>190</v>
      </c>
      <c r="I183" s="364" t="s">
        <v>265</v>
      </c>
      <c r="J183" s="365">
        <v>2</v>
      </c>
      <c r="K183" s="365" t="s">
        <v>322</v>
      </c>
      <c r="L183" s="366"/>
    </row>
    <row r="184" spans="1:12" ht="15.75" customHeight="1">
      <c r="A184" s="359">
        <v>2</v>
      </c>
      <c r="B184" s="359">
        <v>6</v>
      </c>
      <c r="C184" s="359">
        <v>2</v>
      </c>
      <c r="D184" s="359" t="s">
        <v>197</v>
      </c>
      <c r="E184" s="360" t="s">
        <v>198</v>
      </c>
      <c r="F184" s="361" t="s">
        <v>25</v>
      </c>
      <c r="G184" s="362">
        <v>50771</v>
      </c>
      <c r="H184" s="363">
        <v>9</v>
      </c>
      <c r="I184" s="364" t="s">
        <v>265</v>
      </c>
      <c r="J184" s="365">
        <v>2</v>
      </c>
      <c r="K184" s="365" t="s">
        <v>270</v>
      </c>
      <c r="L184" s="366"/>
    </row>
    <row r="185" spans="1:12" ht="15.75" customHeight="1">
      <c r="A185" s="359">
        <v>2</v>
      </c>
      <c r="B185" s="359">
        <v>6</v>
      </c>
      <c r="C185" s="359">
        <v>2</v>
      </c>
      <c r="D185" s="359" t="s">
        <v>37</v>
      </c>
      <c r="E185" s="360" t="s">
        <v>38</v>
      </c>
      <c r="F185" s="361" t="s">
        <v>34</v>
      </c>
      <c r="G185" s="362">
        <v>50622</v>
      </c>
      <c r="H185" s="363">
        <v>47</v>
      </c>
      <c r="I185" s="364" t="s">
        <v>272</v>
      </c>
      <c r="J185" s="365">
        <v>3</v>
      </c>
      <c r="K185" s="365" t="s">
        <v>273</v>
      </c>
      <c r="L185" s="366"/>
    </row>
    <row r="186" spans="1:12" ht="15.75" customHeight="1">
      <c r="A186" s="324">
        <v>2</v>
      </c>
      <c r="B186" s="324">
        <v>6</v>
      </c>
      <c r="C186" s="324">
        <v>2</v>
      </c>
      <c r="D186" s="324" t="s">
        <v>37</v>
      </c>
      <c r="E186" s="373" t="s">
        <v>38</v>
      </c>
      <c r="F186" s="374" t="s">
        <v>25</v>
      </c>
      <c r="G186" s="375">
        <v>50694</v>
      </c>
      <c r="H186" s="376">
        <v>81</v>
      </c>
      <c r="I186" s="377"/>
      <c r="J186" s="378"/>
      <c r="K186" s="378"/>
      <c r="L186" s="378" t="s">
        <v>55</v>
      </c>
    </row>
    <row r="187" spans="1:12" ht="15.75" customHeight="1">
      <c r="A187" s="324">
        <v>2</v>
      </c>
      <c r="B187" s="324">
        <v>6</v>
      </c>
      <c r="C187" s="324">
        <v>2</v>
      </c>
      <c r="D187" s="324" t="s">
        <v>199</v>
      </c>
      <c r="E187" s="373" t="s">
        <v>200</v>
      </c>
      <c r="F187" s="374" t="s">
        <v>34</v>
      </c>
      <c r="G187" s="375">
        <v>50603</v>
      </c>
      <c r="H187" s="376">
        <v>65</v>
      </c>
      <c r="I187" s="377"/>
      <c r="J187" s="378"/>
      <c r="K187" s="378"/>
      <c r="L187" s="378" t="s">
        <v>55</v>
      </c>
    </row>
    <row r="188" spans="1:12" ht="15.75" customHeight="1">
      <c r="A188" s="324">
        <v>2</v>
      </c>
      <c r="B188" s="324">
        <v>6</v>
      </c>
      <c r="C188" s="324">
        <v>2</v>
      </c>
      <c r="D188" s="324" t="s">
        <v>199</v>
      </c>
      <c r="E188" s="373" t="s">
        <v>200</v>
      </c>
      <c r="F188" s="374" t="s">
        <v>34</v>
      </c>
      <c r="G188" s="375">
        <v>50656</v>
      </c>
      <c r="H188" s="376">
        <v>23</v>
      </c>
      <c r="I188" s="377"/>
      <c r="J188" s="378"/>
      <c r="K188" s="378"/>
      <c r="L188" s="378" t="s">
        <v>55</v>
      </c>
    </row>
    <row r="189" spans="1:12" ht="15.75" customHeight="1">
      <c r="A189" s="359">
        <v>2</v>
      </c>
      <c r="B189" s="359">
        <v>6</v>
      </c>
      <c r="C189" s="359">
        <v>3</v>
      </c>
      <c r="D189" s="359" t="s">
        <v>201</v>
      </c>
      <c r="E189" s="360" t="s">
        <v>202</v>
      </c>
      <c r="F189" s="361" t="s">
        <v>34</v>
      </c>
      <c r="G189" s="362">
        <v>50601</v>
      </c>
      <c r="H189" s="363">
        <v>146</v>
      </c>
      <c r="I189" s="364" t="s">
        <v>272</v>
      </c>
      <c r="J189" s="365">
        <v>3</v>
      </c>
      <c r="K189" s="365" t="s">
        <v>273</v>
      </c>
      <c r="L189" s="366"/>
    </row>
    <row r="190" spans="1:12" ht="15.75" customHeight="1">
      <c r="A190" s="359">
        <v>2</v>
      </c>
      <c r="B190" s="359">
        <v>6</v>
      </c>
      <c r="C190" s="359">
        <v>3</v>
      </c>
      <c r="D190" s="359" t="s">
        <v>201</v>
      </c>
      <c r="E190" s="360" t="s">
        <v>202</v>
      </c>
      <c r="F190" s="361" t="s">
        <v>25</v>
      </c>
      <c r="G190" s="362">
        <v>50525</v>
      </c>
      <c r="H190" s="363">
        <v>42</v>
      </c>
      <c r="I190" s="364" t="s">
        <v>272</v>
      </c>
      <c r="J190" s="365">
        <v>3</v>
      </c>
      <c r="K190" s="365" t="s">
        <v>273</v>
      </c>
      <c r="L190" s="366"/>
    </row>
    <row r="191" spans="1:12" ht="15.75" customHeight="1">
      <c r="A191" s="359">
        <v>2</v>
      </c>
      <c r="B191" s="359">
        <v>6</v>
      </c>
      <c r="C191" s="359">
        <v>3</v>
      </c>
      <c r="D191" s="359" t="s">
        <v>199</v>
      </c>
      <c r="E191" s="360" t="s">
        <v>200</v>
      </c>
      <c r="F191" s="361" t="s">
        <v>34</v>
      </c>
      <c r="G191" s="362">
        <v>50603</v>
      </c>
      <c r="H191" s="363">
        <v>32</v>
      </c>
      <c r="I191" s="364" t="s">
        <v>265</v>
      </c>
      <c r="J191" s="365">
        <v>2</v>
      </c>
      <c r="K191" s="365" t="s">
        <v>270</v>
      </c>
      <c r="L191" s="366"/>
    </row>
    <row r="192" spans="1:12" ht="15.75" customHeight="1">
      <c r="A192" s="359">
        <v>2</v>
      </c>
      <c r="B192" s="359">
        <v>6</v>
      </c>
      <c r="C192" s="359">
        <v>4</v>
      </c>
      <c r="D192" s="359" t="s">
        <v>203</v>
      </c>
      <c r="E192" s="360" t="s">
        <v>204</v>
      </c>
      <c r="F192" s="361" t="s">
        <v>68</v>
      </c>
      <c r="G192" s="362">
        <v>50835</v>
      </c>
      <c r="H192" s="363">
        <v>580</v>
      </c>
      <c r="I192" s="364" t="s">
        <v>265</v>
      </c>
      <c r="J192" s="365">
        <v>2</v>
      </c>
      <c r="K192" s="365" t="s">
        <v>292</v>
      </c>
      <c r="L192" s="366"/>
    </row>
    <row r="193" spans="1:12" ht="15.75" customHeight="1">
      <c r="A193" s="359">
        <v>2</v>
      </c>
      <c r="B193" s="359">
        <v>6</v>
      </c>
      <c r="C193" s="359">
        <v>5</v>
      </c>
      <c r="D193" s="359" t="s">
        <v>203</v>
      </c>
      <c r="E193" s="360" t="s">
        <v>204</v>
      </c>
      <c r="F193" s="361" t="s">
        <v>68</v>
      </c>
      <c r="G193" s="362">
        <v>50835</v>
      </c>
      <c r="H193" s="363">
        <v>308</v>
      </c>
      <c r="I193" s="364" t="s">
        <v>265</v>
      </c>
      <c r="J193" s="365">
        <v>2</v>
      </c>
      <c r="K193" s="365" t="s">
        <v>292</v>
      </c>
      <c r="L193" s="366"/>
    </row>
    <row r="194" spans="1:12" ht="15.75" customHeight="1">
      <c r="A194" s="359">
        <v>2</v>
      </c>
      <c r="B194" s="359">
        <v>6</v>
      </c>
      <c r="C194" s="359">
        <v>5</v>
      </c>
      <c r="D194" s="359" t="s">
        <v>167</v>
      </c>
      <c r="E194" s="360" t="s">
        <v>168</v>
      </c>
      <c r="F194" s="361" t="s">
        <v>25</v>
      </c>
      <c r="G194" s="362">
        <v>50744</v>
      </c>
      <c r="H194" s="363">
        <v>1</v>
      </c>
      <c r="I194" s="364" t="s">
        <v>272</v>
      </c>
      <c r="J194" s="365">
        <v>3</v>
      </c>
      <c r="K194" s="365" t="s">
        <v>273</v>
      </c>
      <c r="L194" s="366"/>
    </row>
    <row r="195" spans="1:12" ht="15.75" customHeight="1">
      <c r="A195" s="359">
        <v>2</v>
      </c>
      <c r="B195" s="359">
        <v>7</v>
      </c>
      <c r="C195" s="359">
        <v>1</v>
      </c>
      <c r="D195" s="359" t="s">
        <v>177</v>
      </c>
      <c r="E195" s="360" t="s">
        <v>178</v>
      </c>
      <c r="F195" s="361" t="s">
        <v>68</v>
      </c>
      <c r="G195" s="362">
        <v>50852</v>
      </c>
      <c r="H195" s="363">
        <v>256</v>
      </c>
      <c r="I195" s="364" t="s">
        <v>265</v>
      </c>
      <c r="J195" s="365">
        <v>2</v>
      </c>
      <c r="K195" s="365" t="s">
        <v>270</v>
      </c>
      <c r="L195" s="366"/>
    </row>
    <row r="196" spans="1:12" ht="15.75" customHeight="1">
      <c r="A196" s="382">
        <v>2</v>
      </c>
      <c r="B196" s="359">
        <v>7</v>
      </c>
      <c r="C196" s="359">
        <v>2</v>
      </c>
      <c r="D196" s="359" t="s">
        <v>205</v>
      </c>
      <c r="E196" s="360" t="s">
        <v>206</v>
      </c>
      <c r="F196" s="361" t="s">
        <v>34</v>
      </c>
      <c r="G196" s="362">
        <v>50853</v>
      </c>
      <c r="H196" s="363">
        <v>642</v>
      </c>
      <c r="I196" s="364" t="s">
        <v>265</v>
      </c>
      <c r="J196" s="365">
        <v>2</v>
      </c>
      <c r="K196" s="365" t="s">
        <v>270</v>
      </c>
      <c r="L196" s="366"/>
    </row>
    <row r="197" spans="1:12" ht="15.75" customHeight="1">
      <c r="A197" s="359">
        <v>2</v>
      </c>
      <c r="B197" s="359">
        <v>7</v>
      </c>
      <c r="C197" s="359">
        <v>3</v>
      </c>
      <c r="D197" s="359" t="s">
        <v>208</v>
      </c>
      <c r="E197" s="360" t="s">
        <v>209</v>
      </c>
      <c r="F197" s="361" t="s">
        <v>68</v>
      </c>
      <c r="G197" s="362">
        <v>50635</v>
      </c>
      <c r="H197" s="363">
        <v>311</v>
      </c>
      <c r="I197" s="364" t="s">
        <v>272</v>
      </c>
      <c r="J197" s="365">
        <v>3</v>
      </c>
      <c r="K197" s="365" t="s">
        <v>273</v>
      </c>
      <c r="L197" s="366"/>
    </row>
    <row r="198" spans="1:12" ht="15.75" customHeight="1">
      <c r="A198" s="359">
        <v>2</v>
      </c>
      <c r="B198" s="359">
        <v>7</v>
      </c>
      <c r="C198" s="359">
        <v>3</v>
      </c>
      <c r="D198" s="359" t="s">
        <v>81</v>
      </c>
      <c r="E198" s="360" t="s">
        <v>82</v>
      </c>
      <c r="F198" s="361" t="s">
        <v>34</v>
      </c>
      <c r="G198" s="362">
        <v>50555</v>
      </c>
      <c r="H198" s="363">
        <v>5</v>
      </c>
      <c r="I198" s="364" t="s">
        <v>265</v>
      </c>
      <c r="J198" s="365">
        <v>2</v>
      </c>
      <c r="K198" s="365" t="s">
        <v>269</v>
      </c>
      <c r="L198" s="366"/>
    </row>
    <row r="199" spans="1:12" ht="15.75" customHeight="1">
      <c r="A199" s="359">
        <v>2</v>
      </c>
      <c r="B199" s="359">
        <v>7</v>
      </c>
      <c r="C199" s="359">
        <v>3</v>
      </c>
      <c r="D199" s="359" t="s">
        <v>208</v>
      </c>
      <c r="E199" s="360" t="s">
        <v>209</v>
      </c>
      <c r="F199" s="361" t="s">
        <v>34</v>
      </c>
      <c r="G199" s="362">
        <v>50617</v>
      </c>
      <c r="H199" s="363">
        <v>75</v>
      </c>
      <c r="I199" s="364" t="s">
        <v>272</v>
      </c>
      <c r="J199" s="365">
        <v>3</v>
      </c>
      <c r="K199" s="365" t="s">
        <v>273</v>
      </c>
      <c r="L199" s="366"/>
    </row>
    <row r="200" spans="1:12" ht="15.75" customHeight="1">
      <c r="A200" s="324">
        <v>2</v>
      </c>
      <c r="B200" s="324">
        <v>7</v>
      </c>
      <c r="C200" s="324">
        <v>4</v>
      </c>
      <c r="D200" s="324" t="s">
        <v>210</v>
      </c>
      <c r="E200" s="373" t="s">
        <v>211</v>
      </c>
      <c r="F200" s="374" t="s">
        <v>34</v>
      </c>
      <c r="G200" s="375">
        <v>50578</v>
      </c>
      <c r="H200" s="376">
        <v>4</v>
      </c>
      <c r="I200" s="377"/>
      <c r="J200" s="378"/>
      <c r="K200" s="378"/>
      <c r="L200" s="378" t="s">
        <v>55</v>
      </c>
    </row>
    <row r="201" spans="1:12" ht="15.75" customHeight="1">
      <c r="A201" s="324">
        <v>2</v>
      </c>
      <c r="B201" s="324">
        <v>7</v>
      </c>
      <c r="C201" s="324">
        <v>4</v>
      </c>
      <c r="D201" s="324" t="s">
        <v>212</v>
      </c>
      <c r="E201" s="373" t="s">
        <v>213</v>
      </c>
      <c r="F201" s="374" t="s">
        <v>34</v>
      </c>
      <c r="G201" s="375">
        <v>50579</v>
      </c>
      <c r="H201" s="376">
        <v>1</v>
      </c>
      <c r="I201" s="377"/>
      <c r="J201" s="378"/>
      <c r="K201" s="378"/>
      <c r="L201" s="378" t="s">
        <v>55</v>
      </c>
    </row>
    <row r="202" spans="1:12" ht="15.75" customHeight="1">
      <c r="A202" s="359">
        <v>2</v>
      </c>
      <c r="B202" s="359">
        <v>7</v>
      </c>
      <c r="C202" s="359">
        <v>4</v>
      </c>
      <c r="D202" s="359" t="s">
        <v>214</v>
      </c>
      <c r="E202" s="360" t="s">
        <v>215</v>
      </c>
      <c r="F202" s="361" t="s">
        <v>34</v>
      </c>
      <c r="G202" s="362">
        <v>50580</v>
      </c>
      <c r="H202" s="363">
        <v>25</v>
      </c>
      <c r="I202" s="364" t="s">
        <v>272</v>
      </c>
      <c r="J202" s="365">
        <v>3</v>
      </c>
      <c r="K202" s="365" t="s">
        <v>273</v>
      </c>
      <c r="L202" s="366"/>
    </row>
    <row r="203" spans="1:12" ht="15.75" customHeight="1">
      <c r="A203" s="359">
        <v>2</v>
      </c>
      <c r="B203" s="359">
        <v>7</v>
      </c>
      <c r="C203" s="359">
        <v>4</v>
      </c>
      <c r="D203" s="359" t="s">
        <v>216</v>
      </c>
      <c r="E203" s="360" t="s">
        <v>217</v>
      </c>
      <c r="F203" s="361" t="s">
        <v>34</v>
      </c>
      <c r="G203" s="362">
        <v>50584</v>
      </c>
      <c r="H203" s="363">
        <v>92</v>
      </c>
      <c r="I203" s="364" t="s">
        <v>265</v>
      </c>
      <c r="J203" s="365">
        <v>2</v>
      </c>
      <c r="K203" s="365" t="s">
        <v>324</v>
      </c>
      <c r="L203" s="366"/>
    </row>
    <row r="204" spans="1:12" ht="15.75" customHeight="1">
      <c r="A204" s="359">
        <v>2</v>
      </c>
      <c r="B204" s="359">
        <v>7</v>
      </c>
      <c r="C204" s="359">
        <v>4</v>
      </c>
      <c r="D204" s="359" t="s">
        <v>218</v>
      </c>
      <c r="E204" s="360" t="s">
        <v>219</v>
      </c>
      <c r="F204" s="361" t="s">
        <v>34</v>
      </c>
      <c r="G204" s="362">
        <v>50547</v>
      </c>
      <c r="H204" s="363">
        <v>73</v>
      </c>
      <c r="I204" s="364" t="s">
        <v>265</v>
      </c>
      <c r="J204" s="365">
        <v>2</v>
      </c>
      <c r="K204" s="365" t="s">
        <v>325</v>
      </c>
      <c r="L204" s="366"/>
    </row>
    <row r="205" spans="1:12" ht="15.75" customHeight="1">
      <c r="A205" s="359">
        <v>2</v>
      </c>
      <c r="B205" s="359">
        <v>7</v>
      </c>
      <c r="C205" s="359">
        <v>4</v>
      </c>
      <c r="D205" s="359" t="s">
        <v>218</v>
      </c>
      <c r="E205" s="360" t="s">
        <v>219</v>
      </c>
      <c r="F205" s="361" t="s">
        <v>25</v>
      </c>
      <c r="G205" s="362">
        <v>50389</v>
      </c>
      <c r="H205" s="363">
        <v>14</v>
      </c>
      <c r="I205" s="364" t="s">
        <v>265</v>
      </c>
      <c r="J205" s="365">
        <v>2</v>
      </c>
      <c r="K205" s="365" t="s">
        <v>325</v>
      </c>
      <c r="L205" s="366"/>
    </row>
    <row r="206" spans="1:12" ht="15.75" customHeight="1">
      <c r="A206" s="359">
        <v>2</v>
      </c>
      <c r="B206" s="359">
        <v>7</v>
      </c>
      <c r="C206" s="359">
        <v>4</v>
      </c>
      <c r="D206" s="359" t="s">
        <v>218</v>
      </c>
      <c r="E206" s="360" t="s">
        <v>219</v>
      </c>
      <c r="F206" s="361" t="s">
        <v>25</v>
      </c>
      <c r="G206" s="362">
        <v>50676</v>
      </c>
      <c r="H206" s="363">
        <v>3</v>
      </c>
      <c r="I206" s="364" t="s">
        <v>265</v>
      </c>
      <c r="J206" s="365">
        <v>2</v>
      </c>
      <c r="K206" s="365" t="s">
        <v>325</v>
      </c>
      <c r="L206" s="366"/>
    </row>
    <row r="207" spans="1:12" ht="15.75" customHeight="1">
      <c r="A207" s="359">
        <v>2</v>
      </c>
      <c r="B207" s="359">
        <v>7</v>
      </c>
      <c r="C207" s="359">
        <v>5</v>
      </c>
      <c r="D207" s="359" t="s">
        <v>160</v>
      </c>
      <c r="E207" s="360" t="s">
        <v>161</v>
      </c>
      <c r="F207" s="361" t="s">
        <v>25</v>
      </c>
      <c r="G207" s="362">
        <v>50863</v>
      </c>
      <c r="H207" s="363">
        <v>168</v>
      </c>
      <c r="I207" s="364" t="s">
        <v>265</v>
      </c>
      <c r="J207" s="365">
        <v>2</v>
      </c>
      <c r="K207" s="365" t="s">
        <v>270</v>
      </c>
      <c r="L207" s="366"/>
    </row>
    <row r="208" spans="1:12" ht="15.75" customHeight="1">
      <c r="A208" s="359">
        <v>2</v>
      </c>
      <c r="B208" s="359">
        <v>7</v>
      </c>
      <c r="C208" s="359">
        <v>5</v>
      </c>
      <c r="D208" s="359" t="s">
        <v>189</v>
      </c>
      <c r="E208" s="360" t="s">
        <v>190</v>
      </c>
      <c r="F208" s="361" t="s">
        <v>25</v>
      </c>
      <c r="G208" s="362">
        <v>50864</v>
      </c>
      <c r="H208" s="363">
        <v>279</v>
      </c>
      <c r="I208" s="364" t="s">
        <v>265</v>
      </c>
      <c r="J208" s="365">
        <v>2</v>
      </c>
      <c r="K208" s="365" t="s">
        <v>270</v>
      </c>
      <c r="L208" s="366"/>
    </row>
    <row r="209" spans="1:18" ht="15.75" customHeight="1">
      <c r="A209" s="359">
        <v>2</v>
      </c>
      <c r="B209" s="359">
        <v>7</v>
      </c>
      <c r="C209" s="359">
        <v>6</v>
      </c>
      <c r="D209" s="359" t="s">
        <v>100</v>
      </c>
      <c r="E209" s="360" t="s">
        <v>101</v>
      </c>
      <c r="F209" s="361" t="s">
        <v>31</v>
      </c>
      <c r="G209" s="362">
        <v>50692</v>
      </c>
      <c r="H209" s="363">
        <v>462</v>
      </c>
      <c r="I209" s="364" t="s">
        <v>265</v>
      </c>
      <c r="J209" s="365">
        <v>2</v>
      </c>
      <c r="K209" s="365" t="s">
        <v>291</v>
      </c>
      <c r="L209" s="366"/>
    </row>
    <row r="210" spans="1:18" ht="15.75" customHeight="1">
      <c r="A210" s="359">
        <v>2</v>
      </c>
      <c r="B210" s="359">
        <v>7</v>
      </c>
      <c r="C210" s="359">
        <v>7</v>
      </c>
      <c r="D210" s="359" t="s">
        <v>58</v>
      </c>
      <c r="E210" s="360" t="s">
        <v>59</v>
      </c>
      <c r="F210" s="361" t="s">
        <v>25</v>
      </c>
      <c r="G210" s="362">
        <v>50868</v>
      </c>
      <c r="H210" s="363">
        <v>416</v>
      </c>
      <c r="I210" s="364" t="s">
        <v>265</v>
      </c>
      <c r="J210" s="365">
        <v>2</v>
      </c>
      <c r="K210" s="365" t="s">
        <v>270</v>
      </c>
      <c r="L210" s="366"/>
    </row>
    <row r="211" spans="1:18" ht="15.75" customHeight="1">
      <c r="A211" s="165">
        <v>2</v>
      </c>
      <c r="B211" s="165">
        <v>7</v>
      </c>
      <c r="C211" s="165">
        <v>7</v>
      </c>
      <c r="D211" s="165" t="s">
        <v>97</v>
      </c>
      <c r="E211" s="166" t="s">
        <v>220</v>
      </c>
      <c r="F211" s="403" t="s">
        <v>25</v>
      </c>
      <c r="G211" s="167">
        <v>50869</v>
      </c>
      <c r="H211" s="168">
        <v>214</v>
      </c>
      <c r="I211" s="403" t="s">
        <v>265</v>
      </c>
      <c r="J211" s="397">
        <v>2</v>
      </c>
      <c r="K211" s="397" t="s">
        <v>269</v>
      </c>
      <c r="L211" s="397" t="s">
        <v>221</v>
      </c>
      <c r="M211" s="170"/>
      <c r="N211" s="170"/>
      <c r="O211" s="170"/>
      <c r="P211" s="170"/>
      <c r="Q211" s="170"/>
      <c r="R211" s="170"/>
    </row>
    <row r="212" spans="1:18" ht="15.75" customHeight="1">
      <c r="A212" s="359">
        <v>2</v>
      </c>
      <c r="B212" s="359">
        <v>7</v>
      </c>
      <c r="C212" s="359">
        <v>9</v>
      </c>
      <c r="D212" s="359" t="s">
        <v>222</v>
      </c>
      <c r="E212" s="360" t="s">
        <v>223</v>
      </c>
      <c r="F212" s="361" t="s">
        <v>25</v>
      </c>
      <c r="G212" s="362">
        <v>50870</v>
      </c>
      <c r="H212" s="363">
        <v>93</v>
      </c>
      <c r="I212" s="364" t="s">
        <v>272</v>
      </c>
      <c r="J212" s="365">
        <v>3</v>
      </c>
      <c r="K212" s="365" t="s">
        <v>273</v>
      </c>
      <c r="L212" s="366"/>
    </row>
    <row r="213" spans="1:18" ht="15.75" customHeight="1">
      <c r="A213" s="359">
        <v>2</v>
      </c>
      <c r="B213" s="359">
        <v>7</v>
      </c>
      <c r="C213" s="359">
        <v>9</v>
      </c>
      <c r="D213" s="359" t="s">
        <v>138</v>
      </c>
      <c r="E213" s="360" t="s">
        <v>139</v>
      </c>
      <c r="F213" s="361" t="s">
        <v>25</v>
      </c>
      <c r="G213" s="362">
        <v>50871</v>
      </c>
      <c r="H213" s="363">
        <v>433</v>
      </c>
      <c r="I213" s="364" t="s">
        <v>272</v>
      </c>
      <c r="J213" s="365">
        <v>3</v>
      </c>
      <c r="K213" s="365" t="s">
        <v>273</v>
      </c>
      <c r="L213" s="366"/>
    </row>
    <row r="214" spans="1:18" ht="15.75" customHeight="1">
      <c r="A214" s="165">
        <v>2</v>
      </c>
      <c r="B214" s="165">
        <v>7</v>
      </c>
      <c r="C214" s="165">
        <v>11</v>
      </c>
      <c r="D214" s="165" t="s">
        <v>224</v>
      </c>
      <c r="E214" s="166" t="s">
        <v>225</v>
      </c>
      <c r="F214" s="403" t="s">
        <v>25</v>
      </c>
      <c r="G214" s="167">
        <v>50872</v>
      </c>
      <c r="H214" s="168">
        <v>200</v>
      </c>
      <c r="I214" s="403" t="s">
        <v>272</v>
      </c>
      <c r="J214" s="397">
        <v>3</v>
      </c>
      <c r="K214" s="397" t="s">
        <v>273</v>
      </c>
      <c r="L214" s="397" t="s">
        <v>221</v>
      </c>
      <c r="M214" s="170"/>
      <c r="N214" s="170"/>
      <c r="O214" s="170"/>
      <c r="P214" s="170"/>
      <c r="Q214" s="170"/>
      <c r="R214" s="170"/>
    </row>
    <row r="215" spans="1:18" ht="15.75" customHeight="1">
      <c r="A215" s="324">
        <v>2</v>
      </c>
      <c r="B215" s="324">
        <v>7</v>
      </c>
      <c r="C215" s="324">
        <v>11</v>
      </c>
      <c r="D215" s="324" t="s">
        <v>212</v>
      </c>
      <c r="E215" s="373" t="s">
        <v>213</v>
      </c>
      <c r="F215" s="374" t="s">
        <v>25</v>
      </c>
      <c r="G215" s="375">
        <v>50873</v>
      </c>
      <c r="H215" s="376">
        <v>186</v>
      </c>
      <c r="I215" s="377"/>
      <c r="J215" s="378"/>
      <c r="K215" s="378"/>
      <c r="L215" s="378" t="s">
        <v>55</v>
      </c>
    </row>
    <row r="216" spans="1:18" ht="15.75" customHeight="1">
      <c r="A216" s="359">
        <v>2</v>
      </c>
      <c r="B216" s="359">
        <v>7</v>
      </c>
      <c r="C216" s="359">
        <v>11</v>
      </c>
      <c r="D216" s="359" t="s">
        <v>74</v>
      </c>
      <c r="E216" s="360" t="s">
        <v>75</v>
      </c>
      <c r="F216" s="361" t="s">
        <v>25</v>
      </c>
      <c r="G216" s="362">
        <v>50885</v>
      </c>
      <c r="H216" s="363">
        <v>222</v>
      </c>
      <c r="I216" s="364" t="s">
        <v>272</v>
      </c>
      <c r="J216" s="365">
        <v>3</v>
      </c>
      <c r="K216" s="365" t="s">
        <v>273</v>
      </c>
      <c r="L216" s="366"/>
    </row>
    <row r="217" spans="1:18" ht="15.75" customHeight="1">
      <c r="A217" s="359">
        <v>2</v>
      </c>
      <c r="B217" s="359">
        <v>7</v>
      </c>
      <c r="C217" s="359">
        <v>12</v>
      </c>
      <c r="D217" s="359" t="s">
        <v>226</v>
      </c>
      <c r="E217" s="360" t="s">
        <v>227</v>
      </c>
      <c r="F217" s="361" t="s">
        <v>34</v>
      </c>
      <c r="G217" s="362">
        <v>50662</v>
      </c>
      <c r="H217" s="363">
        <v>31</v>
      </c>
      <c r="I217" s="364" t="s">
        <v>272</v>
      </c>
      <c r="J217" s="365">
        <v>3</v>
      </c>
      <c r="K217" s="365" t="s">
        <v>273</v>
      </c>
      <c r="L217" s="366"/>
    </row>
    <row r="218" spans="1:18" ht="15.75" customHeight="1">
      <c r="A218" s="359">
        <v>2</v>
      </c>
      <c r="B218" s="359">
        <v>7</v>
      </c>
      <c r="C218" s="359">
        <v>12</v>
      </c>
      <c r="D218" s="359" t="s">
        <v>212</v>
      </c>
      <c r="E218" s="360" t="s">
        <v>213</v>
      </c>
      <c r="F218" s="361" t="s">
        <v>48</v>
      </c>
      <c r="G218" s="362">
        <v>10995</v>
      </c>
      <c r="H218" s="363">
        <v>170</v>
      </c>
      <c r="I218" s="364" t="s">
        <v>272</v>
      </c>
      <c r="J218" s="365">
        <v>3</v>
      </c>
      <c r="K218" s="365" t="s">
        <v>273</v>
      </c>
      <c r="L218" s="366"/>
    </row>
    <row r="219" spans="1:18" ht="15.75" customHeight="1">
      <c r="A219" s="359">
        <v>2</v>
      </c>
      <c r="B219" s="359">
        <v>7</v>
      </c>
      <c r="C219" s="359">
        <v>13</v>
      </c>
      <c r="D219" s="359" t="s">
        <v>66</v>
      </c>
      <c r="E219" s="360" t="s">
        <v>67</v>
      </c>
      <c r="F219" s="361" t="s">
        <v>31</v>
      </c>
      <c r="G219" s="362">
        <v>50323</v>
      </c>
      <c r="H219" s="363">
        <v>143</v>
      </c>
      <c r="I219" s="364" t="s">
        <v>272</v>
      </c>
      <c r="J219" s="365">
        <v>3</v>
      </c>
      <c r="K219" s="365" t="s">
        <v>273</v>
      </c>
      <c r="L219" s="366"/>
    </row>
    <row r="220" spans="1:18" ht="15.75" customHeight="1">
      <c r="A220" s="359">
        <v>2</v>
      </c>
      <c r="B220" s="359">
        <v>7</v>
      </c>
      <c r="C220" s="359">
        <v>13</v>
      </c>
      <c r="D220" s="359" t="s">
        <v>66</v>
      </c>
      <c r="E220" s="360" t="s">
        <v>67</v>
      </c>
      <c r="F220" s="361" t="s">
        <v>31</v>
      </c>
      <c r="G220" s="362">
        <v>50726</v>
      </c>
      <c r="H220" s="363">
        <v>166</v>
      </c>
      <c r="I220" s="364" t="s">
        <v>272</v>
      </c>
      <c r="J220" s="365">
        <v>3</v>
      </c>
      <c r="K220" s="365" t="s">
        <v>273</v>
      </c>
      <c r="L220" s="366"/>
    </row>
    <row r="221" spans="1:18" ht="15.75" customHeight="1">
      <c r="A221" s="359">
        <v>2</v>
      </c>
      <c r="B221" s="359">
        <v>7</v>
      </c>
      <c r="C221" s="359">
        <v>13</v>
      </c>
      <c r="D221" s="359" t="s">
        <v>66</v>
      </c>
      <c r="E221" s="360" t="s">
        <v>67</v>
      </c>
      <c r="F221" s="361" t="s">
        <v>34</v>
      </c>
      <c r="G221" s="362">
        <v>50087</v>
      </c>
      <c r="H221" s="363">
        <v>132</v>
      </c>
      <c r="I221" s="364" t="s">
        <v>272</v>
      </c>
      <c r="J221" s="365">
        <v>3</v>
      </c>
      <c r="K221" s="365" t="s">
        <v>273</v>
      </c>
      <c r="L221" s="366"/>
    </row>
    <row r="222" spans="1:18" ht="15.75" customHeight="1">
      <c r="A222" s="359">
        <v>2</v>
      </c>
      <c r="B222" s="359">
        <v>7</v>
      </c>
      <c r="C222" s="359">
        <v>13</v>
      </c>
      <c r="D222" s="359" t="s">
        <v>66</v>
      </c>
      <c r="E222" s="360" t="s">
        <v>67</v>
      </c>
      <c r="F222" s="361" t="s">
        <v>31</v>
      </c>
      <c r="G222" s="362">
        <v>50724</v>
      </c>
      <c r="H222" s="363">
        <v>224</v>
      </c>
      <c r="I222" s="364" t="s">
        <v>272</v>
      </c>
      <c r="J222" s="365">
        <v>3</v>
      </c>
      <c r="K222" s="365" t="s">
        <v>273</v>
      </c>
      <c r="L222" s="366"/>
    </row>
    <row r="223" spans="1:18" ht="15.75" customHeight="1">
      <c r="A223" s="324">
        <v>2</v>
      </c>
      <c r="B223" s="324">
        <v>7</v>
      </c>
      <c r="C223" s="324">
        <v>14</v>
      </c>
      <c r="D223" s="324" t="s">
        <v>228</v>
      </c>
      <c r="E223" s="373" t="s">
        <v>229</v>
      </c>
      <c r="F223" s="374" t="s">
        <v>25</v>
      </c>
      <c r="G223" s="375">
        <v>50855</v>
      </c>
      <c r="H223" s="376">
        <v>26</v>
      </c>
      <c r="I223" s="377"/>
      <c r="J223" s="378"/>
      <c r="K223" s="378"/>
      <c r="L223" s="378" t="s">
        <v>55</v>
      </c>
    </row>
    <row r="224" spans="1:18" ht="15.75" customHeight="1">
      <c r="A224" s="359">
        <v>2</v>
      </c>
      <c r="B224" s="359">
        <v>7</v>
      </c>
      <c r="C224" s="359">
        <v>16</v>
      </c>
      <c r="D224" s="359" t="s">
        <v>138</v>
      </c>
      <c r="E224" s="360" t="s">
        <v>139</v>
      </c>
      <c r="F224" s="361" t="s">
        <v>25</v>
      </c>
      <c r="G224" s="362">
        <v>50879</v>
      </c>
      <c r="H224" s="363">
        <v>477</v>
      </c>
      <c r="I224" s="364" t="s">
        <v>272</v>
      </c>
      <c r="J224" s="365">
        <v>3</v>
      </c>
      <c r="K224" s="365" t="s">
        <v>273</v>
      </c>
      <c r="L224" s="366"/>
    </row>
    <row r="225" spans="1:12" ht="15.75" customHeight="1">
      <c r="A225" s="359">
        <v>2</v>
      </c>
      <c r="B225" s="359">
        <v>7</v>
      </c>
      <c r="C225" s="359">
        <v>16</v>
      </c>
      <c r="D225" s="359" t="s">
        <v>122</v>
      </c>
      <c r="E225" s="360" t="s">
        <v>123</v>
      </c>
      <c r="F225" s="361" t="s">
        <v>25</v>
      </c>
      <c r="G225" s="362">
        <v>50888</v>
      </c>
      <c r="H225" s="363">
        <v>135</v>
      </c>
      <c r="I225" s="364" t="s">
        <v>272</v>
      </c>
      <c r="J225" s="365">
        <v>3</v>
      </c>
      <c r="K225" s="365" t="s">
        <v>273</v>
      </c>
      <c r="L225" s="366"/>
    </row>
    <row r="226" spans="1:12" ht="15.75" customHeight="1">
      <c r="A226" s="359">
        <v>2</v>
      </c>
      <c r="B226" s="359">
        <v>7</v>
      </c>
      <c r="C226" s="359">
        <v>17</v>
      </c>
      <c r="D226" s="359" t="s">
        <v>66</v>
      </c>
      <c r="E226" s="360" t="s">
        <v>67</v>
      </c>
      <c r="F226" s="361" t="s">
        <v>34</v>
      </c>
      <c r="G226" s="362">
        <v>50459</v>
      </c>
      <c r="H226" s="363">
        <v>126</v>
      </c>
      <c r="I226" s="364" t="s">
        <v>272</v>
      </c>
      <c r="J226" s="365">
        <v>3</v>
      </c>
      <c r="K226" s="365" t="s">
        <v>273</v>
      </c>
      <c r="L226" s="366"/>
    </row>
    <row r="227" spans="1:12" ht="15.75" customHeight="1">
      <c r="A227" s="359">
        <v>2</v>
      </c>
      <c r="B227" s="359">
        <v>7</v>
      </c>
      <c r="C227" s="359">
        <v>17</v>
      </c>
      <c r="D227" s="359" t="s">
        <v>66</v>
      </c>
      <c r="E227" s="360" t="s">
        <v>67</v>
      </c>
      <c r="F227" s="361" t="s">
        <v>34</v>
      </c>
      <c r="G227" s="362">
        <v>50602</v>
      </c>
      <c r="H227" s="363">
        <v>42</v>
      </c>
      <c r="I227" s="364" t="s">
        <v>272</v>
      </c>
      <c r="J227" s="365">
        <v>3</v>
      </c>
      <c r="K227" s="365" t="s">
        <v>273</v>
      </c>
      <c r="L227" s="366"/>
    </row>
    <row r="228" spans="1:12" ht="15.75" customHeight="1">
      <c r="A228" s="359">
        <v>2</v>
      </c>
      <c r="B228" s="359">
        <v>7</v>
      </c>
      <c r="C228" s="359">
        <v>18</v>
      </c>
      <c r="D228" s="359" t="s">
        <v>230</v>
      </c>
      <c r="E228" s="360" t="s">
        <v>231</v>
      </c>
      <c r="F228" s="361" t="s">
        <v>48</v>
      </c>
      <c r="G228" s="362">
        <v>50206</v>
      </c>
      <c r="H228" s="363">
        <v>73</v>
      </c>
      <c r="I228" s="364" t="s">
        <v>265</v>
      </c>
      <c r="J228" s="365">
        <v>2</v>
      </c>
      <c r="K228" s="365" t="s">
        <v>328</v>
      </c>
      <c r="L228" s="366"/>
    </row>
    <row r="229" spans="1:12" ht="15.75" customHeight="1">
      <c r="A229" s="359">
        <v>2</v>
      </c>
      <c r="B229" s="359">
        <v>7</v>
      </c>
      <c r="C229" s="359">
        <v>18</v>
      </c>
      <c r="D229" s="359" t="s">
        <v>232</v>
      </c>
      <c r="E229" s="391"/>
      <c r="F229" s="361" t="s">
        <v>68</v>
      </c>
      <c r="G229" s="362">
        <v>50779</v>
      </c>
      <c r="H229" s="363">
        <v>91</v>
      </c>
      <c r="I229" s="364" t="s">
        <v>265</v>
      </c>
      <c r="J229" s="365">
        <v>2</v>
      </c>
      <c r="K229" s="365" t="s">
        <v>328</v>
      </c>
      <c r="L229" s="366"/>
    </row>
    <row r="230" spans="1:12" ht="15.75" customHeight="1">
      <c r="A230" s="359">
        <v>2</v>
      </c>
      <c r="B230" s="359">
        <v>8</v>
      </c>
      <c r="C230" s="359">
        <v>2</v>
      </c>
      <c r="D230" s="359" t="s">
        <v>233</v>
      </c>
      <c r="E230" s="360" t="s">
        <v>234</v>
      </c>
      <c r="F230" s="361" t="s">
        <v>48</v>
      </c>
      <c r="G230" s="362">
        <v>50778</v>
      </c>
      <c r="H230" s="363">
        <v>118</v>
      </c>
      <c r="I230" s="364" t="s">
        <v>265</v>
      </c>
      <c r="J230" s="365">
        <v>2</v>
      </c>
      <c r="K230" s="365" t="s">
        <v>270</v>
      </c>
      <c r="L230" s="366"/>
    </row>
    <row r="231" spans="1:12" ht="15.75" customHeight="1">
      <c r="A231" s="359">
        <v>2</v>
      </c>
      <c r="B231" s="359">
        <v>8</v>
      </c>
      <c r="C231" s="359">
        <v>2</v>
      </c>
      <c r="D231" s="359" t="s">
        <v>233</v>
      </c>
      <c r="E231" s="360" t="s">
        <v>234</v>
      </c>
      <c r="F231" s="361" t="s">
        <v>34</v>
      </c>
      <c r="G231" s="362">
        <v>50587</v>
      </c>
      <c r="H231" s="363">
        <v>47</v>
      </c>
      <c r="I231" s="364" t="s">
        <v>265</v>
      </c>
      <c r="J231" s="365">
        <v>2</v>
      </c>
      <c r="K231" s="365" t="s">
        <v>270</v>
      </c>
      <c r="L231" s="366"/>
    </row>
    <row r="232" spans="1:12" ht="15.75" customHeight="1">
      <c r="A232" s="359">
        <v>2</v>
      </c>
      <c r="B232" s="359">
        <v>8</v>
      </c>
      <c r="C232" s="359">
        <v>3</v>
      </c>
      <c r="D232" s="359" t="s">
        <v>134</v>
      </c>
      <c r="E232" s="360" t="s">
        <v>135</v>
      </c>
      <c r="F232" s="361" t="s">
        <v>25</v>
      </c>
      <c r="G232" s="362">
        <v>50268</v>
      </c>
      <c r="H232" s="363">
        <v>210</v>
      </c>
      <c r="I232" s="364" t="s">
        <v>272</v>
      </c>
      <c r="J232" s="365">
        <v>3</v>
      </c>
      <c r="K232" s="365" t="s">
        <v>273</v>
      </c>
      <c r="L232" s="366"/>
    </row>
    <row r="233" spans="1:12" ht="15.75" customHeight="1">
      <c r="A233" s="359">
        <v>2</v>
      </c>
      <c r="B233" s="359">
        <v>8</v>
      </c>
      <c r="C233" s="359">
        <v>4</v>
      </c>
      <c r="D233" s="359" t="s">
        <v>132</v>
      </c>
      <c r="E233" s="360" t="s">
        <v>133</v>
      </c>
      <c r="F233" s="361" t="s">
        <v>68</v>
      </c>
      <c r="G233" s="362">
        <v>50454</v>
      </c>
      <c r="H233" s="363">
        <v>273</v>
      </c>
      <c r="I233" s="364" t="s">
        <v>265</v>
      </c>
      <c r="J233" s="365">
        <v>2</v>
      </c>
      <c r="K233" s="365" t="s">
        <v>269</v>
      </c>
      <c r="L233" s="366"/>
    </row>
    <row r="234" spans="1:12" ht="15.75" customHeight="1">
      <c r="A234" s="359">
        <v>2</v>
      </c>
      <c r="B234" s="359">
        <v>8</v>
      </c>
      <c r="C234" s="359">
        <v>4</v>
      </c>
      <c r="D234" s="359" t="s">
        <v>132</v>
      </c>
      <c r="E234" s="360" t="s">
        <v>133</v>
      </c>
      <c r="F234" s="361" t="s">
        <v>34</v>
      </c>
      <c r="G234" s="362">
        <v>50570</v>
      </c>
      <c r="H234" s="363">
        <v>226</v>
      </c>
      <c r="I234" s="364" t="s">
        <v>265</v>
      </c>
      <c r="J234" s="365">
        <v>2</v>
      </c>
      <c r="K234" s="365" t="s">
        <v>269</v>
      </c>
      <c r="L234" s="366"/>
    </row>
    <row r="235" spans="1:12" ht="15.75" customHeight="1">
      <c r="A235" s="359">
        <v>2</v>
      </c>
      <c r="B235" s="359">
        <v>8</v>
      </c>
      <c r="C235" s="359">
        <v>5</v>
      </c>
      <c r="D235" s="359" t="s">
        <v>142</v>
      </c>
      <c r="E235" s="360" t="s">
        <v>143</v>
      </c>
      <c r="F235" s="361" t="s">
        <v>31</v>
      </c>
      <c r="G235" s="362">
        <v>50824</v>
      </c>
      <c r="H235" s="363">
        <v>67</v>
      </c>
      <c r="I235" s="364" t="s">
        <v>272</v>
      </c>
      <c r="J235" s="365">
        <v>3</v>
      </c>
      <c r="K235" s="365" t="s">
        <v>273</v>
      </c>
      <c r="L235" s="366"/>
    </row>
    <row r="236" spans="1:12" ht="15.75" customHeight="1">
      <c r="A236" s="359">
        <v>2</v>
      </c>
      <c r="B236" s="359">
        <v>8</v>
      </c>
      <c r="C236" s="359">
        <v>5</v>
      </c>
      <c r="D236" s="359" t="s">
        <v>142</v>
      </c>
      <c r="E236" s="360" t="s">
        <v>143</v>
      </c>
      <c r="F236" s="361" t="s">
        <v>25</v>
      </c>
      <c r="G236" s="362">
        <v>50766</v>
      </c>
      <c r="H236" s="363">
        <v>26</v>
      </c>
      <c r="I236" s="364" t="s">
        <v>272</v>
      </c>
      <c r="J236" s="365">
        <v>3</v>
      </c>
      <c r="K236" s="365" t="s">
        <v>273</v>
      </c>
      <c r="L236" s="366"/>
    </row>
    <row r="237" spans="1:12" ht="15.75" customHeight="1">
      <c r="A237" s="359">
        <v>2</v>
      </c>
      <c r="B237" s="359">
        <v>8</v>
      </c>
      <c r="C237" s="359">
        <v>6</v>
      </c>
      <c r="D237" s="359" t="s">
        <v>37</v>
      </c>
      <c r="E237" s="360" t="s">
        <v>38</v>
      </c>
      <c r="F237" s="361" t="s">
        <v>31</v>
      </c>
      <c r="G237" s="362">
        <v>50826</v>
      </c>
      <c r="H237" s="363">
        <v>185</v>
      </c>
      <c r="I237" s="364" t="s">
        <v>272</v>
      </c>
      <c r="J237" s="365">
        <v>3</v>
      </c>
      <c r="K237" s="365" t="s">
        <v>273</v>
      </c>
      <c r="L237" s="366"/>
    </row>
    <row r="238" spans="1:12" ht="15.75" customHeight="1">
      <c r="A238" s="359">
        <v>2</v>
      </c>
      <c r="B238" s="359">
        <v>8</v>
      </c>
      <c r="C238" s="359">
        <v>6</v>
      </c>
      <c r="D238" s="359" t="s">
        <v>58</v>
      </c>
      <c r="E238" s="360" t="s">
        <v>59</v>
      </c>
      <c r="F238" s="361" t="s">
        <v>31</v>
      </c>
      <c r="G238" s="362">
        <v>50839</v>
      </c>
      <c r="H238" s="363">
        <v>215</v>
      </c>
      <c r="I238" s="364" t="s">
        <v>265</v>
      </c>
      <c r="J238" s="365">
        <v>2</v>
      </c>
      <c r="K238" s="365" t="s">
        <v>270</v>
      </c>
      <c r="L238" s="366"/>
    </row>
    <row r="239" spans="1:12" ht="15.75" customHeight="1">
      <c r="A239" s="359">
        <v>2</v>
      </c>
      <c r="B239" s="359">
        <v>8</v>
      </c>
      <c r="C239" s="359">
        <v>6</v>
      </c>
      <c r="D239" s="359" t="s">
        <v>173</v>
      </c>
      <c r="E239" s="360" t="s">
        <v>174</v>
      </c>
      <c r="F239" s="361" t="s">
        <v>31</v>
      </c>
      <c r="G239" s="362">
        <v>50825</v>
      </c>
      <c r="H239" s="363">
        <v>132</v>
      </c>
      <c r="I239" s="405" t="s">
        <v>272</v>
      </c>
      <c r="J239" s="406">
        <v>3</v>
      </c>
      <c r="K239" s="406" t="s">
        <v>273</v>
      </c>
      <c r="L239" s="366"/>
    </row>
    <row r="240" spans="1:12" ht="15.75" customHeight="1">
      <c r="A240" s="359">
        <v>2</v>
      </c>
      <c r="B240" s="359">
        <v>8</v>
      </c>
      <c r="C240" s="359">
        <v>7</v>
      </c>
      <c r="D240" s="359" t="s">
        <v>171</v>
      </c>
      <c r="E240" s="360" t="s">
        <v>172</v>
      </c>
      <c r="F240" s="361" t="s">
        <v>25</v>
      </c>
      <c r="G240" s="362">
        <v>50878</v>
      </c>
      <c r="H240" s="363">
        <v>396</v>
      </c>
      <c r="I240" s="405" t="s">
        <v>272</v>
      </c>
      <c r="J240" s="406">
        <v>3</v>
      </c>
      <c r="K240" s="406" t="s">
        <v>273</v>
      </c>
      <c r="L240" s="366"/>
    </row>
    <row r="241" spans="1:12" ht="15.75" customHeight="1">
      <c r="A241" s="84">
        <v>2</v>
      </c>
      <c r="B241" s="84">
        <v>8</v>
      </c>
      <c r="C241" s="84">
        <v>8</v>
      </c>
      <c r="D241" s="84" t="s">
        <v>235</v>
      </c>
      <c r="E241" s="367" t="s">
        <v>236</v>
      </c>
      <c r="F241" s="368" t="s">
        <v>34</v>
      </c>
      <c r="G241" s="369">
        <v>50569</v>
      </c>
      <c r="H241" s="370">
        <v>7</v>
      </c>
      <c r="I241" s="371"/>
      <c r="J241" s="372"/>
      <c r="K241" s="372"/>
      <c r="L241" s="372" t="s">
        <v>43</v>
      </c>
    </row>
    <row r="242" spans="1:12" ht="15.75" customHeight="1">
      <c r="A242" s="359">
        <v>2</v>
      </c>
      <c r="B242" s="359">
        <v>8</v>
      </c>
      <c r="C242" s="359">
        <v>8</v>
      </c>
      <c r="D242" s="359" t="s">
        <v>85</v>
      </c>
      <c r="E242" s="360" t="s">
        <v>86</v>
      </c>
      <c r="F242" s="361" t="s">
        <v>31</v>
      </c>
      <c r="G242" s="362">
        <v>50796</v>
      </c>
      <c r="H242" s="363">
        <v>256</v>
      </c>
      <c r="I242" s="405" t="s">
        <v>272</v>
      </c>
      <c r="J242" s="406">
        <v>3</v>
      </c>
      <c r="K242" s="406" t="s">
        <v>273</v>
      </c>
      <c r="L242" s="366"/>
    </row>
    <row r="243" spans="1:12" ht="15.75" customHeight="1">
      <c r="A243" s="359">
        <v>2</v>
      </c>
      <c r="B243" s="359">
        <v>8</v>
      </c>
      <c r="C243" s="359">
        <v>10</v>
      </c>
      <c r="D243" s="359" t="s">
        <v>169</v>
      </c>
      <c r="E243" s="360" t="s">
        <v>170</v>
      </c>
      <c r="F243" s="361" t="s">
        <v>25</v>
      </c>
      <c r="G243" s="362">
        <v>50883</v>
      </c>
      <c r="H243" s="363">
        <v>158</v>
      </c>
      <c r="I243" s="364" t="s">
        <v>265</v>
      </c>
      <c r="J243" s="365">
        <v>2</v>
      </c>
      <c r="K243" s="365" t="s">
        <v>269</v>
      </c>
      <c r="L243" s="366"/>
    </row>
    <row r="244" spans="1:12" ht="15.75" customHeight="1">
      <c r="A244" s="382">
        <v>2</v>
      </c>
      <c r="B244" s="359">
        <v>8</v>
      </c>
      <c r="C244" s="359">
        <v>10</v>
      </c>
      <c r="D244" s="359" t="s">
        <v>218</v>
      </c>
      <c r="E244" s="360" t="s">
        <v>219</v>
      </c>
      <c r="F244" s="361" t="s">
        <v>25</v>
      </c>
      <c r="G244" s="362">
        <v>50884</v>
      </c>
      <c r="H244" s="363">
        <v>262</v>
      </c>
      <c r="I244" s="405" t="s">
        <v>272</v>
      </c>
      <c r="J244" s="406">
        <v>3</v>
      </c>
      <c r="K244" s="406" t="s">
        <v>273</v>
      </c>
      <c r="L244" s="366"/>
    </row>
    <row r="245" spans="1:12" ht="15.75" customHeight="1">
      <c r="A245" s="359">
        <v>2</v>
      </c>
      <c r="B245" s="359">
        <v>8</v>
      </c>
      <c r="C245" s="359">
        <v>11</v>
      </c>
      <c r="D245" s="359" t="s">
        <v>237</v>
      </c>
      <c r="E245" s="360" t="s">
        <v>238</v>
      </c>
      <c r="F245" s="361" t="s">
        <v>25</v>
      </c>
      <c r="G245" s="362">
        <v>50751</v>
      </c>
      <c r="H245" s="363">
        <v>239</v>
      </c>
      <c r="I245" s="364" t="s">
        <v>265</v>
      </c>
      <c r="J245" s="365">
        <v>2</v>
      </c>
      <c r="K245" s="365" t="s">
        <v>279</v>
      </c>
      <c r="L245" s="366"/>
    </row>
    <row r="246" spans="1:12" ht="15.75" customHeight="1">
      <c r="A246" s="359">
        <v>2</v>
      </c>
      <c r="B246" s="359">
        <v>8</v>
      </c>
      <c r="C246" s="359">
        <v>11</v>
      </c>
      <c r="D246" s="359" t="s">
        <v>237</v>
      </c>
      <c r="E246" s="360" t="s">
        <v>238</v>
      </c>
      <c r="F246" s="361" t="s">
        <v>68</v>
      </c>
      <c r="G246" s="362">
        <v>50737</v>
      </c>
      <c r="H246" s="363">
        <v>31</v>
      </c>
      <c r="I246" s="364" t="s">
        <v>265</v>
      </c>
      <c r="J246" s="365">
        <v>2</v>
      </c>
      <c r="K246" s="365" t="s">
        <v>279</v>
      </c>
      <c r="L246" s="366"/>
    </row>
    <row r="247" spans="1:12" ht="15.75" customHeight="1">
      <c r="A247" s="324">
        <v>2</v>
      </c>
      <c r="B247" s="324">
        <v>8</v>
      </c>
      <c r="C247" s="324">
        <v>11</v>
      </c>
      <c r="D247" s="324" t="s">
        <v>237</v>
      </c>
      <c r="E247" s="373" t="s">
        <v>238</v>
      </c>
      <c r="F247" s="374" t="s">
        <v>34</v>
      </c>
      <c r="G247" s="375">
        <v>50543</v>
      </c>
      <c r="H247" s="376">
        <v>38</v>
      </c>
      <c r="I247" s="377"/>
      <c r="J247" s="378"/>
      <c r="K247" s="378"/>
      <c r="L247" s="378" t="s">
        <v>55</v>
      </c>
    </row>
    <row r="248" spans="1:12" ht="15.75" customHeight="1">
      <c r="A248" s="359">
        <v>2</v>
      </c>
      <c r="B248" s="359">
        <v>8</v>
      </c>
      <c r="C248" s="359">
        <v>11</v>
      </c>
      <c r="D248" s="359" t="s">
        <v>237</v>
      </c>
      <c r="E248" s="360" t="s">
        <v>238</v>
      </c>
      <c r="F248" s="361" t="s">
        <v>34</v>
      </c>
      <c r="G248" s="362">
        <v>50738</v>
      </c>
      <c r="H248" s="363">
        <v>54</v>
      </c>
      <c r="I248" s="364" t="s">
        <v>265</v>
      </c>
      <c r="J248" s="365">
        <v>2</v>
      </c>
      <c r="K248" s="365" t="s">
        <v>279</v>
      </c>
      <c r="L248" s="366"/>
    </row>
    <row r="249" spans="1:12" ht="15.75" customHeight="1">
      <c r="A249" s="359">
        <v>2</v>
      </c>
      <c r="B249" s="359">
        <v>8</v>
      </c>
      <c r="C249" s="359">
        <v>11</v>
      </c>
      <c r="D249" s="359" t="s">
        <v>237</v>
      </c>
      <c r="E249" s="360" t="s">
        <v>238</v>
      </c>
      <c r="F249" s="361" t="s">
        <v>68</v>
      </c>
      <c r="G249" s="362">
        <v>50644</v>
      </c>
      <c r="H249" s="363">
        <v>14</v>
      </c>
      <c r="I249" s="364" t="s">
        <v>265</v>
      </c>
      <c r="J249" s="365">
        <v>2</v>
      </c>
      <c r="K249" s="365" t="s">
        <v>279</v>
      </c>
      <c r="L249" s="366"/>
    </row>
    <row r="250" spans="1:12" ht="15.75" customHeight="1">
      <c r="A250" s="84">
        <v>2</v>
      </c>
      <c r="B250" s="84">
        <v>8</v>
      </c>
      <c r="C250" s="84">
        <v>11</v>
      </c>
      <c r="D250" s="84" t="s">
        <v>237</v>
      </c>
      <c r="E250" s="367" t="s">
        <v>238</v>
      </c>
      <c r="F250" s="368" t="s">
        <v>25</v>
      </c>
      <c r="G250" s="369">
        <v>50275</v>
      </c>
      <c r="H250" s="370">
        <v>24</v>
      </c>
      <c r="I250" s="371"/>
      <c r="J250" s="372"/>
      <c r="K250" s="372"/>
      <c r="L250" s="372" t="s">
        <v>43</v>
      </c>
    </row>
    <row r="251" spans="1:12" ht="15.75" customHeight="1">
      <c r="A251" s="84">
        <v>2</v>
      </c>
      <c r="B251" s="84">
        <v>8</v>
      </c>
      <c r="C251" s="84">
        <v>11</v>
      </c>
      <c r="D251" s="84" t="s">
        <v>237</v>
      </c>
      <c r="E251" s="367" t="s">
        <v>238</v>
      </c>
      <c r="F251" s="368" t="s">
        <v>34</v>
      </c>
      <c r="G251" s="369">
        <v>50709</v>
      </c>
      <c r="H251" s="370">
        <v>31</v>
      </c>
      <c r="I251" s="371"/>
      <c r="J251" s="372"/>
      <c r="K251" s="372"/>
      <c r="L251" s="372" t="s">
        <v>43</v>
      </c>
    </row>
    <row r="252" spans="1:12" ht="15.75" customHeight="1">
      <c r="A252" s="352">
        <v>2</v>
      </c>
      <c r="B252" s="352">
        <v>8</v>
      </c>
      <c r="C252" s="352">
        <v>12</v>
      </c>
      <c r="D252" s="352" t="s">
        <v>239</v>
      </c>
      <c r="E252" s="353" t="s">
        <v>240</v>
      </c>
      <c r="F252" s="354" t="s">
        <v>25</v>
      </c>
      <c r="G252" s="355">
        <v>30885</v>
      </c>
      <c r="H252" s="356">
        <v>408</v>
      </c>
      <c r="I252" s="357"/>
      <c r="J252" s="358"/>
      <c r="K252" s="358"/>
      <c r="L252" s="358" t="s">
        <v>26</v>
      </c>
    </row>
    <row r="253" spans="1:12" ht="15.75" customHeight="1">
      <c r="A253" s="359">
        <v>2</v>
      </c>
      <c r="B253" s="359">
        <v>8</v>
      </c>
      <c r="C253" s="359">
        <v>13</v>
      </c>
      <c r="D253" s="359" t="s">
        <v>134</v>
      </c>
      <c r="E253" s="360" t="s">
        <v>135</v>
      </c>
      <c r="F253" s="361" t="s">
        <v>25</v>
      </c>
      <c r="G253" s="362">
        <v>50142</v>
      </c>
      <c r="H253" s="363">
        <v>224</v>
      </c>
      <c r="I253" s="364" t="s">
        <v>272</v>
      </c>
      <c r="J253" s="365">
        <v>3</v>
      </c>
      <c r="K253" s="365" t="s">
        <v>273</v>
      </c>
      <c r="L253" s="366"/>
    </row>
    <row r="254" spans="1:12" ht="15.75" customHeight="1">
      <c r="A254" s="359">
        <v>2</v>
      </c>
      <c r="B254" s="359">
        <v>8</v>
      </c>
      <c r="C254" s="359">
        <v>13</v>
      </c>
      <c r="D254" s="359" t="s">
        <v>136</v>
      </c>
      <c r="E254" s="360" t="s">
        <v>137</v>
      </c>
      <c r="F254" s="361" t="s">
        <v>25</v>
      </c>
      <c r="G254" s="362">
        <v>50857</v>
      </c>
      <c r="H254" s="363">
        <v>106</v>
      </c>
      <c r="I254" s="364" t="s">
        <v>265</v>
      </c>
      <c r="J254" s="365">
        <v>2</v>
      </c>
      <c r="K254" s="365" t="s">
        <v>270</v>
      </c>
      <c r="L254" s="366"/>
    </row>
    <row r="255" spans="1:12" ht="15.75" customHeight="1">
      <c r="A255" s="359">
        <v>2</v>
      </c>
      <c r="B255" s="359">
        <v>8</v>
      </c>
      <c r="C255" s="359">
        <v>14</v>
      </c>
      <c r="D255" s="359" t="s">
        <v>241</v>
      </c>
      <c r="E255" s="360" t="s">
        <v>242</v>
      </c>
      <c r="F255" s="361" t="s">
        <v>25</v>
      </c>
      <c r="G255" s="362">
        <v>50876</v>
      </c>
      <c r="H255" s="363">
        <v>420</v>
      </c>
      <c r="I255" s="364" t="s">
        <v>272</v>
      </c>
      <c r="J255" s="365">
        <v>3</v>
      </c>
      <c r="K255" s="365" t="s">
        <v>273</v>
      </c>
      <c r="L255" s="366"/>
    </row>
    <row r="256" spans="1:12" ht="15.75" customHeight="1">
      <c r="A256" s="359">
        <v>2</v>
      </c>
      <c r="B256" s="359">
        <v>8</v>
      </c>
      <c r="C256" s="359">
        <v>15</v>
      </c>
      <c r="D256" s="359" t="s">
        <v>203</v>
      </c>
      <c r="E256" s="360" t="s">
        <v>204</v>
      </c>
      <c r="F256" s="361" t="s">
        <v>31</v>
      </c>
      <c r="G256" s="362">
        <v>50841</v>
      </c>
      <c r="H256" s="363">
        <v>390</v>
      </c>
      <c r="I256" s="364" t="s">
        <v>265</v>
      </c>
      <c r="J256" s="365">
        <v>2</v>
      </c>
      <c r="K256" s="365" t="s">
        <v>279</v>
      </c>
      <c r="L256" s="366"/>
    </row>
    <row r="257" spans="1:12" ht="15.75" customHeight="1">
      <c r="A257" s="359">
        <v>2</v>
      </c>
      <c r="B257" s="359">
        <v>8</v>
      </c>
      <c r="C257" s="359">
        <v>15</v>
      </c>
      <c r="D257" s="359" t="s">
        <v>203</v>
      </c>
      <c r="E257" s="360" t="s">
        <v>204</v>
      </c>
      <c r="F257" s="361" t="s">
        <v>25</v>
      </c>
      <c r="G257" s="362">
        <v>50657</v>
      </c>
      <c r="H257" s="363">
        <v>8</v>
      </c>
      <c r="I257" s="364" t="s">
        <v>265</v>
      </c>
      <c r="J257" s="365">
        <v>2</v>
      </c>
      <c r="K257" s="365" t="s">
        <v>279</v>
      </c>
      <c r="L257" s="366"/>
    </row>
    <row r="258" spans="1:12" ht="15.75" customHeight="1">
      <c r="A258" s="359">
        <v>2</v>
      </c>
      <c r="B258" s="359">
        <v>8</v>
      </c>
      <c r="C258" s="359">
        <v>15</v>
      </c>
      <c r="D258" s="359" t="s">
        <v>203</v>
      </c>
      <c r="E258" s="360" t="s">
        <v>204</v>
      </c>
      <c r="F258" s="361" t="s">
        <v>31</v>
      </c>
      <c r="G258" s="362">
        <v>50777</v>
      </c>
      <c r="H258" s="363">
        <v>9</v>
      </c>
      <c r="I258" s="364" t="s">
        <v>265</v>
      </c>
      <c r="J258" s="365">
        <v>2</v>
      </c>
      <c r="K258" s="365" t="s">
        <v>279</v>
      </c>
      <c r="L258" s="366"/>
    </row>
    <row r="259" spans="1:12" ht="15.75" customHeight="1">
      <c r="A259" s="359">
        <v>2</v>
      </c>
      <c r="B259" s="359">
        <v>8</v>
      </c>
      <c r="C259" s="359">
        <v>15</v>
      </c>
      <c r="D259" s="359" t="s">
        <v>203</v>
      </c>
      <c r="E259" s="360" t="s">
        <v>204</v>
      </c>
      <c r="F259" s="361" t="s">
        <v>31</v>
      </c>
      <c r="G259" s="362">
        <v>50799</v>
      </c>
      <c r="H259" s="363">
        <v>7</v>
      </c>
      <c r="I259" s="364" t="s">
        <v>265</v>
      </c>
      <c r="J259" s="365">
        <v>2</v>
      </c>
      <c r="K259" s="365" t="s">
        <v>279</v>
      </c>
      <c r="L259" s="366"/>
    </row>
    <row r="260" spans="1:12" ht="15.75" customHeight="1">
      <c r="A260" s="84">
        <v>2</v>
      </c>
      <c r="B260" s="84">
        <v>12</v>
      </c>
      <c r="C260" s="84">
        <v>22</v>
      </c>
      <c r="D260" s="84" t="s">
        <v>243</v>
      </c>
      <c r="E260" s="367" t="s">
        <v>244</v>
      </c>
      <c r="F260" s="368" t="s">
        <v>109</v>
      </c>
      <c r="G260" s="369">
        <v>30655</v>
      </c>
      <c r="H260" s="370">
        <v>6</v>
      </c>
      <c r="I260" s="371"/>
      <c r="J260" s="372"/>
      <c r="K260" s="372"/>
      <c r="L260" s="372" t="s">
        <v>43</v>
      </c>
    </row>
    <row r="261" spans="1:12" ht="15.75" customHeight="1">
      <c r="A261" s="407"/>
      <c r="B261" s="407"/>
      <c r="C261" s="407"/>
      <c r="D261" s="407"/>
      <c r="E261" s="408"/>
      <c r="F261" s="390"/>
      <c r="G261" s="407"/>
      <c r="H261" s="409"/>
      <c r="I261" s="390"/>
      <c r="J261" s="366"/>
      <c r="K261" s="366"/>
      <c r="L261" s="366"/>
    </row>
    <row r="262" spans="1:12" ht="15.75" customHeight="1">
      <c r="A262" s="344"/>
      <c r="B262" s="344"/>
      <c r="C262" s="344"/>
      <c r="D262" s="344"/>
      <c r="E262" s="345"/>
      <c r="F262" s="346"/>
      <c r="G262" s="344"/>
      <c r="H262" s="11"/>
      <c r="I262" s="346"/>
      <c r="J262" s="410"/>
      <c r="K262" s="410"/>
      <c r="L262" s="410"/>
    </row>
    <row r="263" spans="1:12">
      <c r="A263" s="412" t="s">
        <v>245</v>
      </c>
      <c r="B263" s="344"/>
      <c r="C263" s="344"/>
      <c r="D263" s="344"/>
      <c r="E263" s="345"/>
      <c r="F263" s="346"/>
      <c r="G263" s="344"/>
      <c r="H263" s="11"/>
      <c r="I263" s="346"/>
      <c r="J263" s="410"/>
      <c r="K263" s="410"/>
      <c r="L263" s="410"/>
    </row>
    <row r="264" spans="1:12">
      <c r="A264" s="344"/>
      <c r="B264" s="344"/>
      <c r="C264" s="344"/>
      <c r="D264" s="344"/>
      <c r="E264" s="345"/>
      <c r="F264" s="346"/>
      <c r="G264" s="344"/>
      <c r="H264" s="11"/>
      <c r="I264" s="346"/>
      <c r="J264" s="410"/>
      <c r="K264" s="410"/>
      <c r="L264" s="410"/>
    </row>
    <row r="265" spans="1:12">
      <c r="A265" s="344"/>
      <c r="B265" s="344"/>
      <c r="C265" s="344"/>
      <c r="D265" s="344"/>
      <c r="E265" s="345"/>
      <c r="F265" s="346"/>
      <c r="G265" s="344"/>
      <c r="H265" s="11"/>
      <c r="I265" s="346"/>
      <c r="J265" s="410"/>
      <c r="K265" s="410"/>
      <c r="L265" s="410"/>
    </row>
    <row r="266" spans="1:12">
      <c r="A266" s="344"/>
      <c r="B266" s="344"/>
      <c r="C266" s="344"/>
      <c r="D266" s="344"/>
      <c r="E266" s="345"/>
      <c r="F266" s="346"/>
      <c r="G266" s="344"/>
      <c r="H266" s="11"/>
      <c r="I266" s="346"/>
      <c r="J266" s="410"/>
      <c r="K266" s="410"/>
      <c r="L266" s="410"/>
    </row>
    <row r="267" spans="1:12">
      <c r="A267" s="344"/>
      <c r="B267" s="344"/>
      <c r="C267" s="344"/>
      <c r="D267" s="344"/>
      <c r="E267" s="345"/>
      <c r="F267" s="346"/>
      <c r="G267" s="344"/>
      <c r="H267" s="11"/>
      <c r="I267" s="346"/>
      <c r="J267" s="410"/>
      <c r="K267" s="410"/>
      <c r="L267" s="410"/>
    </row>
    <row r="268" spans="1:12">
      <c r="A268" s="344"/>
      <c r="B268" s="344"/>
      <c r="C268" s="344"/>
      <c r="D268" s="344"/>
      <c r="E268" s="345"/>
      <c r="F268" s="346"/>
      <c r="G268" s="344"/>
      <c r="H268" s="11"/>
      <c r="I268" s="346"/>
      <c r="J268" s="410"/>
      <c r="K268" s="410"/>
      <c r="L268" s="410"/>
    </row>
    <row r="269" spans="1:12">
      <c r="A269" s="344"/>
      <c r="B269" s="344"/>
      <c r="C269" s="344"/>
      <c r="D269" s="344"/>
      <c r="E269" s="345"/>
      <c r="F269" s="346"/>
      <c r="G269" s="344"/>
      <c r="H269" s="11"/>
      <c r="I269" s="346"/>
      <c r="J269" s="410"/>
      <c r="K269" s="410"/>
      <c r="L269" s="410"/>
    </row>
    <row r="270" spans="1:12">
      <c r="A270" s="344"/>
      <c r="B270" s="344"/>
      <c r="C270" s="344"/>
      <c r="D270" s="344"/>
      <c r="E270" s="345"/>
      <c r="F270" s="346"/>
      <c r="G270" s="344"/>
      <c r="H270" s="11"/>
      <c r="I270" s="346"/>
      <c r="J270" s="410"/>
      <c r="K270" s="410"/>
      <c r="L270" s="410"/>
    </row>
    <row r="271" spans="1:12">
      <c r="A271" s="344"/>
      <c r="B271" s="344"/>
      <c r="C271" s="344"/>
      <c r="D271" s="344"/>
      <c r="E271" s="345"/>
      <c r="F271" s="346"/>
      <c r="G271" s="344"/>
      <c r="H271" s="11"/>
      <c r="I271" s="346"/>
      <c r="J271" s="410"/>
      <c r="K271" s="410"/>
      <c r="L271" s="410"/>
    </row>
    <row r="272" spans="1:12">
      <c r="A272" s="344"/>
      <c r="B272" s="344"/>
      <c r="C272" s="344"/>
      <c r="D272" s="344"/>
      <c r="E272" s="345"/>
      <c r="F272" s="346"/>
      <c r="G272" s="344"/>
      <c r="H272" s="11"/>
      <c r="I272" s="346"/>
      <c r="J272" s="410"/>
      <c r="K272" s="410"/>
      <c r="L272" s="410"/>
    </row>
    <row r="273" spans="1:12">
      <c r="A273" s="344"/>
      <c r="B273" s="344"/>
      <c r="C273" s="344"/>
      <c r="D273" s="344"/>
      <c r="E273" s="345"/>
      <c r="F273" s="346"/>
      <c r="G273" s="344"/>
      <c r="H273" s="11"/>
      <c r="I273" s="346"/>
      <c r="J273" s="410"/>
      <c r="K273" s="410"/>
      <c r="L273" s="410"/>
    </row>
    <row r="274" spans="1:12">
      <c r="A274" s="344"/>
      <c r="B274" s="344"/>
      <c r="C274" s="344"/>
      <c r="D274" s="344"/>
      <c r="E274" s="345"/>
      <c r="F274" s="346"/>
      <c r="G274" s="344"/>
      <c r="H274" s="11"/>
      <c r="I274" s="346"/>
      <c r="J274" s="410"/>
      <c r="K274" s="410"/>
      <c r="L274" s="410"/>
    </row>
    <row r="275" spans="1:12">
      <c r="A275" s="344"/>
      <c r="B275" s="344"/>
      <c r="C275" s="344"/>
      <c r="D275" s="344"/>
      <c r="E275" s="345"/>
      <c r="F275" s="346"/>
      <c r="G275" s="344"/>
      <c r="H275" s="11"/>
      <c r="I275" s="346"/>
      <c r="J275" s="410"/>
      <c r="K275" s="410"/>
      <c r="L275" s="410"/>
    </row>
    <row r="276" spans="1:12">
      <c r="A276" s="344"/>
      <c r="B276" s="344"/>
      <c r="C276" s="344"/>
      <c r="D276" s="344"/>
      <c r="E276" s="345"/>
      <c r="F276" s="346"/>
      <c r="G276" s="344"/>
      <c r="H276" s="11"/>
      <c r="I276" s="346"/>
      <c r="J276" s="410"/>
      <c r="K276" s="410"/>
      <c r="L276" s="410"/>
    </row>
    <row r="277" spans="1:12">
      <c r="A277" s="344"/>
      <c r="B277" s="344"/>
      <c r="C277" s="344"/>
      <c r="D277" s="344"/>
      <c r="E277" s="345"/>
      <c r="F277" s="346"/>
      <c r="G277" s="344"/>
      <c r="H277" s="11"/>
      <c r="I277" s="346"/>
      <c r="J277" s="410"/>
      <c r="K277" s="410"/>
      <c r="L277" s="410"/>
    </row>
    <row r="278" spans="1:12">
      <c r="A278" s="344"/>
      <c r="B278" s="344"/>
      <c r="C278" s="344"/>
      <c r="D278" s="344"/>
      <c r="E278" s="345"/>
      <c r="F278" s="346"/>
      <c r="G278" s="344"/>
      <c r="H278" s="11"/>
      <c r="I278" s="346"/>
      <c r="J278" s="410"/>
      <c r="K278" s="410"/>
      <c r="L278" s="410"/>
    </row>
    <row r="279" spans="1:12">
      <c r="A279" s="344"/>
      <c r="B279" s="344"/>
      <c r="C279" s="344"/>
      <c r="D279" s="344"/>
      <c r="E279" s="345"/>
      <c r="F279" s="346"/>
      <c r="G279" s="344"/>
      <c r="H279" s="11"/>
      <c r="I279" s="346"/>
      <c r="J279" s="410"/>
      <c r="K279" s="410"/>
      <c r="L279" s="410"/>
    </row>
    <row r="280" spans="1:12">
      <c r="A280" s="344"/>
      <c r="B280" s="344"/>
      <c r="C280" s="344"/>
      <c r="D280" s="344"/>
      <c r="E280" s="345"/>
      <c r="F280" s="346"/>
      <c r="G280" s="344"/>
      <c r="H280" s="11"/>
      <c r="I280" s="346"/>
      <c r="J280" s="410"/>
      <c r="K280" s="410"/>
      <c r="L280" s="410"/>
    </row>
    <row r="281" spans="1:12">
      <c r="A281" s="344"/>
      <c r="B281" s="344"/>
      <c r="C281" s="344"/>
      <c r="D281" s="344"/>
      <c r="E281" s="345"/>
      <c r="F281" s="346"/>
      <c r="G281" s="344"/>
      <c r="H281" s="11"/>
      <c r="I281" s="346"/>
      <c r="J281" s="410"/>
      <c r="K281" s="410"/>
      <c r="L281" s="410"/>
    </row>
    <row r="282" spans="1:12">
      <c r="A282" s="344"/>
      <c r="B282" s="344"/>
      <c r="C282" s="344"/>
      <c r="D282" s="344"/>
      <c r="E282" s="345"/>
      <c r="F282" s="346"/>
      <c r="G282" s="344"/>
      <c r="H282" s="11"/>
      <c r="I282" s="346"/>
      <c r="J282" s="410"/>
      <c r="K282" s="410"/>
      <c r="L282" s="410"/>
    </row>
    <row r="283" spans="1:12">
      <c r="A283" s="344"/>
      <c r="B283" s="344"/>
      <c r="C283" s="344"/>
      <c r="D283" s="344"/>
      <c r="E283" s="345"/>
      <c r="F283" s="346"/>
      <c r="G283" s="344"/>
      <c r="H283" s="11"/>
      <c r="I283" s="346"/>
      <c r="J283" s="410"/>
      <c r="K283" s="410"/>
      <c r="L283" s="410"/>
    </row>
    <row r="284" spans="1:12">
      <c r="A284" s="344"/>
      <c r="B284" s="344"/>
      <c r="C284" s="344"/>
      <c r="D284" s="344"/>
      <c r="E284" s="345"/>
      <c r="F284" s="346"/>
      <c r="G284" s="344"/>
      <c r="H284" s="11"/>
      <c r="I284" s="346"/>
      <c r="J284" s="410"/>
      <c r="K284" s="410"/>
      <c r="L284" s="410"/>
    </row>
    <row r="285" spans="1:12">
      <c r="A285" s="344"/>
      <c r="B285" s="344"/>
      <c r="C285" s="344"/>
      <c r="D285" s="344"/>
      <c r="E285" s="345"/>
      <c r="F285" s="346"/>
      <c r="G285" s="344"/>
      <c r="H285" s="11"/>
      <c r="I285" s="346"/>
      <c r="J285" s="410"/>
      <c r="K285" s="410"/>
      <c r="L285" s="410"/>
    </row>
    <row r="286" spans="1:12">
      <c r="A286" s="344"/>
      <c r="B286" s="344"/>
      <c r="C286" s="344"/>
      <c r="D286" s="344"/>
      <c r="E286" s="345"/>
      <c r="F286" s="346"/>
      <c r="G286" s="344"/>
      <c r="H286" s="11"/>
      <c r="I286" s="346"/>
      <c r="J286" s="410"/>
      <c r="K286" s="410"/>
      <c r="L286" s="410"/>
    </row>
    <row r="287" spans="1:12">
      <c r="A287" s="344"/>
      <c r="B287" s="344"/>
      <c r="C287" s="344"/>
      <c r="D287" s="344"/>
      <c r="E287" s="345"/>
      <c r="F287" s="346"/>
      <c r="G287" s="344"/>
      <c r="H287" s="11"/>
      <c r="I287" s="346"/>
      <c r="J287" s="410"/>
      <c r="K287" s="410"/>
      <c r="L287" s="410"/>
    </row>
    <row r="288" spans="1:12">
      <c r="A288" s="344"/>
      <c r="B288" s="344"/>
      <c r="C288" s="344"/>
      <c r="D288" s="344"/>
      <c r="E288" s="345"/>
      <c r="F288" s="346"/>
      <c r="G288" s="344"/>
      <c r="H288" s="11"/>
      <c r="I288" s="346"/>
      <c r="J288" s="410"/>
      <c r="K288" s="410"/>
      <c r="L288" s="410"/>
    </row>
    <row r="289" spans="1:12">
      <c r="A289" s="344"/>
      <c r="B289" s="344"/>
      <c r="C289" s="344"/>
      <c r="D289" s="344"/>
      <c r="E289" s="345"/>
      <c r="F289" s="346"/>
      <c r="G289" s="344"/>
      <c r="H289" s="11"/>
      <c r="I289" s="346"/>
      <c r="J289" s="410"/>
      <c r="K289" s="410"/>
      <c r="L289" s="410"/>
    </row>
    <row r="290" spans="1:12">
      <c r="A290" s="344"/>
      <c r="B290" s="344"/>
      <c r="C290" s="344"/>
      <c r="D290" s="344"/>
      <c r="E290" s="345"/>
      <c r="F290" s="346"/>
      <c r="G290" s="344"/>
      <c r="H290" s="11"/>
      <c r="I290" s="346"/>
      <c r="J290" s="410"/>
      <c r="K290" s="410"/>
      <c r="L290" s="410"/>
    </row>
    <row r="291" spans="1:12">
      <c r="A291" s="344"/>
      <c r="B291" s="344"/>
      <c r="C291" s="344"/>
      <c r="D291" s="344"/>
      <c r="E291" s="345"/>
      <c r="F291" s="346"/>
      <c r="G291" s="344"/>
      <c r="H291" s="11"/>
      <c r="I291" s="346"/>
      <c r="J291" s="410"/>
      <c r="K291" s="410"/>
      <c r="L291" s="410"/>
    </row>
    <row r="292" spans="1:12">
      <c r="A292" s="344"/>
      <c r="B292" s="344"/>
      <c r="C292" s="344"/>
      <c r="D292" s="344"/>
      <c r="E292" s="345"/>
      <c r="F292" s="346"/>
      <c r="G292" s="344"/>
      <c r="H292" s="11"/>
      <c r="I292" s="346"/>
      <c r="J292" s="410"/>
      <c r="K292" s="410"/>
      <c r="L292" s="410"/>
    </row>
    <row r="293" spans="1:12">
      <c r="A293" s="344"/>
      <c r="B293" s="344"/>
      <c r="C293" s="344"/>
      <c r="D293" s="344"/>
      <c r="E293" s="345"/>
      <c r="F293" s="346"/>
      <c r="G293" s="344"/>
      <c r="H293" s="11"/>
      <c r="I293" s="346"/>
      <c r="J293" s="410"/>
      <c r="K293" s="410"/>
      <c r="L293" s="410"/>
    </row>
    <row r="294" spans="1:12">
      <c r="A294" s="344"/>
      <c r="B294" s="344"/>
      <c r="C294" s="344"/>
      <c r="D294" s="344"/>
      <c r="E294" s="345"/>
      <c r="F294" s="346"/>
      <c r="G294" s="344"/>
      <c r="H294" s="11"/>
      <c r="I294" s="346"/>
      <c r="J294" s="410"/>
      <c r="K294" s="410"/>
      <c r="L294" s="410"/>
    </row>
    <row r="295" spans="1:12">
      <c r="A295" s="344"/>
      <c r="B295" s="344"/>
      <c r="C295" s="344"/>
      <c r="D295" s="344"/>
      <c r="E295" s="345"/>
      <c r="F295" s="346"/>
      <c r="G295" s="344"/>
      <c r="H295" s="11"/>
      <c r="I295" s="346"/>
      <c r="J295" s="410"/>
      <c r="K295" s="410"/>
      <c r="L295" s="410"/>
    </row>
    <row r="296" spans="1:12">
      <c r="A296" s="344"/>
      <c r="B296" s="344"/>
      <c r="C296" s="344"/>
      <c r="D296" s="344"/>
      <c r="E296" s="345"/>
      <c r="F296" s="346"/>
      <c r="G296" s="344"/>
      <c r="H296" s="11"/>
      <c r="I296" s="346"/>
      <c r="J296" s="410"/>
      <c r="K296" s="410"/>
      <c r="L296" s="410"/>
    </row>
    <row r="297" spans="1:12">
      <c r="A297" s="344"/>
      <c r="B297" s="344"/>
      <c r="C297" s="344"/>
      <c r="D297" s="344"/>
      <c r="E297" s="345"/>
      <c r="F297" s="346"/>
      <c r="G297" s="344"/>
      <c r="H297" s="11"/>
      <c r="I297" s="346"/>
      <c r="J297" s="410"/>
      <c r="K297" s="410"/>
      <c r="L297" s="410"/>
    </row>
    <row r="298" spans="1:12">
      <c r="A298" s="344"/>
      <c r="B298" s="344"/>
      <c r="C298" s="344"/>
      <c r="D298" s="344"/>
      <c r="E298" s="345"/>
      <c r="F298" s="346"/>
      <c r="G298" s="344"/>
      <c r="H298" s="11"/>
      <c r="I298" s="346"/>
      <c r="J298" s="410"/>
      <c r="K298" s="410"/>
      <c r="L298" s="410"/>
    </row>
    <row r="299" spans="1:12">
      <c r="A299" s="344"/>
      <c r="B299" s="344"/>
      <c r="C299" s="344"/>
      <c r="D299" s="344"/>
      <c r="E299" s="345"/>
      <c r="F299" s="346"/>
      <c r="G299" s="344"/>
      <c r="H299" s="11"/>
      <c r="I299" s="346"/>
      <c r="J299" s="410"/>
      <c r="K299" s="410"/>
      <c r="L299" s="410"/>
    </row>
    <row r="300" spans="1:12">
      <c r="A300" s="344"/>
      <c r="B300" s="344"/>
      <c r="C300" s="344"/>
      <c r="D300" s="344"/>
      <c r="E300" s="345"/>
      <c r="F300" s="346"/>
      <c r="G300" s="344"/>
      <c r="H300" s="11"/>
      <c r="I300" s="346"/>
      <c r="J300" s="410"/>
      <c r="K300" s="410"/>
      <c r="L300" s="410"/>
    </row>
    <row r="301" spans="1:12">
      <c r="A301" s="344"/>
      <c r="B301" s="344"/>
      <c r="C301" s="344"/>
      <c r="D301" s="344"/>
      <c r="E301" s="345"/>
      <c r="F301" s="346"/>
      <c r="G301" s="344"/>
      <c r="H301" s="11"/>
      <c r="I301" s="346"/>
      <c r="J301" s="410"/>
      <c r="K301" s="410"/>
      <c r="L301" s="410"/>
    </row>
    <row r="302" spans="1:12">
      <c r="A302" s="344"/>
      <c r="B302" s="344"/>
      <c r="C302" s="344"/>
      <c r="D302" s="344"/>
      <c r="E302" s="345"/>
      <c r="F302" s="346"/>
      <c r="G302" s="344"/>
      <c r="H302" s="11"/>
      <c r="I302" s="346"/>
      <c r="J302" s="410"/>
      <c r="K302" s="410"/>
      <c r="L302" s="410"/>
    </row>
    <row r="303" spans="1:12">
      <c r="A303" s="344"/>
      <c r="B303" s="344"/>
      <c r="C303" s="344"/>
      <c r="D303" s="344"/>
      <c r="E303" s="345"/>
      <c r="F303" s="346"/>
      <c r="G303" s="344"/>
      <c r="H303" s="11"/>
      <c r="I303" s="346"/>
      <c r="J303" s="410"/>
      <c r="K303" s="410"/>
      <c r="L303" s="410"/>
    </row>
    <row r="304" spans="1:12">
      <c r="A304" s="344"/>
      <c r="B304" s="344"/>
      <c r="C304" s="344"/>
      <c r="D304" s="344"/>
      <c r="E304" s="345"/>
      <c r="F304" s="346"/>
      <c r="G304" s="344"/>
      <c r="H304" s="11"/>
      <c r="I304" s="346"/>
      <c r="J304" s="410"/>
      <c r="K304" s="410"/>
      <c r="L304" s="410"/>
    </row>
    <row r="305" spans="1:12">
      <c r="A305" s="344"/>
      <c r="B305" s="344"/>
      <c r="C305" s="344"/>
      <c r="D305" s="344"/>
      <c r="E305" s="345"/>
      <c r="F305" s="346"/>
      <c r="G305" s="344"/>
      <c r="H305" s="11"/>
      <c r="I305" s="346"/>
      <c r="J305" s="410"/>
      <c r="K305" s="410"/>
      <c r="L305" s="410"/>
    </row>
    <row r="306" spans="1:12">
      <c r="A306" s="344"/>
      <c r="B306" s="344"/>
      <c r="C306" s="344"/>
      <c r="D306" s="344"/>
      <c r="E306" s="345"/>
      <c r="F306" s="346"/>
      <c r="G306" s="344"/>
      <c r="H306" s="11"/>
      <c r="I306" s="346"/>
      <c r="J306" s="410"/>
      <c r="K306" s="410"/>
      <c r="L306" s="410"/>
    </row>
    <row r="307" spans="1:12">
      <c r="A307" s="344"/>
      <c r="B307" s="344"/>
      <c r="C307" s="344"/>
      <c r="D307" s="344"/>
      <c r="E307" s="345"/>
      <c r="F307" s="346"/>
      <c r="G307" s="344"/>
      <c r="H307" s="11"/>
      <c r="I307" s="346"/>
      <c r="J307" s="410"/>
      <c r="K307" s="410"/>
      <c r="L307" s="410"/>
    </row>
    <row r="308" spans="1:12">
      <c r="A308" s="344"/>
      <c r="B308" s="344"/>
      <c r="C308" s="344"/>
      <c r="D308" s="344"/>
      <c r="E308" s="345"/>
      <c r="F308" s="346"/>
      <c r="G308" s="344"/>
      <c r="H308" s="11"/>
      <c r="I308" s="346"/>
      <c r="J308" s="410"/>
      <c r="K308" s="410"/>
      <c r="L308" s="410"/>
    </row>
    <row r="309" spans="1:12">
      <c r="A309" s="344"/>
      <c r="B309" s="344"/>
      <c r="C309" s="344"/>
      <c r="D309" s="344"/>
      <c r="E309" s="345"/>
      <c r="F309" s="346"/>
      <c r="G309" s="344"/>
      <c r="H309" s="11"/>
      <c r="I309" s="346"/>
      <c r="J309" s="410"/>
      <c r="K309" s="410"/>
      <c r="L309" s="410"/>
    </row>
    <row r="310" spans="1:12">
      <c r="A310" s="344"/>
      <c r="B310" s="344"/>
      <c r="C310" s="344"/>
      <c r="D310" s="344"/>
      <c r="E310" s="345"/>
      <c r="F310" s="346"/>
      <c r="G310" s="344"/>
      <c r="H310" s="11"/>
      <c r="I310" s="346"/>
      <c r="J310" s="410"/>
      <c r="K310" s="410"/>
      <c r="L310" s="410"/>
    </row>
    <row r="311" spans="1:12">
      <c r="A311" s="344"/>
      <c r="B311" s="344"/>
      <c r="C311" s="344"/>
      <c r="D311" s="344"/>
      <c r="E311" s="345"/>
      <c r="F311" s="346"/>
      <c r="G311" s="344"/>
      <c r="H311" s="11"/>
      <c r="I311" s="346"/>
      <c r="J311" s="410"/>
      <c r="K311" s="410"/>
      <c r="L311" s="410"/>
    </row>
    <row r="312" spans="1:12">
      <c r="A312" s="344"/>
      <c r="B312" s="344"/>
      <c r="C312" s="344"/>
      <c r="D312" s="344"/>
      <c r="E312" s="345"/>
      <c r="F312" s="346"/>
      <c r="G312" s="344"/>
      <c r="H312" s="11"/>
      <c r="I312" s="346"/>
      <c r="J312" s="410"/>
      <c r="K312" s="410"/>
      <c r="L312" s="410"/>
    </row>
    <row r="313" spans="1:12">
      <c r="A313" s="344"/>
      <c r="B313" s="344"/>
      <c r="C313" s="344"/>
      <c r="D313" s="344"/>
      <c r="E313" s="345"/>
      <c r="F313" s="346"/>
      <c r="G313" s="344"/>
      <c r="H313" s="11"/>
      <c r="I313" s="346"/>
      <c r="J313" s="410"/>
      <c r="K313" s="410"/>
      <c r="L313" s="410"/>
    </row>
    <row r="314" spans="1:12">
      <c r="A314" s="344"/>
      <c r="B314" s="344"/>
      <c r="C314" s="344"/>
      <c r="D314" s="344"/>
      <c r="E314" s="345"/>
      <c r="F314" s="346"/>
      <c r="G314" s="344"/>
      <c r="H314" s="11"/>
      <c r="I314" s="346"/>
      <c r="J314" s="410"/>
      <c r="K314" s="410"/>
      <c r="L314" s="410"/>
    </row>
    <row r="315" spans="1:12">
      <c r="A315" s="344"/>
      <c r="B315" s="344"/>
      <c r="C315" s="344"/>
      <c r="D315" s="344"/>
      <c r="E315" s="345"/>
      <c r="F315" s="346"/>
      <c r="G315" s="344"/>
      <c r="H315" s="11"/>
      <c r="I315" s="346"/>
      <c r="J315" s="410"/>
      <c r="K315" s="410"/>
      <c r="L315" s="410"/>
    </row>
    <row r="316" spans="1:12">
      <c r="A316" s="344"/>
      <c r="B316" s="344"/>
      <c r="C316" s="344"/>
      <c r="D316" s="344"/>
      <c r="E316" s="345"/>
      <c r="F316" s="346"/>
      <c r="G316" s="344"/>
      <c r="H316" s="11"/>
      <c r="I316" s="346"/>
      <c r="J316" s="410"/>
      <c r="K316" s="410"/>
      <c r="L316" s="410"/>
    </row>
    <row r="317" spans="1:12">
      <c r="A317" s="344"/>
      <c r="B317" s="344"/>
      <c r="C317" s="344"/>
      <c r="D317" s="344"/>
      <c r="E317" s="345"/>
      <c r="F317" s="346"/>
      <c r="G317" s="344"/>
      <c r="H317" s="11"/>
      <c r="I317" s="346"/>
      <c r="J317" s="410"/>
      <c r="K317" s="410"/>
      <c r="L317" s="410"/>
    </row>
    <row r="318" spans="1:12">
      <c r="A318" s="344"/>
      <c r="B318" s="344"/>
      <c r="C318" s="344"/>
      <c r="D318" s="344"/>
      <c r="E318" s="345"/>
      <c r="F318" s="346"/>
      <c r="G318" s="344"/>
      <c r="H318" s="11"/>
      <c r="I318" s="346"/>
      <c r="J318" s="410"/>
      <c r="K318" s="410"/>
      <c r="L318" s="410"/>
    </row>
    <row r="319" spans="1:12">
      <c r="A319" s="344"/>
      <c r="B319" s="344"/>
      <c r="C319" s="344"/>
      <c r="D319" s="344"/>
      <c r="E319" s="345"/>
      <c r="F319" s="346"/>
      <c r="G319" s="344"/>
      <c r="H319" s="11"/>
      <c r="I319" s="346"/>
      <c r="J319" s="410"/>
      <c r="K319" s="410"/>
      <c r="L319" s="410"/>
    </row>
    <row r="320" spans="1:12">
      <c r="A320" s="344"/>
      <c r="B320" s="344"/>
      <c r="C320" s="344"/>
      <c r="D320" s="344"/>
      <c r="E320" s="345"/>
      <c r="F320" s="346"/>
      <c r="G320" s="344"/>
      <c r="H320" s="11"/>
      <c r="I320" s="346"/>
      <c r="J320" s="410"/>
      <c r="K320" s="410"/>
      <c r="L320" s="410"/>
    </row>
    <row r="321" spans="1:12">
      <c r="A321" s="344"/>
      <c r="B321" s="344"/>
      <c r="C321" s="344"/>
      <c r="D321" s="344"/>
      <c r="E321" s="345"/>
      <c r="F321" s="346"/>
      <c r="G321" s="344"/>
      <c r="H321" s="11"/>
      <c r="I321" s="346"/>
      <c r="J321" s="410"/>
      <c r="K321" s="410"/>
      <c r="L321" s="410"/>
    </row>
    <row r="322" spans="1:12">
      <c r="A322" s="344"/>
      <c r="B322" s="344"/>
      <c r="C322" s="344"/>
      <c r="D322" s="344"/>
      <c r="E322" s="345"/>
      <c r="F322" s="346"/>
      <c r="G322" s="344"/>
      <c r="H322" s="11"/>
      <c r="I322" s="346"/>
      <c r="J322" s="410"/>
      <c r="K322" s="410"/>
      <c r="L322" s="410"/>
    </row>
    <row r="323" spans="1:12">
      <c r="A323" s="344"/>
      <c r="B323" s="344"/>
      <c r="C323" s="344"/>
      <c r="D323" s="344"/>
      <c r="E323" s="345"/>
      <c r="F323" s="346"/>
      <c r="G323" s="344"/>
      <c r="H323" s="11"/>
      <c r="I323" s="346"/>
      <c r="J323" s="410"/>
      <c r="K323" s="410"/>
      <c r="L323" s="410"/>
    </row>
    <row r="324" spans="1:12">
      <c r="A324" s="344"/>
      <c r="B324" s="344"/>
      <c r="C324" s="344"/>
      <c r="D324" s="344"/>
      <c r="E324" s="345"/>
      <c r="F324" s="346"/>
      <c r="G324" s="344"/>
      <c r="H324" s="11"/>
      <c r="I324" s="346"/>
      <c r="J324" s="410"/>
      <c r="K324" s="410"/>
      <c r="L324" s="410"/>
    </row>
    <row r="325" spans="1:12">
      <c r="A325" s="344"/>
      <c r="B325" s="344"/>
      <c r="C325" s="344"/>
      <c r="D325" s="344"/>
      <c r="E325" s="345"/>
      <c r="F325" s="346"/>
      <c r="G325" s="344"/>
      <c r="H325" s="11"/>
      <c r="I325" s="346"/>
      <c r="J325" s="410"/>
      <c r="K325" s="410"/>
      <c r="L325" s="410"/>
    </row>
    <row r="326" spans="1:12">
      <c r="A326" s="344"/>
      <c r="B326" s="344"/>
      <c r="C326" s="344"/>
      <c r="D326" s="344"/>
      <c r="E326" s="345"/>
      <c r="F326" s="346"/>
      <c r="G326" s="344"/>
      <c r="H326" s="11"/>
      <c r="I326" s="346"/>
      <c r="J326" s="410"/>
      <c r="K326" s="410"/>
      <c r="L326" s="410"/>
    </row>
    <row r="327" spans="1:12">
      <c r="A327" s="344"/>
      <c r="B327" s="344"/>
      <c r="C327" s="344"/>
      <c r="D327" s="344"/>
      <c r="E327" s="345"/>
      <c r="F327" s="346"/>
      <c r="G327" s="344"/>
      <c r="H327" s="11"/>
      <c r="I327" s="346"/>
      <c r="J327" s="410"/>
      <c r="K327" s="410"/>
      <c r="L327" s="410"/>
    </row>
    <row r="328" spans="1:12">
      <c r="A328" s="344"/>
      <c r="B328" s="344"/>
      <c r="C328" s="344"/>
      <c r="D328" s="344"/>
      <c r="E328" s="345"/>
      <c r="F328" s="346"/>
      <c r="G328" s="344"/>
      <c r="H328" s="11"/>
      <c r="I328" s="346"/>
      <c r="J328" s="410"/>
      <c r="K328" s="410"/>
      <c r="L328" s="410"/>
    </row>
    <row r="329" spans="1:12">
      <c r="A329" s="344"/>
      <c r="B329" s="344"/>
      <c r="C329" s="344"/>
      <c r="D329" s="344"/>
      <c r="E329" s="345"/>
      <c r="F329" s="346"/>
      <c r="G329" s="344"/>
      <c r="H329" s="11"/>
      <c r="I329" s="346"/>
      <c r="J329" s="410"/>
      <c r="K329" s="410"/>
      <c r="L329" s="410"/>
    </row>
    <row r="330" spans="1:12">
      <c r="A330" s="344"/>
      <c r="B330" s="344"/>
      <c r="C330" s="344"/>
      <c r="D330" s="344"/>
      <c r="E330" s="345"/>
      <c r="F330" s="346"/>
      <c r="G330" s="344"/>
      <c r="H330" s="11"/>
      <c r="I330" s="346"/>
      <c r="J330" s="410"/>
      <c r="K330" s="410"/>
      <c r="L330" s="410"/>
    </row>
    <row r="331" spans="1:12">
      <c r="A331" s="344"/>
      <c r="B331" s="344"/>
      <c r="C331" s="344"/>
      <c r="D331" s="344"/>
      <c r="E331" s="345"/>
      <c r="F331" s="346"/>
      <c r="G331" s="344"/>
      <c r="H331" s="11"/>
      <c r="I331" s="346"/>
      <c r="J331" s="410"/>
      <c r="K331" s="410"/>
      <c r="L331" s="410"/>
    </row>
    <row r="332" spans="1:12">
      <c r="A332" s="344"/>
      <c r="B332" s="344"/>
      <c r="C332" s="344"/>
      <c r="D332" s="344"/>
      <c r="E332" s="345"/>
      <c r="F332" s="346"/>
      <c r="G332" s="344"/>
      <c r="H332" s="11"/>
      <c r="I332" s="346"/>
      <c r="J332" s="410"/>
      <c r="K332" s="410"/>
      <c r="L332" s="410"/>
    </row>
    <row r="333" spans="1:12">
      <c r="A333" s="344"/>
      <c r="B333" s="344"/>
      <c r="C333" s="344"/>
      <c r="D333" s="344"/>
      <c r="E333" s="345"/>
      <c r="F333" s="346"/>
      <c r="G333" s="344"/>
      <c r="H333" s="11"/>
      <c r="I333" s="346"/>
      <c r="J333" s="410"/>
      <c r="K333" s="410"/>
      <c r="L333" s="410"/>
    </row>
    <row r="334" spans="1:12">
      <c r="A334" s="344"/>
      <c r="B334" s="344"/>
      <c r="C334" s="344"/>
      <c r="D334" s="344"/>
      <c r="E334" s="345"/>
      <c r="F334" s="346"/>
      <c r="G334" s="344"/>
      <c r="H334" s="11"/>
      <c r="I334" s="346"/>
      <c r="J334" s="410"/>
      <c r="K334" s="410"/>
      <c r="L334" s="410"/>
    </row>
    <row r="335" spans="1:12">
      <c r="A335" s="344"/>
      <c r="B335" s="344"/>
      <c r="C335" s="344"/>
      <c r="D335" s="344"/>
      <c r="E335" s="345"/>
      <c r="F335" s="346"/>
      <c r="G335" s="344"/>
      <c r="H335" s="11"/>
      <c r="I335" s="346"/>
      <c r="J335" s="410"/>
      <c r="K335" s="410"/>
      <c r="L335" s="410"/>
    </row>
    <row r="336" spans="1:12">
      <c r="A336" s="344"/>
      <c r="B336" s="344"/>
      <c r="C336" s="344"/>
      <c r="D336" s="344"/>
      <c r="E336" s="345"/>
      <c r="F336" s="346"/>
      <c r="G336" s="344"/>
      <c r="H336" s="11"/>
      <c r="I336" s="346"/>
      <c r="J336" s="410"/>
      <c r="K336" s="410"/>
      <c r="L336" s="410"/>
    </row>
    <row r="337" spans="1:12">
      <c r="A337" s="344"/>
      <c r="B337" s="344"/>
      <c r="C337" s="344"/>
      <c r="D337" s="344"/>
      <c r="E337" s="345"/>
      <c r="F337" s="346"/>
      <c r="G337" s="344"/>
      <c r="H337" s="11"/>
      <c r="I337" s="346"/>
      <c r="J337" s="410"/>
      <c r="K337" s="410"/>
      <c r="L337" s="410"/>
    </row>
    <row r="338" spans="1:12">
      <c r="A338" s="344"/>
      <c r="B338" s="344"/>
      <c r="C338" s="344"/>
      <c r="D338" s="344"/>
      <c r="E338" s="345"/>
      <c r="F338" s="346"/>
      <c r="G338" s="344"/>
      <c r="H338" s="11"/>
      <c r="I338" s="346"/>
      <c r="J338" s="410"/>
      <c r="K338" s="410"/>
      <c r="L338" s="410"/>
    </row>
    <row r="339" spans="1:12">
      <c r="A339" s="344"/>
      <c r="B339" s="344"/>
      <c r="C339" s="344"/>
      <c r="D339" s="344"/>
      <c r="E339" s="345"/>
      <c r="F339" s="346"/>
      <c r="G339" s="344"/>
      <c r="H339" s="11"/>
      <c r="I339" s="346"/>
      <c r="J339" s="410"/>
      <c r="K339" s="410"/>
      <c r="L339" s="410"/>
    </row>
    <row r="340" spans="1:12">
      <c r="A340" s="344"/>
      <c r="B340" s="344"/>
      <c r="C340" s="344"/>
      <c r="D340" s="344"/>
      <c r="E340" s="345"/>
      <c r="F340" s="346"/>
      <c r="G340" s="344"/>
      <c r="H340" s="11"/>
      <c r="I340" s="346"/>
      <c r="J340" s="410"/>
      <c r="K340" s="410"/>
      <c r="L340" s="410"/>
    </row>
    <row r="341" spans="1:12">
      <c r="A341" s="344"/>
      <c r="B341" s="344"/>
      <c r="C341" s="344"/>
      <c r="D341" s="344"/>
      <c r="E341" s="345"/>
      <c r="F341" s="346"/>
      <c r="G341" s="344"/>
      <c r="H341" s="11"/>
      <c r="I341" s="346"/>
      <c r="J341" s="410"/>
      <c r="K341" s="410"/>
      <c r="L341" s="410"/>
    </row>
    <row r="342" spans="1:12">
      <c r="A342" s="344"/>
      <c r="B342" s="344"/>
      <c r="C342" s="344"/>
      <c r="D342" s="344"/>
      <c r="E342" s="345"/>
      <c r="F342" s="346"/>
      <c r="G342" s="344"/>
      <c r="H342" s="11"/>
      <c r="I342" s="346"/>
      <c r="J342" s="410"/>
      <c r="K342" s="410"/>
      <c r="L342" s="410"/>
    </row>
    <row r="343" spans="1:12">
      <c r="A343" s="344"/>
      <c r="B343" s="344"/>
      <c r="C343" s="344"/>
      <c r="D343" s="344"/>
      <c r="E343" s="345"/>
      <c r="F343" s="346"/>
      <c r="G343" s="344"/>
      <c r="H343" s="11"/>
      <c r="I343" s="346"/>
      <c r="J343" s="410"/>
      <c r="K343" s="410"/>
      <c r="L343" s="410"/>
    </row>
    <row r="344" spans="1:12">
      <c r="A344" s="344"/>
      <c r="B344" s="344"/>
      <c r="C344" s="344"/>
      <c r="D344" s="344"/>
      <c r="E344" s="345"/>
      <c r="F344" s="346"/>
      <c r="G344" s="344"/>
      <c r="H344" s="11"/>
      <c r="I344" s="346"/>
      <c r="J344" s="410"/>
      <c r="K344" s="410"/>
      <c r="L344" s="410"/>
    </row>
    <row r="345" spans="1:12">
      <c r="A345" s="344"/>
      <c r="B345" s="344"/>
      <c r="C345" s="344"/>
      <c r="D345" s="344"/>
      <c r="E345" s="345"/>
      <c r="F345" s="346"/>
      <c r="G345" s="344"/>
      <c r="H345" s="11"/>
      <c r="I345" s="346"/>
      <c r="J345" s="410"/>
      <c r="K345" s="410"/>
      <c r="L345" s="410"/>
    </row>
    <row r="346" spans="1:12">
      <c r="A346" s="344"/>
      <c r="B346" s="344"/>
      <c r="C346" s="344"/>
      <c r="D346" s="344"/>
      <c r="E346" s="345"/>
      <c r="F346" s="346"/>
      <c r="G346" s="344"/>
      <c r="H346" s="11"/>
      <c r="I346" s="346"/>
      <c r="J346" s="410"/>
      <c r="K346" s="410"/>
      <c r="L346" s="410"/>
    </row>
    <row r="347" spans="1:12">
      <c r="A347" s="344"/>
      <c r="B347" s="344"/>
      <c r="C347" s="344"/>
      <c r="D347" s="344"/>
      <c r="E347" s="345"/>
      <c r="F347" s="346"/>
      <c r="G347" s="344"/>
      <c r="H347" s="11"/>
      <c r="I347" s="346"/>
      <c r="J347" s="410"/>
      <c r="K347" s="410"/>
      <c r="L347" s="410"/>
    </row>
    <row r="348" spans="1:12">
      <c r="A348" s="344"/>
      <c r="B348" s="344"/>
      <c r="C348" s="344"/>
      <c r="D348" s="344"/>
      <c r="E348" s="345"/>
      <c r="F348" s="346"/>
      <c r="G348" s="344"/>
      <c r="H348" s="11"/>
      <c r="I348" s="346"/>
      <c r="J348" s="410"/>
      <c r="K348" s="410"/>
      <c r="L348" s="410"/>
    </row>
    <row r="349" spans="1:12">
      <c r="A349" s="344"/>
      <c r="B349" s="344"/>
      <c r="C349" s="344"/>
      <c r="D349" s="344"/>
      <c r="E349" s="345"/>
      <c r="F349" s="346"/>
      <c r="G349" s="344"/>
      <c r="H349" s="11"/>
      <c r="I349" s="346"/>
      <c r="J349" s="410"/>
      <c r="K349" s="410"/>
      <c r="L349" s="410"/>
    </row>
    <row r="350" spans="1:12">
      <c r="A350" s="344"/>
      <c r="B350" s="344"/>
      <c r="C350" s="344"/>
      <c r="D350" s="344"/>
      <c r="E350" s="345"/>
      <c r="F350" s="346"/>
      <c r="G350" s="344"/>
      <c r="H350" s="11"/>
      <c r="I350" s="346"/>
      <c r="J350" s="410"/>
      <c r="K350" s="410"/>
      <c r="L350" s="410"/>
    </row>
    <row r="351" spans="1:12">
      <c r="A351" s="344"/>
      <c r="B351" s="344"/>
      <c r="C351" s="344"/>
      <c r="D351" s="344"/>
      <c r="E351" s="345"/>
      <c r="F351" s="346"/>
      <c r="G351" s="344"/>
      <c r="H351" s="11"/>
      <c r="I351" s="346"/>
      <c r="J351" s="410"/>
      <c r="K351" s="410"/>
      <c r="L351" s="410"/>
    </row>
    <row r="352" spans="1:12">
      <c r="A352" s="344"/>
      <c r="B352" s="344"/>
      <c r="C352" s="344"/>
      <c r="D352" s="344"/>
      <c r="E352" s="345"/>
      <c r="F352" s="346"/>
      <c r="G352" s="344"/>
      <c r="H352" s="11"/>
      <c r="I352" s="346"/>
      <c r="J352" s="410"/>
      <c r="K352" s="410"/>
      <c r="L352" s="410"/>
    </row>
    <row r="353" spans="1:12">
      <c r="A353" s="344"/>
      <c r="B353" s="344"/>
      <c r="C353" s="344"/>
      <c r="D353" s="344"/>
      <c r="E353" s="345"/>
      <c r="F353" s="346"/>
      <c r="G353" s="344"/>
      <c r="H353" s="11"/>
      <c r="I353" s="346"/>
      <c r="J353" s="410"/>
      <c r="K353" s="410"/>
      <c r="L353" s="410"/>
    </row>
    <row r="354" spans="1:12">
      <c r="A354" s="344"/>
      <c r="B354" s="344"/>
      <c r="C354" s="344"/>
      <c r="D354" s="344"/>
      <c r="E354" s="345"/>
      <c r="F354" s="346"/>
      <c r="G354" s="344"/>
      <c r="H354" s="11"/>
      <c r="I354" s="346"/>
      <c r="J354" s="410"/>
      <c r="K354" s="410"/>
      <c r="L354" s="410"/>
    </row>
    <row r="355" spans="1:12">
      <c r="A355" s="344"/>
      <c r="B355" s="344"/>
      <c r="C355" s="344"/>
      <c r="D355" s="344"/>
      <c r="E355" s="345"/>
      <c r="F355" s="346"/>
      <c r="G355" s="344"/>
      <c r="H355" s="11"/>
      <c r="I355" s="346"/>
      <c r="J355" s="410"/>
      <c r="K355" s="410"/>
      <c r="L355" s="410"/>
    </row>
    <row r="356" spans="1:12">
      <c r="A356" s="344"/>
      <c r="B356" s="344"/>
      <c r="C356" s="344"/>
      <c r="D356" s="344"/>
      <c r="E356" s="345"/>
      <c r="F356" s="346"/>
      <c r="G356" s="344"/>
      <c r="H356" s="11"/>
      <c r="I356" s="346"/>
      <c r="J356" s="410"/>
      <c r="K356" s="410"/>
      <c r="L356" s="410"/>
    </row>
    <row r="357" spans="1:12">
      <c r="A357" s="344"/>
      <c r="B357" s="344"/>
      <c r="C357" s="344"/>
      <c r="D357" s="344"/>
      <c r="E357" s="345"/>
      <c r="F357" s="346"/>
      <c r="G357" s="344"/>
      <c r="H357" s="11"/>
      <c r="I357" s="346"/>
      <c r="J357" s="410"/>
      <c r="K357" s="410"/>
      <c r="L357" s="410"/>
    </row>
    <row r="358" spans="1:12">
      <c r="A358" s="344"/>
      <c r="B358" s="344"/>
      <c r="C358" s="344"/>
      <c r="D358" s="344"/>
      <c r="E358" s="345"/>
      <c r="F358" s="346"/>
      <c r="G358" s="344"/>
      <c r="H358" s="11"/>
      <c r="I358" s="346"/>
      <c r="J358" s="410"/>
      <c r="K358" s="410"/>
      <c r="L358" s="410"/>
    </row>
    <row r="359" spans="1:12">
      <c r="A359" s="344"/>
      <c r="B359" s="344"/>
      <c r="C359" s="344"/>
      <c r="D359" s="344"/>
      <c r="E359" s="345"/>
      <c r="F359" s="346"/>
      <c r="G359" s="344"/>
      <c r="H359" s="11"/>
      <c r="I359" s="346"/>
      <c r="J359" s="410"/>
      <c r="K359" s="410"/>
      <c r="L359" s="410"/>
    </row>
    <row r="360" spans="1:12">
      <c r="A360" s="344"/>
      <c r="B360" s="344"/>
      <c r="C360" s="344"/>
      <c r="D360" s="344"/>
      <c r="E360" s="345"/>
      <c r="F360" s="346"/>
      <c r="G360" s="344"/>
      <c r="H360" s="11"/>
      <c r="I360" s="346"/>
      <c r="J360" s="410"/>
      <c r="K360" s="410"/>
      <c r="L360" s="410"/>
    </row>
    <row r="361" spans="1:12">
      <c r="A361" s="344"/>
      <c r="B361" s="344"/>
      <c r="C361" s="344"/>
      <c r="D361" s="344"/>
      <c r="E361" s="345"/>
      <c r="F361" s="346"/>
      <c r="G361" s="344"/>
      <c r="H361" s="11"/>
      <c r="I361" s="346"/>
      <c r="J361" s="410"/>
      <c r="K361" s="410"/>
      <c r="L361" s="410"/>
    </row>
    <row r="362" spans="1:12">
      <c r="A362" s="344"/>
      <c r="B362" s="344"/>
      <c r="C362" s="344"/>
      <c r="D362" s="344"/>
      <c r="E362" s="345"/>
      <c r="F362" s="346"/>
      <c r="G362" s="344"/>
      <c r="H362" s="11"/>
      <c r="I362" s="346"/>
      <c r="J362" s="410"/>
      <c r="K362" s="410"/>
      <c r="L362" s="410"/>
    </row>
    <row r="363" spans="1:12">
      <c r="A363" s="344"/>
      <c r="B363" s="344"/>
      <c r="C363" s="344"/>
      <c r="D363" s="344"/>
      <c r="E363" s="345"/>
      <c r="F363" s="346"/>
      <c r="G363" s="344"/>
      <c r="H363" s="11"/>
      <c r="I363" s="346"/>
      <c r="J363" s="410"/>
      <c r="K363" s="410"/>
      <c r="L363" s="410"/>
    </row>
    <row r="364" spans="1:12">
      <c r="A364" s="344"/>
      <c r="B364" s="344"/>
      <c r="C364" s="344"/>
      <c r="D364" s="344"/>
      <c r="E364" s="345"/>
      <c r="F364" s="346"/>
      <c r="G364" s="344"/>
      <c r="H364" s="11"/>
      <c r="I364" s="346"/>
      <c r="J364" s="410"/>
      <c r="K364" s="410"/>
      <c r="L364" s="410"/>
    </row>
    <row r="365" spans="1:12">
      <c r="A365" s="344"/>
      <c r="B365" s="344"/>
      <c r="C365" s="344"/>
      <c r="D365" s="344"/>
      <c r="E365" s="345"/>
      <c r="F365" s="346"/>
      <c r="G365" s="344"/>
      <c r="H365" s="11"/>
      <c r="I365" s="346"/>
      <c r="J365" s="410"/>
      <c r="K365" s="410"/>
      <c r="L365" s="410"/>
    </row>
    <row r="366" spans="1:12">
      <c r="A366" s="344"/>
      <c r="B366" s="344"/>
      <c r="C366" s="344"/>
      <c r="D366" s="344"/>
      <c r="E366" s="345"/>
      <c r="F366" s="346"/>
      <c r="G366" s="344"/>
      <c r="H366" s="11"/>
      <c r="I366" s="346"/>
      <c r="J366" s="410"/>
      <c r="K366" s="410"/>
      <c r="L366" s="410"/>
    </row>
    <row r="367" spans="1:12">
      <c r="A367" s="344"/>
      <c r="B367" s="344"/>
      <c r="C367" s="344"/>
      <c r="D367" s="344"/>
      <c r="E367" s="345"/>
      <c r="F367" s="346"/>
      <c r="G367" s="344"/>
      <c r="H367" s="11"/>
      <c r="I367" s="346"/>
      <c r="J367" s="410"/>
      <c r="K367" s="410"/>
      <c r="L367" s="410"/>
    </row>
    <row r="368" spans="1:12">
      <c r="A368" s="344"/>
      <c r="B368" s="344"/>
      <c r="C368" s="344"/>
      <c r="D368" s="344"/>
      <c r="E368" s="345"/>
      <c r="F368" s="346"/>
      <c r="G368" s="344"/>
      <c r="H368" s="11"/>
      <c r="I368" s="346"/>
      <c r="J368" s="410"/>
      <c r="K368" s="410"/>
      <c r="L368" s="410"/>
    </row>
    <row r="369" spans="1:12">
      <c r="A369" s="344"/>
      <c r="B369" s="344"/>
      <c r="C369" s="344"/>
      <c r="D369" s="344"/>
      <c r="E369" s="345"/>
      <c r="F369" s="346"/>
      <c r="G369" s="344"/>
      <c r="H369" s="11"/>
      <c r="I369" s="346"/>
      <c r="J369" s="410"/>
      <c r="K369" s="410"/>
      <c r="L369" s="410"/>
    </row>
    <row r="370" spans="1:12">
      <c r="A370" s="344"/>
      <c r="B370" s="344"/>
      <c r="C370" s="344"/>
      <c r="D370" s="344"/>
      <c r="E370" s="345"/>
      <c r="F370" s="346"/>
      <c r="G370" s="344"/>
      <c r="H370" s="11"/>
      <c r="I370" s="346"/>
      <c r="J370" s="410"/>
      <c r="K370" s="410"/>
      <c r="L370" s="410"/>
    </row>
    <row r="371" spans="1:12">
      <c r="A371" s="344"/>
      <c r="B371" s="344"/>
      <c r="C371" s="344"/>
      <c r="D371" s="344"/>
      <c r="E371" s="345"/>
      <c r="F371" s="346"/>
      <c r="G371" s="344"/>
      <c r="H371" s="11"/>
      <c r="I371" s="346"/>
      <c r="J371" s="410"/>
      <c r="K371" s="410"/>
      <c r="L371" s="410"/>
    </row>
    <row r="372" spans="1:12">
      <c r="A372" s="344"/>
      <c r="B372" s="344"/>
      <c r="C372" s="344"/>
      <c r="D372" s="344"/>
      <c r="E372" s="345"/>
      <c r="F372" s="346"/>
      <c r="G372" s="344"/>
      <c r="H372" s="11"/>
      <c r="I372" s="346"/>
      <c r="J372" s="410"/>
      <c r="K372" s="410"/>
      <c r="L372" s="410"/>
    </row>
    <row r="373" spans="1:12">
      <c r="A373" s="344"/>
      <c r="B373" s="344"/>
      <c r="C373" s="344"/>
      <c r="D373" s="344"/>
      <c r="E373" s="345"/>
      <c r="F373" s="346"/>
      <c r="G373" s="344"/>
      <c r="H373" s="11"/>
      <c r="I373" s="346"/>
      <c r="J373" s="410"/>
      <c r="K373" s="410"/>
      <c r="L373" s="410"/>
    </row>
    <row r="374" spans="1:12">
      <c r="A374" s="344"/>
      <c r="B374" s="344"/>
      <c r="C374" s="344"/>
      <c r="D374" s="344"/>
      <c r="E374" s="345"/>
      <c r="F374" s="346"/>
      <c r="G374" s="344"/>
      <c r="H374" s="11"/>
      <c r="I374" s="346"/>
      <c r="J374" s="410"/>
      <c r="K374" s="410"/>
      <c r="L374" s="410"/>
    </row>
    <row r="375" spans="1:12">
      <c r="A375" s="344"/>
      <c r="B375" s="344"/>
      <c r="C375" s="344"/>
      <c r="D375" s="344"/>
      <c r="E375" s="345"/>
      <c r="F375" s="346"/>
      <c r="G375" s="344"/>
      <c r="H375" s="11"/>
      <c r="I375" s="346"/>
      <c r="J375" s="410"/>
      <c r="K375" s="410"/>
      <c r="L375" s="410"/>
    </row>
    <row r="376" spans="1:12">
      <c r="A376" s="344"/>
      <c r="B376" s="344"/>
      <c r="C376" s="344"/>
      <c r="D376" s="344"/>
      <c r="E376" s="345"/>
      <c r="F376" s="346"/>
      <c r="G376" s="344"/>
      <c r="H376" s="11"/>
      <c r="I376" s="346"/>
      <c r="J376" s="410"/>
      <c r="K376" s="410"/>
      <c r="L376" s="410"/>
    </row>
    <row r="377" spans="1:12">
      <c r="A377" s="344"/>
      <c r="B377" s="344"/>
      <c r="C377" s="344"/>
      <c r="D377" s="344"/>
      <c r="E377" s="345"/>
      <c r="F377" s="346"/>
      <c r="G377" s="344"/>
      <c r="H377" s="11"/>
      <c r="I377" s="346"/>
      <c r="J377" s="410"/>
      <c r="K377" s="410"/>
      <c r="L377" s="410"/>
    </row>
    <row r="378" spans="1:12">
      <c r="A378" s="344"/>
      <c r="B378" s="344"/>
      <c r="C378" s="344"/>
      <c r="D378" s="344"/>
      <c r="E378" s="345"/>
      <c r="F378" s="346"/>
      <c r="G378" s="344"/>
      <c r="H378" s="11"/>
      <c r="I378" s="346"/>
      <c r="J378" s="410"/>
      <c r="K378" s="410"/>
      <c r="L378" s="410"/>
    </row>
    <row r="379" spans="1:12">
      <c r="A379" s="344"/>
      <c r="B379" s="344"/>
      <c r="C379" s="344"/>
      <c r="D379" s="344"/>
      <c r="E379" s="345"/>
      <c r="F379" s="346"/>
      <c r="G379" s="344"/>
      <c r="H379" s="11"/>
      <c r="I379" s="346"/>
      <c r="J379" s="410"/>
      <c r="K379" s="410"/>
      <c r="L379" s="410"/>
    </row>
    <row r="380" spans="1:12">
      <c r="A380" s="344"/>
      <c r="B380" s="344"/>
      <c r="C380" s="344"/>
      <c r="D380" s="344"/>
      <c r="E380" s="345"/>
      <c r="F380" s="346"/>
      <c r="G380" s="344"/>
      <c r="H380" s="11"/>
      <c r="I380" s="346"/>
      <c r="J380" s="410"/>
      <c r="K380" s="410"/>
      <c r="L380" s="410"/>
    </row>
    <row r="381" spans="1:12">
      <c r="A381" s="344"/>
      <c r="B381" s="344"/>
      <c r="C381" s="344"/>
      <c r="D381" s="344"/>
      <c r="E381" s="345"/>
      <c r="F381" s="346"/>
      <c r="G381" s="344"/>
      <c r="H381" s="11"/>
      <c r="I381" s="346"/>
      <c r="J381" s="410"/>
      <c r="K381" s="410"/>
      <c r="L381" s="410"/>
    </row>
    <row r="382" spans="1:12">
      <c r="A382" s="344"/>
      <c r="B382" s="344"/>
      <c r="C382" s="344"/>
      <c r="D382" s="344"/>
      <c r="E382" s="345"/>
      <c r="F382" s="346"/>
      <c r="G382" s="344"/>
      <c r="H382" s="11"/>
      <c r="I382" s="346"/>
      <c r="J382" s="410"/>
      <c r="K382" s="410"/>
      <c r="L382" s="410"/>
    </row>
    <row r="383" spans="1:12">
      <c r="A383" s="344"/>
      <c r="B383" s="344"/>
      <c r="C383" s="344"/>
      <c r="D383" s="344"/>
      <c r="E383" s="345"/>
      <c r="F383" s="346"/>
      <c r="G383" s="344"/>
      <c r="H383" s="11"/>
      <c r="I383" s="346"/>
      <c r="J383" s="410"/>
      <c r="K383" s="410"/>
      <c r="L383" s="410"/>
    </row>
    <row r="384" spans="1:12">
      <c r="A384" s="344"/>
      <c r="B384" s="344"/>
      <c r="C384" s="344"/>
      <c r="D384" s="344"/>
      <c r="E384" s="345"/>
      <c r="F384" s="346"/>
      <c r="G384" s="344"/>
      <c r="H384" s="11"/>
      <c r="I384" s="346"/>
      <c r="J384" s="410"/>
      <c r="K384" s="410"/>
      <c r="L384" s="410"/>
    </row>
    <row r="385" spans="1:12">
      <c r="A385" s="344"/>
      <c r="B385" s="344"/>
      <c r="C385" s="344"/>
      <c r="D385" s="344"/>
      <c r="E385" s="345"/>
      <c r="F385" s="346"/>
      <c r="G385" s="344"/>
      <c r="H385" s="11"/>
      <c r="I385" s="346"/>
      <c r="J385" s="410"/>
      <c r="K385" s="410"/>
      <c r="L385" s="410"/>
    </row>
    <row r="386" spans="1:12">
      <c r="A386" s="344"/>
      <c r="B386" s="344"/>
      <c r="C386" s="344"/>
      <c r="D386" s="344"/>
      <c r="E386" s="345"/>
      <c r="F386" s="346"/>
      <c r="G386" s="344"/>
      <c r="H386" s="11"/>
      <c r="I386" s="346"/>
      <c r="J386" s="410"/>
      <c r="K386" s="410"/>
      <c r="L386" s="410"/>
    </row>
    <row r="387" spans="1:12">
      <c r="A387" s="344"/>
      <c r="B387" s="344"/>
      <c r="C387" s="344"/>
      <c r="D387" s="344"/>
      <c r="E387" s="345"/>
      <c r="F387" s="346"/>
      <c r="G387" s="344"/>
      <c r="H387" s="11"/>
      <c r="I387" s="346"/>
      <c r="J387" s="410"/>
      <c r="K387" s="410"/>
      <c r="L387" s="410"/>
    </row>
    <row r="388" spans="1:12">
      <c r="A388" s="344"/>
      <c r="B388" s="344"/>
      <c r="C388" s="344"/>
      <c r="D388" s="344"/>
      <c r="E388" s="345"/>
      <c r="F388" s="346"/>
      <c r="G388" s="344"/>
      <c r="H388" s="11"/>
      <c r="I388" s="346"/>
      <c r="J388" s="410"/>
      <c r="K388" s="410"/>
      <c r="L388" s="410"/>
    </row>
    <row r="389" spans="1:12">
      <c r="A389" s="344"/>
      <c r="B389" s="344"/>
      <c r="C389" s="344"/>
      <c r="D389" s="344"/>
      <c r="E389" s="345"/>
      <c r="F389" s="346"/>
      <c r="G389" s="344"/>
      <c r="H389" s="11"/>
      <c r="I389" s="346"/>
      <c r="J389" s="410"/>
      <c r="K389" s="410"/>
      <c r="L389" s="410"/>
    </row>
    <row r="390" spans="1:12">
      <c r="A390" s="344"/>
      <c r="B390" s="344"/>
      <c r="C390" s="344"/>
      <c r="D390" s="344"/>
      <c r="E390" s="345"/>
      <c r="F390" s="346"/>
      <c r="G390" s="344"/>
      <c r="H390" s="11"/>
      <c r="I390" s="346"/>
      <c r="J390" s="410"/>
      <c r="K390" s="410"/>
      <c r="L390" s="410"/>
    </row>
    <row r="391" spans="1:12">
      <c r="A391" s="344"/>
      <c r="B391" s="344"/>
      <c r="C391" s="344"/>
      <c r="D391" s="344"/>
      <c r="E391" s="345"/>
      <c r="F391" s="346"/>
      <c r="G391" s="344"/>
      <c r="H391" s="11"/>
      <c r="I391" s="346"/>
      <c r="J391" s="410"/>
      <c r="K391" s="410"/>
      <c r="L391" s="410"/>
    </row>
    <row r="392" spans="1:12">
      <c r="A392" s="344"/>
      <c r="B392" s="344"/>
      <c r="C392" s="344"/>
      <c r="D392" s="344"/>
      <c r="E392" s="345"/>
      <c r="F392" s="346"/>
      <c r="G392" s="344"/>
      <c r="H392" s="11"/>
      <c r="I392" s="346"/>
      <c r="J392" s="410"/>
      <c r="K392" s="410"/>
      <c r="L392" s="410"/>
    </row>
    <row r="393" spans="1:12">
      <c r="A393" s="344"/>
      <c r="B393" s="344"/>
      <c r="C393" s="344"/>
      <c r="D393" s="344"/>
      <c r="E393" s="345"/>
      <c r="F393" s="346"/>
      <c r="G393" s="344"/>
      <c r="H393" s="11"/>
      <c r="I393" s="346"/>
      <c r="J393" s="410"/>
      <c r="K393" s="410"/>
      <c r="L393" s="410"/>
    </row>
    <row r="394" spans="1:12">
      <c r="A394" s="344"/>
      <c r="B394" s="344"/>
      <c r="C394" s="344"/>
      <c r="D394" s="344"/>
      <c r="E394" s="345"/>
      <c r="F394" s="346"/>
      <c r="G394" s="344"/>
      <c r="H394" s="11"/>
      <c r="I394" s="346"/>
      <c r="J394" s="410"/>
      <c r="K394" s="410"/>
      <c r="L394" s="410"/>
    </row>
    <row r="395" spans="1:12">
      <c r="A395" s="344"/>
      <c r="B395" s="344"/>
      <c r="C395" s="344"/>
      <c r="D395" s="344"/>
      <c r="E395" s="345"/>
      <c r="F395" s="346"/>
      <c r="G395" s="344"/>
      <c r="H395" s="11"/>
      <c r="I395" s="346"/>
      <c r="J395" s="410"/>
      <c r="K395" s="410"/>
      <c r="L395" s="410"/>
    </row>
    <row r="396" spans="1:12">
      <c r="A396" s="344"/>
      <c r="B396" s="344"/>
      <c r="C396" s="344"/>
      <c r="D396" s="344"/>
      <c r="E396" s="345"/>
      <c r="F396" s="346"/>
      <c r="G396" s="344"/>
      <c r="H396" s="11"/>
      <c r="I396" s="346"/>
      <c r="J396" s="410"/>
      <c r="K396" s="410"/>
      <c r="L396" s="410"/>
    </row>
    <row r="397" spans="1:12">
      <c r="A397" s="344"/>
      <c r="B397" s="344"/>
      <c r="C397" s="344"/>
      <c r="D397" s="344"/>
      <c r="E397" s="345"/>
      <c r="F397" s="346"/>
      <c r="G397" s="344"/>
      <c r="H397" s="11"/>
      <c r="I397" s="346"/>
      <c r="J397" s="410"/>
      <c r="K397" s="410"/>
      <c r="L397" s="410"/>
    </row>
    <row r="398" spans="1:12">
      <c r="A398" s="344"/>
      <c r="B398" s="344"/>
      <c r="C398" s="344"/>
      <c r="D398" s="344"/>
      <c r="E398" s="345"/>
      <c r="F398" s="346"/>
      <c r="G398" s="344"/>
      <c r="H398" s="11"/>
      <c r="I398" s="346"/>
      <c r="J398" s="410"/>
      <c r="K398" s="410"/>
      <c r="L398" s="410"/>
    </row>
    <row r="399" spans="1:12">
      <c r="A399" s="344"/>
      <c r="B399" s="344"/>
      <c r="C399" s="344"/>
      <c r="D399" s="344"/>
      <c r="E399" s="345"/>
      <c r="F399" s="346"/>
      <c r="G399" s="344"/>
      <c r="H399" s="11"/>
      <c r="I399" s="346"/>
      <c r="J399" s="410"/>
      <c r="K399" s="410"/>
      <c r="L399" s="410"/>
    </row>
    <row r="400" spans="1:12">
      <c r="A400" s="344"/>
      <c r="B400" s="344"/>
      <c r="C400" s="344"/>
      <c r="D400" s="344"/>
      <c r="E400" s="345"/>
      <c r="F400" s="346"/>
      <c r="G400" s="344"/>
      <c r="H400" s="11"/>
      <c r="I400" s="346"/>
      <c r="J400" s="410"/>
      <c r="K400" s="410"/>
      <c r="L400" s="410"/>
    </row>
    <row r="401" spans="1:12">
      <c r="A401" s="344"/>
      <c r="B401" s="344"/>
      <c r="C401" s="344"/>
      <c r="D401" s="344"/>
      <c r="E401" s="345"/>
      <c r="F401" s="346"/>
      <c r="G401" s="344"/>
      <c r="H401" s="11"/>
      <c r="I401" s="346"/>
      <c r="J401" s="410"/>
      <c r="K401" s="410"/>
      <c r="L401" s="410"/>
    </row>
    <row r="402" spans="1:12">
      <c r="A402" s="344"/>
      <c r="B402" s="344"/>
      <c r="C402" s="344"/>
      <c r="D402" s="344"/>
      <c r="E402" s="345"/>
      <c r="F402" s="346"/>
      <c r="G402" s="344"/>
      <c r="H402" s="11"/>
      <c r="I402" s="346"/>
      <c r="J402" s="410"/>
      <c r="K402" s="410"/>
      <c r="L402" s="410"/>
    </row>
    <row r="403" spans="1:12">
      <c r="A403" s="344"/>
      <c r="B403" s="344"/>
      <c r="C403" s="344"/>
      <c r="D403" s="344"/>
      <c r="E403" s="345"/>
      <c r="F403" s="346"/>
      <c r="G403" s="344"/>
      <c r="H403" s="11"/>
      <c r="I403" s="346"/>
      <c r="J403" s="410"/>
      <c r="K403" s="410"/>
      <c r="L403" s="410"/>
    </row>
    <row r="404" spans="1:12">
      <c r="A404" s="344"/>
      <c r="B404" s="344"/>
      <c r="C404" s="344"/>
      <c r="D404" s="344"/>
      <c r="E404" s="345"/>
      <c r="F404" s="346"/>
      <c r="G404" s="344"/>
      <c r="H404" s="11"/>
      <c r="I404" s="346"/>
      <c r="J404" s="410"/>
      <c r="K404" s="410"/>
      <c r="L404" s="410"/>
    </row>
    <row r="405" spans="1:12">
      <c r="A405" s="344"/>
      <c r="B405" s="344"/>
      <c r="C405" s="344"/>
      <c r="D405" s="344"/>
      <c r="E405" s="345"/>
      <c r="F405" s="346"/>
      <c r="G405" s="344"/>
      <c r="H405" s="11"/>
      <c r="I405" s="346"/>
      <c r="J405" s="410"/>
      <c r="K405" s="410"/>
      <c r="L405" s="410"/>
    </row>
    <row r="406" spans="1:12">
      <c r="A406" s="344"/>
      <c r="B406" s="344"/>
      <c r="C406" s="344"/>
      <c r="D406" s="344"/>
      <c r="E406" s="345"/>
      <c r="F406" s="346"/>
      <c r="G406" s="344"/>
      <c r="H406" s="11"/>
      <c r="I406" s="346"/>
      <c r="J406" s="410"/>
      <c r="K406" s="410"/>
      <c r="L406" s="410"/>
    </row>
    <row r="407" spans="1:12">
      <c r="A407" s="344"/>
      <c r="B407" s="344"/>
      <c r="C407" s="344"/>
      <c r="D407" s="344"/>
      <c r="E407" s="345"/>
      <c r="F407" s="346"/>
      <c r="G407" s="344"/>
      <c r="H407" s="11"/>
      <c r="I407" s="346"/>
      <c r="J407" s="410"/>
      <c r="K407" s="410"/>
      <c r="L407" s="410"/>
    </row>
    <row r="408" spans="1:12">
      <c r="A408" s="344"/>
      <c r="B408" s="344"/>
      <c r="C408" s="344"/>
      <c r="D408" s="344"/>
      <c r="E408" s="345"/>
      <c r="F408" s="346"/>
      <c r="G408" s="344"/>
      <c r="H408" s="11"/>
      <c r="I408" s="346"/>
      <c r="J408" s="410"/>
      <c r="K408" s="410"/>
      <c r="L408" s="410"/>
    </row>
    <row r="409" spans="1:12">
      <c r="A409" s="344"/>
      <c r="B409" s="344"/>
      <c r="C409" s="344"/>
      <c r="D409" s="344"/>
      <c r="E409" s="345"/>
      <c r="F409" s="346"/>
      <c r="G409" s="344"/>
      <c r="H409" s="11"/>
      <c r="I409" s="346"/>
      <c r="J409" s="410"/>
      <c r="K409" s="410"/>
      <c r="L409" s="410"/>
    </row>
    <row r="410" spans="1:12">
      <c r="A410" s="344"/>
      <c r="B410" s="344"/>
      <c r="C410" s="344"/>
      <c r="D410" s="344"/>
      <c r="E410" s="345"/>
      <c r="F410" s="346"/>
      <c r="G410" s="344"/>
      <c r="H410" s="11"/>
      <c r="I410" s="346"/>
      <c r="J410" s="410"/>
      <c r="K410" s="410"/>
      <c r="L410" s="410"/>
    </row>
    <row r="411" spans="1:12">
      <c r="A411" s="344"/>
      <c r="B411" s="344"/>
      <c r="C411" s="344"/>
      <c r="D411" s="344"/>
      <c r="E411" s="345"/>
      <c r="F411" s="346"/>
      <c r="G411" s="344"/>
      <c r="H411" s="11"/>
      <c r="I411" s="346"/>
      <c r="J411" s="410"/>
      <c r="K411" s="410"/>
      <c r="L411" s="410"/>
    </row>
    <row r="412" spans="1:12">
      <c r="A412" s="344"/>
      <c r="B412" s="344"/>
      <c r="C412" s="344"/>
      <c r="D412" s="344"/>
      <c r="E412" s="345"/>
      <c r="F412" s="346"/>
      <c r="G412" s="344"/>
      <c r="H412" s="11"/>
      <c r="I412" s="346"/>
      <c r="J412" s="410"/>
      <c r="K412" s="410"/>
      <c r="L412" s="410"/>
    </row>
    <row r="413" spans="1:12">
      <c r="A413" s="344"/>
      <c r="B413" s="344"/>
      <c r="C413" s="344"/>
      <c r="D413" s="344"/>
      <c r="E413" s="345"/>
      <c r="F413" s="346"/>
      <c r="G413" s="344"/>
      <c r="H413" s="11"/>
      <c r="I413" s="346"/>
      <c r="J413" s="410"/>
      <c r="K413" s="410"/>
      <c r="L413" s="410"/>
    </row>
    <row r="414" spans="1:12">
      <c r="A414" s="344"/>
      <c r="B414" s="344"/>
      <c r="C414" s="344"/>
      <c r="D414" s="344"/>
      <c r="E414" s="345"/>
      <c r="F414" s="346"/>
      <c r="G414" s="344"/>
      <c r="H414" s="11"/>
      <c r="I414" s="346"/>
      <c r="J414" s="410"/>
      <c r="K414" s="410"/>
      <c r="L414" s="410"/>
    </row>
    <row r="415" spans="1:12">
      <c r="A415" s="344"/>
      <c r="B415" s="344"/>
      <c r="C415" s="344"/>
      <c r="D415" s="344"/>
      <c r="E415" s="345"/>
      <c r="F415" s="346"/>
      <c r="G415" s="344"/>
      <c r="H415" s="11"/>
      <c r="I415" s="346"/>
      <c r="J415" s="410"/>
      <c r="K415" s="410"/>
      <c r="L415" s="410"/>
    </row>
    <row r="416" spans="1:12">
      <c r="A416" s="344"/>
      <c r="B416" s="344"/>
      <c r="C416" s="344"/>
      <c r="D416" s="344"/>
      <c r="E416" s="345"/>
      <c r="F416" s="346"/>
      <c r="G416" s="344"/>
      <c r="H416" s="11"/>
      <c r="I416" s="346"/>
      <c r="J416" s="410"/>
      <c r="K416" s="410"/>
      <c r="L416" s="410"/>
    </row>
    <row r="417" spans="1:12">
      <c r="A417" s="344"/>
      <c r="B417" s="344"/>
      <c r="C417" s="344"/>
      <c r="D417" s="344"/>
      <c r="E417" s="345"/>
      <c r="F417" s="346"/>
      <c r="G417" s="344"/>
      <c r="H417" s="11"/>
      <c r="I417" s="346"/>
      <c r="J417" s="410"/>
      <c r="K417" s="410"/>
      <c r="L417" s="410"/>
    </row>
    <row r="418" spans="1:12">
      <c r="A418" s="344"/>
      <c r="B418" s="344"/>
      <c r="C418" s="344"/>
      <c r="D418" s="344"/>
      <c r="E418" s="345"/>
      <c r="F418" s="346"/>
      <c r="G418" s="344"/>
      <c r="H418" s="11"/>
      <c r="I418" s="346"/>
      <c r="J418" s="410"/>
      <c r="K418" s="410"/>
      <c r="L418" s="410"/>
    </row>
    <row r="419" spans="1:12">
      <c r="A419" s="344"/>
      <c r="B419" s="344"/>
      <c r="C419" s="344"/>
      <c r="D419" s="344"/>
      <c r="E419" s="345"/>
      <c r="F419" s="346"/>
      <c r="G419" s="344"/>
      <c r="H419" s="11"/>
      <c r="I419" s="346"/>
      <c r="J419" s="410"/>
      <c r="K419" s="410"/>
      <c r="L419" s="410"/>
    </row>
    <row r="420" spans="1:12">
      <c r="A420" s="344"/>
      <c r="B420" s="344"/>
      <c r="C420" s="344"/>
      <c r="D420" s="344"/>
      <c r="E420" s="345"/>
      <c r="F420" s="346"/>
      <c r="G420" s="344"/>
      <c r="H420" s="11"/>
      <c r="I420" s="346"/>
      <c r="J420" s="410"/>
      <c r="K420" s="410"/>
      <c r="L420" s="410"/>
    </row>
    <row r="421" spans="1:12">
      <c r="A421" s="344"/>
      <c r="B421" s="344"/>
      <c r="C421" s="344"/>
      <c r="D421" s="344"/>
      <c r="E421" s="345"/>
      <c r="F421" s="346"/>
      <c r="G421" s="344"/>
      <c r="H421" s="11"/>
      <c r="I421" s="346"/>
      <c r="J421" s="410"/>
      <c r="K421" s="410"/>
      <c r="L421" s="410"/>
    </row>
    <row r="422" spans="1:12">
      <c r="A422" s="344"/>
      <c r="B422" s="344"/>
      <c r="C422" s="344"/>
      <c r="D422" s="344"/>
      <c r="E422" s="345"/>
      <c r="F422" s="346"/>
      <c r="G422" s="344"/>
      <c r="H422" s="11"/>
      <c r="I422" s="346"/>
      <c r="J422" s="410"/>
      <c r="K422" s="410"/>
      <c r="L422" s="410"/>
    </row>
    <row r="423" spans="1:12">
      <c r="A423" s="344"/>
      <c r="B423" s="344"/>
      <c r="C423" s="344"/>
      <c r="D423" s="344"/>
      <c r="E423" s="345"/>
      <c r="F423" s="346"/>
      <c r="G423" s="344"/>
      <c r="H423" s="11"/>
      <c r="I423" s="346"/>
      <c r="J423" s="410"/>
      <c r="K423" s="410"/>
      <c r="L423" s="410"/>
    </row>
    <row r="424" spans="1:12">
      <c r="A424" s="344"/>
      <c r="B424" s="344"/>
      <c r="C424" s="344"/>
      <c r="D424" s="344"/>
      <c r="E424" s="345"/>
      <c r="F424" s="346"/>
      <c r="G424" s="344"/>
      <c r="H424" s="11"/>
      <c r="I424" s="346"/>
      <c r="J424" s="410"/>
      <c r="K424" s="410"/>
      <c r="L424" s="410"/>
    </row>
    <row r="425" spans="1:12">
      <c r="A425" s="344"/>
      <c r="B425" s="344"/>
      <c r="C425" s="344"/>
      <c r="D425" s="344"/>
      <c r="E425" s="345"/>
      <c r="F425" s="346"/>
      <c r="G425" s="344"/>
      <c r="H425" s="11"/>
      <c r="I425" s="346"/>
      <c r="J425" s="410"/>
      <c r="K425" s="410"/>
      <c r="L425" s="410"/>
    </row>
    <row r="426" spans="1:12">
      <c r="A426" s="344"/>
      <c r="B426" s="344"/>
      <c r="C426" s="344"/>
      <c r="D426" s="344"/>
      <c r="E426" s="345"/>
      <c r="F426" s="346"/>
      <c r="G426" s="344"/>
      <c r="H426" s="11"/>
      <c r="I426" s="346"/>
      <c r="J426" s="410"/>
      <c r="K426" s="410"/>
      <c r="L426" s="410"/>
    </row>
    <row r="427" spans="1:12">
      <c r="A427" s="344"/>
      <c r="B427" s="344"/>
      <c r="C427" s="344"/>
      <c r="D427" s="344"/>
      <c r="E427" s="345"/>
      <c r="F427" s="346"/>
      <c r="G427" s="344"/>
      <c r="H427" s="11"/>
      <c r="I427" s="346"/>
      <c r="J427" s="410"/>
      <c r="K427" s="410"/>
      <c r="L427" s="410"/>
    </row>
    <row r="428" spans="1:12">
      <c r="A428" s="344"/>
      <c r="B428" s="344"/>
      <c r="C428" s="344"/>
      <c r="D428" s="344"/>
      <c r="E428" s="345"/>
      <c r="F428" s="346"/>
      <c r="G428" s="344"/>
      <c r="H428" s="11"/>
      <c r="I428" s="346"/>
      <c r="J428" s="410"/>
      <c r="K428" s="410"/>
      <c r="L428" s="410"/>
    </row>
    <row r="429" spans="1:12">
      <c r="A429" s="344"/>
      <c r="B429" s="344"/>
      <c r="C429" s="344"/>
      <c r="D429" s="344"/>
      <c r="E429" s="345"/>
      <c r="F429" s="346"/>
      <c r="G429" s="344"/>
      <c r="H429" s="11"/>
      <c r="I429" s="346"/>
      <c r="J429" s="410"/>
      <c r="K429" s="410"/>
      <c r="L429" s="410"/>
    </row>
    <row r="430" spans="1:12">
      <c r="A430" s="344"/>
      <c r="B430" s="344"/>
      <c r="C430" s="344"/>
      <c r="D430" s="344"/>
      <c r="E430" s="345"/>
      <c r="F430" s="346"/>
      <c r="G430" s="344"/>
      <c r="H430" s="11"/>
      <c r="I430" s="346"/>
      <c r="J430" s="410"/>
      <c r="K430" s="410"/>
      <c r="L430" s="410"/>
    </row>
    <row r="431" spans="1:12">
      <c r="A431" s="344"/>
      <c r="B431" s="344"/>
      <c r="C431" s="344"/>
      <c r="D431" s="344"/>
      <c r="E431" s="345"/>
      <c r="F431" s="346"/>
      <c r="G431" s="344"/>
      <c r="H431" s="11"/>
      <c r="I431" s="346"/>
      <c r="J431" s="410"/>
      <c r="K431" s="410"/>
      <c r="L431" s="410"/>
    </row>
    <row r="432" spans="1:12">
      <c r="A432" s="344"/>
      <c r="B432" s="344"/>
      <c r="C432" s="344"/>
      <c r="D432" s="344"/>
      <c r="E432" s="345"/>
      <c r="F432" s="346"/>
      <c r="G432" s="344"/>
      <c r="H432" s="11"/>
      <c r="I432" s="346"/>
      <c r="J432" s="410"/>
      <c r="K432" s="410"/>
      <c r="L432" s="410"/>
    </row>
    <row r="433" spans="1:12">
      <c r="A433" s="344"/>
      <c r="B433" s="344"/>
      <c r="C433" s="344"/>
      <c r="D433" s="344"/>
      <c r="E433" s="345"/>
      <c r="F433" s="346"/>
      <c r="G433" s="344"/>
      <c r="H433" s="11"/>
      <c r="I433" s="346"/>
      <c r="J433" s="410"/>
      <c r="K433" s="410"/>
      <c r="L433" s="410"/>
    </row>
    <row r="434" spans="1:12">
      <c r="A434" s="344"/>
      <c r="B434" s="344"/>
      <c r="C434" s="344"/>
      <c r="D434" s="344"/>
      <c r="E434" s="345"/>
      <c r="F434" s="346"/>
      <c r="G434" s="344"/>
      <c r="H434" s="11"/>
      <c r="I434" s="346"/>
      <c r="J434" s="410"/>
      <c r="K434" s="410"/>
      <c r="L434" s="410"/>
    </row>
    <row r="435" spans="1:12">
      <c r="A435" s="344"/>
      <c r="B435" s="344"/>
      <c r="C435" s="344"/>
      <c r="D435" s="344"/>
      <c r="E435" s="345"/>
      <c r="F435" s="346"/>
      <c r="G435" s="344"/>
      <c r="H435" s="11"/>
      <c r="I435" s="346"/>
      <c r="J435" s="410"/>
      <c r="K435" s="410"/>
      <c r="L435" s="410"/>
    </row>
    <row r="436" spans="1:12">
      <c r="A436" s="344"/>
      <c r="B436" s="344"/>
      <c r="C436" s="344"/>
      <c r="D436" s="344"/>
      <c r="E436" s="345"/>
      <c r="F436" s="346"/>
      <c r="G436" s="344"/>
      <c r="H436" s="11"/>
      <c r="I436" s="346"/>
      <c r="J436" s="410"/>
      <c r="K436" s="410"/>
      <c r="L436" s="410"/>
    </row>
    <row r="437" spans="1:12">
      <c r="A437" s="344"/>
      <c r="B437" s="344"/>
      <c r="C437" s="344"/>
      <c r="D437" s="344"/>
      <c r="E437" s="345"/>
      <c r="F437" s="346"/>
      <c r="G437" s="344"/>
      <c r="H437" s="11"/>
      <c r="I437" s="346"/>
      <c r="J437" s="410"/>
      <c r="K437" s="410"/>
      <c r="L437" s="410"/>
    </row>
    <row r="438" spans="1:12">
      <c r="A438" s="344"/>
      <c r="B438" s="344"/>
      <c r="C438" s="344"/>
      <c r="D438" s="344"/>
      <c r="E438" s="345"/>
      <c r="F438" s="346"/>
      <c r="G438" s="344"/>
      <c r="H438" s="11"/>
      <c r="I438" s="346"/>
      <c r="J438" s="410"/>
      <c r="K438" s="410"/>
      <c r="L438" s="410"/>
    </row>
    <row r="439" spans="1:12">
      <c r="A439" s="344"/>
      <c r="B439" s="344"/>
      <c r="C439" s="344"/>
      <c r="D439" s="344"/>
      <c r="E439" s="345"/>
      <c r="F439" s="346"/>
      <c r="G439" s="344"/>
      <c r="H439" s="11"/>
      <c r="I439" s="346"/>
      <c r="J439" s="410"/>
      <c r="K439" s="410"/>
      <c r="L439" s="410"/>
    </row>
    <row r="440" spans="1:12">
      <c r="A440" s="344"/>
      <c r="B440" s="344"/>
      <c r="C440" s="344"/>
      <c r="D440" s="344"/>
      <c r="E440" s="345"/>
      <c r="F440" s="346"/>
      <c r="G440" s="344"/>
      <c r="H440" s="11"/>
      <c r="I440" s="346"/>
      <c r="J440" s="410"/>
      <c r="K440" s="410"/>
      <c r="L440" s="410"/>
    </row>
    <row r="441" spans="1:12">
      <c r="A441" s="344"/>
      <c r="B441" s="344"/>
      <c r="C441" s="344"/>
      <c r="D441" s="344"/>
      <c r="E441" s="345"/>
      <c r="F441" s="346"/>
      <c r="G441" s="344"/>
      <c r="H441" s="11"/>
      <c r="I441" s="346"/>
      <c r="J441" s="410"/>
      <c r="K441" s="410"/>
      <c r="L441" s="410"/>
    </row>
    <row r="442" spans="1:12">
      <c r="A442" s="344"/>
      <c r="B442" s="344"/>
      <c r="C442" s="344"/>
      <c r="D442" s="344"/>
      <c r="E442" s="345"/>
      <c r="F442" s="346"/>
      <c r="G442" s="344"/>
      <c r="H442" s="11"/>
      <c r="I442" s="346"/>
      <c r="J442" s="410"/>
      <c r="K442" s="410"/>
      <c r="L442" s="410"/>
    </row>
    <row r="443" spans="1:12">
      <c r="A443" s="344"/>
      <c r="B443" s="344"/>
      <c r="C443" s="344"/>
      <c r="D443" s="344"/>
      <c r="E443" s="345"/>
      <c r="F443" s="346"/>
      <c r="G443" s="344"/>
      <c r="H443" s="11"/>
      <c r="I443" s="346"/>
      <c r="J443" s="410"/>
      <c r="K443" s="410"/>
      <c r="L443" s="410"/>
    </row>
    <row r="444" spans="1:12">
      <c r="A444" s="344"/>
      <c r="B444" s="344"/>
      <c r="C444" s="344"/>
      <c r="D444" s="344"/>
      <c r="E444" s="345"/>
      <c r="F444" s="346"/>
      <c r="G444" s="344"/>
      <c r="H444" s="11"/>
      <c r="I444" s="346"/>
      <c r="J444" s="410"/>
      <c r="K444" s="410"/>
      <c r="L444" s="410"/>
    </row>
    <row r="445" spans="1:12">
      <c r="A445" s="344"/>
      <c r="B445" s="344"/>
      <c r="C445" s="344"/>
      <c r="D445" s="344"/>
      <c r="E445" s="345"/>
      <c r="F445" s="346"/>
      <c r="G445" s="344"/>
      <c r="H445" s="11"/>
      <c r="I445" s="346"/>
      <c r="J445" s="410"/>
      <c r="K445" s="410"/>
      <c r="L445" s="410"/>
    </row>
    <row r="446" spans="1:12">
      <c r="A446" s="344"/>
      <c r="B446" s="344"/>
      <c r="C446" s="344"/>
      <c r="D446" s="344"/>
      <c r="E446" s="345"/>
      <c r="F446" s="346"/>
      <c r="G446" s="344"/>
      <c r="H446" s="11"/>
      <c r="I446" s="346"/>
      <c r="J446" s="410"/>
      <c r="K446" s="410"/>
      <c r="L446" s="410"/>
    </row>
    <row r="447" spans="1:12">
      <c r="A447" s="344"/>
      <c r="B447" s="344"/>
      <c r="C447" s="344"/>
      <c r="D447" s="344"/>
      <c r="E447" s="345"/>
      <c r="F447" s="346"/>
      <c r="G447" s="344"/>
      <c r="H447" s="11"/>
      <c r="I447" s="346"/>
      <c r="J447" s="410"/>
      <c r="K447" s="410"/>
      <c r="L447" s="410"/>
    </row>
    <row r="448" spans="1:12">
      <c r="A448" s="344"/>
      <c r="B448" s="344"/>
      <c r="C448" s="344"/>
      <c r="D448" s="344"/>
      <c r="E448" s="345"/>
      <c r="F448" s="346"/>
      <c r="G448" s="344"/>
      <c r="H448" s="11"/>
      <c r="I448" s="346"/>
      <c r="J448" s="410"/>
      <c r="K448" s="410"/>
      <c r="L448" s="410"/>
    </row>
    <row r="449" spans="1:12">
      <c r="A449" s="344"/>
      <c r="B449" s="344"/>
      <c r="C449" s="344"/>
      <c r="D449" s="344"/>
      <c r="E449" s="345"/>
      <c r="F449" s="346"/>
      <c r="G449" s="344"/>
      <c r="H449" s="11"/>
      <c r="I449" s="346"/>
      <c r="J449" s="410"/>
      <c r="K449" s="410"/>
      <c r="L449" s="410"/>
    </row>
    <row r="450" spans="1:12">
      <c r="A450" s="344"/>
      <c r="B450" s="344"/>
      <c r="C450" s="344"/>
      <c r="D450" s="344"/>
      <c r="E450" s="345"/>
      <c r="F450" s="346"/>
      <c r="G450" s="344"/>
      <c r="H450" s="11"/>
      <c r="I450" s="346"/>
      <c r="J450" s="410"/>
      <c r="K450" s="410"/>
      <c r="L450" s="410"/>
    </row>
    <row r="451" spans="1:12">
      <c r="A451" s="344"/>
      <c r="B451" s="344"/>
      <c r="C451" s="344"/>
      <c r="D451" s="344"/>
      <c r="E451" s="345"/>
      <c r="F451" s="346"/>
      <c r="G451" s="344"/>
      <c r="H451" s="11"/>
      <c r="I451" s="346"/>
      <c r="J451" s="410"/>
      <c r="K451" s="410"/>
      <c r="L451" s="410"/>
    </row>
    <row r="452" spans="1:12">
      <c r="A452" s="344"/>
      <c r="B452" s="344"/>
      <c r="C452" s="344"/>
      <c r="D452" s="344"/>
      <c r="E452" s="345"/>
      <c r="F452" s="346"/>
      <c r="G452" s="344"/>
      <c r="H452" s="11"/>
      <c r="I452" s="346"/>
      <c r="J452" s="410"/>
      <c r="K452" s="410"/>
      <c r="L452" s="410"/>
    </row>
    <row r="453" spans="1:12">
      <c r="A453" s="344"/>
      <c r="B453" s="344"/>
      <c r="C453" s="344"/>
      <c r="D453" s="344"/>
      <c r="E453" s="345"/>
      <c r="F453" s="346"/>
      <c r="G453" s="344"/>
      <c r="H453" s="11"/>
      <c r="I453" s="346"/>
      <c r="J453" s="410"/>
      <c r="K453" s="410"/>
      <c r="L453" s="410"/>
    </row>
    <row r="454" spans="1:12">
      <c r="A454" s="344"/>
      <c r="B454" s="344"/>
      <c r="C454" s="344"/>
      <c r="D454" s="344"/>
      <c r="E454" s="345"/>
      <c r="F454" s="346"/>
      <c r="G454" s="344"/>
      <c r="H454" s="11"/>
      <c r="I454" s="346"/>
      <c r="J454" s="410"/>
      <c r="K454" s="410"/>
      <c r="L454" s="410"/>
    </row>
    <row r="455" spans="1:12">
      <c r="A455" s="344"/>
      <c r="B455" s="344"/>
      <c r="C455" s="344"/>
      <c r="D455" s="344"/>
      <c r="E455" s="345"/>
      <c r="F455" s="346"/>
      <c r="G455" s="344"/>
      <c r="H455" s="11"/>
      <c r="I455" s="346"/>
      <c r="J455" s="410"/>
      <c r="K455" s="410"/>
      <c r="L455" s="410"/>
    </row>
    <row r="456" spans="1:12">
      <c r="A456" s="344"/>
      <c r="B456" s="344"/>
      <c r="C456" s="344"/>
      <c r="D456" s="344"/>
      <c r="E456" s="345"/>
      <c r="F456" s="346"/>
      <c r="G456" s="344"/>
      <c r="H456" s="11"/>
      <c r="I456" s="346"/>
      <c r="J456" s="410"/>
      <c r="K456" s="410"/>
      <c r="L456" s="410"/>
    </row>
    <row r="457" spans="1:12">
      <c r="A457" s="344"/>
      <c r="B457" s="344"/>
      <c r="C457" s="344"/>
      <c r="D457" s="344"/>
      <c r="E457" s="345"/>
      <c r="F457" s="346"/>
      <c r="G457" s="344"/>
      <c r="H457" s="11"/>
      <c r="I457" s="346"/>
      <c r="J457" s="410"/>
      <c r="K457" s="410"/>
      <c r="L457" s="410"/>
    </row>
    <row r="458" spans="1:12">
      <c r="A458" s="344"/>
      <c r="B458" s="344"/>
      <c r="C458" s="344"/>
      <c r="D458" s="344"/>
      <c r="E458" s="345"/>
      <c r="F458" s="346"/>
      <c r="G458" s="344"/>
      <c r="H458" s="11"/>
      <c r="I458" s="346"/>
      <c r="J458" s="410"/>
      <c r="K458" s="410"/>
      <c r="L458" s="410"/>
    </row>
    <row r="459" spans="1:12">
      <c r="A459" s="344"/>
      <c r="B459" s="344"/>
      <c r="C459" s="344"/>
      <c r="D459" s="344"/>
      <c r="E459" s="345"/>
      <c r="F459" s="346"/>
      <c r="G459" s="344"/>
      <c r="H459" s="11"/>
      <c r="I459" s="346"/>
      <c r="J459" s="410"/>
      <c r="K459" s="410"/>
      <c r="L459" s="410"/>
    </row>
    <row r="460" spans="1:12">
      <c r="A460" s="344"/>
      <c r="B460" s="344"/>
      <c r="C460" s="344"/>
      <c r="D460" s="344"/>
      <c r="E460" s="345"/>
      <c r="F460" s="346"/>
      <c r="G460" s="344"/>
      <c r="H460" s="11"/>
      <c r="I460" s="346"/>
      <c r="J460" s="410"/>
      <c r="K460" s="410"/>
      <c r="L460" s="410"/>
    </row>
    <row r="461" spans="1:12">
      <c r="A461" s="344"/>
      <c r="B461" s="344"/>
      <c r="C461" s="344"/>
      <c r="D461" s="344"/>
      <c r="E461" s="345"/>
      <c r="F461" s="346"/>
      <c r="G461" s="344"/>
      <c r="H461" s="11"/>
      <c r="I461" s="346"/>
      <c r="J461" s="410"/>
      <c r="K461" s="410"/>
      <c r="L461" s="410"/>
    </row>
    <row r="462" spans="1:12">
      <c r="A462" s="344"/>
      <c r="B462" s="344"/>
      <c r="C462" s="344"/>
      <c r="D462" s="344"/>
      <c r="E462" s="345"/>
      <c r="F462" s="346"/>
      <c r="G462" s="344"/>
      <c r="H462" s="11"/>
      <c r="I462" s="346"/>
      <c r="J462" s="410"/>
      <c r="K462" s="410"/>
      <c r="L462" s="410"/>
    </row>
    <row r="463" spans="1:12">
      <c r="A463" s="344"/>
      <c r="B463" s="344"/>
      <c r="C463" s="344"/>
      <c r="D463" s="344"/>
      <c r="E463" s="345"/>
      <c r="F463" s="346"/>
      <c r="G463" s="344"/>
      <c r="H463" s="11"/>
      <c r="I463" s="346"/>
      <c r="J463" s="410"/>
      <c r="K463" s="410"/>
      <c r="L463" s="410"/>
    </row>
    <row r="464" spans="1:12">
      <c r="A464" s="344"/>
      <c r="B464" s="344"/>
      <c r="C464" s="344"/>
      <c r="D464" s="344"/>
      <c r="E464" s="345"/>
      <c r="F464" s="346"/>
      <c r="G464" s="344"/>
      <c r="H464" s="11"/>
      <c r="I464" s="346"/>
      <c r="J464" s="410"/>
      <c r="K464" s="410"/>
      <c r="L464" s="410"/>
    </row>
    <row r="465" spans="1:12">
      <c r="A465" s="344"/>
      <c r="B465" s="344"/>
      <c r="C465" s="344"/>
      <c r="D465" s="344"/>
      <c r="E465" s="345"/>
      <c r="F465" s="346"/>
      <c r="G465" s="344"/>
      <c r="H465" s="11"/>
      <c r="I465" s="346"/>
      <c r="J465" s="410"/>
      <c r="K465" s="410"/>
      <c r="L465" s="410"/>
    </row>
    <row r="466" spans="1:12">
      <c r="A466" s="344"/>
      <c r="B466" s="344"/>
      <c r="C466" s="344"/>
      <c r="D466" s="344"/>
      <c r="E466" s="345"/>
      <c r="F466" s="346"/>
      <c r="G466" s="344"/>
      <c r="H466" s="11"/>
      <c r="I466" s="346"/>
      <c r="J466" s="410"/>
      <c r="K466" s="410"/>
      <c r="L466" s="410"/>
    </row>
    <row r="467" spans="1:12">
      <c r="A467" s="344"/>
      <c r="B467" s="344"/>
      <c r="C467" s="344"/>
      <c r="D467" s="344"/>
      <c r="E467" s="345"/>
      <c r="F467" s="346"/>
      <c r="G467" s="344"/>
      <c r="H467" s="11"/>
      <c r="I467" s="346"/>
      <c r="J467" s="410"/>
      <c r="K467" s="410"/>
      <c r="L467" s="410"/>
    </row>
    <row r="468" spans="1:12">
      <c r="A468" s="344"/>
      <c r="B468" s="344"/>
      <c r="C468" s="344"/>
      <c r="D468" s="344"/>
      <c r="E468" s="345"/>
      <c r="F468" s="346"/>
      <c r="G468" s="344"/>
      <c r="H468" s="11"/>
      <c r="I468" s="346"/>
      <c r="J468" s="410"/>
      <c r="K468" s="410"/>
      <c r="L468" s="410"/>
    </row>
    <row r="469" spans="1:12">
      <c r="A469" s="344"/>
      <c r="B469" s="344"/>
      <c r="C469" s="344"/>
      <c r="D469" s="344"/>
      <c r="E469" s="345"/>
      <c r="F469" s="346"/>
      <c r="G469" s="344"/>
      <c r="H469" s="11"/>
      <c r="I469" s="346"/>
      <c r="J469" s="410"/>
      <c r="K469" s="410"/>
      <c r="L469" s="410"/>
    </row>
    <row r="470" spans="1:12">
      <c r="A470" s="344"/>
      <c r="B470" s="344"/>
      <c r="C470" s="344"/>
      <c r="D470" s="344"/>
      <c r="E470" s="345"/>
      <c r="F470" s="346"/>
      <c r="G470" s="344"/>
      <c r="H470" s="11"/>
      <c r="I470" s="346"/>
      <c r="J470" s="410"/>
      <c r="K470" s="410"/>
      <c r="L470" s="410"/>
    </row>
    <row r="471" spans="1:12">
      <c r="A471" s="344"/>
      <c r="B471" s="344"/>
      <c r="C471" s="344"/>
      <c r="D471" s="344"/>
      <c r="E471" s="345"/>
      <c r="F471" s="346"/>
      <c r="G471" s="344"/>
      <c r="H471" s="11"/>
      <c r="I471" s="346"/>
      <c r="J471" s="410"/>
      <c r="K471" s="410"/>
      <c r="L471" s="410"/>
    </row>
    <row r="472" spans="1:12">
      <c r="A472" s="344"/>
      <c r="B472" s="344"/>
      <c r="C472" s="344"/>
      <c r="D472" s="344"/>
      <c r="E472" s="345"/>
      <c r="F472" s="346"/>
      <c r="G472" s="344"/>
      <c r="H472" s="11"/>
      <c r="I472" s="346"/>
      <c r="J472" s="410"/>
      <c r="K472" s="410"/>
      <c r="L472" s="410"/>
    </row>
    <row r="473" spans="1:12">
      <c r="A473" s="344"/>
      <c r="B473" s="344"/>
      <c r="C473" s="344"/>
      <c r="D473" s="344"/>
      <c r="E473" s="345"/>
      <c r="F473" s="346"/>
      <c r="G473" s="344"/>
      <c r="H473" s="11"/>
      <c r="I473" s="346"/>
      <c r="J473" s="410"/>
      <c r="K473" s="410"/>
      <c r="L473" s="410"/>
    </row>
    <row r="474" spans="1:12">
      <c r="A474" s="344"/>
      <c r="B474" s="344"/>
      <c r="C474" s="344"/>
      <c r="D474" s="344"/>
      <c r="E474" s="345"/>
      <c r="F474" s="346"/>
      <c r="G474" s="344"/>
      <c r="H474" s="11"/>
      <c r="I474" s="346"/>
      <c r="J474" s="410"/>
      <c r="K474" s="410"/>
      <c r="L474" s="410"/>
    </row>
    <row r="475" spans="1:12">
      <c r="A475" s="344"/>
      <c r="B475" s="344"/>
      <c r="C475" s="344"/>
      <c r="D475" s="344"/>
      <c r="E475" s="345"/>
      <c r="F475" s="346"/>
      <c r="G475" s="344"/>
      <c r="H475" s="11"/>
      <c r="I475" s="346"/>
      <c r="J475" s="410"/>
      <c r="K475" s="410"/>
      <c r="L475" s="410"/>
    </row>
    <row r="476" spans="1:12">
      <c r="A476" s="344"/>
      <c r="B476" s="344"/>
      <c r="C476" s="344"/>
      <c r="D476" s="344"/>
      <c r="E476" s="345"/>
      <c r="F476" s="346"/>
      <c r="G476" s="344"/>
      <c r="H476" s="11"/>
      <c r="I476" s="346"/>
      <c r="J476" s="410"/>
      <c r="K476" s="410"/>
      <c r="L476" s="410"/>
    </row>
    <row r="477" spans="1:12">
      <c r="A477" s="344"/>
      <c r="B477" s="344"/>
      <c r="C477" s="344"/>
      <c r="D477" s="344"/>
      <c r="E477" s="345"/>
      <c r="F477" s="346"/>
      <c r="G477" s="344"/>
      <c r="H477" s="11"/>
      <c r="I477" s="346"/>
      <c r="J477" s="410"/>
      <c r="K477" s="410"/>
      <c r="L477" s="410"/>
    </row>
    <row r="478" spans="1:12">
      <c r="A478" s="344"/>
      <c r="B478" s="344"/>
      <c r="C478" s="344"/>
      <c r="D478" s="344"/>
      <c r="E478" s="345"/>
      <c r="F478" s="346"/>
      <c r="G478" s="344"/>
      <c r="H478" s="11"/>
      <c r="I478" s="346"/>
      <c r="J478" s="410"/>
      <c r="K478" s="410"/>
      <c r="L478" s="410"/>
    </row>
    <row r="479" spans="1:12">
      <c r="A479" s="344"/>
      <c r="B479" s="344"/>
      <c r="C479" s="344"/>
      <c r="D479" s="344"/>
      <c r="E479" s="345"/>
      <c r="F479" s="346"/>
      <c r="G479" s="344"/>
      <c r="H479" s="11"/>
      <c r="I479" s="346"/>
      <c r="J479" s="410"/>
      <c r="K479" s="410"/>
      <c r="L479" s="410"/>
    </row>
    <row r="480" spans="1:12">
      <c r="A480" s="344"/>
      <c r="B480" s="344"/>
      <c r="C480" s="344"/>
      <c r="D480" s="344"/>
      <c r="E480" s="345"/>
      <c r="F480" s="346"/>
      <c r="G480" s="344"/>
      <c r="H480" s="11"/>
      <c r="I480" s="346"/>
      <c r="J480" s="410"/>
      <c r="K480" s="410"/>
      <c r="L480" s="410"/>
    </row>
    <row r="481" spans="1:12">
      <c r="A481" s="344"/>
      <c r="B481" s="344"/>
      <c r="C481" s="344"/>
      <c r="D481" s="344"/>
      <c r="E481" s="345"/>
      <c r="F481" s="346"/>
      <c r="G481" s="344"/>
      <c r="H481" s="11"/>
      <c r="I481" s="346"/>
      <c r="J481" s="410"/>
      <c r="K481" s="410"/>
      <c r="L481" s="410"/>
    </row>
    <row r="482" spans="1:12">
      <c r="A482" s="344"/>
      <c r="B482" s="344"/>
      <c r="C482" s="344"/>
      <c r="D482" s="344"/>
      <c r="E482" s="345"/>
      <c r="F482" s="346"/>
      <c r="G482" s="344"/>
      <c r="H482" s="11"/>
      <c r="I482" s="346"/>
      <c r="J482" s="410"/>
      <c r="K482" s="410"/>
      <c r="L482" s="410"/>
    </row>
    <row r="483" spans="1:12">
      <c r="A483" s="344"/>
      <c r="B483" s="344"/>
      <c r="C483" s="344"/>
      <c r="D483" s="344"/>
      <c r="E483" s="345"/>
      <c r="F483" s="346"/>
      <c r="G483" s="344"/>
      <c r="H483" s="11"/>
      <c r="I483" s="346"/>
      <c r="J483" s="410"/>
      <c r="K483" s="410"/>
      <c r="L483" s="410"/>
    </row>
    <row r="484" spans="1:12">
      <c r="A484" s="344"/>
      <c r="B484" s="344"/>
      <c r="C484" s="344"/>
      <c r="D484" s="344"/>
      <c r="E484" s="345"/>
      <c r="F484" s="346"/>
      <c r="G484" s="344"/>
      <c r="H484" s="11"/>
      <c r="I484" s="346"/>
      <c r="J484" s="410"/>
      <c r="K484" s="410"/>
      <c r="L484" s="410"/>
    </row>
    <row r="485" spans="1:12">
      <c r="A485" s="344"/>
      <c r="B485" s="344"/>
      <c r="C485" s="344"/>
      <c r="D485" s="344"/>
      <c r="E485" s="345"/>
      <c r="F485" s="346"/>
      <c r="G485" s="344"/>
      <c r="H485" s="11"/>
      <c r="I485" s="346"/>
      <c r="J485" s="410"/>
      <c r="K485" s="410"/>
      <c r="L485" s="410"/>
    </row>
    <row r="486" spans="1:12">
      <c r="A486" s="344"/>
      <c r="B486" s="344"/>
      <c r="C486" s="344"/>
      <c r="D486" s="344"/>
      <c r="E486" s="345"/>
      <c r="F486" s="346"/>
      <c r="G486" s="344"/>
      <c r="H486" s="11"/>
      <c r="I486" s="346"/>
      <c r="J486" s="410"/>
      <c r="K486" s="410"/>
      <c r="L486" s="410"/>
    </row>
    <row r="487" spans="1:12">
      <c r="A487" s="344"/>
      <c r="B487" s="344"/>
      <c r="C487" s="344"/>
      <c r="D487" s="344"/>
      <c r="E487" s="345"/>
      <c r="F487" s="346"/>
      <c r="G487" s="344"/>
      <c r="H487" s="11"/>
      <c r="I487" s="346"/>
      <c r="J487" s="410"/>
      <c r="K487" s="410"/>
      <c r="L487" s="410"/>
    </row>
    <row r="488" spans="1:12">
      <c r="A488" s="344"/>
      <c r="B488" s="344"/>
      <c r="C488" s="344"/>
      <c r="D488" s="344"/>
      <c r="E488" s="345"/>
      <c r="F488" s="346"/>
      <c r="G488" s="344"/>
      <c r="H488" s="11"/>
      <c r="I488" s="346"/>
      <c r="J488" s="410"/>
      <c r="K488" s="410"/>
      <c r="L488" s="410"/>
    </row>
    <row r="489" spans="1:12">
      <c r="A489" s="344"/>
      <c r="B489" s="344"/>
      <c r="C489" s="344"/>
      <c r="D489" s="344"/>
      <c r="E489" s="345"/>
      <c r="F489" s="346"/>
      <c r="G489" s="344"/>
      <c r="H489" s="11"/>
      <c r="I489" s="346"/>
      <c r="J489" s="410"/>
      <c r="K489" s="410"/>
      <c r="L489" s="410"/>
    </row>
    <row r="490" spans="1:12">
      <c r="A490" s="344"/>
      <c r="B490" s="344"/>
      <c r="C490" s="344"/>
      <c r="D490" s="344"/>
      <c r="E490" s="345"/>
      <c r="F490" s="346"/>
      <c r="G490" s="344"/>
      <c r="H490" s="11"/>
      <c r="I490" s="346"/>
      <c r="J490" s="410"/>
      <c r="K490" s="410"/>
      <c r="L490" s="410"/>
    </row>
    <row r="491" spans="1:12">
      <c r="A491" s="344"/>
      <c r="B491" s="344"/>
      <c r="C491" s="344"/>
      <c r="D491" s="344"/>
      <c r="E491" s="345"/>
      <c r="F491" s="346"/>
      <c r="G491" s="344"/>
      <c r="H491" s="11"/>
      <c r="I491" s="346"/>
      <c r="J491" s="410"/>
      <c r="K491" s="410"/>
      <c r="L491" s="410"/>
    </row>
    <row r="492" spans="1:12">
      <c r="A492" s="344"/>
      <c r="B492" s="344"/>
      <c r="C492" s="344"/>
      <c r="D492" s="344"/>
      <c r="E492" s="345"/>
      <c r="F492" s="346"/>
      <c r="G492" s="344"/>
      <c r="H492" s="11"/>
      <c r="I492" s="346"/>
      <c r="J492" s="410"/>
      <c r="K492" s="410"/>
      <c r="L492" s="410"/>
    </row>
    <row r="493" spans="1:12">
      <c r="A493" s="344"/>
      <c r="B493" s="344"/>
      <c r="C493" s="344"/>
      <c r="D493" s="344"/>
      <c r="E493" s="345"/>
      <c r="F493" s="346"/>
      <c r="G493" s="344"/>
      <c r="H493" s="11"/>
      <c r="I493" s="346"/>
      <c r="J493" s="410"/>
      <c r="K493" s="410"/>
      <c r="L493" s="410"/>
    </row>
    <row r="494" spans="1:12">
      <c r="A494" s="344"/>
      <c r="B494" s="344"/>
      <c r="C494" s="344"/>
      <c r="D494" s="344"/>
      <c r="E494" s="345"/>
      <c r="F494" s="346"/>
      <c r="G494" s="344"/>
      <c r="H494" s="11"/>
      <c r="I494" s="346"/>
      <c r="J494" s="410"/>
      <c r="K494" s="410"/>
      <c r="L494" s="410"/>
    </row>
    <row r="495" spans="1:12">
      <c r="A495" s="344"/>
      <c r="B495" s="344"/>
      <c r="C495" s="344"/>
      <c r="D495" s="344"/>
      <c r="E495" s="345"/>
      <c r="F495" s="346"/>
      <c r="G495" s="344"/>
      <c r="H495" s="11"/>
      <c r="I495" s="346"/>
      <c r="J495" s="410"/>
      <c r="K495" s="410"/>
      <c r="L495" s="410"/>
    </row>
    <row r="496" spans="1:12">
      <c r="A496" s="344"/>
      <c r="B496" s="344"/>
      <c r="C496" s="344"/>
      <c r="D496" s="344"/>
      <c r="E496" s="345"/>
      <c r="F496" s="346"/>
      <c r="G496" s="344"/>
      <c r="H496" s="11"/>
      <c r="I496" s="346"/>
      <c r="J496" s="410"/>
      <c r="K496" s="410"/>
      <c r="L496" s="410"/>
    </row>
    <row r="497" spans="1:12">
      <c r="A497" s="344"/>
      <c r="B497" s="344"/>
      <c r="C497" s="344"/>
      <c r="D497" s="344"/>
      <c r="E497" s="345"/>
      <c r="F497" s="346"/>
      <c r="G497" s="344"/>
      <c r="H497" s="11"/>
      <c r="I497" s="346"/>
      <c r="J497" s="410"/>
      <c r="K497" s="410"/>
      <c r="L497" s="410"/>
    </row>
    <row r="498" spans="1:12">
      <c r="A498" s="344"/>
      <c r="B498" s="344"/>
      <c r="C498" s="344"/>
      <c r="D498" s="344"/>
      <c r="E498" s="345"/>
      <c r="F498" s="346"/>
      <c r="G498" s="344"/>
      <c r="H498" s="11"/>
      <c r="I498" s="346"/>
      <c r="J498" s="410"/>
      <c r="K498" s="410"/>
      <c r="L498" s="410"/>
    </row>
    <row r="499" spans="1:12">
      <c r="A499" s="344"/>
      <c r="B499" s="344"/>
      <c r="C499" s="344"/>
      <c r="D499" s="344"/>
      <c r="E499" s="345"/>
      <c r="F499" s="346"/>
      <c r="G499" s="344"/>
      <c r="H499" s="11"/>
      <c r="I499" s="346"/>
      <c r="J499" s="410"/>
      <c r="K499" s="410"/>
      <c r="L499" s="410"/>
    </row>
    <row r="500" spans="1:12">
      <c r="A500" s="344"/>
      <c r="B500" s="344"/>
      <c r="C500" s="344"/>
      <c r="D500" s="344"/>
      <c r="E500" s="345"/>
      <c r="F500" s="346"/>
      <c r="G500" s="344"/>
      <c r="H500" s="11"/>
      <c r="I500" s="346"/>
      <c r="J500" s="410"/>
      <c r="K500" s="410"/>
      <c r="L500" s="410"/>
    </row>
    <row r="501" spans="1:12">
      <c r="A501" s="344"/>
      <c r="B501" s="344"/>
      <c r="C501" s="344"/>
      <c r="D501" s="344"/>
      <c r="E501" s="345"/>
      <c r="F501" s="346"/>
      <c r="G501" s="344"/>
      <c r="H501" s="11"/>
      <c r="I501" s="346"/>
      <c r="J501" s="410"/>
      <c r="K501" s="410"/>
      <c r="L501" s="410"/>
    </row>
    <row r="502" spans="1:12">
      <c r="A502" s="344"/>
      <c r="B502" s="344"/>
      <c r="C502" s="344"/>
      <c r="D502" s="344"/>
      <c r="E502" s="345"/>
      <c r="F502" s="346"/>
      <c r="G502" s="344"/>
      <c r="H502" s="11"/>
      <c r="I502" s="346"/>
      <c r="J502" s="410"/>
      <c r="K502" s="410"/>
      <c r="L502" s="410"/>
    </row>
    <row r="503" spans="1:12">
      <c r="A503" s="344"/>
      <c r="B503" s="344"/>
      <c r="C503" s="344"/>
      <c r="D503" s="344"/>
      <c r="E503" s="345"/>
      <c r="F503" s="346"/>
      <c r="G503" s="344"/>
      <c r="H503" s="11"/>
      <c r="I503" s="346"/>
      <c r="J503" s="410"/>
      <c r="K503" s="410"/>
      <c r="L503" s="410"/>
    </row>
    <row r="504" spans="1:12">
      <c r="A504" s="344"/>
      <c r="B504" s="344"/>
      <c r="C504" s="344"/>
      <c r="D504" s="344"/>
      <c r="E504" s="345"/>
      <c r="F504" s="346"/>
      <c r="G504" s="344"/>
      <c r="H504" s="11"/>
      <c r="I504" s="346"/>
      <c r="J504" s="410"/>
      <c r="K504" s="410"/>
      <c r="L504" s="410"/>
    </row>
    <row r="505" spans="1:12">
      <c r="A505" s="344"/>
      <c r="B505" s="344"/>
      <c r="C505" s="344"/>
      <c r="D505" s="344"/>
      <c r="E505" s="345"/>
      <c r="F505" s="346"/>
      <c r="G505" s="344"/>
      <c r="H505" s="11"/>
      <c r="I505" s="346"/>
      <c r="J505" s="410"/>
      <c r="K505" s="410"/>
      <c r="L505" s="410"/>
    </row>
    <row r="506" spans="1:12">
      <c r="A506" s="344"/>
      <c r="B506" s="344"/>
      <c r="C506" s="344"/>
      <c r="D506" s="344"/>
      <c r="E506" s="345"/>
      <c r="F506" s="346"/>
      <c r="G506" s="344"/>
      <c r="H506" s="11"/>
      <c r="I506" s="346"/>
      <c r="J506" s="410"/>
      <c r="K506" s="410"/>
      <c r="L506" s="410"/>
    </row>
    <row r="507" spans="1:12">
      <c r="A507" s="344"/>
      <c r="B507" s="344"/>
      <c r="C507" s="344"/>
      <c r="D507" s="344"/>
      <c r="E507" s="345"/>
      <c r="F507" s="346"/>
      <c r="G507" s="344"/>
      <c r="H507" s="11"/>
      <c r="I507" s="346"/>
      <c r="J507" s="410"/>
      <c r="K507" s="410"/>
      <c r="L507" s="410"/>
    </row>
    <row r="508" spans="1:12">
      <c r="A508" s="344"/>
      <c r="B508" s="344"/>
      <c r="C508" s="344"/>
      <c r="D508" s="344"/>
      <c r="E508" s="345"/>
      <c r="F508" s="346"/>
      <c r="G508" s="344"/>
      <c r="H508" s="11"/>
      <c r="I508" s="346"/>
      <c r="J508" s="410"/>
      <c r="K508" s="410"/>
      <c r="L508" s="410"/>
    </row>
    <row r="509" spans="1:12">
      <c r="A509" s="344"/>
      <c r="B509" s="344"/>
      <c r="C509" s="344"/>
      <c r="D509" s="344"/>
      <c r="E509" s="345"/>
      <c r="F509" s="346"/>
      <c r="G509" s="344"/>
      <c r="H509" s="11"/>
      <c r="I509" s="346"/>
      <c r="J509" s="410"/>
      <c r="K509" s="410"/>
      <c r="L509" s="410"/>
    </row>
    <row r="510" spans="1:12">
      <c r="A510" s="344"/>
      <c r="B510" s="344"/>
      <c r="C510" s="344"/>
      <c r="D510" s="344"/>
      <c r="E510" s="345"/>
      <c r="F510" s="346"/>
      <c r="G510" s="344"/>
      <c r="H510" s="11"/>
      <c r="I510" s="346"/>
      <c r="J510" s="410"/>
      <c r="K510" s="410"/>
      <c r="L510" s="410"/>
    </row>
    <row r="511" spans="1:12">
      <c r="A511" s="344"/>
      <c r="B511" s="344"/>
      <c r="C511" s="344"/>
      <c r="D511" s="344"/>
      <c r="E511" s="345"/>
      <c r="F511" s="346"/>
      <c r="G511" s="344"/>
      <c r="H511" s="11"/>
      <c r="I511" s="346"/>
      <c r="J511" s="410"/>
      <c r="K511" s="410"/>
      <c r="L511" s="410"/>
    </row>
    <row r="512" spans="1:12">
      <c r="A512" s="344"/>
      <c r="B512" s="344"/>
      <c r="C512" s="344"/>
      <c r="D512" s="344"/>
      <c r="E512" s="345"/>
      <c r="F512" s="346"/>
      <c r="G512" s="344"/>
      <c r="H512" s="11"/>
      <c r="I512" s="346"/>
      <c r="J512" s="410"/>
      <c r="K512" s="410"/>
      <c r="L512" s="410"/>
    </row>
    <row r="513" spans="1:12">
      <c r="A513" s="344"/>
      <c r="B513" s="344"/>
      <c r="C513" s="344"/>
      <c r="D513" s="344"/>
      <c r="E513" s="345"/>
      <c r="F513" s="346"/>
      <c r="G513" s="344"/>
      <c r="H513" s="11"/>
      <c r="I513" s="346"/>
      <c r="J513" s="410"/>
      <c r="K513" s="410"/>
      <c r="L513" s="410"/>
    </row>
    <row r="514" spans="1:12">
      <c r="A514" s="344"/>
      <c r="B514" s="344"/>
      <c r="C514" s="344"/>
      <c r="D514" s="344"/>
      <c r="E514" s="345"/>
      <c r="F514" s="346"/>
      <c r="G514" s="344"/>
      <c r="H514" s="11"/>
      <c r="I514" s="346"/>
      <c r="J514" s="410"/>
      <c r="K514" s="410"/>
      <c r="L514" s="410"/>
    </row>
    <row r="515" spans="1:12">
      <c r="A515" s="344"/>
      <c r="B515" s="344"/>
      <c r="C515" s="344"/>
      <c r="D515" s="344"/>
      <c r="E515" s="345"/>
      <c r="F515" s="346"/>
      <c r="G515" s="344"/>
      <c r="H515" s="11"/>
      <c r="I515" s="346"/>
      <c r="J515" s="410"/>
      <c r="K515" s="410"/>
      <c r="L515" s="410"/>
    </row>
    <row r="516" spans="1:12">
      <c r="A516" s="344"/>
      <c r="B516" s="344"/>
      <c r="C516" s="344"/>
      <c r="D516" s="344"/>
      <c r="E516" s="345"/>
      <c r="F516" s="346"/>
      <c r="G516" s="344"/>
      <c r="H516" s="11"/>
      <c r="I516" s="346"/>
      <c r="J516" s="410"/>
      <c r="K516" s="410"/>
      <c r="L516" s="410"/>
    </row>
    <row r="517" spans="1:12">
      <c r="A517" s="344"/>
      <c r="B517" s="344"/>
      <c r="C517" s="344"/>
      <c r="D517" s="344"/>
      <c r="E517" s="345"/>
      <c r="F517" s="346"/>
      <c r="G517" s="344"/>
      <c r="H517" s="11"/>
      <c r="I517" s="346"/>
      <c r="J517" s="410"/>
      <c r="K517" s="410"/>
      <c r="L517" s="410"/>
    </row>
    <row r="518" spans="1:12">
      <c r="A518" s="344"/>
      <c r="B518" s="344"/>
      <c r="C518" s="344"/>
      <c r="D518" s="344"/>
      <c r="E518" s="345"/>
      <c r="F518" s="346"/>
      <c r="G518" s="344"/>
      <c r="H518" s="11"/>
      <c r="I518" s="346"/>
      <c r="J518" s="410"/>
      <c r="K518" s="410"/>
      <c r="L518" s="410"/>
    </row>
    <row r="519" spans="1:12">
      <c r="A519" s="344"/>
      <c r="B519" s="344"/>
      <c r="C519" s="344"/>
      <c r="D519" s="344"/>
      <c r="E519" s="345"/>
      <c r="F519" s="346"/>
      <c r="G519" s="344"/>
      <c r="H519" s="11"/>
      <c r="I519" s="346"/>
      <c r="J519" s="410"/>
      <c r="K519" s="410"/>
      <c r="L519" s="410"/>
    </row>
    <row r="520" spans="1:12">
      <c r="A520" s="344"/>
      <c r="B520" s="344"/>
      <c r="C520" s="344"/>
      <c r="D520" s="344"/>
      <c r="E520" s="345"/>
      <c r="F520" s="346"/>
      <c r="G520" s="344"/>
      <c r="H520" s="11"/>
      <c r="I520" s="346"/>
      <c r="J520" s="410"/>
      <c r="K520" s="410"/>
      <c r="L520" s="410"/>
    </row>
    <row r="521" spans="1:12">
      <c r="A521" s="344"/>
      <c r="B521" s="344"/>
      <c r="C521" s="344"/>
      <c r="D521" s="344"/>
      <c r="E521" s="345"/>
      <c r="F521" s="346"/>
      <c r="G521" s="344"/>
      <c r="H521" s="11"/>
      <c r="I521" s="346"/>
      <c r="J521" s="410"/>
      <c r="K521" s="410"/>
      <c r="L521" s="410"/>
    </row>
    <row r="522" spans="1:12">
      <c r="A522" s="344"/>
      <c r="B522" s="344"/>
      <c r="C522" s="344"/>
      <c r="D522" s="344"/>
      <c r="E522" s="345"/>
      <c r="F522" s="346"/>
      <c r="G522" s="344"/>
      <c r="H522" s="11"/>
      <c r="I522" s="346"/>
      <c r="J522" s="410"/>
      <c r="K522" s="410"/>
      <c r="L522" s="410"/>
    </row>
    <row r="523" spans="1:12">
      <c r="A523" s="344"/>
      <c r="B523" s="344"/>
      <c r="C523" s="344"/>
      <c r="D523" s="344"/>
      <c r="E523" s="345"/>
      <c r="F523" s="346"/>
      <c r="G523" s="344"/>
      <c r="H523" s="11"/>
      <c r="I523" s="346"/>
      <c r="J523" s="410"/>
      <c r="K523" s="410"/>
      <c r="L523" s="410"/>
    </row>
    <row r="524" spans="1:12">
      <c r="A524" s="344"/>
      <c r="B524" s="344"/>
      <c r="C524" s="344"/>
      <c r="D524" s="344"/>
      <c r="E524" s="345"/>
      <c r="F524" s="346"/>
      <c r="G524" s="344"/>
      <c r="H524" s="11"/>
      <c r="I524" s="346"/>
      <c r="J524" s="410"/>
      <c r="K524" s="410"/>
      <c r="L524" s="410"/>
    </row>
    <row r="525" spans="1:12">
      <c r="A525" s="344"/>
      <c r="B525" s="344"/>
      <c r="C525" s="344"/>
      <c r="D525" s="344"/>
      <c r="E525" s="345"/>
      <c r="F525" s="346"/>
      <c r="G525" s="344"/>
      <c r="H525" s="11"/>
      <c r="I525" s="346"/>
      <c r="J525" s="410"/>
      <c r="K525" s="410"/>
      <c r="L525" s="410"/>
    </row>
    <row r="526" spans="1:12">
      <c r="A526" s="344"/>
      <c r="B526" s="344"/>
      <c r="C526" s="344"/>
      <c r="D526" s="344"/>
      <c r="E526" s="345"/>
      <c r="F526" s="346"/>
      <c r="G526" s="344"/>
      <c r="H526" s="11"/>
      <c r="I526" s="346"/>
      <c r="J526" s="410"/>
      <c r="K526" s="410"/>
      <c r="L526" s="410"/>
    </row>
    <row r="527" spans="1:12">
      <c r="A527" s="344"/>
      <c r="B527" s="344"/>
      <c r="C527" s="344"/>
      <c r="D527" s="344"/>
      <c r="E527" s="345"/>
      <c r="F527" s="346"/>
      <c r="G527" s="344"/>
      <c r="H527" s="11"/>
      <c r="I527" s="346"/>
      <c r="J527" s="410"/>
      <c r="K527" s="410"/>
      <c r="L527" s="410"/>
    </row>
    <row r="528" spans="1:12">
      <c r="A528" s="344"/>
      <c r="B528" s="344"/>
      <c r="C528" s="344"/>
      <c r="D528" s="344"/>
      <c r="E528" s="345"/>
      <c r="F528" s="346"/>
      <c r="G528" s="344"/>
      <c r="H528" s="11"/>
      <c r="I528" s="346"/>
      <c r="J528" s="410"/>
      <c r="K528" s="410"/>
      <c r="L528" s="410"/>
    </row>
    <row r="529" spans="1:12">
      <c r="A529" s="344"/>
      <c r="B529" s="344"/>
      <c r="C529" s="344"/>
      <c r="D529" s="344"/>
      <c r="E529" s="345"/>
      <c r="F529" s="346"/>
      <c r="G529" s="344"/>
      <c r="H529" s="11"/>
      <c r="I529" s="346"/>
      <c r="J529" s="410"/>
      <c r="K529" s="410"/>
      <c r="L529" s="410"/>
    </row>
    <row r="530" spans="1:12">
      <c r="A530" s="344"/>
      <c r="B530" s="344"/>
      <c r="C530" s="344"/>
      <c r="D530" s="344"/>
      <c r="E530" s="345"/>
      <c r="F530" s="346"/>
      <c r="G530" s="344"/>
      <c r="H530" s="11"/>
      <c r="I530" s="346"/>
      <c r="J530" s="410"/>
      <c r="K530" s="410"/>
      <c r="L530" s="410"/>
    </row>
    <row r="531" spans="1:12">
      <c r="A531" s="344"/>
      <c r="B531" s="344"/>
      <c r="C531" s="344"/>
      <c r="D531" s="344"/>
      <c r="E531" s="345"/>
      <c r="F531" s="346"/>
      <c r="G531" s="344"/>
      <c r="H531" s="11"/>
      <c r="I531" s="346"/>
      <c r="J531" s="410"/>
      <c r="K531" s="410"/>
      <c r="L531" s="410"/>
    </row>
    <row r="532" spans="1:12">
      <c r="A532" s="344"/>
      <c r="B532" s="344"/>
      <c r="C532" s="344"/>
      <c r="D532" s="344"/>
      <c r="E532" s="345"/>
      <c r="F532" s="346"/>
      <c r="G532" s="344"/>
      <c r="H532" s="11"/>
      <c r="I532" s="346"/>
      <c r="J532" s="410"/>
      <c r="K532" s="410"/>
      <c r="L532" s="410"/>
    </row>
    <row r="533" spans="1:12">
      <c r="A533" s="344"/>
      <c r="B533" s="344"/>
      <c r="C533" s="344"/>
      <c r="D533" s="344"/>
      <c r="E533" s="345"/>
      <c r="F533" s="346"/>
      <c r="G533" s="344"/>
      <c r="H533" s="11"/>
      <c r="I533" s="346"/>
      <c r="J533" s="410"/>
      <c r="K533" s="410"/>
      <c r="L533" s="410"/>
    </row>
    <row r="534" spans="1:12">
      <c r="A534" s="344"/>
      <c r="B534" s="344"/>
      <c r="C534" s="344"/>
      <c r="D534" s="344"/>
      <c r="E534" s="345"/>
      <c r="F534" s="346"/>
      <c r="G534" s="344"/>
      <c r="H534" s="11"/>
      <c r="I534" s="346"/>
      <c r="J534" s="410"/>
      <c r="K534" s="410"/>
      <c r="L534" s="410"/>
    </row>
    <row r="535" spans="1:12">
      <c r="A535" s="344"/>
      <c r="B535" s="344"/>
      <c r="C535" s="344"/>
      <c r="D535" s="344"/>
      <c r="E535" s="345"/>
      <c r="F535" s="346"/>
      <c r="G535" s="344"/>
      <c r="H535" s="11"/>
      <c r="I535" s="346"/>
      <c r="J535" s="410"/>
      <c r="K535" s="410"/>
      <c r="L535" s="410"/>
    </row>
    <row r="536" spans="1:12">
      <c r="A536" s="344"/>
      <c r="B536" s="344"/>
      <c r="C536" s="344"/>
      <c r="D536" s="344"/>
      <c r="E536" s="345"/>
      <c r="F536" s="346"/>
      <c r="G536" s="344"/>
      <c r="H536" s="11"/>
      <c r="I536" s="346"/>
      <c r="J536" s="410"/>
      <c r="K536" s="410"/>
      <c r="L536" s="410"/>
    </row>
    <row r="537" spans="1:12">
      <c r="A537" s="344"/>
      <c r="B537" s="344"/>
      <c r="C537" s="344"/>
      <c r="D537" s="344"/>
      <c r="E537" s="345"/>
      <c r="F537" s="346"/>
      <c r="G537" s="344"/>
      <c r="H537" s="11"/>
      <c r="I537" s="346"/>
      <c r="J537" s="410"/>
      <c r="K537" s="410"/>
      <c r="L537" s="410"/>
    </row>
    <row r="538" spans="1:12">
      <c r="A538" s="344"/>
      <c r="B538" s="344"/>
      <c r="C538" s="344"/>
      <c r="D538" s="344"/>
      <c r="E538" s="345"/>
      <c r="F538" s="346"/>
      <c r="G538" s="344"/>
      <c r="H538" s="11"/>
      <c r="I538" s="346"/>
      <c r="J538" s="410"/>
      <c r="K538" s="410"/>
      <c r="L538" s="410"/>
    </row>
    <row r="539" spans="1:12">
      <c r="A539" s="344"/>
      <c r="B539" s="344"/>
      <c r="C539" s="344"/>
      <c r="D539" s="344"/>
      <c r="E539" s="345"/>
      <c r="F539" s="346"/>
      <c r="G539" s="344"/>
      <c r="H539" s="11"/>
      <c r="I539" s="346"/>
      <c r="J539" s="410"/>
      <c r="K539" s="410"/>
      <c r="L539" s="410"/>
    </row>
    <row r="540" spans="1:12">
      <c r="A540" s="344"/>
      <c r="B540" s="344"/>
      <c r="C540" s="344"/>
      <c r="D540" s="344"/>
      <c r="E540" s="345"/>
      <c r="F540" s="346"/>
      <c r="G540" s="344"/>
      <c r="H540" s="11"/>
      <c r="I540" s="346"/>
      <c r="J540" s="410"/>
      <c r="K540" s="410"/>
      <c r="L540" s="410"/>
    </row>
    <row r="541" spans="1:12">
      <c r="A541" s="344"/>
      <c r="B541" s="344"/>
      <c r="C541" s="344"/>
      <c r="D541" s="344"/>
      <c r="E541" s="345"/>
      <c r="F541" s="346"/>
      <c r="G541" s="344"/>
      <c r="H541" s="11"/>
      <c r="I541" s="346"/>
      <c r="J541" s="410"/>
      <c r="K541" s="410"/>
      <c r="L541" s="410"/>
    </row>
    <row r="542" spans="1:12">
      <c r="A542" s="344"/>
      <c r="B542" s="344"/>
      <c r="C542" s="344"/>
      <c r="D542" s="344"/>
      <c r="E542" s="345"/>
      <c r="F542" s="346"/>
      <c r="G542" s="344"/>
      <c r="H542" s="11"/>
      <c r="I542" s="346"/>
      <c r="J542" s="410"/>
      <c r="K542" s="410"/>
      <c r="L542" s="410"/>
    </row>
    <row r="543" spans="1:12">
      <c r="A543" s="344"/>
      <c r="B543" s="344"/>
      <c r="C543" s="344"/>
      <c r="D543" s="344"/>
      <c r="E543" s="345"/>
      <c r="F543" s="346"/>
      <c r="G543" s="344"/>
      <c r="H543" s="11"/>
      <c r="I543" s="346"/>
      <c r="J543" s="410"/>
      <c r="K543" s="410"/>
      <c r="L543" s="410"/>
    </row>
    <row r="544" spans="1:12">
      <c r="A544" s="344"/>
      <c r="B544" s="344"/>
      <c r="C544" s="344"/>
      <c r="D544" s="344"/>
      <c r="E544" s="345"/>
      <c r="F544" s="346"/>
      <c r="G544" s="344"/>
      <c r="H544" s="11"/>
      <c r="I544" s="346"/>
      <c r="J544" s="410"/>
      <c r="K544" s="410"/>
      <c r="L544" s="410"/>
    </row>
    <row r="545" spans="1:12">
      <c r="A545" s="344"/>
      <c r="B545" s="344"/>
      <c r="C545" s="344"/>
      <c r="D545" s="344"/>
      <c r="E545" s="345"/>
      <c r="F545" s="346"/>
      <c r="G545" s="344"/>
      <c r="H545" s="11"/>
      <c r="I545" s="346"/>
      <c r="J545" s="410"/>
      <c r="K545" s="410"/>
      <c r="L545" s="410"/>
    </row>
    <row r="546" spans="1:12">
      <c r="A546" s="344"/>
      <c r="B546" s="344"/>
      <c r="C546" s="344"/>
      <c r="D546" s="344"/>
      <c r="E546" s="345"/>
      <c r="F546" s="346"/>
      <c r="G546" s="344"/>
      <c r="H546" s="11"/>
      <c r="I546" s="346"/>
      <c r="J546" s="410"/>
      <c r="K546" s="410"/>
      <c r="L546" s="410"/>
    </row>
    <row r="547" spans="1:12">
      <c r="A547" s="344"/>
      <c r="B547" s="344"/>
      <c r="C547" s="344"/>
      <c r="D547" s="344"/>
      <c r="E547" s="345"/>
      <c r="F547" s="346"/>
      <c r="G547" s="344"/>
      <c r="H547" s="11"/>
      <c r="I547" s="346"/>
      <c r="J547" s="410"/>
      <c r="K547" s="410"/>
      <c r="L547" s="410"/>
    </row>
    <row r="548" spans="1:12">
      <c r="A548" s="344"/>
      <c r="B548" s="344"/>
      <c r="C548" s="344"/>
      <c r="D548" s="344"/>
      <c r="E548" s="345"/>
      <c r="F548" s="346"/>
      <c r="G548" s="344"/>
      <c r="H548" s="11"/>
      <c r="I548" s="346"/>
      <c r="J548" s="410"/>
      <c r="K548" s="410"/>
      <c r="L548" s="410"/>
    </row>
    <row r="549" spans="1:12">
      <c r="A549" s="344"/>
      <c r="B549" s="344"/>
      <c r="C549" s="344"/>
      <c r="D549" s="344"/>
      <c r="E549" s="345"/>
      <c r="F549" s="346"/>
      <c r="G549" s="344"/>
      <c r="H549" s="11"/>
      <c r="I549" s="346"/>
      <c r="J549" s="410"/>
      <c r="K549" s="410"/>
      <c r="L549" s="410"/>
    </row>
    <row r="550" spans="1:12">
      <c r="A550" s="344"/>
      <c r="B550" s="344"/>
      <c r="C550" s="344"/>
      <c r="D550" s="344"/>
      <c r="E550" s="345"/>
      <c r="F550" s="346"/>
      <c r="G550" s="344"/>
      <c r="H550" s="11"/>
      <c r="I550" s="346"/>
      <c r="J550" s="410"/>
      <c r="K550" s="410"/>
      <c r="L550" s="410"/>
    </row>
    <row r="551" spans="1:12">
      <c r="A551" s="344"/>
      <c r="B551" s="344"/>
      <c r="C551" s="344"/>
      <c r="D551" s="344"/>
      <c r="E551" s="345"/>
      <c r="F551" s="346"/>
      <c r="G551" s="344"/>
      <c r="H551" s="11"/>
      <c r="I551" s="346"/>
      <c r="J551" s="410"/>
      <c r="K551" s="410"/>
      <c r="L551" s="410"/>
    </row>
    <row r="552" spans="1:12">
      <c r="A552" s="344"/>
      <c r="B552" s="344"/>
      <c r="C552" s="344"/>
      <c r="D552" s="344"/>
      <c r="E552" s="345"/>
      <c r="F552" s="346"/>
      <c r="G552" s="344"/>
      <c r="H552" s="11"/>
      <c r="I552" s="346"/>
      <c r="J552" s="410"/>
      <c r="K552" s="410"/>
      <c r="L552" s="410"/>
    </row>
    <row r="553" spans="1:12">
      <c r="A553" s="344"/>
      <c r="B553" s="344"/>
      <c r="C553" s="344"/>
      <c r="D553" s="344"/>
      <c r="E553" s="345"/>
      <c r="F553" s="346"/>
      <c r="G553" s="344"/>
      <c r="H553" s="11"/>
      <c r="I553" s="346"/>
      <c r="J553" s="410"/>
      <c r="K553" s="410"/>
      <c r="L553" s="410"/>
    </row>
    <row r="554" spans="1:12">
      <c r="A554" s="344"/>
      <c r="B554" s="344"/>
      <c r="C554" s="344"/>
      <c r="D554" s="344"/>
      <c r="E554" s="345"/>
      <c r="F554" s="346"/>
      <c r="G554" s="344"/>
      <c r="H554" s="11"/>
      <c r="I554" s="346"/>
      <c r="J554" s="410"/>
      <c r="K554" s="410"/>
      <c r="L554" s="410"/>
    </row>
    <row r="555" spans="1:12">
      <c r="A555" s="344"/>
      <c r="B555" s="344"/>
      <c r="C555" s="344"/>
      <c r="D555" s="344"/>
      <c r="E555" s="345"/>
      <c r="F555" s="346"/>
      <c r="G555" s="344"/>
      <c r="H555" s="11"/>
      <c r="I555" s="346"/>
      <c r="J555" s="410"/>
      <c r="K555" s="410"/>
      <c r="L555" s="410"/>
    </row>
    <row r="556" spans="1:12">
      <c r="A556" s="344"/>
      <c r="B556" s="344"/>
      <c r="C556" s="344"/>
      <c r="D556" s="344"/>
      <c r="E556" s="345"/>
      <c r="F556" s="346"/>
      <c r="G556" s="344"/>
      <c r="H556" s="11"/>
      <c r="I556" s="346"/>
      <c r="J556" s="410"/>
      <c r="K556" s="410"/>
      <c r="L556" s="410"/>
    </row>
    <row r="557" spans="1:12">
      <c r="A557" s="344"/>
      <c r="B557" s="344"/>
      <c r="C557" s="344"/>
      <c r="D557" s="344"/>
      <c r="E557" s="345"/>
      <c r="F557" s="346"/>
      <c r="G557" s="344"/>
      <c r="H557" s="11"/>
      <c r="I557" s="346"/>
      <c r="J557" s="410"/>
      <c r="K557" s="410"/>
      <c r="L557" s="410"/>
    </row>
    <row r="558" spans="1:12">
      <c r="A558" s="344"/>
      <c r="B558" s="344"/>
      <c r="C558" s="344"/>
      <c r="D558" s="344"/>
      <c r="E558" s="345"/>
      <c r="F558" s="346"/>
      <c r="G558" s="344"/>
      <c r="H558" s="11"/>
      <c r="I558" s="346"/>
      <c r="J558" s="410"/>
      <c r="K558" s="410"/>
      <c r="L558" s="410"/>
    </row>
    <row r="559" spans="1:12">
      <c r="A559" s="344"/>
      <c r="B559" s="344"/>
      <c r="C559" s="344"/>
      <c r="D559" s="344"/>
      <c r="E559" s="345"/>
      <c r="F559" s="346"/>
      <c r="G559" s="344"/>
      <c r="H559" s="11"/>
      <c r="I559" s="346"/>
      <c r="J559" s="410"/>
      <c r="K559" s="410"/>
      <c r="L559" s="410"/>
    </row>
    <row r="560" spans="1:12">
      <c r="A560" s="344"/>
      <c r="B560" s="344"/>
      <c r="C560" s="344"/>
      <c r="D560" s="344"/>
      <c r="E560" s="345"/>
      <c r="F560" s="346"/>
      <c r="G560" s="344"/>
      <c r="H560" s="11"/>
      <c r="I560" s="346"/>
      <c r="J560" s="410"/>
      <c r="K560" s="410"/>
      <c r="L560" s="410"/>
    </row>
    <row r="561" spans="1:12">
      <c r="A561" s="344"/>
      <c r="B561" s="344"/>
      <c r="C561" s="344"/>
      <c r="D561" s="344"/>
      <c r="E561" s="345"/>
      <c r="F561" s="346"/>
      <c r="G561" s="344"/>
      <c r="H561" s="11"/>
      <c r="I561" s="346"/>
      <c r="J561" s="410"/>
      <c r="K561" s="410"/>
      <c r="L561" s="410"/>
    </row>
    <row r="562" spans="1:12">
      <c r="A562" s="344"/>
      <c r="B562" s="344"/>
      <c r="C562" s="344"/>
      <c r="D562" s="344"/>
      <c r="E562" s="345"/>
      <c r="F562" s="346"/>
      <c r="G562" s="344"/>
      <c r="H562" s="11"/>
      <c r="I562" s="346"/>
      <c r="J562" s="410"/>
      <c r="K562" s="410"/>
      <c r="L562" s="410"/>
    </row>
    <row r="563" spans="1:12">
      <c r="A563" s="344"/>
      <c r="B563" s="344"/>
      <c r="C563" s="344"/>
      <c r="D563" s="344"/>
      <c r="E563" s="345"/>
      <c r="F563" s="346"/>
      <c r="G563" s="344"/>
      <c r="H563" s="11"/>
      <c r="I563" s="346"/>
      <c r="J563" s="410"/>
      <c r="K563" s="410"/>
      <c r="L563" s="410"/>
    </row>
    <row r="564" spans="1:12">
      <c r="A564" s="344"/>
      <c r="B564" s="344"/>
      <c r="C564" s="344"/>
      <c r="D564" s="344"/>
      <c r="E564" s="345"/>
      <c r="F564" s="346"/>
      <c r="G564" s="344"/>
      <c r="H564" s="11"/>
      <c r="I564" s="346"/>
      <c r="J564" s="410"/>
      <c r="K564" s="410"/>
      <c r="L564" s="410"/>
    </row>
    <row r="565" spans="1:12">
      <c r="A565" s="344"/>
      <c r="B565" s="344"/>
      <c r="C565" s="344"/>
      <c r="D565" s="344"/>
      <c r="E565" s="345"/>
      <c r="F565" s="346"/>
      <c r="G565" s="344"/>
      <c r="H565" s="11"/>
      <c r="I565" s="346"/>
      <c r="J565" s="410"/>
      <c r="K565" s="410"/>
      <c r="L565" s="410"/>
    </row>
    <row r="566" spans="1:12">
      <c r="A566" s="344"/>
      <c r="B566" s="344"/>
      <c r="C566" s="344"/>
      <c r="D566" s="344"/>
      <c r="E566" s="345"/>
      <c r="F566" s="346"/>
      <c r="G566" s="344"/>
      <c r="H566" s="11"/>
      <c r="I566" s="346"/>
      <c r="J566" s="410"/>
      <c r="K566" s="410"/>
      <c r="L566" s="410"/>
    </row>
    <row r="567" spans="1:12">
      <c r="A567" s="344"/>
      <c r="B567" s="344"/>
      <c r="C567" s="344"/>
      <c r="D567" s="344"/>
      <c r="E567" s="345"/>
      <c r="F567" s="346"/>
      <c r="G567" s="344"/>
      <c r="H567" s="11"/>
      <c r="I567" s="346"/>
      <c r="J567" s="410"/>
      <c r="K567" s="410"/>
      <c r="L567" s="410"/>
    </row>
    <row r="568" spans="1:12">
      <c r="A568" s="344"/>
      <c r="B568" s="344"/>
      <c r="C568" s="344"/>
      <c r="D568" s="344"/>
      <c r="E568" s="345"/>
      <c r="F568" s="346"/>
      <c r="G568" s="344"/>
      <c r="H568" s="11"/>
      <c r="I568" s="346"/>
      <c r="J568" s="410"/>
      <c r="K568" s="410"/>
      <c r="L568" s="410"/>
    </row>
    <row r="569" spans="1:12">
      <c r="A569" s="344"/>
      <c r="B569" s="344"/>
      <c r="C569" s="344"/>
      <c r="D569" s="344"/>
      <c r="E569" s="345"/>
      <c r="F569" s="346"/>
      <c r="G569" s="344"/>
      <c r="H569" s="11"/>
      <c r="I569" s="346"/>
      <c r="J569" s="410"/>
      <c r="K569" s="410"/>
      <c r="L569" s="410"/>
    </row>
    <row r="570" spans="1:12">
      <c r="A570" s="344"/>
      <c r="B570" s="344"/>
      <c r="C570" s="344"/>
      <c r="D570" s="344"/>
      <c r="E570" s="345"/>
      <c r="F570" s="346"/>
      <c r="G570" s="344"/>
      <c r="H570" s="11"/>
      <c r="I570" s="346"/>
      <c r="J570" s="410"/>
      <c r="K570" s="410"/>
      <c r="L570" s="410"/>
    </row>
    <row r="571" spans="1:12">
      <c r="A571" s="344"/>
      <c r="B571" s="344"/>
      <c r="C571" s="344"/>
      <c r="D571" s="344"/>
      <c r="E571" s="345"/>
      <c r="F571" s="346"/>
      <c r="G571" s="344"/>
      <c r="H571" s="11"/>
      <c r="I571" s="346"/>
      <c r="J571" s="410"/>
      <c r="K571" s="410"/>
      <c r="L571" s="410"/>
    </row>
    <row r="572" spans="1:12">
      <c r="A572" s="344"/>
      <c r="B572" s="344"/>
      <c r="C572" s="344"/>
      <c r="D572" s="344"/>
      <c r="E572" s="345"/>
      <c r="F572" s="346"/>
      <c r="G572" s="344"/>
      <c r="H572" s="11"/>
      <c r="I572" s="346"/>
      <c r="J572" s="410"/>
      <c r="K572" s="410"/>
      <c r="L572" s="410"/>
    </row>
    <row r="573" spans="1:12">
      <c r="A573" s="344"/>
      <c r="B573" s="344"/>
      <c r="C573" s="344"/>
      <c r="D573" s="344"/>
      <c r="E573" s="345"/>
      <c r="F573" s="346"/>
      <c r="G573" s="344"/>
      <c r="H573" s="11"/>
      <c r="I573" s="346"/>
      <c r="J573" s="410"/>
      <c r="K573" s="410"/>
      <c r="L573" s="410"/>
    </row>
    <row r="574" spans="1:12">
      <c r="A574" s="344"/>
      <c r="B574" s="344"/>
      <c r="C574" s="344"/>
      <c r="D574" s="344"/>
      <c r="E574" s="345"/>
      <c r="F574" s="346"/>
      <c r="G574" s="344"/>
      <c r="H574" s="11"/>
      <c r="I574" s="346"/>
      <c r="J574" s="410"/>
      <c r="K574" s="410"/>
      <c r="L574" s="410"/>
    </row>
    <row r="575" spans="1:12">
      <c r="A575" s="344"/>
      <c r="B575" s="344"/>
      <c r="C575" s="344"/>
      <c r="D575" s="344"/>
      <c r="E575" s="345"/>
      <c r="F575" s="346"/>
      <c r="G575" s="344"/>
      <c r="H575" s="11"/>
      <c r="I575" s="346"/>
      <c r="J575" s="410"/>
      <c r="K575" s="410"/>
      <c r="L575" s="410"/>
    </row>
    <row r="576" spans="1:12">
      <c r="A576" s="344"/>
      <c r="B576" s="344"/>
      <c r="C576" s="344"/>
      <c r="D576" s="344"/>
      <c r="E576" s="345"/>
      <c r="F576" s="346"/>
      <c r="G576" s="344"/>
      <c r="H576" s="11"/>
      <c r="I576" s="346"/>
      <c r="J576" s="410"/>
      <c r="K576" s="410"/>
      <c r="L576" s="410"/>
    </row>
    <row r="577" spans="1:12">
      <c r="A577" s="344"/>
      <c r="B577" s="344"/>
      <c r="C577" s="344"/>
      <c r="D577" s="344"/>
      <c r="E577" s="345"/>
      <c r="F577" s="346"/>
      <c r="G577" s="344"/>
      <c r="H577" s="11"/>
      <c r="I577" s="346"/>
      <c r="J577" s="410"/>
      <c r="K577" s="410"/>
      <c r="L577" s="410"/>
    </row>
    <row r="578" spans="1:12">
      <c r="A578" s="344"/>
      <c r="B578" s="344"/>
      <c r="C578" s="344"/>
      <c r="D578" s="344"/>
      <c r="E578" s="345"/>
      <c r="F578" s="346"/>
      <c r="G578" s="344"/>
      <c r="H578" s="11"/>
      <c r="I578" s="346"/>
      <c r="J578" s="410"/>
      <c r="K578" s="410"/>
      <c r="L578" s="410"/>
    </row>
    <row r="579" spans="1:12">
      <c r="A579" s="344"/>
      <c r="B579" s="344"/>
      <c r="C579" s="344"/>
      <c r="D579" s="344"/>
      <c r="E579" s="345"/>
      <c r="F579" s="346"/>
      <c r="G579" s="344"/>
      <c r="H579" s="11"/>
      <c r="I579" s="346"/>
      <c r="J579" s="410"/>
      <c r="K579" s="410"/>
      <c r="L579" s="410"/>
    </row>
    <row r="580" spans="1:12">
      <c r="A580" s="344"/>
      <c r="B580" s="344"/>
      <c r="C580" s="344"/>
      <c r="D580" s="344"/>
      <c r="E580" s="345"/>
      <c r="F580" s="346"/>
      <c r="G580" s="344"/>
      <c r="H580" s="11"/>
      <c r="I580" s="346"/>
      <c r="J580" s="410"/>
      <c r="K580" s="410"/>
      <c r="L580" s="410"/>
    </row>
    <row r="581" spans="1:12">
      <c r="A581" s="344"/>
      <c r="B581" s="344"/>
      <c r="C581" s="344"/>
      <c r="D581" s="344"/>
      <c r="E581" s="345"/>
      <c r="F581" s="346"/>
      <c r="G581" s="344"/>
      <c r="H581" s="11"/>
      <c r="I581" s="346"/>
      <c r="J581" s="410"/>
      <c r="K581" s="410"/>
      <c r="L581" s="410"/>
    </row>
    <row r="582" spans="1:12">
      <c r="A582" s="344"/>
      <c r="B582" s="344"/>
      <c r="C582" s="344"/>
      <c r="D582" s="344"/>
      <c r="E582" s="345"/>
      <c r="F582" s="346"/>
      <c r="G582" s="344"/>
      <c r="H582" s="11"/>
      <c r="I582" s="346"/>
      <c r="J582" s="410"/>
      <c r="K582" s="410"/>
      <c r="L582" s="410"/>
    </row>
    <row r="583" spans="1:12">
      <c r="A583" s="344"/>
      <c r="B583" s="344"/>
      <c r="C583" s="344"/>
      <c r="D583" s="344"/>
      <c r="E583" s="345"/>
      <c r="F583" s="346"/>
      <c r="G583" s="344"/>
      <c r="H583" s="11"/>
      <c r="I583" s="346"/>
      <c r="J583" s="410"/>
      <c r="K583" s="410"/>
      <c r="L583" s="410"/>
    </row>
    <row r="584" spans="1:12">
      <c r="A584" s="344"/>
      <c r="B584" s="344"/>
      <c r="C584" s="344"/>
      <c r="D584" s="344"/>
      <c r="E584" s="345"/>
      <c r="F584" s="346"/>
      <c r="G584" s="344"/>
      <c r="H584" s="11"/>
      <c r="I584" s="346"/>
      <c r="J584" s="410"/>
      <c r="K584" s="410"/>
      <c r="L584" s="410"/>
    </row>
    <row r="585" spans="1:12">
      <c r="A585" s="344"/>
      <c r="B585" s="344"/>
      <c r="C585" s="344"/>
      <c r="D585" s="344"/>
      <c r="E585" s="345"/>
      <c r="F585" s="346"/>
      <c r="G585" s="344"/>
      <c r="H585" s="11"/>
      <c r="I585" s="346"/>
      <c r="J585" s="410"/>
      <c r="K585" s="410"/>
      <c r="L585" s="410"/>
    </row>
    <row r="586" spans="1:12">
      <c r="A586" s="344"/>
      <c r="B586" s="344"/>
      <c r="C586" s="344"/>
      <c r="D586" s="344"/>
      <c r="E586" s="345"/>
      <c r="F586" s="346"/>
      <c r="G586" s="344"/>
      <c r="H586" s="11"/>
      <c r="I586" s="346"/>
      <c r="J586" s="410"/>
      <c r="K586" s="410"/>
      <c r="L586" s="410"/>
    </row>
    <row r="587" spans="1:12">
      <c r="A587" s="344"/>
      <c r="B587" s="344"/>
      <c r="C587" s="344"/>
      <c r="D587" s="344"/>
      <c r="E587" s="345"/>
      <c r="F587" s="346"/>
      <c r="G587" s="344"/>
      <c r="H587" s="11"/>
      <c r="I587" s="346"/>
      <c r="J587" s="410"/>
      <c r="K587" s="410"/>
      <c r="L587" s="410"/>
    </row>
    <row r="588" spans="1:12">
      <c r="A588" s="344"/>
      <c r="B588" s="344"/>
      <c r="C588" s="344"/>
      <c r="D588" s="344"/>
      <c r="E588" s="345"/>
      <c r="F588" s="346"/>
      <c r="G588" s="344"/>
      <c r="H588" s="11"/>
      <c r="I588" s="346"/>
      <c r="J588" s="410"/>
      <c r="K588" s="410"/>
      <c r="L588" s="410"/>
    </row>
    <row r="589" spans="1:12">
      <c r="A589" s="344"/>
      <c r="B589" s="344"/>
      <c r="C589" s="344"/>
      <c r="D589" s="344"/>
      <c r="E589" s="345"/>
      <c r="F589" s="346"/>
      <c r="G589" s="344"/>
      <c r="H589" s="11"/>
      <c r="I589" s="346"/>
      <c r="J589" s="410"/>
      <c r="K589" s="410"/>
      <c r="L589" s="410"/>
    </row>
    <row r="590" spans="1:12">
      <c r="A590" s="344"/>
      <c r="B590" s="344"/>
      <c r="C590" s="344"/>
      <c r="D590" s="344"/>
      <c r="E590" s="345"/>
      <c r="F590" s="346"/>
      <c r="G590" s="344"/>
      <c r="H590" s="11"/>
      <c r="I590" s="346"/>
      <c r="J590" s="410"/>
      <c r="K590" s="410"/>
      <c r="L590" s="410"/>
    </row>
    <row r="591" spans="1:12">
      <c r="A591" s="344"/>
      <c r="B591" s="344"/>
      <c r="C591" s="344"/>
      <c r="D591" s="344"/>
      <c r="E591" s="345"/>
      <c r="F591" s="346"/>
      <c r="G591" s="344"/>
      <c r="H591" s="11"/>
      <c r="I591" s="346"/>
      <c r="J591" s="410"/>
      <c r="K591" s="410"/>
      <c r="L591" s="410"/>
    </row>
    <row r="592" spans="1:12">
      <c r="A592" s="344"/>
      <c r="B592" s="344"/>
      <c r="C592" s="344"/>
      <c r="D592" s="344"/>
      <c r="E592" s="345"/>
      <c r="F592" s="346"/>
      <c r="G592" s="344"/>
      <c r="H592" s="11"/>
      <c r="I592" s="346"/>
      <c r="J592" s="410"/>
      <c r="K592" s="410"/>
      <c r="L592" s="410"/>
    </row>
    <row r="593" spans="1:12">
      <c r="A593" s="344"/>
      <c r="B593" s="344"/>
      <c r="C593" s="344"/>
      <c r="D593" s="344"/>
      <c r="E593" s="345"/>
      <c r="F593" s="346"/>
      <c r="G593" s="344"/>
      <c r="H593" s="11"/>
      <c r="I593" s="346"/>
      <c r="J593" s="410"/>
      <c r="K593" s="410"/>
      <c r="L593" s="410"/>
    </row>
    <row r="594" spans="1:12">
      <c r="A594" s="344"/>
      <c r="B594" s="344"/>
      <c r="C594" s="344"/>
      <c r="D594" s="344"/>
      <c r="E594" s="345"/>
      <c r="F594" s="346"/>
      <c r="G594" s="344"/>
      <c r="H594" s="11"/>
      <c r="I594" s="346"/>
      <c r="J594" s="410"/>
      <c r="K594" s="410"/>
      <c r="L594" s="410"/>
    </row>
    <row r="595" spans="1:12">
      <c r="A595" s="344"/>
      <c r="B595" s="344"/>
      <c r="C595" s="344"/>
      <c r="D595" s="344"/>
      <c r="E595" s="345"/>
      <c r="F595" s="346"/>
      <c r="G595" s="344"/>
      <c r="H595" s="11"/>
      <c r="I595" s="346"/>
      <c r="J595" s="410"/>
      <c r="K595" s="410"/>
      <c r="L595" s="410"/>
    </row>
    <row r="596" spans="1:12">
      <c r="A596" s="344"/>
      <c r="B596" s="344"/>
      <c r="C596" s="344"/>
      <c r="D596" s="344"/>
      <c r="E596" s="345"/>
      <c r="F596" s="346"/>
      <c r="G596" s="344"/>
      <c r="H596" s="11"/>
      <c r="I596" s="346"/>
      <c r="J596" s="410"/>
      <c r="K596" s="410"/>
      <c r="L596" s="410"/>
    </row>
    <row r="597" spans="1:12">
      <c r="A597" s="344"/>
      <c r="B597" s="344"/>
      <c r="C597" s="344"/>
      <c r="D597" s="344"/>
      <c r="E597" s="345"/>
      <c r="F597" s="346"/>
      <c r="G597" s="344"/>
      <c r="H597" s="11"/>
      <c r="I597" s="346"/>
      <c r="J597" s="410"/>
      <c r="K597" s="410"/>
      <c r="L597" s="410"/>
    </row>
    <row r="598" spans="1:12">
      <c r="A598" s="344"/>
      <c r="B598" s="344"/>
      <c r="C598" s="344"/>
      <c r="D598" s="344"/>
      <c r="E598" s="345"/>
      <c r="F598" s="346"/>
      <c r="G598" s="344"/>
      <c r="H598" s="11"/>
      <c r="I598" s="346"/>
      <c r="J598" s="410"/>
      <c r="K598" s="410"/>
      <c r="L598" s="410"/>
    </row>
    <row r="599" spans="1:12">
      <c r="A599" s="344"/>
      <c r="B599" s="344"/>
      <c r="C599" s="344"/>
      <c r="D599" s="344"/>
      <c r="E599" s="345"/>
      <c r="F599" s="346"/>
      <c r="G599" s="344"/>
      <c r="H599" s="11"/>
      <c r="I599" s="346"/>
      <c r="J599" s="410"/>
      <c r="K599" s="410"/>
      <c r="L599" s="410"/>
    </row>
    <row r="600" spans="1:12">
      <c r="A600" s="344"/>
      <c r="B600" s="344"/>
      <c r="C600" s="344"/>
      <c r="D600" s="344"/>
      <c r="E600" s="345"/>
      <c r="F600" s="346"/>
      <c r="G600" s="344"/>
      <c r="H600" s="11"/>
      <c r="I600" s="346"/>
      <c r="J600" s="410"/>
      <c r="K600" s="410"/>
      <c r="L600" s="410"/>
    </row>
    <row r="601" spans="1:12">
      <c r="A601" s="344"/>
      <c r="B601" s="344"/>
      <c r="C601" s="344"/>
      <c r="D601" s="344"/>
      <c r="E601" s="345"/>
      <c r="F601" s="346"/>
      <c r="G601" s="344"/>
      <c r="H601" s="11"/>
      <c r="I601" s="346"/>
      <c r="J601" s="410"/>
      <c r="K601" s="410"/>
      <c r="L601" s="410"/>
    </row>
    <row r="602" spans="1:12">
      <c r="A602" s="344"/>
      <c r="B602" s="344"/>
      <c r="C602" s="344"/>
      <c r="D602" s="344"/>
      <c r="E602" s="345"/>
      <c r="F602" s="346"/>
      <c r="G602" s="344"/>
      <c r="H602" s="11"/>
      <c r="I602" s="346"/>
      <c r="J602" s="410"/>
      <c r="K602" s="410"/>
      <c r="L602" s="410"/>
    </row>
    <row r="603" spans="1:12">
      <c r="A603" s="344"/>
      <c r="B603" s="344"/>
      <c r="C603" s="344"/>
      <c r="D603" s="344"/>
      <c r="E603" s="345"/>
      <c r="F603" s="346"/>
      <c r="G603" s="344"/>
      <c r="H603" s="11"/>
      <c r="I603" s="346"/>
      <c r="J603" s="410"/>
      <c r="K603" s="410"/>
      <c r="L603" s="410"/>
    </row>
    <row r="604" spans="1:12">
      <c r="A604" s="344"/>
      <c r="B604" s="344"/>
      <c r="C604" s="344"/>
      <c r="D604" s="344"/>
      <c r="E604" s="345"/>
      <c r="F604" s="346"/>
      <c r="G604" s="344"/>
      <c r="H604" s="11"/>
      <c r="I604" s="346"/>
      <c r="J604" s="410"/>
      <c r="K604" s="410"/>
      <c r="L604" s="410"/>
    </row>
    <row r="605" spans="1:12">
      <c r="A605" s="344"/>
      <c r="B605" s="344"/>
      <c r="C605" s="344"/>
      <c r="D605" s="344"/>
      <c r="E605" s="345"/>
      <c r="F605" s="346"/>
      <c r="G605" s="344"/>
      <c r="H605" s="11"/>
      <c r="I605" s="346"/>
      <c r="J605" s="410"/>
      <c r="K605" s="410"/>
      <c r="L605" s="410"/>
    </row>
    <row r="606" spans="1:12">
      <c r="A606" s="344"/>
      <c r="B606" s="344"/>
      <c r="C606" s="344"/>
      <c r="D606" s="344"/>
      <c r="E606" s="345"/>
      <c r="F606" s="346"/>
      <c r="G606" s="344"/>
      <c r="H606" s="11"/>
      <c r="I606" s="346"/>
      <c r="J606" s="410"/>
      <c r="K606" s="410"/>
      <c r="L606" s="410"/>
    </row>
    <row r="607" spans="1:12">
      <c r="A607" s="344"/>
      <c r="B607" s="344"/>
      <c r="C607" s="344"/>
      <c r="D607" s="344"/>
      <c r="E607" s="345"/>
      <c r="F607" s="346"/>
      <c r="G607" s="344"/>
      <c r="H607" s="11"/>
      <c r="I607" s="346"/>
      <c r="J607" s="410"/>
      <c r="K607" s="410"/>
      <c r="L607" s="410"/>
    </row>
    <row r="608" spans="1:12">
      <c r="A608" s="344"/>
      <c r="B608" s="344"/>
      <c r="C608" s="344"/>
      <c r="D608" s="344"/>
      <c r="E608" s="345"/>
      <c r="F608" s="346"/>
      <c r="G608" s="344"/>
      <c r="H608" s="11"/>
      <c r="I608" s="346"/>
      <c r="J608" s="410"/>
      <c r="K608" s="410"/>
      <c r="L608" s="410"/>
    </row>
    <row r="609" spans="1:12">
      <c r="A609" s="344"/>
      <c r="B609" s="344"/>
      <c r="C609" s="344"/>
      <c r="D609" s="344"/>
      <c r="E609" s="345"/>
      <c r="F609" s="346"/>
      <c r="G609" s="344"/>
      <c r="H609" s="11"/>
      <c r="I609" s="346"/>
      <c r="J609" s="410"/>
      <c r="K609" s="410"/>
      <c r="L609" s="410"/>
    </row>
    <row r="610" spans="1:12">
      <c r="A610" s="344"/>
      <c r="B610" s="344"/>
      <c r="C610" s="344"/>
      <c r="D610" s="344"/>
      <c r="E610" s="345"/>
      <c r="F610" s="346"/>
      <c r="G610" s="344"/>
      <c r="H610" s="11"/>
      <c r="I610" s="346"/>
      <c r="J610" s="410"/>
      <c r="K610" s="410"/>
      <c r="L610" s="410"/>
    </row>
    <row r="611" spans="1:12">
      <c r="A611" s="344"/>
      <c r="B611" s="344"/>
      <c r="C611" s="344"/>
      <c r="D611" s="344"/>
      <c r="E611" s="345"/>
      <c r="F611" s="346"/>
      <c r="G611" s="344"/>
      <c r="H611" s="11"/>
      <c r="I611" s="346"/>
      <c r="J611" s="410"/>
      <c r="K611" s="410"/>
      <c r="L611" s="410"/>
    </row>
    <row r="612" spans="1:12">
      <c r="A612" s="344"/>
      <c r="B612" s="344"/>
      <c r="C612" s="344"/>
      <c r="D612" s="344"/>
      <c r="E612" s="345"/>
      <c r="F612" s="346"/>
      <c r="G612" s="344"/>
      <c r="H612" s="11"/>
      <c r="I612" s="346"/>
      <c r="J612" s="410"/>
      <c r="K612" s="410"/>
      <c r="L612" s="410"/>
    </row>
    <row r="613" spans="1:12">
      <c r="A613" s="344"/>
      <c r="B613" s="344"/>
      <c r="C613" s="344"/>
      <c r="D613" s="344"/>
      <c r="E613" s="345"/>
      <c r="F613" s="346"/>
      <c r="G613" s="344"/>
      <c r="H613" s="11"/>
      <c r="I613" s="346"/>
      <c r="J613" s="410"/>
      <c r="K613" s="410"/>
      <c r="L613" s="410"/>
    </row>
    <row r="614" spans="1:12">
      <c r="A614" s="344"/>
      <c r="B614" s="344"/>
      <c r="C614" s="344"/>
      <c r="D614" s="344"/>
      <c r="E614" s="345"/>
      <c r="F614" s="346"/>
      <c r="G614" s="344"/>
      <c r="H614" s="11"/>
      <c r="I614" s="346"/>
      <c r="J614" s="410"/>
      <c r="K614" s="410"/>
      <c r="L614" s="410"/>
    </row>
    <row r="615" spans="1:12">
      <c r="A615" s="344"/>
      <c r="B615" s="344"/>
      <c r="C615" s="344"/>
      <c r="D615" s="344"/>
      <c r="E615" s="345"/>
      <c r="F615" s="346"/>
      <c r="G615" s="344"/>
      <c r="H615" s="11"/>
      <c r="I615" s="346"/>
      <c r="J615" s="410"/>
      <c r="K615" s="410"/>
      <c r="L615" s="410"/>
    </row>
    <row r="616" spans="1:12">
      <c r="A616" s="344"/>
      <c r="B616" s="344"/>
      <c r="C616" s="344"/>
      <c r="D616" s="344"/>
      <c r="E616" s="345"/>
      <c r="F616" s="346"/>
      <c r="G616" s="344"/>
      <c r="H616" s="11"/>
      <c r="I616" s="346"/>
      <c r="J616" s="410"/>
      <c r="K616" s="410"/>
      <c r="L616" s="410"/>
    </row>
    <row r="617" spans="1:12">
      <c r="A617" s="344"/>
      <c r="B617" s="344"/>
      <c r="C617" s="344"/>
      <c r="D617" s="344"/>
      <c r="E617" s="345"/>
      <c r="F617" s="346"/>
      <c r="G617" s="344"/>
      <c r="H617" s="11"/>
      <c r="I617" s="346"/>
      <c r="J617" s="410"/>
      <c r="K617" s="410"/>
      <c r="L617" s="410"/>
    </row>
    <row r="618" spans="1:12">
      <c r="A618" s="344"/>
      <c r="B618" s="344"/>
      <c r="C618" s="344"/>
      <c r="D618" s="344"/>
      <c r="E618" s="345"/>
      <c r="F618" s="346"/>
      <c r="G618" s="344"/>
      <c r="H618" s="11"/>
      <c r="I618" s="346"/>
      <c r="J618" s="410"/>
      <c r="K618" s="410"/>
      <c r="L618" s="410"/>
    </row>
    <row r="619" spans="1:12">
      <c r="A619" s="344"/>
      <c r="B619" s="344"/>
      <c r="C619" s="344"/>
      <c r="D619" s="344"/>
      <c r="E619" s="345"/>
      <c r="F619" s="346"/>
      <c r="G619" s="344"/>
      <c r="H619" s="11"/>
      <c r="I619" s="346"/>
      <c r="J619" s="410"/>
      <c r="K619" s="410"/>
      <c r="L619" s="410"/>
    </row>
    <row r="620" spans="1:12">
      <c r="A620" s="344"/>
      <c r="B620" s="344"/>
      <c r="C620" s="344"/>
      <c r="D620" s="344"/>
      <c r="E620" s="345"/>
      <c r="F620" s="346"/>
      <c r="G620" s="344"/>
      <c r="H620" s="11"/>
      <c r="I620" s="346"/>
      <c r="J620" s="410"/>
      <c r="K620" s="410"/>
      <c r="L620" s="410"/>
    </row>
    <row r="621" spans="1:12">
      <c r="A621" s="344"/>
      <c r="B621" s="344"/>
      <c r="C621" s="344"/>
      <c r="D621" s="344"/>
      <c r="E621" s="345"/>
      <c r="F621" s="346"/>
      <c r="G621" s="344"/>
      <c r="H621" s="11"/>
      <c r="I621" s="346"/>
      <c r="J621" s="410"/>
      <c r="K621" s="410"/>
      <c r="L621" s="410"/>
    </row>
    <row r="622" spans="1:12">
      <c r="A622" s="344"/>
      <c r="B622" s="344"/>
      <c r="C622" s="344"/>
      <c r="D622" s="344"/>
      <c r="E622" s="345"/>
      <c r="F622" s="346"/>
      <c r="G622" s="344"/>
      <c r="H622" s="11"/>
      <c r="I622" s="346"/>
      <c r="J622" s="410"/>
      <c r="K622" s="410"/>
      <c r="L622" s="410"/>
    </row>
    <row r="623" spans="1:12">
      <c r="A623" s="344"/>
      <c r="B623" s="344"/>
      <c r="C623" s="344"/>
      <c r="D623" s="344"/>
      <c r="E623" s="345"/>
      <c r="F623" s="346"/>
      <c r="G623" s="344"/>
      <c r="H623" s="11"/>
      <c r="I623" s="346"/>
      <c r="J623" s="410"/>
      <c r="K623" s="410"/>
      <c r="L623" s="410"/>
    </row>
    <row r="624" spans="1:12">
      <c r="A624" s="344"/>
      <c r="B624" s="344"/>
      <c r="C624" s="344"/>
      <c r="D624" s="344"/>
      <c r="E624" s="345"/>
      <c r="F624" s="346"/>
      <c r="G624" s="344"/>
      <c r="H624" s="11"/>
      <c r="I624" s="346"/>
      <c r="J624" s="410"/>
      <c r="K624" s="410"/>
      <c r="L624" s="410"/>
    </row>
    <row r="625" spans="1:12">
      <c r="A625" s="344"/>
      <c r="B625" s="344"/>
      <c r="C625" s="344"/>
      <c r="D625" s="344"/>
      <c r="E625" s="345"/>
      <c r="F625" s="346"/>
      <c r="G625" s="344"/>
      <c r="H625" s="11"/>
      <c r="I625" s="346"/>
      <c r="J625" s="410"/>
      <c r="K625" s="410"/>
      <c r="L625" s="410"/>
    </row>
    <row r="626" spans="1:12">
      <c r="A626" s="344"/>
      <c r="B626" s="344"/>
      <c r="C626" s="344"/>
      <c r="D626" s="344"/>
      <c r="E626" s="345"/>
      <c r="F626" s="346"/>
      <c r="G626" s="344"/>
      <c r="H626" s="11"/>
      <c r="I626" s="346"/>
      <c r="J626" s="410"/>
      <c r="K626" s="410"/>
      <c r="L626" s="410"/>
    </row>
    <row r="627" spans="1:12">
      <c r="A627" s="344"/>
      <c r="B627" s="344"/>
      <c r="C627" s="344"/>
      <c r="D627" s="344"/>
      <c r="E627" s="345"/>
      <c r="F627" s="346"/>
      <c r="G627" s="344"/>
      <c r="H627" s="11"/>
      <c r="I627" s="346"/>
      <c r="J627" s="410"/>
      <c r="K627" s="410"/>
      <c r="L627" s="410"/>
    </row>
    <row r="628" spans="1:12">
      <c r="A628" s="344"/>
      <c r="B628" s="344"/>
      <c r="C628" s="344"/>
      <c r="D628" s="344"/>
      <c r="E628" s="345"/>
      <c r="F628" s="346"/>
      <c r="G628" s="344"/>
      <c r="H628" s="11"/>
      <c r="I628" s="346"/>
      <c r="J628" s="410"/>
      <c r="K628" s="410"/>
      <c r="L628" s="410"/>
    </row>
    <row r="629" spans="1:12">
      <c r="A629" s="344"/>
      <c r="B629" s="344"/>
      <c r="C629" s="344"/>
      <c r="D629" s="344"/>
      <c r="E629" s="345"/>
      <c r="F629" s="346"/>
      <c r="G629" s="344"/>
      <c r="H629" s="11"/>
      <c r="I629" s="346"/>
      <c r="J629" s="410"/>
      <c r="K629" s="410"/>
      <c r="L629" s="410"/>
    </row>
    <row r="630" spans="1:12">
      <c r="A630" s="344"/>
      <c r="B630" s="344"/>
      <c r="C630" s="344"/>
      <c r="D630" s="344"/>
      <c r="E630" s="345"/>
      <c r="F630" s="346"/>
      <c r="G630" s="344"/>
      <c r="H630" s="11"/>
      <c r="I630" s="346"/>
      <c r="J630" s="410"/>
      <c r="K630" s="410"/>
      <c r="L630" s="410"/>
    </row>
    <row r="631" spans="1:12">
      <c r="A631" s="344"/>
      <c r="B631" s="344"/>
      <c r="C631" s="344"/>
      <c r="D631" s="344"/>
      <c r="E631" s="345"/>
      <c r="F631" s="346"/>
      <c r="G631" s="344"/>
      <c r="H631" s="11"/>
      <c r="I631" s="346"/>
      <c r="J631" s="410"/>
      <c r="K631" s="410"/>
      <c r="L631" s="410"/>
    </row>
    <row r="632" spans="1:12">
      <c r="A632" s="344"/>
      <c r="B632" s="344"/>
      <c r="C632" s="344"/>
      <c r="D632" s="344"/>
      <c r="E632" s="345"/>
      <c r="F632" s="346"/>
      <c r="G632" s="344"/>
      <c r="H632" s="11"/>
      <c r="I632" s="346"/>
      <c r="J632" s="410"/>
      <c r="K632" s="410"/>
      <c r="L632" s="410"/>
    </row>
    <row r="633" spans="1:12">
      <c r="A633" s="344"/>
      <c r="B633" s="344"/>
      <c r="C633" s="344"/>
      <c r="D633" s="344"/>
      <c r="E633" s="345"/>
      <c r="F633" s="346"/>
      <c r="G633" s="344"/>
      <c r="H633" s="11"/>
      <c r="I633" s="346"/>
      <c r="J633" s="410"/>
      <c r="K633" s="410"/>
      <c r="L633" s="410"/>
    </row>
    <row r="634" spans="1:12">
      <c r="A634" s="344"/>
      <c r="B634" s="344"/>
      <c r="C634" s="344"/>
      <c r="D634" s="344"/>
      <c r="E634" s="345"/>
      <c r="F634" s="346"/>
      <c r="G634" s="344"/>
      <c r="H634" s="11"/>
      <c r="I634" s="346"/>
      <c r="J634" s="410"/>
      <c r="K634" s="410"/>
      <c r="L634" s="410"/>
    </row>
    <row r="635" spans="1:12">
      <c r="A635" s="344"/>
      <c r="B635" s="344"/>
      <c r="C635" s="344"/>
      <c r="D635" s="344"/>
      <c r="E635" s="345"/>
      <c r="F635" s="346"/>
      <c r="G635" s="344"/>
      <c r="H635" s="11"/>
      <c r="I635" s="346"/>
      <c r="J635" s="410"/>
      <c r="K635" s="410"/>
      <c r="L635" s="410"/>
    </row>
    <row r="636" spans="1:12">
      <c r="A636" s="344"/>
      <c r="B636" s="344"/>
      <c r="C636" s="344"/>
      <c r="D636" s="344"/>
      <c r="E636" s="345"/>
      <c r="F636" s="346"/>
      <c r="G636" s="344"/>
      <c r="H636" s="11"/>
      <c r="I636" s="346"/>
      <c r="J636" s="410"/>
      <c r="K636" s="410"/>
      <c r="L636" s="410"/>
    </row>
    <row r="637" spans="1:12">
      <c r="A637" s="344"/>
      <c r="B637" s="344"/>
      <c r="C637" s="344"/>
      <c r="D637" s="344"/>
      <c r="E637" s="345"/>
      <c r="F637" s="346"/>
      <c r="G637" s="344"/>
      <c r="H637" s="11"/>
      <c r="I637" s="346"/>
      <c r="J637" s="410"/>
      <c r="K637" s="410"/>
      <c r="L637" s="410"/>
    </row>
    <row r="638" spans="1:12">
      <c r="A638" s="344"/>
      <c r="B638" s="344"/>
      <c r="C638" s="344"/>
      <c r="D638" s="344"/>
      <c r="E638" s="345"/>
      <c r="F638" s="346"/>
      <c r="G638" s="344"/>
      <c r="H638" s="11"/>
      <c r="I638" s="346"/>
      <c r="J638" s="410"/>
      <c r="K638" s="410"/>
      <c r="L638" s="410"/>
    </row>
    <row r="639" spans="1:12">
      <c r="A639" s="344"/>
      <c r="B639" s="344"/>
      <c r="C639" s="344"/>
      <c r="D639" s="344"/>
      <c r="E639" s="345"/>
      <c r="F639" s="346"/>
      <c r="G639" s="344"/>
      <c r="H639" s="11"/>
      <c r="I639" s="346"/>
      <c r="J639" s="410"/>
      <c r="K639" s="410"/>
      <c r="L639" s="410"/>
    </row>
    <row r="640" spans="1:12">
      <c r="A640" s="344"/>
      <c r="B640" s="344"/>
      <c r="C640" s="344"/>
      <c r="D640" s="344"/>
      <c r="E640" s="345"/>
      <c r="F640" s="346"/>
      <c r="G640" s="344"/>
      <c r="H640" s="11"/>
      <c r="I640" s="346"/>
      <c r="J640" s="410"/>
      <c r="K640" s="410"/>
      <c r="L640" s="410"/>
    </row>
    <row r="641" spans="1:12">
      <c r="A641" s="344"/>
      <c r="B641" s="344"/>
      <c r="C641" s="344"/>
      <c r="D641" s="344"/>
      <c r="E641" s="345"/>
      <c r="F641" s="346"/>
      <c r="G641" s="344"/>
      <c r="H641" s="11"/>
      <c r="I641" s="346"/>
      <c r="J641" s="410"/>
      <c r="K641" s="410"/>
      <c r="L641" s="410"/>
    </row>
    <row r="642" spans="1:12">
      <c r="A642" s="344"/>
      <c r="B642" s="344"/>
      <c r="C642" s="344"/>
      <c r="D642" s="344"/>
      <c r="E642" s="345"/>
      <c r="F642" s="346"/>
      <c r="G642" s="344"/>
      <c r="H642" s="11"/>
      <c r="I642" s="346"/>
      <c r="J642" s="410"/>
      <c r="K642" s="410"/>
      <c r="L642" s="410"/>
    </row>
    <row r="643" spans="1:12">
      <c r="A643" s="344"/>
      <c r="B643" s="344"/>
      <c r="C643" s="344"/>
      <c r="D643" s="344"/>
      <c r="E643" s="345"/>
      <c r="F643" s="346"/>
      <c r="G643" s="344"/>
      <c r="H643" s="11"/>
      <c r="I643" s="346"/>
      <c r="J643" s="410"/>
      <c r="K643" s="410"/>
      <c r="L643" s="410"/>
    </row>
    <row r="644" spans="1:12">
      <c r="A644" s="344"/>
      <c r="B644" s="344"/>
      <c r="C644" s="344"/>
      <c r="D644" s="344"/>
      <c r="E644" s="345"/>
      <c r="F644" s="346"/>
      <c r="G644" s="344"/>
      <c r="H644" s="11"/>
      <c r="I644" s="346"/>
      <c r="J644" s="410"/>
      <c r="K644" s="410"/>
      <c r="L644" s="410"/>
    </row>
    <row r="645" spans="1:12">
      <c r="A645" s="344"/>
      <c r="B645" s="344"/>
      <c r="C645" s="344"/>
      <c r="D645" s="344"/>
      <c r="E645" s="345"/>
      <c r="F645" s="346"/>
      <c r="G645" s="344"/>
      <c r="H645" s="11"/>
      <c r="I645" s="346"/>
      <c r="J645" s="410"/>
      <c r="K645" s="410"/>
      <c r="L645" s="410"/>
    </row>
    <row r="646" spans="1:12">
      <c r="A646" s="344"/>
      <c r="B646" s="344"/>
      <c r="C646" s="344"/>
      <c r="D646" s="344"/>
      <c r="E646" s="345"/>
      <c r="F646" s="346"/>
      <c r="G646" s="344"/>
      <c r="H646" s="11"/>
      <c r="I646" s="346"/>
      <c r="J646" s="410"/>
      <c r="K646" s="410"/>
      <c r="L646" s="410"/>
    </row>
    <row r="647" spans="1:12">
      <c r="A647" s="344"/>
      <c r="B647" s="344"/>
      <c r="C647" s="344"/>
      <c r="D647" s="344"/>
      <c r="E647" s="345"/>
      <c r="F647" s="346"/>
      <c r="G647" s="344"/>
      <c r="H647" s="11"/>
      <c r="I647" s="346"/>
      <c r="J647" s="410"/>
      <c r="K647" s="410"/>
      <c r="L647" s="410"/>
    </row>
    <row r="648" spans="1:12">
      <c r="A648" s="344"/>
      <c r="B648" s="344"/>
      <c r="C648" s="344"/>
      <c r="D648" s="344"/>
      <c r="E648" s="345"/>
      <c r="F648" s="346"/>
      <c r="G648" s="344"/>
      <c r="H648" s="11"/>
      <c r="I648" s="346"/>
      <c r="J648" s="410"/>
      <c r="K648" s="410"/>
      <c r="L648" s="410"/>
    </row>
    <row r="649" spans="1:12">
      <c r="A649" s="344"/>
      <c r="B649" s="344"/>
      <c r="C649" s="344"/>
      <c r="D649" s="344"/>
      <c r="E649" s="345"/>
      <c r="F649" s="346"/>
      <c r="G649" s="344"/>
      <c r="H649" s="11"/>
      <c r="I649" s="346"/>
      <c r="J649" s="410"/>
      <c r="K649" s="410"/>
      <c r="L649" s="410"/>
    </row>
    <row r="650" spans="1:12">
      <c r="A650" s="344"/>
      <c r="B650" s="344"/>
      <c r="C650" s="344"/>
      <c r="D650" s="344"/>
      <c r="E650" s="345"/>
      <c r="F650" s="346"/>
      <c r="G650" s="344"/>
      <c r="H650" s="11"/>
      <c r="I650" s="346"/>
      <c r="J650" s="410"/>
      <c r="K650" s="410"/>
      <c r="L650" s="410"/>
    </row>
    <row r="651" spans="1:12">
      <c r="A651" s="344"/>
      <c r="B651" s="344"/>
      <c r="C651" s="344"/>
      <c r="D651" s="344"/>
      <c r="E651" s="345"/>
      <c r="F651" s="346"/>
      <c r="G651" s="344"/>
      <c r="H651" s="11"/>
      <c r="I651" s="346"/>
      <c r="J651" s="410"/>
      <c r="K651" s="410"/>
      <c r="L651" s="410"/>
    </row>
    <row r="652" spans="1:12">
      <c r="A652" s="344"/>
      <c r="B652" s="344"/>
      <c r="C652" s="344"/>
      <c r="D652" s="344"/>
      <c r="E652" s="345"/>
      <c r="F652" s="346"/>
      <c r="G652" s="344"/>
      <c r="H652" s="11"/>
      <c r="I652" s="346"/>
      <c r="J652" s="410"/>
      <c r="K652" s="410"/>
      <c r="L652" s="410"/>
    </row>
    <row r="653" spans="1:12">
      <c r="A653" s="344"/>
      <c r="B653" s="344"/>
      <c r="C653" s="344"/>
      <c r="D653" s="344"/>
      <c r="E653" s="345"/>
      <c r="F653" s="346"/>
      <c r="G653" s="344"/>
      <c r="H653" s="11"/>
      <c r="I653" s="346"/>
      <c r="J653" s="410"/>
      <c r="K653" s="410"/>
      <c r="L653" s="410"/>
    </row>
    <row r="654" spans="1:12">
      <c r="A654" s="344"/>
      <c r="B654" s="344"/>
      <c r="C654" s="344"/>
      <c r="D654" s="344"/>
      <c r="E654" s="345"/>
      <c r="F654" s="346"/>
      <c r="G654" s="344"/>
      <c r="H654" s="11"/>
      <c r="I654" s="346"/>
      <c r="J654" s="410"/>
      <c r="K654" s="410"/>
      <c r="L654" s="410"/>
    </row>
    <row r="655" spans="1:12">
      <c r="A655" s="344"/>
      <c r="B655" s="344"/>
      <c r="C655" s="344"/>
      <c r="D655" s="344"/>
      <c r="E655" s="345"/>
      <c r="F655" s="346"/>
      <c r="G655" s="344"/>
      <c r="H655" s="11"/>
      <c r="I655" s="346"/>
      <c r="J655" s="410"/>
      <c r="K655" s="410"/>
      <c r="L655" s="410"/>
    </row>
    <row r="656" spans="1:12">
      <c r="A656" s="344"/>
      <c r="B656" s="344"/>
      <c r="C656" s="344"/>
      <c r="D656" s="344"/>
      <c r="E656" s="345"/>
      <c r="F656" s="346"/>
      <c r="G656" s="344"/>
      <c r="H656" s="11"/>
      <c r="I656" s="346"/>
      <c r="J656" s="410"/>
      <c r="K656" s="410"/>
      <c r="L656" s="410"/>
    </row>
    <row r="657" spans="1:12">
      <c r="A657" s="344"/>
      <c r="B657" s="344"/>
      <c r="C657" s="344"/>
      <c r="D657" s="344"/>
      <c r="E657" s="345"/>
      <c r="F657" s="346"/>
      <c r="G657" s="344"/>
      <c r="H657" s="11"/>
      <c r="I657" s="346"/>
      <c r="J657" s="410"/>
      <c r="K657" s="410"/>
      <c r="L657" s="410"/>
    </row>
    <row r="658" spans="1:12">
      <c r="A658" s="344"/>
      <c r="B658" s="344"/>
      <c r="C658" s="344"/>
      <c r="D658" s="344"/>
      <c r="E658" s="345"/>
      <c r="F658" s="346"/>
      <c r="G658" s="344"/>
      <c r="H658" s="11"/>
      <c r="I658" s="346"/>
      <c r="J658" s="410"/>
      <c r="K658" s="410"/>
      <c r="L658" s="410"/>
    </row>
    <row r="659" spans="1:12">
      <c r="A659" s="344"/>
      <c r="B659" s="344"/>
      <c r="C659" s="344"/>
      <c r="D659" s="344"/>
      <c r="E659" s="345"/>
      <c r="F659" s="346"/>
      <c r="G659" s="344"/>
      <c r="H659" s="11"/>
      <c r="I659" s="346"/>
      <c r="J659" s="410"/>
      <c r="K659" s="410"/>
      <c r="L659" s="410"/>
    </row>
    <row r="660" spans="1:12">
      <c r="A660" s="344"/>
      <c r="B660" s="344"/>
      <c r="C660" s="344"/>
      <c r="D660" s="344"/>
      <c r="E660" s="345"/>
      <c r="F660" s="346"/>
      <c r="G660" s="344"/>
      <c r="H660" s="11"/>
      <c r="I660" s="346"/>
      <c r="J660" s="410"/>
      <c r="K660" s="410"/>
      <c r="L660" s="410"/>
    </row>
    <row r="661" spans="1:12">
      <c r="A661" s="344"/>
      <c r="B661" s="344"/>
      <c r="C661" s="344"/>
      <c r="D661" s="344"/>
      <c r="E661" s="345"/>
      <c r="F661" s="346"/>
      <c r="G661" s="344"/>
      <c r="H661" s="11"/>
      <c r="I661" s="346"/>
      <c r="J661" s="410"/>
      <c r="K661" s="410"/>
      <c r="L661" s="410"/>
    </row>
    <row r="662" spans="1:12">
      <c r="A662" s="344"/>
      <c r="B662" s="344"/>
      <c r="C662" s="344"/>
      <c r="D662" s="344"/>
      <c r="E662" s="345"/>
      <c r="F662" s="346"/>
      <c r="G662" s="344"/>
      <c r="H662" s="11"/>
      <c r="I662" s="346"/>
      <c r="J662" s="410"/>
      <c r="K662" s="410"/>
      <c r="L662" s="410"/>
    </row>
    <row r="663" spans="1:12">
      <c r="A663" s="344"/>
      <c r="B663" s="344"/>
      <c r="C663" s="344"/>
      <c r="D663" s="344"/>
      <c r="E663" s="345"/>
      <c r="F663" s="346"/>
      <c r="G663" s="344"/>
      <c r="H663" s="11"/>
      <c r="I663" s="346"/>
      <c r="J663" s="410"/>
      <c r="K663" s="410"/>
      <c r="L663" s="410"/>
    </row>
    <row r="664" spans="1:12">
      <c r="A664" s="344"/>
      <c r="B664" s="344"/>
      <c r="C664" s="344"/>
      <c r="D664" s="344"/>
      <c r="E664" s="345"/>
      <c r="F664" s="346"/>
      <c r="G664" s="344"/>
      <c r="H664" s="11"/>
      <c r="I664" s="346"/>
      <c r="J664" s="410"/>
      <c r="K664" s="410"/>
      <c r="L664" s="410"/>
    </row>
    <row r="665" spans="1:12">
      <c r="A665" s="344"/>
      <c r="B665" s="344"/>
      <c r="C665" s="344"/>
      <c r="D665" s="344"/>
      <c r="E665" s="345"/>
      <c r="F665" s="346"/>
      <c r="G665" s="344"/>
      <c r="H665" s="11"/>
      <c r="I665" s="346"/>
      <c r="J665" s="410"/>
      <c r="K665" s="410"/>
      <c r="L665" s="410"/>
    </row>
    <row r="666" spans="1:12">
      <c r="A666" s="344"/>
      <c r="B666" s="344"/>
      <c r="C666" s="344"/>
      <c r="D666" s="344"/>
      <c r="E666" s="345"/>
      <c r="F666" s="346"/>
      <c r="G666" s="344"/>
      <c r="H666" s="11"/>
      <c r="I666" s="346"/>
      <c r="J666" s="410"/>
      <c r="K666" s="410"/>
      <c r="L666" s="410"/>
    </row>
    <row r="667" spans="1:12">
      <c r="A667" s="344"/>
      <c r="B667" s="344"/>
      <c r="C667" s="344"/>
      <c r="D667" s="344"/>
      <c r="E667" s="345"/>
      <c r="F667" s="346"/>
      <c r="G667" s="344"/>
      <c r="H667" s="11"/>
      <c r="I667" s="346"/>
      <c r="J667" s="410"/>
      <c r="K667" s="410"/>
      <c r="L667" s="410"/>
    </row>
    <row r="668" spans="1:12">
      <c r="A668" s="344"/>
      <c r="B668" s="344"/>
      <c r="C668" s="344"/>
      <c r="D668" s="344"/>
      <c r="E668" s="345"/>
      <c r="F668" s="346"/>
      <c r="G668" s="344"/>
      <c r="H668" s="11"/>
      <c r="I668" s="346"/>
      <c r="J668" s="410"/>
      <c r="K668" s="410"/>
      <c r="L668" s="410"/>
    </row>
    <row r="669" spans="1:12">
      <c r="A669" s="344"/>
      <c r="B669" s="344"/>
      <c r="C669" s="344"/>
      <c r="D669" s="344"/>
      <c r="E669" s="345"/>
      <c r="F669" s="346"/>
      <c r="G669" s="344"/>
      <c r="H669" s="11"/>
      <c r="I669" s="346"/>
      <c r="J669" s="410"/>
      <c r="K669" s="410"/>
      <c r="L669" s="410"/>
    </row>
    <row r="670" spans="1:12">
      <c r="A670" s="344"/>
      <c r="B670" s="344"/>
      <c r="C670" s="344"/>
      <c r="D670" s="344"/>
      <c r="E670" s="345"/>
      <c r="F670" s="346"/>
      <c r="G670" s="344"/>
      <c r="H670" s="11"/>
      <c r="I670" s="346"/>
      <c r="J670" s="410"/>
      <c r="K670" s="410"/>
      <c r="L670" s="410"/>
    </row>
    <row r="671" spans="1:12">
      <c r="A671" s="344"/>
      <c r="B671" s="344"/>
      <c r="C671" s="344"/>
      <c r="D671" s="344"/>
      <c r="E671" s="345"/>
      <c r="F671" s="346"/>
      <c r="G671" s="344"/>
      <c r="H671" s="11"/>
      <c r="I671" s="346"/>
      <c r="J671" s="410"/>
      <c r="K671" s="410"/>
      <c r="L671" s="410"/>
    </row>
    <row r="672" spans="1:12">
      <c r="A672" s="344"/>
      <c r="B672" s="344"/>
      <c r="C672" s="344"/>
      <c r="D672" s="344"/>
      <c r="E672" s="345"/>
      <c r="F672" s="346"/>
      <c r="G672" s="344"/>
      <c r="H672" s="11"/>
      <c r="I672" s="346"/>
      <c r="J672" s="410"/>
      <c r="K672" s="410"/>
      <c r="L672" s="410"/>
    </row>
    <row r="673" spans="1:12">
      <c r="A673" s="344"/>
      <c r="B673" s="344"/>
      <c r="C673" s="344"/>
      <c r="D673" s="344"/>
      <c r="E673" s="345"/>
      <c r="F673" s="346"/>
      <c r="G673" s="344"/>
      <c r="H673" s="11"/>
      <c r="I673" s="346"/>
      <c r="J673" s="410"/>
      <c r="K673" s="410"/>
      <c r="L673" s="410"/>
    </row>
    <row r="674" spans="1:12">
      <c r="A674" s="344"/>
      <c r="B674" s="344"/>
      <c r="C674" s="344"/>
      <c r="D674" s="344"/>
      <c r="E674" s="345"/>
      <c r="F674" s="346"/>
      <c r="G674" s="344"/>
      <c r="H674" s="11"/>
      <c r="I674" s="346"/>
      <c r="J674" s="410"/>
      <c r="K674" s="410"/>
      <c r="L674" s="410"/>
    </row>
    <row r="675" spans="1:12">
      <c r="A675" s="344"/>
      <c r="B675" s="344"/>
      <c r="C675" s="344"/>
      <c r="D675" s="344"/>
      <c r="E675" s="345"/>
      <c r="F675" s="346"/>
      <c r="G675" s="344"/>
      <c r="H675" s="11"/>
      <c r="I675" s="346"/>
      <c r="J675" s="410"/>
      <c r="K675" s="410"/>
      <c r="L675" s="410"/>
    </row>
    <row r="676" spans="1:12">
      <c r="A676" s="344"/>
      <c r="B676" s="344"/>
      <c r="C676" s="344"/>
      <c r="D676" s="344"/>
      <c r="E676" s="345"/>
      <c r="F676" s="346"/>
      <c r="G676" s="344"/>
      <c r="H676" s="11"/>
      <c r="I676" s="346"/>
      <c r="J676" s="410"/>
      <c r="K676" s="410"/>
      <c r="L676" s="410"/>
    </row>
    <row r="677" spans="1:12">
      <c r="A677" s="344"/>
      <c r="B677" s="344"/>
      <c r="C677" s="344"/>
      <c r="D677" s="344"/>
      <c r="E677" s="345"/>
      <c r="F677" s="346"/>
      <c r="G677" s="344"/>
      <c r="H677" s="11"/>
      <c r="I677" s="346"/>
      <c r="J677" s="410"/>
      <c r="K677" s="410"/>
      <c r="L677" s="410"/>
    </row>
    <row r="678" spans="1:12">
      <c r="A678" s="344"/>
      <c r="B678" s="344"/>
      <c r="C678" s="344"/>
      <c r="D678" s="344"/>
      <c r="E678" s="345"/>
      <c r="F678" s="346"/>
      <c r="G678" s="344"/>
      <c r="H678" s="11"/>
      <c r="I678" s="346"/>
      <c r="J678" s="410"/>
      <c r="K678" s="410"/>
      <c r="L678" s="410"/>
    </row>
    <row r="679" spans="1:12">
      <c r="A679" s="344"/>
      <c r="B679" s="344"/>
      <c r="C679" s="344"/>
      <c r="D679" s="344"/>
      <c r="E679" s="345"/>
      <c r="F679" s="346"/>
      <c r="G679" s="344"/>
      <c r="H679" s="11"/>
      <c r="I679" s="346"/>
      <c r="J679" s="410"/>
      <c r="K679" s="410"/>
      <c r="L679" s="410"/>
    </row>
    <row r="680" spans="1:12">
      <c r="A680" s="344"/>
      <c r="B680" s="344"/>
      <c r="C680" s="344"/>
      <c r="D680" s="344"/>
      <c r="E680" s="345"/>
      <c r="F680" s="346"/>
      <c r="G680" s="344"/>
      <c r="H680" s="11"/>
      <c r="I680" s="346"/>
      <c r="J680" s="410"/>
      <c r="K680" s="410"/>
      <c r="L680" s="410"/>
    </row>
    <row r="681" spans="1:12">
      <c r="A681" s="344"/>
      <c r="B681" s="344"/>
      <c r="C681" s="344"/>
      <c r="D681" s="344"/>
      <c r="E681" s="345"/>
      <c r="F681" s="346"/>
      <c r="G681" s="344"/>
      <c r="H681" s="11"/>
      <c r="I681" s="346"/>
      <c r="J681" s="410"/>
      <c r="K681" s="410"/>
      <c r="L681" s="410"/>
    </row>
    <row r="682" spans="1:12">
      <c r="A682" s="344"/>
      <c r="B682" s="344"/>
      <c r="C682" s="344"/>
      <c r="D682" s="344"/>
      <c r="E682" s="345"/>
      <c r="F682" s="346"/>
      <c r="G682" s="344"/>
      <c r="H682" s="11"/>
      <c r="I682" s="346"/>
      <c r="J682" s="410"/>
      <c r="K682" s="410"/>
      <c r="L682" s="410"/>
    </row>
    <row r="683" spans="1:12">
      <c r="A683" s="344"/>
      <c r="B683" s="344"/>
      <c r="C683" s="344"/>
      <c r="D683" s="344"/>
      <c r="E683" s="345"/>
      <c r="F683" s="346"/>
      <c r="G683" s="344"/>
      <c r="H683" s="11"/>
      <c r="I683" s="346"/>
      <c r="J683" s="410"/>
      <c r="K683" s="410"/>
      <c r="L683" s="410"/>
    </row>
    <row r="684" spans="1:12">
      <c r="A684" s="344"/>
      <c r="B684" s="344"/>
      <c r="C684" s="344"/>
      <c r="D684" s="344"/>
      <c r="E684" s="345"/>
      <c r="F684" s="346"/>
      <c r="G684" s="344"/>
      <c r="H684" s="11"/>
      <c r="I684" s="346"/>
      <c r="J684" s="410"/>
      <c r="K684" s="410"/>
      <c r="L684" s="410"/>
    </row>
    <row r="685" spans="1:12">
      <c r="A685" s="344"/>
      <c r="B685" s="344"/>
      <c r="C685" s="344"/>
      <c r="D685" s="344"/>
      <c r="E685" s="345"/>
      <c r="F685" s="346"/>
      <c r="G685" s="344"/>
      <c r="H685" s="11"/>
      <c r="I685" s="346"/>
      <c r="J685" s="410"/>
      <c r="K685" s="410"/>
      <c r="L685" s="410"/>
    </row>
    <row r="686" spans="1:12">
      <c r="A686" s="344"/>
      <c r="B686" s="344"/>
      <c r="C686" s="344"/>
      <c r="D686" s="344"/>
      <c r="E686" s="345"/>
      <c r="F686" s="346"/>
      <c r="G686" s="344"/>
      <c r="H686" s="11"/>
      <c r="I686" s="346"/>
      <c r="J686" s="410"/>
      <c r="K686" s="410"/>
      <c r="L686" s="410"/>
    </row>
    <row r="687" spans="1:12">
      <c r="A687" s="344"/>
      <c r="B687" s="344"/>
      <c r="C687" s="344"/>
      <c r="D687" s="344"/>
      <c r="E687" s="345"/>
      <c r="F687" s="346"/>
      <c r="G687" s="344"/>
      <c r="H687" s="11"/>
      <c r="I687" s="346"/>
      <c r="J687" s="410"/>
      <c r="K687" s="410"/>
      <c r="L687" s="410"/>
    </row>
    <row r="688" spans="1:12">
      <c r="A688" s="344"/>
      <c r="B688" s="344"/>
      <c r="C688" s="344"/>
      <c r="D688" s="344"/>
      <c r="E688" s="345"/>
      <c r="F688" s="346"/>
      <c r="G688" s="344"/>
      <c r="H688" s="11"/>
      <c r="I688" s="346"/>
      <c r="J688" s="410"/>
      <c r="K688" s="410"/>
      <c r="L688" s="410"/>
    </row>
    <row r="689" spans="1:12">
      <c r="A689" s="344"/>
      <c r="B689" s="344"/>
      <c r="C689" s="344"/>
      <c r="D689" s="344"/>
      <c r="E689" s="345"/>
      <c r="F689" s="346"/>
      <c r="G689" s="344"/>
      <c r="H689" s="11"/>
      <c r="I689" s="346"/>
      <c r="J689" s="410"/>
      <c r="K689" s="410"/>
      <c r="L689" s="410"/>
    </row>
    <row r="690" spans="1:12">
      <c r="A690" s="344"/>
      <c r="B690" s="344"/>
      <c r="C690" s="344"/>
      <c r="D690" s="344"/>
      <c r="E690" s="345"/>
      <c r="F690" s="346"/>
      <c r="G690" s="344"/>
      <c r="H690" s="11"/>
      <c r="I690" s="346"/>
      <c r="J690" s="410"/>
      <c r="K690" s="410"/>
      <c r="L690" s="410"/>
    </row>
    <row r="691" spans="1:12">
      <c r="A691" s="344"/>
      <c r="B691" s="344"/>
      <c r="C691" s="344"/>
      <c r="D691" s="344"/>
      <c r="E691" s="345"/>
      <c r="F691" s="346"/>
      <c r="G691" s="344"/>
      <c r="H691" s="11"/>
      <c r="I691" s="346"/>
      <c r="J691" s="410"/>
      <c r="K691" s="410"/>
      <c r="L691" s="410"/>
    </row>
    <row r="692" spans="1:12">
      <c r="A692" s="344"/>
      <c r="B692" s="344"/>
      <c r="C692" s="344"/>
      <c r="D692" s="344"/>
      <c r="E692" s="345"/>
      <c r="F692" s="346"/>
      <c r="G692" s="344"/>
      <c r="H692" s="11"/>
      <c r="I692" s="346"/>
      <c r="J692" s="410"/>
      <c r="K692" s="410"/>
      <c r="L692" s="410"/>
    </row>
    <row r="693" spans="1:12">
      <c r="A693" s="344"/>
      <c r="B693" s="344"/>
      <c r="C693" s="344"/>
      <c r="D693" s="344"/>
      <c r="E693" s="345"/>
      <c r="F693" s="346"/>
      <c r="G693" s="344"/>
      <c r="H693" s="11"/>
      <c r="I693" s="346"/>
      <c r="J693" s="410"/>
      <c r="K693" s="410"/>
      <c r="L693" s="410"/>
    </row>
    <row r="694" spans="1:12">
      <c r="A694" s="344"/>
      <c r="B694" s="344"/>
      <c r="C694" s="344"/>
      <c r="D694" s="344"/>
      <c r="E694" s="345"/>
      <c r="F694" s="346"/>
      <c r="G694" s="344"/>
      <c r="H694" s="11"/>
      <c r="I694" s="346"/>
      <c r="J694" s="410"/>
      <c r="K694" s="410"/>
      <c r="L694" s="410"/>
    </row>
    <row r="695" spans="1:12">
      <c r="A695" s="344"/>
      <c r="B695" s="344"/>
      <c r="C695" s="344"/>
      <c r="D695" s="344"/>
      <c r="E695" s="345"/>
      <c r="F695" s="346"/>
      <c r="G695" s="344"/>
      <c r="H695" s="11"/>
      <c r="I695" s="346"/>
      <c r="J695" s="410"/>
      <c r="K695" s="410"/>
      <c r="L695" s="410"/>
    </row>
    <row r="696" spans="1:12">
      <c r="A696" s="344"/>
      <c r="B696" s="344"/>
      <c r="C696" s="344"/>
      <c r="D696" s="344"/>
      <c r="E696" s="345"/>
      <c r="F696" s="346"/>
      <c r="G696" s="344"/>
      <c r="H696" s="11"/>
      <c r="I696" s="346"/>
      <c r="J696" s="410"/>
      <c r="K696" s="410"/>
      <c r="L696" s="410"/>
    </row>
    <row r="697" spans="1:12">
      <c r="A697" s="344"/>
      <c r="B697" s="344"/>
      <c r="C697" s="344"/>
      <c r="D697" s="344"/>
      <c r="E697" s="345"/>
      <c r="F697" s="346"/>
      <c r="G697" s="344"/>
      <c r="H697" s="11"/>
      <c r="I697" s="346"/>
      <c r="J697" s="410"/>
      <c r="K697" s="410"/>
      <c r="L697" s="410"/>
    </row>
    <row r="698" spans="1:12">
      <c r="A698" s="344"/>
      <c r="B698" s="344"/>
      <c r="C698" s="344"/>
      <c r="D698" s="344"/>
      <c r="E698" s="345"/>
      <c r="F698" s="346"/>
      <c r="G698" s="344"/>
      <c r="H698" s="11"/>
      <c r="I698" s="346"/>
      <c r="J698" s="410"/>
      <c r="K698" s="410"/>
      <c r="L698" s="410"/>
    </row>
    <row r="699" spans="1:12">
      <c r="A699" s="344"/>
      <c r="B699" s="344"/>
      <c r="C699" s="344"/>
      <c r="D699" s="344"/>
      <c r="E699" s="345"/>
      <c r="F699" s="346"/>
      <c r="G699" s="344"/>
      <c r="H699" s="11"/>
      <c r="I699" s="346"/>
      <c r="J699" s="410"/>
      <c r="K699" s="410"/>
      <c r="L699" s="410"/>
    </row>
    <row r="700" spans="1:12">
      <c r="A700" s="344"/>
      <c r="B700" s="344"/>
      <c r="C700" s="344"/>
      <c r="D700" s="344"/>
      <c r="E700" s="345"/>
      <c r="F700" s="346"/>
      <c r="G700" s="344"/>
      <c r="H700" s="11"/>
      <c r="I700" s="346"/>
      <c r="J700" s="410"/>
      <c r="K700" s="410"/>
      <c r="L700" s="410"/>
    </row>
    <row r="701" spans="1:12">
      <c r="A701" s="344"/>
      <c r="B701" s="344"/>
      <c r="C701" s="344"/>
      <c r="D701" s="344"/>
      <c r="E701" s="345"/>
      <c r="F701" s="346"/>
      <c r="G701" s="344"/>
      <c r="H701" s="11"/>
      <c r="I701" s="346"/>
      <c r="J701" s="410"/>
      <c r="K701" s="410"/>
      <c r="L701" s="410"/>
    </row>
    <row r="702" spans="1:12">
      <c r="A702" s="344"/>
      <c r="B702" s="344"/>
      <c r="C702" s="344"/>
      <c r="D702" s="344"/>
      <c r="E702" s="345"/>
      <c r="F702" s="346"/>
      <c r="G702" s="344"/>
      <c r="H702" s="11"/>
      <c r="I702" s="346"/>
      <c r="J702" s="410"/>
      <c r="K702" s="410"/>
      <c r="L702" s="410"/>
    </row>
    <row r="703" spans="1:12">
      <c r="A703" s="344"/>
      <c r="B703" s="344"/>
      <c r="C703" s="344"/>
      <c r="D703" s="344"/>
      <c r="E703" s="345"/>
      <c r="F703" s="346"/>
      <c r="G703" s="344"/>
      <c r="H703" s="11"/>
      <c r="I703" s="346"/>
      <c r="J703" s="410"/>
      <c r="K703" s="410"/>
      <c r="L703" s="410"/>
    </row>
    <row r="704" spans="1:12">
      <c r="A704" s="344"/>
      <c r="B704" s="344"/>
      <c r="C704" s="344"/>
      <c r="D704" s="344"/>
      <c r="E704" s="345"/>
      <c r="F704" s="346"/>
      <c r="G704" s="344"/>
      <c r="H704" s="11"/>
      <c r="I704" s="346"/>
      <c r="J704" s="410"/>
      <c r="K704" s="410"/>
      <c r="L704" s="410"/>
    </row>
    <row r="705" spans="1:12">
      <c r="A705" s="344"/>
      <c r="B705" s="344"/>
      <c r="C705" s="344"/>
      <c r="D705" s="344"/>
      <c r="E705" s="345"/>
      <c r="F705" s="346"/>
      <c r="G705" s="344"/>
      <c r="H705" s="11"/>
      <c r="I705" s="346"/>
      <c r="J705" s="410"/>
      <c r="K705" s="410"/>
      <c r="L705" s="410"/>
    </row>
    <row r="706" spans="1:12">
      <c r="A706" s="344"/>
      <c r="B706" s="344"/>
      <c r="C706" s="344"/>
      <c r="D706" s="344"/>
      <c r="E706" s="345"/>
      <c r="F706" s="346"/>
      <c r="G706" s="344"/>
      <c r="H706" s="11"/>
      <c r="I706" s="346"/>
      <c r="J706" s="410"/>
      <c r="K706" s="410"/>
      <c r="L706" s="410"/>
    </row>
    <row r="707" spans="1:12">
      <c r="A707" s="344"/>
      <c r="B707" s="344"/>
      <c r="C707" s="344"/>
      <c r="D707" s="344"/>
      <c r="E707" s="345"/>
      <c r="F707" s="346"/>
      <c r="G707" s="344"/>
      <c r="H707" s="11"/>
      <c r="I707" s="346"/>
      <c r="J707" s="410"/>
      <c r="K707" s="410"/>
      <c r="L707" s="410"/>
    </row>
    <row r="708" spans="1:12">
      <c r="A708" s="344"/>
      <c r="B708" s="344"/>
      <c r="C708" s="344"/>
      <c r="D708" s="344"/>
      <c r="E708" s="345"/>
      <c r="F708" s="346"/>
      <c r="G708" s="344"/>
      <c r="H708" s="11"/>
      <c r="I708" s="346"/>
      <c r="J708" s="410"/>
      <c r="K708" s="410"/>
      <c r="L708" s="410"/>
    </row>
    <row r="709" spans="1:12">
      <c r="A709" s="344"/>
      <c r="B709" s="344"/>
      <c r="C709" s="344"/>
      <c r="D709" s="344"/>
      <c r="E709" s="345"/>
      <c r="F709" s="346"/>
      <c r="G709" s="344"/>
      <c r="H709" s="11"/>
      <c r="I709" s="346"/>
      <c r="J709" s="410"/>
      <c r="K709" s="410"/>
      <c r="L709" s="410"/>
    </row>
    <row r="710" spans="1:12">
      <c r="A710" s="344"/>
      <c r="B710" s="344"/>
      <c r="C710" s="344"/>
      <c r="D710" s="344"/>
      <c r="E710" s="345"/>
      <c r="F710" s="346"/>
      <c r="G710" s="344"/>
      <c r="H710" s="11"/>
      <c r="I710" s="346"/>
      <c r="J710" s="410"/>
      <c r="K710" s="410"/>
      <c r="L710" s="410"/>
    </row>
    <row r="711" spans="1:12">
      <c r="A711" s="344"/>
      <c r="B711" s="344"/>
      <c r="C711" s="344"/>
      <c r="D711" s="344"/>
      <c r="E711" s="345"/>
      <c r="F711" s="346"/>
      <c r="G711" s="344"/>
      <c r="H711" s="11"/>
      <c r="I711" s="346"/>
      <c r="J711" s="410"/>
      <c r="K711" s="410"/>
      <c r="L711" s="410"/>
    </row>
    <row r="712" spans="1:12">
      <c r="A712" s="344"/>
      <c r="B712" s="344"/>
      <c r="C712" s="344"/>
      <c r="D712" s="344"/>
      <c r="E712" s="345"/>
      <c r="F712" s="346"/>
      <c r="G712" s="344"/>
      <c r="H712" s="11"/>
      <c r="I712" s="346"/>
      <c r="J712" s="410"/>
      <c r="K712" s="410"/>
      <c r="L712" s="410"/>
    </row>
    <row r="713" spans="1:12">
      <c r="A713" s="344"/>
      <c r="B713" s="344"/>
      <c r="C713" s="344"/>
      <c r="D713" s="344"/>
      <c r="E713" s="345"/>
      <c r="F713" s="346"/>
      <c r="G713" s="344"/>
      <c r="H713" s="11"/>
      <c r="I713" s="346"/>
      <c r="J713" s="410"/>
      <c r="K713" s="410"/>
      <c r="L713" s="410"/>
    </row>
    <row r="714" spans="1:12">
      <c r="A714" s="344"/>
      <c r="B714" s="344"/>
      <c r="C714" s="344"/>
      <c r="D714" s="344"/>
      <c r="E714" s="345"/>
      <c r="F714" s="346"/>
      <c r="G714" s="344"/>
      <c r="H714" s="11"/>
      <c r="I714" s="346"/>
      <c r="J714" s="410"/>
      <c r="K714" s="410"/>
      <c r="L714" s="410"/>
    </row>
    <row r="715" spans="1:12">
      <c r="A715" s="344"/>
      <c r="B715" s="344"/>
      <c r="C715" s="344"/>
      <c r="D715" s="344"/>
      <c r="E715" s="345"/>
      <c r="F715" s="346"/>
      <c r="G715" s="344"/>
      <c r="H715" s="11"/>
      <c r="I715" s="346"/>
      <c r="J715" s="410"/>
      <c r="K715" s="410"/>
      <c r="L715" s="410"/>
    </row>
    <row r="716" spans="1:12">
      <c r="A716" s="344"/>
      <c r="B716" s="344"/>
      <c r="C716" s="344"/>
      <c r="D716" s="344"/>
      <c r="E716" s="345"/>
      <c r="F716" s="346"/>
      <c r="G716" s="344"/>
      <c r="H716" s="11"/>
      <c r="I716" s="346"/>
      <c r="J716" s="410"/>
      <c r="K716" s="410"/>
      <c r="L716" s="410"/>
    </row>
    <row r="717" spans="1:12">
      <c r="A717" s="344"/>
      <c r="B717" s="344"/>
      <c r="C717" s="344"/>
      <c r="D717" s="344"/>
      <c r="E717" s="345"/>
      <c r="F717" s="346"/>
      <c r="G717" s="344"/>
      <c r="H717" s="11"/>
      <c r="I717" s="346"/>
      <c r="J717" s="410"/>
      <c r="K717" s="410"/>
      <c r="L717" s="410"/>
    </row>
    <row r="718" spans="1:12">
      <c r="A718" s="344"/>
      <c r="B718" s="344"/>
      <c r="C718" s="344"/>
      <c r="D718" s="344"/>
      <c r="E718" s="345"/>
      <c r="F718" s="346"/>
      <c r="G718" s="344"/>
      <c r="H718" s="11"/>
      <c r="I718" s="346"/>
      <c r="J718" s="410"/>
      <c r="K718" s="410"/>
      <c r="L718" s="410"/>
    </row>
    <row r="719" spans="1:12">
      <c r="A719" s="344"/>
      <c r="B719" s="344"/>
      <c r="C719" s="344"/>
      <c r="D719" s="344"/>
      <c r="E719" s="345"/>
      <c r="F719" s="346"/>
      <c r="G719" s="344"/>
      <c r="H719" s="11"/>
      <c r="I719" s="346"/>
      <c r="J719" s="410"/>
      <c r="K719" s="410"/>
      <c r="L719" s="410"/>
    </row>
    <row r="720" spans="1:12">
      <c r="A720" s="344"/>
      <c r="B720" s="344"/>
      <c r="C720" s="344"/>
      <c r="D720" s="344"/>
      <c r="E720" s="345"/>
      <c r="F720" s="346"/>
      <c r="G720" s="344"/>
      <c r="H720" s="11"/>
      <c r="I720" s="346"/>
      <c r="J720" s="410"/>
      <c r="K720" s="410"/>
      <c r="L720" s="410"/>
    </row>
    <row r="721" spans="1:12">
      <c r="A721" s="344"/>
      <c r="B721" s="344"/>
      <c r="C721" s="344"/>
      <c r="D721" s="344"/>
      <c r="E721" s="345"/>
      <c r="F721" s="346"/>
      <c r="G721" s="344"/>
      <c r="H721" s="11"/>
      <c r="I721" s="346"/>
      <c r="J721" s="410"/>
      <c r="K721" s="410"/>
      <c r="L721" s="410"/>
    </row>
    <row r="722" spans="1:12">
      <c r="A722" s="344"/>
      <c r="B722" s="344"/>
      <c r="C722" s="344"/>
      <c r="D722" s="344"/>
      <c r="E722" s="345"/>
      <c r="F722" s="346"/>
      <c r="G722" s="344"/>
      <c r="H722" s="11"/>
      <c r="I722" s="346"/>
      <c r="J722" s="410"/>
      <c r="K722" s="410"/>
      <c r="L722" s="410"/>
    </row>
    <row r="723" spans="1:12">
      <c r="A723" s="344"/>
      <c r="B723" s="344"/>
      <c r="C723" s="344"/>
      <c r="D723" s="344"/>
      <c r="E723" s="345"/>
      <c r="F723" s="346"/>
      <c r="G723" s="344"/>
      <c r="H723" s="11"/>
      <c r="I723" s="346"/>
      <c r="J723" s="410"/>
      <c r="K723" s="410"/>
      <c r="L723" s="410"/>
    </row>
    <row r="724" spans="1:12">
      <c r="A724" s="344"/>
      <c r="B724" s="344"/>
      <c r="C724" s="344"/>
      <c r="D724" s="344"/>
      <c r="E724" s="345"/>
      <c r="F724" s="346"/>
      <c r="G724" s="344"/>
      <c r="H724" s="11"/>
      <c r="I724" s="346"/>
      <c r="J724" s="410"/>
      <c r="K724" s="410"/>
      <c r="L724" s="410"/>
    </row>
    <row r="725" spans="1:12">
      <c r="A725" s="344"/>
      <c r="B725" s="344"/>
      <c r="C725" s="344"/>
      <c r="D725" s="344"/>
      <c r="E725" s="345"/>
      <c r="F725" s="346"/>
      <c r="G725" s="344"/>
      <c r="H725" s="11"/>
      <c r="I725" s="346"/>
      <c r="J725" s="410"/>
      <c r="K725" s="410"/>
      <c r="L725" s="410"/>
    </row>
    <row r="726" spans="1:12">
      <c r="A726" s="344"/>
      <c r="B726" s="344"/>
      <c r="C726" s="344"/>
      <c r="D726" s="344"/>
      <c r="E726" s="345"/>
      <c r="F726" s="346"/>
      <c r="G726" s="344"/>
      <c r="H726" s="11"/>
      <c r="I726" s="346"/>
      <c r="J726" s="410"/>
      <c r="K726" s="410"/>
      <c r="L726" s="410"/>
    </row>
    <row r="727" spans="1:12">
      <c r="A727" s="344"/>
      <c r="B727" s="344"/>
      <c r="C727" s="344"/>
      <c r="D727" s="344"/>
      <c r="E727" s="345"/>
      <c r="F727" s="346"/>
      <c r="G727" s="344"/>
      <c r="H727" s="11"/>
      <c r="I727" s="346"/>
      <c r="J727" s="410"/>
      <c r="K727" s="410"/>
      <c r="L727" s="410"/>
    </row>
    <row r="728" spans="1:12">
      <c r="A728" s="344"/>
      <c r="B728" s="344"/>
      <c r="C728" s="344"/>
      <c r="D728" s="344"/>
      <c r="E728" s="345"/>
      <c r="F728" s="346"/>
      <c r="G728" s="344"/>
      <c r="H728" s="11"/>
      <c r="I728" s="346"/>
      <c r="J728" s="410"/>
      <c r="K728" s="410"/>
      <c r="L728" s="410"/>
    </row>
    <row r="729" spans="1:12">
      <c r="A729" s="344"/>
      <c r="B729" s="344"/>
      <c r="C729" s="344"/>
      <c r="D729" s="344"/>
      <c r="E729" s="345"/>
      <c r="F729" s="346"/>
      <c r="G729" s="344"/>
      <c r="H729" s="11"/>
      <c r="I729" s="346"/>
      <c r="J729" s="410"/>
      <c r="K729" s="410"/>
      <c r="L729" s="410"/>
    </row>
    <row r="730" spans="1:12">
      <c r="A730" s="344"/>
      <c r="B730" s="344"/>
      <c r="C730" s="344"/>
      <c r="D730" s="344"/>
      <c r="E730" s="345"/>
      <c r="F730" s="346"/>
      <c r="G730" s="344"/>
      <c r="H730" s="11"/>
      <c r="I730" s="346"/>
      <c r="J730" s="410"/>
      <c r="K730" s="410"/>
      <c r="L730" s="410"/>
    </row>
    <row r="731" spans="1:12">
      <c r="A731" s="344"/>
      <c r="B731" s="344"/>
      <c r="C731" s="344"/>
      <c r="D731" s="344"/>
      <c r="E731" s="345"/>
      <c r="F731" s="346"/>
      <c r="G731" s="344"/>
      <c r="H731" s="11"/>
      <c r="I731" s="346"/>
      <c r="J731" s="410"/>
      <c r="K731" s="410"/>
      <c r="L731" s="410"/>
    </row>
    <row r="732" spans="1:12">
      <c r="A732" s="344"/>
      <c r="B732" s="344"/>
      <c r="C732" s="344"/>
      <c r="D732" s="344"/>
      <c r="E732" s="345"/>
      <c r="F732" s="346"/>
      <c r="G732" s="344"/>
      <c r="H732" s="11"/>
      <c r="I732" s="346"/>
      <c r="J732" s="410"/>
      <c r="K732" s="410"/>
      <c r="L732" s="410"/>
    </row>
    <row r="733" spans="1:12">
      <c r="A733" s="344"/>
      <c r="B733" s="344"/>
      <c r="C733" s="344"/>
      <c r="D733" s="344"/>
      <c r="E733" s="345"/>
      <c r="F733" s="346"/>
      <c r="G733" s="344"/>
      <c r="H733" s="11"/>
      <c r="I733" s="346"/>
      <c r="J733" s="410"/>
      <c r="K733" s="410"/>
      <c r="L733" s="410"/>
    </row>
    <row r="734" spans="1:12">
      <c r="A734" s="344"/>
      <c r="B734" s="344"/>
      <c r="C734" s="344"/>
      <c r="D734" s="344"/>
      <c r="E734" s="345"/>
      <c r="F734" s="346"/>
      <c r="G734" s="344"/>
      <c r="H734" s="11"/>
      <c r="I734" s="346"/>
      <c r="J734" s="410"/>
      <c r="K734" s="410"/>
      <c r="L734" s="410"/>
    </row>
    <row r="735" spans="1:12">
      <c r="A735" s="344"/>
      <c r="B735" s="344"/>
      <c r="C735" s="344"/>
      <c r="D735" s="344"/>
      <c r="E735" s="345"/>
      <c r="F735" s="346"/>
      <c r="G735" s="344"/>
      <c r="H735" s="11"/>
      <c r="I735" s="346"/>
      <c r="J735" s="410"/>
      <c r="K735" s="410"/>
      <c r="L735" s="410"/>
    </row>
    <row r="736" spans="1:12">
      <c r="A736" s="344"/>
      <c r="B736" s="344"/>
      <c r="C736" s="344"/>
      <c r="D736" s="344"/>
      <c r="E736" s="345"/>
      <c r="F736" s="346"/>
      <c r="G736" s="344"/>
      <c r="H736" s="11"/>
      <c r="I736" s="346"/>
      <c r="J736" s="410"/>
      <c r="K736" s="410"/>
      <c r="L736" s="410"/>
    </row>
    <row r="737" spans="1:12">
      <c r="A737" s="344"/>
      <c r="B737" s="344"/>
      <c r="C737" s="344"/>
      <c r="D737" s="344"/>
      <c r="E737" s="345"/>
      <c r="F737" s="346"/>
      <c r="G737" s="344"/>
      <c r="H737" s="11"/>
      <c r="I737" s="346"/>
      <c r="J737" s="410"/>
      <c r="K737" s="410"/>
      <c r="L737" s="410"/>
    </row>
    <row r="738" spans="1:12">
      <c r="A738" s="344"/>
      <c r="B738" s="344"/>
      <c r="C738" s="344"/>
      <c r="D738" s="344"/>
      <c r="E738" s="345"/>
      <c r="F738" s="346"/>
      <c r="G738" s="344"/>
      <c r="H738" s="11"/>
      <c r="I738" s="346"/>
      <c r="J738" s="410"/>
      <c r="K738" s="410"/>
      <c r="L738" s="410"/>
    </row>
    <row r="739" spans="1:12">
      <c r="A739" s="344"/>
      <c r="B739" s="344"/>
      <c r="C739" s="344"/>
      <c r="D739" s="344"/>
      <c r="E739" s="345"/>
      <c r="F739" s="346"/>
      <c r="G739" s="344"/>
      <c r="H739" s="11"/>
      <c r="I739" s="346"/>
      <c r="J739" s="410"/>
      <c r="K739" s="410"/>
      <c r="L739" s="410"/>
    </row>
    <row r="740" spans="1:12">
      <c r="A740" s="344"/>
      <c r="B740" s="344"/>
      <c r="C740" s="344"/>
      <c r="D740" s="344"/>
      <c r="E740" s="345"/>
      <c r="F740" s="346"/>
      <c r="G740" s="344"/>
      <c r="H740" s="11"/>
      <c r="I740" s="346"/>
      <c r="J740" s="410"/>
      <c r="K740" s="410"/>
      <c r="L740" s="410"/>
    </row>
    <row r="741" spans="1:12">
      <c r="A741" s="344"/>
      <c r="B741" s="344"/>
      <c r="C741" s="344"/>
      <c r="D741" s="344"/>
      <c r="E741" s="345"/>
      <c r="F741" s="346"/>
      <c r="G741" s="344"/>
      <c r="H741" s="11"/>
      <c r="I741" s="346"/>
      <c r="J741" s="410"/>
      <c r="K741" s="410"/>
      <c r="L741" s="410"/>
    </row>
    <row r="742" spans="1:12">
      <c r="A742" s="344"/>
      <c r="B742" s="344"/>
      <c r="C742" s="344"/>
      <c r="D742" s="344"/>
      <c r="E742" s="345"/>
      <c r="F742" s="346"/>
      <c r="G742" s="344"/>
      <c r="H742" s="11"/>
      <c r="I742" s="346"/>
      <c r="J742" s="410"/>
      <c r="K742" s="410"/>
      <c r="L742" s="410"/>
    </row>
    <row r="743" spans="1:12">
      <c r="A743" s="344"/>
      <c r="B743" s="344"/>
      <c r="C743" s="344"/>
      <c r="D743" s="344"/>
      <c r="E743" s="345"/>
      <c r="F743" s="346"/>
      <c r="G743" s="344"/>
      <c r="H743" s="11"/>
      <c r="I743" s="346"/>
      <c r="J743" s="410"/>
      <c r="K743" s="410"/>
      <c r="L743" s="410"/>
    </row>
    <row r="744" spans="1:12">
      <c r="A744" s="344"/>
      <c r="B744" s="344"/>
      <c r="C744" s="344"/>
      <c r="D744" s="344"/>
      <c r="E744" s="345"/>
      <c r="F744" s="346"/>
      <c r="G744" s="344"/>
      <c r="H744" s="11"/>
      <c r="I744" s="346"/>
      <c r="J744" s="410"/>
      <c r="K744" s="410"/>
      <c r="L744" s="410"/>
    </row>
    <row r="745" spans="1:12">
      <c r="A745" s="344"/>
      <c r="B745" s="344"/>
      <c r="C745" s="344"/>
      <c r="D745" s="344"/>
      <c r="E745" s="345"/>
      <c r="F745" s="346"/>
      <c r="G745" s="344"/>
      <c r="H745" s="11"/>
      <c r="I745" s="346"/>
      <c r="J745" s="410"/>
      <c r="K745" s="410"/>
      <c r="L745" s="410"/>
    </row>
    <row r="746" spans="1:12">
      <c r="A746" s="344"/>
      <c r="B746" s="344"/>
      <c r="C746" s="344"/>
      <c r="D746" s="344"/>
      <c r="E746" s="345"/>
      <c r="F746" s="346"/>
      <c r="G746" s="344"/>
      <c r="H746" s="11"/>
      <c r="I746" s="346"/>
      <c r="J746" s="410"/>
      <c r="K746" s="410"/>
      <c r="L746" s="410"/>
    </row>
    <row r="747" spans="1:12">
      <c r="A747" s="344"/>
      <c r="B747" s="344"/>
      <c r="C747" s="344"/>
      <c r="D747" s="344"/>
      <c r="E747" s="345"/>
      <c r="F747" s="346"/>
      <c r="G747" s="344"/>
      <c r="H747" s="11"/>
      <c r="I747" s="346"/>
      <c r="J747" s="410"/>
      <c r="K747" s="410"/>
      <c r="L747" s="410"/>
    </row>
    <row r="748" spans="1:12">
      <c r="A748" s="344"/>
      <c r="B748" s="344"/>
      <c r="C748" s="344"/>
      <c r="D748" s="344"/>
      <c r="E748" s="345"/>
      <c r="F748" s="346"/>
      <c r="G748" s="344"/>
      <c r="H748" s="11"/>
      <c r="I748" s="346"/>
      <c r="J748" s="410"/>
      <c r="K748" s="410"/>
      <c r="L748" s="410"/>
    </row>
    <row r="749" spans="1:12">
      <c r="A749" s="344"/>
      <c r="B749" s="344"/>
      <c r="C749" s="344"/>
      <c r="D749" s="344"/>
      <c r="E749" s="345"/>
      <c r="F749" s="346"/>
      <c r="G749" s="344"/>
      <c r="H749" s="11"/>
      <c r="I749" s="346"/>
      <c r="J749" s="410"/>
      <c r="K749" s="410"/>
      <c r="L749" s="410"/>
    </row>
    <row r="750" spans="1:12">
      <c r="A750" s="344"/>
      <c r="B750" s="344"/>
      <c r="C750" s="344"/>
      <c r="D750" s="344"/>
      <c r="E750" s="345"/>
      <c r="F750" s="346"/>
      <c r="G750" s="344"/>
      <c r="H750" s="11"/>
      <c r="I750" s="346"/>
      <c r="J750" s="410"/>
      <c r="K750" s="410"/>
      <c r="L750" s="410"/>
    </row>
    <row r="751" spans="1:12">
      <c r="A751" s="344"/>
      <c r="B751" s="344"/>
      <c r="C751" s="344"/>
      <c r="D751" s="344"/>
      <c r="E751" s="345"/>
      <c r="F751" s="346"/>
      <c r="G751" s="344"/>
      <c r="H751" s="11"/>
      <c r="I751" s="346"/>
      <c r="J751" s="410"/>
      <c r="K751" s="410"/>
      <c r="L751" s="410"/>
    </row>
    <row r="752" spans="1:12">
      <c r="A752" s="344"/>
      <c r="B752" s="344"/>
      <c r="C752" s="344"/>
      <c r="D752" s="344"/>
      <c r="E752" s="345"/>
      <c r="F752" s="346"/>
      <c r="G752" s="344"/>
      <c r="H752" s="11"/>
      <c r="I752" s="346"/>
      <c r="J752" s="410"/>
      <c r="K752" s="410"/>
      <c r="L752" s="410"/>
    </row>
    <row r="753" spans="1:12">
      <c r="A753" s="344"/>
      <c r="B753" s="344"/>
      <c r="C753" s="344"/>
      <c r="D753" s="344"/>
      <c r="E753" s="345"/>
      <c r="F753" s="346"/>
      <c r="G753" s="344"/>
      <c r="H753" s="11"/>
      <c r="I753" s="346"/>
      <c r="J753" s="410"/>
      <c r="K753" s="410"/>
      <c r="L753" s="410"/>
    </row>
    <row r="754" spans="1:12">
      <c r="A754" s="344"/>
      <c r="B754" s="344"/>
      <c r="C754" s="344"/>
      <c r="D754" s="344"/>
      <c r="E754" s="345"/>
      <c r="F754" s="346"/>
      <c r="G754" s="344"/>
      <c r="H754" s="11"/>
      <c r="I754" s="346"/>
      <c r="J754" s="410"/>
      <c r="K754" s="410"/>
      <c r="L754" s="410"/>
    </row>
    <row r="755" spans="1:12">
      <c r="A755" s="344"/>
      <c r="B755" s="344"/>
      <c r="C755" s="344"/>
      <c r="D755" s="344"/>
      <c r="E755" s="345"/>
      <c r="F755" s="346"/>
      <c r="G755" s="344"/>
      <c r="H755" s="11"/>
      <c r="I755" s="346"/>
      <c r="J755" s="410"/>
      <c r="K755" s="410"/>
      <c r="L755" s="410"/>
    </row>
    <row r="756" spans="1:12">
      <c r="A756" s="344"/>
      <c r="B756" s="344"/>
      <c r="C756" s="344"/>
      <c r="D756" s="344"/>
      <c r="E756" s="345"/>
      <c r="F756" s="346"/>
      <c r="G756" s="344"/>
      <c r="H756" s="11"/>
      <c r="I756" s="346"/>
      <c r="J756" s="410"/>
      <c r="K756" s="410"/>
      <c r="L756" s="410"/>
    </row>
    <row r="757" spans="1:12">
      <c r="A757" s="344"/>
      <c r="B757" s="344"/>
      <c r="C757" s="344"/>
      <c r="D757" s="344"/>
      <c r="E757" s="345"/>
      <c r="F757" s="346"/>
      <c r="G757" s="344"/>
      <c r="H757" s="11"/>
      <c r="I757" s="346"/>
      <c r="J757" s="410"/>
      <c r="K757" s="410"/>
      <c r="L757" s="410"/>
    </row>
    <row r="758" spans="1:12">
      <c r="A758" s="344"/>
      <c r="B758" s="344"/>
      <c r="C758" s="344"/>
      <c r="D758" s="344"/>
      <c r="E758" s="345"/>
      <c r="F758" s="346"/>
      <c r="G758" s="344"/>
      <c r="H758" s="11"/>
      <c r="I758" s="346"/>
      <c r="J758" s="410"/>
      <c r="K758" s="410"/>
      <c r="L758" s="410"/>
    </row>
    <row r="759" spans="1:12">
      <c r="A759" s="344"/>
      <c r="B759" s="344"/>
      <c r="C759" s="344"/>
      <c r="D759" s="344"/>
      <c r="E759" s="345"/>
      <c r="F759" s="346"/>
      <c r="G759" s="344"/>
      <c r="H759" s="11"/>
      <c r="I759" s="346"/>
      <c r="J759" s="410"/>
      <c r="K759" s="410"/>
      <c r="L759" s="410"/>
    </row>
    <row r="760" spans="1:12">
      <c r="A760" s="344"/>
      <c r="B760" s="344"/>
      <c r="C760" s="344"/>
      <c r="D760" s="344"/>
      <c r="E760" s="345"/>
      <c r="F760" s="346"/>
      <c r="G760" s="344"/>
      <c r="H760" s="11"/>
      <c r="I760" s="346"/>
      <c r="J760" s="410"/>
      <c r="K760" s="410"/>
      <c r="L760" s="410"/>
    </row>
    <row r="761" spans="1:12">
      <c r="A761" s="344"/>
      <c r="B761" s="344"/>
      <c r="C761" s="344"/>
      <c r="D761" s="344"/>
      <c r="E761" s="345"/>
      <c r="F761" s="346"/>
      <c r="G761" s="344"/>
      <c r="H761" s="11"/>
      <c r="I761" s="346"/>
      <c r="J761" s="410"/>
      <c r="K761" s="410"/>
      <c r="L761" s="410"/>
    </row>
    <row r="762" spans="1:12">
      <c r="A762" s="344"/>
      <c r="B762" s="344"/>
      <c r="C762" s="344"/>
      <c r="D762" s="344"/>
      <c r="E762" s="345"/>
      <c r="F762" s="346"/>
      <c r="G762" s="344"/>
      <c r="H762" s="11"/>
      <c r="I762" s="346"/>
      <c r="J762" s="410"/>
      <c r="K762" s="410"/>
      <c r="L762" s="410"/>
    </row>
    <row r="763" spans="1:12">
      <c r="A763" s="344"/>
      <c r="B763" s="344"/>
      <c r="C763" s="344"/>
      <c r="D763" s="344"/>
      <c r="E763" s="345"/>
      <c r="F763" s="346"/>
      <c r="G763" s="344"/>
      <c r="H763" s="11"/>
      <c r="I763" s="346"/>
      <c r="J763" s="410"/>
      <c r="K763" s="410"/>
      <c r="L763" s="410"/>
    </row>
    <row r="764" spans="1:12">
      <c r="A764" s="344"/>
      <c r="B764" s="344"/>
      <c r="C764" s="344"/>
      <c r="D764" s="344"/>
      <c r="E764" s="345"/>
      <c r="F764" s="346"/>
      <c r="G764" s="344"/>
      <c r="H764" s="11"/>
      <c r="I764" s="346"/>
      <c r="J764" s="410"/>
      <c r="K764" s="410"/>
      <c r="L764" s="410"/>
    </row>
    <row r="765" spans="1:12">
      <c r="A765" s="344"/>
      <c r="B765" s="344"/>
      <c r="C765" s="344"/>
      <c r="D765" s="344"/>
      <c r="E765" s="345"/>
      <c r="F765" s="346"/>
      <c r="G765" s="344"/>
      <c r="H765" s="11"/>
      <c r="I765" s="346"/>
      <c r="J765" s="410"/>
      <c r="K765" s="410"/>
      <c r="L765" s="410"/>
    </row>
    <row r="766" spans="1:12">
      <c r="A766" s="344"/>
      <c r="B766" s="344"/>
      <c r="C766" s="344"/>
      <c r="D766" s="344"/>
      <c r="E766" s="345"/>
      <c r="F766" s="346"/>
      <c r="G766" s="344"/>
      <c r="H766" s="11"/>
      <c r="I766" s="346"/>
      <c r="J766" s="410"/>
      <c r="K766" s="410"/>
      <c r="L766" s="410"/>
    </row>
    <row r="767" spans="1:12">
      <c r="A767" s="344"/>
      <c r="B767" s="344"/>
      <c r="C767" s="344"/>
      <c r="D767" s="344"/>
      <c r="E767" s="345"/>
      <c r="F767" s="346"/>
      <c r="G767" s="344"/>
      <c r="H767" s="11"/>
      <c r="I767" s="346"/>
      <c r="J767" s="410"/>
      <c r="K767" s="410"/>
      <c r="L767" s="410"/>
    </row>
    <row r="768" spans="1:12">
      <c r="A768" s="344"/>
      <c r="B768" s="344"/>
      <c r="C768" s="344"/>
      <c r="D768" s="344"/>
      <c r="E768" s="345"/>
      <c r="F768" s="346"/>
      <c r="G768" s="344"/>
      <c r="H768" s="11"/>
      <c r="I768" s="346"/>
      <c r="J768" s="410"/>
      <c r="K768" s="410"/>
      <c r="L768" s="410"/>
    </row>
    <row r="769" spans="1:12">
      <c r="A769" s="344"/>
      <c r="B769" s="344"/>
      <c r="C769" s="344"/>
      <c r="D769" s="344"/>
      <c r="E769" s="345"/>
      <c r="F769" s="346"/>
      <c r="G769" s="344"/>
      <c r="H769" s="11"/>
      <c r="I769" s="346"/>
      <c r="J769" s="410"/>
      <c r="K769" s="410"/>
      <c r="L769" s="410"/>
    </row>
    <row r="770" spans="1:12">
      <c r="A770" s="344"/>
      <c r="B770" s="344"/>
      <c r="C770" s="344"/>
      <c r="D770" s="344"/>
      <c r="E770" s="345"/>
      <c r="F770" s="346"/>
      <c r="G770" s="344"/>
      <c r="H770" s="11"/>
      <c r="I770" s="346"/>
      <c r="J770" s="410"/>
      <c r="K770" s="410"/>
      <c r="L770" s="410"/>
    </row>
    <row r="771" spans="1:12">
      <c r="A771" s="344"/>
      <c r="B771" s="344"/>
      <c r="C771" s="344"/>
      <c r="D771" s="344"/>
      <c r="E771" s="345"/>
      <c r="F771" s="346"/>
      <c r="G771" s="344"/>
      <c r="H771" s="11"/>
      <c r="I771" s="346"/>
      <c r="J771" s="410"/>
      <c r="K771" s="410"/>
      <c r="L771" s="410"/>
    </row>
    <row r="772" spans="1:12">
      <c r="A772" s="344"/>
      <c r="B772" s="344"/>
      <c r="C772" s="344"/>
      <c r="D772" s="344"/>
      <c r="E772" s="345"/>
      <c r="F772" s="346"/>
      <c r="G772" s="344"/>
      <c r="H772" s="11"/>
      <c r="I772" s="346"/>
      <c r="J772" s="410"/>
      <c r="K772" s="410"/>
      <c r="L772" s="410"/>
    </row>
    <row r="773" spans="1:12">
      <c r="A773" s="344"/>
      <c r="B773" s="344"/>
      <c r="C773" s="344"/>
      <c r="D773" s="344"/>
      <c r="E773" s="345"/>
      <c r="F773" s="346"/>
      <c r="G773" s="344"/>
      <c r="H773" s="11"/>
      <c r="I773" s="346"/>
      <c r="J773" s="410"/>
      <c r="K773" s="410"/>
      <c r="L773" s="410"/>
    </row>
    <row r="774" spans="1:12">
      <c r="A774" s="344"/>
      <c r="B774" s="344"/>
      <c r="C774" s="344"/>
      <c r="D774" s="344"/>
      <c r="E774" s="345"/>
      <c r="F774" s="346"/>
      <c r="G774" s="344"/>
      <c r="H774" s="11"/>
      <c r="I774" s="346"/>
      <c r="J774" s="410"/>
      <c r="K774" s="410"/>
      <c r="L774" s="410"/>
    </row>
    <row r="775" spans="1:12">
      <c r="A775" s="344"/>
      <c r="B775" s="344"/>
      <c r="C775" s="344"/>
      <c r="D775" s="344"/>
      <c r="E775" s="345"/>
      <c r="F775" s="346"/>
      <c r="G775" s="344"/>
      <c r="H775" s="11"/>
      <c r="I775" s="346"/>
      <c r="J775" s="410"/>
      <c r="K775" s="410"/>
      <c r="L775" s="410"/>
    </row>
    <row r="776" spans="1:12">
      <c r="A776" s="344"/>
      <c r="B776" s="344"/>
      <c r="C776" s="344"/>
      <c r="D776" s="344"/>
      <c r="E776" s="345"/>
      <c r="F776" s="346"/>
      <c r="G776" s="344"/>
      <c r="H776" s="11"/>
      <c r="I776" s="346"/>
      <c r="J776" s="410"/>
      <c r="K776" s="410"/>
      <c r="L776" s="410"/>
    </row>
    <row r="777" spans="1:12">
      <c r="A777" s="344"/>
      <c r="B777" s="344"/>
      <c r="C777" s="344"/>
      <c r="D777" s="344"/>
      <c r="E777" s="345"/>
      <c r="F777" s="346"/>
      <c r="G777" s="344"/>
      <c r="H777" s="11"/>
      <c r="I777" s="346"/>
      <c r="J777" s="410"/>
      <c r="K777" s="410"/>
      <c r="L777" s="410"/>
    </row>
    <row r="778" spans="1:12">
      <c r="A778" s="344"/>
      <c r="B778" s="344"/>
      <c r="C778" s="344"/>
      <c r="D778" s="344"/>
      <c r="E778" s="345"/>
      <c r="F778" s="346"/>
      <c r="G778" s="344"/>
      <c r="H778" s="11"/>
      <c r="I778" s="346"/>
      <c r="J778" s="410"/>
      <c r="K778" s="410"/>
      <c r="L778" s="410"/>
    </row>
    <row r="779" spans="1:12">
      <c r="A779" s="344"/>
      <c r="B779" s="344"/>
      <c r="C779" s="344"/>
      <c r="D779" s="344"/>
      <c r="E779" s="345"/>
      <c r="F779" s="346"/>
      <c r="G779" s="344"/>
      <c r="H779" s="11"/>
      <c r="I779" s="346"/>
      <c r="J779" s="410"/>
      <c r="K779" s="410"/>
      <c r="L779" s="410"/>
    </row>
    <row r="780" spans="1:12">
      <c r="A780" s="344"/>
      <c r="B780" s="344"/>
      <c r="C780" s="344"/>
      <c r="D780" s="344"/>
      <c r="E780" s="345"/>
      <c r="F780" s="346"/>
      <c r="G780" s="344"/>
      <c r="H780" s="11"/>
      <c r="I780" s="346"/>
      <c r="J780" s="410"/>
      <c r="K780" s="410"/>
      <c r="L780" s="410"/>
    </row>
    <row r="781" spans="1:12">
      <c r="A781" s="344"/>
      <c r="B781" s="344"/>
      <c r="C781" s="344"/>
      <c r="D781" s="344"/>
      <c r="E781" s="345"/>
      <c r="F781" s="346"/>
      <c r="G781" s="344"/>
      <c r="H781" s="11"/>
      <c r="I781" s="346"/>
      <c r="J781" s="410"/>
      <c r="K781" s="410"/>
      <c r="L781" s="410"/>
    </row>
    <row r="782" spans="1:12">
      <c r="A782" s="344"/>
      <c r="B782" s="344"/>
      <c r="C782" s="344"/>
      <c r="D782" s="344"/>
      <c r="E782" s="345"/>
      <c r="F782" s="346"/>
      <c r="G782" s="344"/>
      <c r="H782" s="11"/>
      <c r="I782" s="346"/>
      <c r="J782" s="410"/>
      <c r="K782" s="410"/>
      <c r="L782" s="410"/>
    </row>
    <row r="783" spans="1:12">
      <c r="A783" s="344"/>
      <c r="B783" s="344"/>
      <c r="C783" s="344"/>
      <c r="D783" s="344"/>
      <c r="E783" s="345"/>
      <c r="F783" s="346"/>
      <c r="G783" s="344"/>
      <c r="H783" s="11"/>
      <c r="I783" s="346"/>
      <c r="J783" s="410"/>
      <c r="K783" s="410"/>
      <c r="L783" s="410"/>
    </row>
    <row r="784" spans="1:12">
      <c r="A784" s="344"/>
      <c r="B784" s="344"/>
      <c r="C784" s="344"/>
      <c r="D784" s="344"/>
      <c r="E784" s="345"/>
      <c r="F784" s="346"/>
      <c r="G784" s="344"/>
      <c r="H784" s="11"/>
      <c r="I784" s="346"/>
      <c r="J784" s="410"/>
      <c r="K784" s="410"/>
      <c r="L784" s="410"/>
    </row>
    <row r="785" spans="1:12">
      <c r="A785" s="344"/>
      <c r="B785" s="344"/>
      <c r="C785" s="344"/>
      <c r="D785" s="344"/>
      <c r="E785" s="345"/>
      <c r="F785" s="346"/>
      <c r="G785" s="344"/>
      <c r="H785" s="11"/>
      <c r="I785" s="346"/>
      <c r="J785" s="410"/>
      <c r="K785" s="410"/>
      <c r="L785" s="410"/>
    </row>
    <row r="786" spans="1:12">
      <c r="A786" s="344"/>
      <c r="B786" s="344"/>
      <c r="C786" s="344"/>
      <c r="D786" s="344"/>
      <c r="E786" s="345"/>
      <c r="F786" s="346"/>
      <c r="G786" s="344"/>
      <c r="H786" s="11"/>
      <c r="I786" s="346"/>
      <c r="J786" s="410"/>
      <c r="K786" s="410"/>
      <c r="L786" s="410"/>
    </row>
    <row r="787" spans="1:12">
      <c r="A787" s="344"/>
      <c r="B787" s="344"/>
      <c r="C787" s="344"/>
      <c r="D787" s="344"/>
      <c r="E787" s="345"/>
      <c r="F787" s="346"/>
      <c r="G787" s="344"/>
      <c r="H787" s="11"/>
      <c r="I787" s="346"/>
      <c r="J787" s="410"/>
      <c r="K787" s="410"/>
      <c r="L787" s="410"/>
    </row>
    <row r="788" spans="1:12">
      <c r="A788" s="344"/>
      <c r="B788" s="344"/>
      <c r="C788" s="344"/>
      <c r="D788" s="344"/>
      <c r="E788" s="345"/>
      <c r="F788" s="346"/>
      <c r="G788" s="344"/>
      <c r="H788" s="11"/>
      <c r="I788" s="346"/>
      <c r="J788" s="410"/>
      <c r="K788" s="410"/>
      <c r="L788" s="410"/>
    </row>
    <row r="789" spans="1:12">
      <c r="A789" s="344"/>
      <c r="B789" s="344"/>
      <c r="C789" s="344"/>
      <c r="D789" s="344"/>
      <c r="E789" s="345"/>
      <c r="F789" s="346"/>
      <c r="G789" s="344"/>
      <c r="H789" s="11"/>
      <c r="I789" s="346"/>
      <c r="J789" s="410"/>
      <c r="K789" s="410"/>
      <c r="L789" s="410"/>
    </row>
    <row r="790" spans="1:12">
      <c r="A790" s="344"/>
      <c r="B790" s="344"/>
      <c r="C790" s="344"/>
      <c r="D790" s="344"/>
      <c r="E790" s="345"/>
      <c r="F790" s="346"/>
      <c r="G790" s="344"/>
      <c r="H790" s="11"/>
      <c r="I790" s="346"/>
      <c r="J790" s="410"/>
      <c r="K790" s="410"/>
      <c r="L790" s="410"/>
    </row>
    <row r="791" spans="1:12">
      <c r="A791" s="344"/>
      <c r="B791" s="344"/>
      <c r="C791" s="344"/>
      <c r="D791" s="344"/>
      <c r="E791" s="345"/>
      <c r="F791" s="346"/>
      <c r="G791" s="344"/>
      <c r="H791" s="11"/>
      <c r="I791" s="346"/>
      <c r="J791" s="410"/>
      <c r="K791" s="410"/>
      <c r="L791" s="410"/>
    </row>
    <row r="792" spans="1:12">
      <c r="A792" s="344"/>
      <c r="B792" s="344"/>
      <c r="C792" s="344"/>
      <c r="D792" s="344"/>
      <c r="E792" s="345"/>
      <c r="F792" s="346"/>
      <c r="G792" s="344"/>
      <c r="H792" s="11"/>
      <c r="I792" s="346"/>
      <c r="J792" s="410"/>
      <c r="K792" s="410"/>
      <c r="L792" s="410"/>
    </row>
    <row r="793" spans="1:12">
      <c r="A793" s="344"/>
      <c r="B793" s="344"/>
      <c r="C793" s="344"/>
      <c r="D793" s="344"/>
      <c r="E793" s="345"/>
      <c r="F793" s="346"/>
      <c r="G793" s="344"/>
      <c r="H793" s="11"/>
      <c r="I793" s="346"/>
      <c r="J793" s="410"/>
      <c r="K793" s="410"/>
      <c r="L793" s="410"/>
    </row>
    <row r="794" spans="1:12">
      <c r="A794" s="344"/>
      <c r="B794" s="344"/>
      <c r="C794" s="344"/>
      <c r="D794" s="344"/>
      <c r="E794" s="345"/>
      <c r="F794" s="346"/>
      <c r="G794" s="344"/>
      <c r="H794" s="11"/>
      <c r="I794" s="346"/>
      <c r="J794" s="410"/>
      <c r="K794" s="410"/>
      <c r="L794" s="410"/>
    </row>
    <row r="795" spans="1:12">
      <c r="A795" s="344"/>
      <c r="B795" s="344"/>
      <c r="C795" s="344"/>
      <c r="D795" s="344"/>
      <c r="E795" s="345"/>
      <c r="F795" s="346"/>
      <c r="G795" s="344"/>
      <c r="H795" s="11"/>
      <c r="I795" s="346"/>
      <c r="J795" s="410"/>
      <c r="K795" s="410"/>
      <c r="L795" s="410"/>
    </row>
    <row r="796" spans="1:12">
      <c r="A796" s="344"/>
      <c r="B796" s="344"/>
      <c r="C796" s="344"/>
      <c r="D796" s="344"/>
      <c r="E796" s="345"/>
      <c r="F796" s="346"/>
      <c r="G796" s="344"/>
      <c r="H796" s="11"/>
      <c r="I796" s="346"/>
      <c r="J796" s="410"/>
      <c r="K796" s="410"/>
      <c r="L796" s="410"/>
    </row>
    <row r="797" spans="1:12">
      <c r="A797" s="344"/>
      <c r="B797" s="344"/>
      <c r="C797" s="344"/>
      <c r="D797" s="344"/>
      <c r="E797" s="345"/>
      <c r="F797" s="346"/>
      <c r="G797" s="344"/>
      <c r="H797" s="11"/>
      <c r="I797" s="346"/>
      <c r="J797" s="410"/>
      <c r="K797" s="410"/>
      <c r="L797" s="410"/>
    </row>
    <row r="798" spans="1:12">
      <c r="A798" s="344"/>
      <c r="B798" s="344"/>
      <c r="C798" s="344"/>
      <c r="D798" s="344"/>
      <c r="E798" s="345"/>
      <c r="F798" s="346"/>
      <c r="G798" s="344"/>
      <c r="H798" s="11"/>
      <c r="I798" s="346"/>
      <c r="J798" s="410"/>
      <c r="K798" s="410"/>
      <c r="L798" s="410"/>
    </row>
    <row r="799" spans="1:12">
      <c r="A799" s="344"/>
      <c r="B799" s="344"/>
      <c r="C799" s="344"/>
      <c r="D799" s="344"/>
      <c r="E799" s="345"/>
      <c r="F799" s="346"/>
      <c r="G799" s="344"/>
      <c r="H799" s="11"/>
      <c r="I799" s="346"/>
      <c r="J799" s="410"/>
      <c r="K799" s="410"/>
      <c r="L799" s="410"/>
    </row>
    <row r="800" spans="1:12">
      <c r="A800" s="344"/>
      <c r="B800" s="344"/>
      <c r="C800" s="344"/>
      <c r="D800" s="344"/>
      <c r="E800" s="345"/>
      <c r="F800" s="346"/>
      <c r="G800" s="344"/>
      <c r="H800" s="11"/>
      <c r="I800" s="346"/>
      <c r="J800" s="410"/>
      <c r="K800" s="410"/>
      <c r="L800" s="410"/>
    </row>
    <row r="801" spans="1:12">
      <c r="A801" s="344"/>
      <c r="B801" s="344"/>
      <c r="C801" s="344"/>
      <c r="D801" s="344"/>
      <c r="E801" s="345"/>
      <c r="F801" s="346"/>
      <c r="G801" s="344"/>
      <c r="H801" s="11"/>
      <c r="I801" s="346"/>
      <c r="J801" s="410"/>
      <c r="K801" s="410"/>
      <c r="L801" s="410"/>
    </row>
    <row r="802" spans="1:12">
      <c r="A802" s="344"/>
      <c r="B802" s="344"/>
      <c r="C802" s="344"/>
      <c r="D802" s="344"/>
      <c r="E802" s="345"/>
      <c r="F802" s="346"/>
      <c r="G802" s="344"/>
      <c r="H802" s="11"/>
      <c r="I802" s="346"/>
      <c r="J802" s="410"/>
      <c r="K802" s="410"/>
      <c r="L802" s="410"/>
    </row>
    <row r="803" spans="1:12">
      <c r="A803" s="344"/>
      <c r="B803" s="344"/>
      <c r="C803" s="344"/>
      <c r="D803" s="344"/>
      <c r="E803" s="345"/>
      <c r="F803" s="346"/>
      <c r="G803" s="344"/>
      <c r="H803" s="11"/>
      <c r="I803" s="346"/>
      <c r="J803" s="410"/>
      <c r="K803" s="410"/>
      <c r="L803" s="410"/>
    </row>
    <row r="804" spans="1:12">
      <c r="A804" s="344"/>
      <c r="B804" s="344"/>
      <c r="C804" s="344"/>
      <c r="D804" s="344"/>
      <c r="E804" s="345"/>
      <c r="F804" s="346"/>
      <c r="G804" s="344"/>
      <c r="H804" s="11"/>
      <c r="I804" s="346"/>
      <c r="J804" s="410"/>
      <c r="K804" s="410"/>
      <c r="L804" s="410"/>
    </row>
    <row r="805" spans="1:12">
      <c r="A805" s="344"/>
      <c r="B805" s="344"/>
      <c r="C805" s="344"/>
      <c r="D805" s="344"/>
      <c r="E805" s="345"/>
      <c r="F805" s="346"/>
      <c r="G805" s="344"/>
      <c r="H805" s="11"/>
      <c r="I805" s="346"/>
      <c r="J805" s="410"/>
      <c r="K805" s="410"/>
      <c r="L805" s="410"/>
    </row>
    <row r="806" spans="1:12">
      <c r="A806" s="344"/>
      <c r="B806" s="344"/>
      <c r="C806" s="344"/>
      <c r="D806" s="344"/>
      <c r="E806" s="345"/>
      <c r="F806" s="346"/>
      <c r="G806" s="344"/>
      <c r="H806" s="11"/>
      <c r="I806" s="346"/>
      <c r="J806" s="410"/>
      <c r="K806" s="410"/>
      <c r="L806" s="410"/>
    </row>
    <row r="807" spans="1:12">
      <c r="A807" s="344"/>
      <c r="B807" s="344"/>
      <c r="C807" s="344"/>
      <c r="D807" s="344"/>
      <c r="E807" s="345"/>
      <c r="F807" s="346"/>
      <c r="G807" s="344"/>
      <c r="H807" s="11"/>
      <c r="I807" s="346"/>
      <c r="J807" s="410"/>
      <c r="K807" s="410"/>
      <c r="L807" s="410"/>
    </row>
    <row r="808" spans="1:12">
      <c r="A808" s="344"/>
      <c r="B808" s="344"/>
      <c r="C808" s="344"/>
      <c r="D808" s="344"/>
      <c r="E808" s="345"/>
      <c r="F808" s="346"/>
      <c r="G808" s="344"/>
      <c r="H808" s="11"/>
      <c r="I808" s="346"/>
      <c r="J808" s="410"/>
      <c r="K808" s="410"/>
      <c r="L808" s="410"/>
    </row>
    <row r="809" spans="1:12">
      <c r="A809" s="344"/>
      <c r="B809" s="344"/>
      <c r="C809" s="344"/>
      <c r="D809" s="344"/>
      <c r="E809" s="345"/>
      <c r="F809" s="346"/>
      <c r="G809" s="344"/>
      <c r="H809" s="11"/>
      <c r="I809" s="346"/>
      <c r="J809" s="410"/>
      <c r="K809" s="410"/>
      <c r="L809" s="410"/>
    </row>
    <row r="810" spans="1:12">
      <c r="A810" s="344"/>
      <c r="B810" s="344"/>
      <c r="C810" s="344"/>
      <c r="D810" s="344"/>
      <c r="E810" s="345"/>
      <c r="F810" s="346"/>
      <c r="G810" s="344"/>
      <c r="H810" s="11"/>
      <c r="I810" s="346"/>
      <c r="J810" s="410"/>
      <c r="K810" s="410"/>
      <c r="L810" s="410"/>
    </row>
    <row r="811" spans="1:12">
      <c r="A811" s="344"/>
      <c r="B811" s="344"/>
      <c r="C811" s="344"/>
      <c r="D811" s="344"/>
      <c r="E811" s="345"/>
      <c r="F811" s="346"/>
      <c r="G811" s="344"/>
      <c r="H811" s="11"/>
      <c r="I811" s="346"/>
      <c r="J811" s="410"/>
      <c r="K811" s="410"/>
      <c r="L811" s="410"/>
    </row>
    <row r="812" spans="1:12">
      <c r="A812" s="344"/>
      <c r="B812" s="344"/>
      <c r="C812" s="344"/>
      <c r="D812" s="344"/>
      <c r="E812" s="345"/>
      <c r="F812" s="346"/>
      <c r="G812" s="344"/>
      <c r="H812" s="11"/>
      <c r="I812" s="346"/>
      <c r="J812" s="410"/>
      <c r="K812" s="410"/>
      <c r="L812" s="410"/>
    </row>
    <row r="813" spans="1:12">
      <c r="A813" s="344"/>
      <c r="B813" s="344"/>
      <c r="C813" s="344"/>
      <c r="D813" s="344"/>
      <c r="E813" s="345"/>
      <c r="F813" s="346"/>
      <c r="G813" s="344"/>
      <c r="H813" s="11"/>
      <c r="I813" s="346"/>
      <c r="J813" s="410"/>
      <c r="K813" s="410"/>
      <c r="L813" s="410"/>
    </row>
    <row r="814" spans="1:12">
      <c r="A814" s="344"/>
      <c r="B814" s="344"/>
      <c r="C814" s="344"/>
      <c r="D814" s="344"/>
      <c r="E814" s="345"/>
      <c r="F814" s="346"/>
      <c r="G814" s="344"/>
      <c r="H814" s="11"/>
      <c r="I814" s="346"/>
      <c r="J814" s="410"/>
      <c r="K814" s="410"/>
      <c r="L814" s="410"/>
    </row>
    <row r="815" spans="1:12">
      <c r="A815" s="344"/>
      <c r="B815" s="344"/>
      <c r="C815" s="344"/>
      <c r="D815" s="344"/>
      <c r="E815" s="345"/>
      <c r="F815" s="346"/>
      <c r="G815" s="344"/>
      <c r="H815" s="11"/>
      <c r="I815" s="346"/>
      <c r="J815" s="410"/>
      <c r="K815" s="410"/>
      <c r="L815" s="410"/>
    </row>
    <row r="816" spans="1:12">
      <c r="A816" s="344"/>
      <c r="B816" s="344"/>
      <c r="C816" s="344"/>
      <c r="D816" s="344"/>
      <c r="E816" s="345"/>
      <c r="F816" s="346"/>
      <c r="G816" s="344"/>
      <c r="H816" s="11"/>
      <c r="I816" s="346"/>
      <c r="J816" s="410"/>
      <c r="K816" s="410"/>
      <c r="L816" s="410"/>
    </row>
    <row r="817" spans="1:12">
      <c r="A817" s="344"/>
      <c r="B817" s="344"/>
      <c r="C817" s="344"/>
      <c r="D817" s="344"/>
      <c r="E817" s="345"/>
      <c r="F817" s="346"/>
      <c r="G817" s="344"/>
      <c r="H817" s="11"/>
      <c r="I817" s="346"/>
      <c r="J817" s="410"/>
      <c r="K817" s="410"/>
      <c r="L817" s="410"/>
    </row>
    <row r="818" spans="1:12">
      <c r="A818" s="344"/>
      <c r="B818" s="344"/>
      <c r="C818" s="344"/>
      <c r="D818" s="344"/>
      <c r="E818" s="345"/>
      <c r="F818" s="346"/>
      <c r="G818" s="344"/>
      <c r="H818" s="11"/>
      <c r="I818" s="346"/>
      <c r="J818" s="410"/>
      <c r="K818" s="410"/>
      <c r="L818" s="410"/>
    </row>
    <row r="819" spans="1:12">
      <c r="A819" s="344"/>
      <c r="B819" s="344"/>
      <c r="C819" s="344"/>
      <c r="D819" s="344"/>
      <c r="E819" s="345"/>
      <c r="F819" s="346"/>
      <c r="G819" s="344"/>
      <c r="H819" s="11"/>
      <c r="I819" s="346"/>
      <c r="J819" s="410"/>
      <c r="K819" s="410"/>
      <c r="L819" s="410"/>
    </row>
    <row r="820" spans="1:12">
      <c r="A820" s="344"/>
      <c r="B820" s="344"/>
      <c r="C820" s="344"/>
      <c r="D820" s="344"/>
      <c r="E820" s="345"/>
      <c r="F820" s="346"/>
      <c r="G820" s="344"/>
      <c r="H820" s="11"/>
      <c r="I820" s="346"/>
      <c r="J820" s="410"/>
      <c r="K820" s="410"/>
      <c r="L820" s="410"/>
    </row>
    <row r="821" spans="1:12">
      <c r="A821" s="344"/>
      <c r="B821" s="344"/>
      <c r="C821" s="344"/>
      <c r="D821" s="344"/>
      <c r="E821" s="345"/>
      <c r="F821" s="346"/>
      <c r="G821" s="344"/>
      <c r="H821" s="11"/>
      <c r="I821" s="346"/>
      <c r="J821" s="410"/>
      <c r="K821" s="410"/>
      <c r="L821" s="410"/>
    </row>
    <row r="822" spans="1:12">
      <c r="A822" s="344"/>
      <c r="B822" s="344"/>
      <c r="C822" s="344"/>
      <c r="D822" s="344"/>
      <c r="E822" s="345"/>
      <c r="F822" s="346"/>
      <c r="G822" s="344"/>
      <c r="H822" s="11"/>
      <c r="I822" s="346"/>
      <c r="J822" s="410"/>
      <c r="K822" s="410"/>
      <c r="L822" s="410"/>
    </row>
    <row r="823" spans="1:12">
      <c r="A823" s="344"/>
      <c r="B823" s="344"/>
      <c r="C823" s="344"/>
      <c r="D823" s="344"/>
      <c r="E823" s="345"/>
      <c r="F823" s="346"/>
      <c r="G823" s="344"/>
      <c r="H823" s="11"/>
      <c r="I823" s="346"/>
      <c r="J823" s="410"/>
      <c r="K823" s="410"/>
      <c r="L823" s="410"/>
    </row>
    <row r="824" spans="1:12">
      <c r="A824" s="344"/>
      <c r="B824" s="344"/>
      <c r="C824" s="344"/>
      <c r="D824" s="344"/>
      <c r="E824" s="345"/>
      <c r="F824" s="346"/>
      <c r="G824" s="344"/>
      <c r="H824" s="11"/>
      <c r="I824" s="346"/>
      <c r="J824" s="410"/>
      <c r="K824" s="410"/>
      <c r="L824" s="410"/>
    </row>
    <row r="825" spans="1:12">
      <c r="A825" s="344"/>
      <c r="B825" s="344"/>
      <c r="C825" s="344"/>
      <c r="D825" s="344"/>
      <c r="E825" s="345"/>
      <c r="F825" s="346"/>
      <c r="G825" s="344"/>
      <c r="H825" s="11"/>
      <c r="I825" s="346"/>
      <c r="J825" s="410"/>
      <c r="K825" s="410"/>
      <c r="L825" s="410"/>
    </row>
    <row r="826" spans="1:12">
      <c r="A826" s="344"/>
      <c r="B826" s="344"/>
      <c r="C826" s="344"/>
      <c r="D826" s="344"/>
      <c r="E826" s="345"/>
      <c r="F826" s="346"/>
      <c r="G826" s="344"/>
      <c r="H826" s="11"/>
      <c r="I826" s="346"/>
      <c r="J826" s="410"/>
      <c r="K826" s="410"/>
      <c r="L826" s="410"/>
    </row>
    <row r="827" spans="1:12">
      <c r="A827" s="344"/>
      <c r="B827" s="344"/>
      <c r="C827" s="344"/>
      <c r="D827" s="344"/>
      <c r="E827" s="345"/>
      <c r="F827" s="346"/>
      <c r="G827" s="344"/>
      <c r="H827" s="11"/>
      <c r="I827" s="346"/>
      <c r="J827" s="410"/>
      <c r="K827" s="410"/>
      <c r="L827" s="410"/>
    </row>
    <row r="828" spans="1:12">
      <c r="A828" s="344"/>
      <c r="B828" s="344"/>
      <c r="C828" s="344"/>
      <c r="D828" s="344"/>
      <c r="E828" s="345"/>
      <c r="F828" s="346"/>
      <c r="G828" s="344"/>
      <c r="H828" s="11"/>
      <c r="I828" s="346"/>
      <c r="J828" s="410"/>
      <c r="K828" s="410"/>
      <c r="L828" s="410"/>
    </row>
    <row r="829" spans="1:12">
      <c r="A829" s="344"/>
      <c r="B829" s="344"/>
      <c r="C829" s="344"/>
      <c r="D829" s="344"/>
      <c r="E829" s="345"/>
      <c r="F829" s="346"/>
      <c r="G829" s="344"/>
      <c r="H829" s="11"/>
      <c r="I829" s="346"/>
      <c r="J829" s="410"/>
      <c r="K829" s="410"/>
      <c r="L829" s="410"/>
    </row>
    <row r="830" spans="1:12">
      <c r="A830" s="344"/>
      <c r="B830" s="344"/>
      <c r="C830" s="344"/>
      <c r="D830" s="344"/>
      <c r="E830" s="345"/>
      <c r="F830" s="346"/>
      <c r="G830" s="344"/>
      <c r="H830" s="11"/>
      <c r="I830" s="346"/>
      <c r="J830" s="410"/>
      <c r="K830" s="410"/>
      <c r="L830" s="410"/>
    </row>
    <row r="831" spans="1:12">
      <c r="A831" s="344"/>
      <c r="B831" s="344"/>
      <c r="C831" s="344"/>
      <c r="D831" s="344"/>
      <c r="E831" s="345"/>
      <c r="F831" s="346"/>
      <c r="G831" s="344"/>
      <c r="H831" s="11"/>
      <c r="I831" s="346"/>
      <c r="J831" s="410"/>
      <c r="K831" s="410"/>
      <c r="L831" s="410"/>
    </row>
    <row r="832" spans="1:12">
      <c r="A832" s="344"/>
      <c r="B832" s="344"/>
      <c r="C832" s="344"/>
      <c r="D832" s="344"/>
      <c r="E832" s="345"/>
      <c r="F832" s="346"/>
      <c r="G832" s="344"/>
      <c r="H832" s="11"/>
      <c r="I832" s="346"/>
      <c r="J832" s="410"/>
      <c r="K832" s="410"/>
      <c r="L832" s="410"/>
    </row>
    <row r="833" spans="1:12">
      <c r="A833" s="344"/>
      <c r="B833" s="344"/>
      <c r="C833" s="344"/>
      <c r="D833" s="344"/>
      <c r="E833" s="345"/>
      <c r="F833" s="346"/>
      <c r="G833" s="344"/>
      <c r="H833" s="11"/>
      <c r="I833" s="346"/>
      <c r="J833" s="410"/>
      <c r="K833" s="410"/>
      <c r="L833" s="410"/>
    </row>
    <row r="834" spans="1:12">
      <c r="A834" s="344"/>
      <c r="B834" s="344"/>
      <c r="C834" s="344"/>
      <c r="D834" s="344"/>
      <c r="E834" s="345"/>
      <c r="F834" s="346"/>
      <c r="G834" s="344"/>
      <c r="H834" s="11"/>
      <c r="I834" s="346"/>
      <c r="J834" s="410"/>
      <c r="K834" s="410"/>
      <c r="L834" s="410"/>
    </row>
    <row r="835" spans="1:12">
      <c r="A835" s="344"/>
      <c r="B835" s="344"/>
      <c r="C835" s="344"/>
      <c r="D835" s="344"/>
      <c r="E835" s="345"/>
      <c r="F835" s="346"/>
      <c r="G835" s="344"/>
      <c r="H835" s="11"/>
      <c r="I835" s="346"/>
      <c r="J835" s="410"/>
      <c r="K835" s="410"/>
      <c r="L835" s="410"/>
    </row>
    <row r="836" spans="1:12">
      <c r="A836" s="344"/>
      <c r="B836" s="344"/>
      <c r="C836" s="344"/>
      <c r="D836" s="344"/>
      <c r="E836" s="345"/>
      <c r="F836" s="346"/>
      <c r="G836" s="344"/>
      <c r="H836" s="11"/>
      <c r="I836" s="346"/>
      <c r="J836" s="410"/>
      <c r="K836" s="410"/>
      <c r="L836" s="410"/>
    </row>
    <row r="837" spans="1:12">
      <c r="A837" s="344"/>
      <c r="B837" s="344"/>
      <c r="C837" s="344"/>
      <c r="D837" s="344"/>
      <c r="E837" s="345"/>
      <c r="F837" s="346"/>
      <c r="G837" s="344"/>
      <c r="H837" s="11"/>
      <c r="I837" s="346"/>
      <c r="J837" s="410"/>
      <c r="K837" s="410"/>
      <c r="L837" s="410"/>
    </row>
    <row r="838" spans="1:12">
      <c r="A838" s="344"/>
      <c r="B838" s="344"/>
      <c r="C838" s="344"/>
      <c r="D838" s="344"/>
      <c r="E838" s="345"/>
      <c r="F838" s="346"/>
      <c r="G838" s="344"/>
      <c r="H838" s="11"/>
      <c r="I838" s="346"/>
      <c r="J838" s="410"/>
      <c r="K838" s="410"/>
      <c r="L838" s="410"/>
    </row>
    <row r="839" spans="1:12">
      <c r="A839" s="344"/>
      <c r="B839" s="344"/>
      <c r="C839" s="344"/>
      <c r="D839" s="344"/>
      <c r="E839" s="345"/>
      <c r="F839" s="346"/>
      <c r="G839" s="344"/>
      <c r="H839" s="11"/>
      <c r="I839" s="346"/>
      <c r="J839" s="410"/>
      <c r="K839" s="410"/>
      <c r="L839" s="410"/>
    </row>
    <row r="840" spans="1:12">
      <c r="A840" s="344"/>
      <c r="B840" s="344"/>
      <c r="C840" s="344"/>
      <c r="D840" s="344"/>
      <c r="E840" s="345"/>
      <c r="F840" s="346"/>
      <c r="G840" s="344"/>
      <c r="H840" s="11"/>
      <c r="I840" s="346"/>
      <c r="J840" s="410"/>
      <c r="K840" s="410"/>
      <c r="L840" s="410"/>
    </row>
    <row r="841" spans="1:12">
      <c r="A841" s="344"/>
      <c r="B841" s="344"/>
      <c r="C841" s="344"/>
      <c r="D841" s="344"/>
      <c r="E841" s="345"/>
      <c r="F841" s="346"/>
      <c r="G841" s="344"/>
      <c r="H841" s="11"/>
      <c r="I841" s="346"/>
      <c r="J841" s="410"/>
      <c r="K841" s="410"/>
      <c r="L841" s="410"/>
    </row>
    <row r="842" spans="1:12">
      <c r="A842" s="344"/>
      <c r="B842" s="344"/>
      <c r="C842" s="344"/>
      <c r="D842" s="344"/>
      <c r="E842" s="345"/>
      <c r="F842" s="346"/>
      <c r="G842" s="344"/>
      <c r="H842" s="11"/>
      <c r="I842" s="346"/>
      <c r="J842" s="410"/>
      <c r="K842" s="410"/>
      <c r="L842" s="410"/>
    </row>
    <row r="843" spans="1:12">
      <c r="A843" s="344"/>
      <c r="B843" s="344"/>
      <c r="C843" s="344"/>
      <c r="D843" s="344"/>
      <c r="E843" s="345"/>
      <c r="F843" s="346"/>
      <c r="G843" s="344"/>
      <c r="H843" s="11"/>
      <c r="I843" s="346"/>
      <c r="J843" s="410"/>
      <c r="K843" s="410"/>
      <c r="L843" s="410"/>
    </row>
    <row r="844" spans="1:12">
      <c r="A844" s="344"/>
      <c r="B844" s="344"/>
      <c r="C844" s="344"/>
      <c r="D844" s="344"/>
      <c r="E844" s="345"/>
      <c r="F844" s="346"/>
      <c r="G844" s="344"/>
      <c r="H844" s="11"/>
      <c r="I844" s="346"/>
      <c r="J844" s="410"/>
      <c r="K844" s="410"/>
      <c r="L844" s="410"/>
    </row>
    <row r="845" spans="1:12">
      <c r="A845" s="344"/>
      <c r="B845" s="344"/>
      <c r="C845" s="344"/>
      <c r="D845" s="344"/>
      <c r="E845" s="345"/>
      <c r="F845" s="346"/>
      <c r="G845" s="344"/>
      <c r="H845" s="11"/>
      <c r="I845" s="346"/>
      <c r="J845" s="410"/>
      <c r="K845" s="410"/>
      <c r="L845" s="410"/>
    </row>
    <row r="846" spans="1:12">
      <c r="A846" s="344"/>
      <c r="B846" s="344"/>
      <c r="C846" s="344"/>
      <c r="D846" s="344"/>
      <c r="E846" s="345"/>
      <c r="F846" s="346"/>
      <c r="G846" s="344"/>
      <c r="H846" s="11"/>
      <c r="I846" s="346"/>
      <c r="J846" s="410"/>
      <c r="K846" s="410"/>
      <c r="L846" s="410"/>
    </row>
    <row r="847" spans="1:12">
      <c r="A847" s="344"/>
      <c r="B847" s="344"/>
      <c r="C847" s="344"/>
      <c r="D847" s="344"/>
      <c r="E847" s="345"/>
      <c r="F847" s="346"/>
      <c r="G847" s="344"/>
      <c r="H847" s="11"/>
      <c r="I847" s="346"/>
      <c r="J847" s="410"/>
      <c r="K847" s="410"/>
      <c r="L847" s="410"/>
    </row>
    <row r="848" spans="1:12">
      <c r="A848" s="344"/>
      <c r="B848" s="344"/>
      <c r="C848" s="344"/>
      <c r="D848" s="344"/>
      <c r="E848" s="345"/>
      <c r="F848" s="346"/>
      <c r="G848" s="344"/>
      <c r="H848" s="11"/>
      <c r="I848" s="346"/>
      <c r="J848" s="410"/>
      <c r="K848" s="410"/>
      <c r="L848" s="410"/>
    </row>
    <row r="849" spans="1:12">
      <c r="A849" s="344"/>
      <c r="B849" s="344"/>
      <c r="C849" s="344"/>
      <c r="D849" s="344"/>
      <c r="E849" s="345"/>
      <c r="F849" s="346"/>
      <c r="G849" s="344"/>
      <c r="H849" s="11"/>
      <c r="I849" s="346"/>
      <c r="J849" s="410"/>
      <c r="K849" s="410"/>
      <c r="L849" s="410"/>
    </row>
    <row r="850" spans="1:12">
      <c r="A850" s="344"/>
      <c r="B850" s="344"/>
      <c r="C850" s="344"/>
      <c r="D850" s="344"/>
      <c r="E850" s="345"/>
      <c r="F850" s="346"/>
      <c r="G850" s="344"/>
      <c r="H850" s="11"/>
      <c r="I850" s="346"/>
      <c r="J850" s="410"/>
      <c r="K850" s="410"/>
      <c r="L850" s="410"/>
    </row>
    <row r="851" spans="1:12">
      <c r="A851" s="344"/>
      <c r="B851" s="344"/>
      <c r="C851" s="344"/>
      <c r="D851" s="344"/>
      <c r="E851" s="345"/>
      <c r="F851" s="346"/>
      <c r="G851" s="344"/>
      <c r="H851" s="11"/>
      <c r="I851" s="346"/>
      <c r="J851" s="410"/>
      <c r="K851" s="410"/>
      <c r="L851" s="410"/>
    </row>
    <row r="852" spans="1:12">
      <c r="A852" s="344"/>
      <c r="B852" s="344"/>
      <c r="C852" s="344"/>
      <c r="D852" s="344"/>
      <c r="E852" s="345"/>
      <c r="F852" s="346"/>
      <c r="G852" s="344"/>
      <c r="H852" s="11"/>
      <c r="I852" s="346"/>
      <c r="J852" s="410"/>
      <c r="K852" s="410"/>
      <c r="L852" s="410"/>
    </row>
    <row r="853" spans="1:12">
      <c r="A853" s="344"/>
      <c r="B853" s="344"/>
      <c r="C853" s="344"/>
      <c r="D853" s="344"/>
      <c r="E853" s="345"/>
      <c r="F853" s="346"/>
      <c r="G853" s="344"/>
      <c r="H853" s="11"/>
      <c r="I853" s="346"/>
      <c r="J853" s="410"/>
      <c r="K853" s="410"/>
      <c r="L853" s="410"/>
    </row>
    <row r="854" spans="1:12">
      <c r="A854" s="344"/>
      <c r="B854" s="344"/>
      <c r="C854" s="344"/>
      <c r="D854" s="344"/>
      <c r="E854" s="345"/>
      <c r="F854" s="346"/>
      <c r="G854" s="344"/>
      <c r="H854" s="11"/>
      <c r="I854" s="346"/>
      <c r="J854" s="410"/>
      <c r="K854" s="410"/>
      <c r="L854" s="410"/>
    </row>
    <row r="855" spans="1:12">
      <c r="A855" s="344"/>
      <c r="B855" s="344"/>
      <c r="C855" s="344"/>
      <c r="D855" s="344"/>
      <c r="E855" s="345"/>
      <c r="F855" s="346"/>
      <c r="G855" s="344"/>
      <c r="H855" s="11"/>
      <c r="I855" s="346"/>
      <c r="J855" s="410"/>
      <c r="K855" s="410"/>
      <c r="L855" s="410"/>
    </row>
    <row r="856" spans="1:12">
      <c r="A856" s="344"/>
      <c r="B856" s="344"/>
      <c r="C856" s="344"/>
      <c r="D856" s="344"/>
      <c r="E856" s="345"/>
      <c r="F856" s="346"/>
      <c r="G856" s="344"/>
      <c r="H856" s="11"/>
      <c r="I856" s="346"/>
      <c r="J856" s="410"/>
      <c r="K856" s="410"/>
      <c r="L856" s="410"/>
    </row>
    <row r="857" spans="1:12">
      <c r="A857" s="344"/>
      <c r="B857" s="344"/>
      <c r="C857" s="344"/>
      <c r="D857" s="344"/>
      <c r="E857" s="345"/>
      <c r="F857" s="346"/>
      <c r="G857" s="344"/>
      <c r="H857" s="11"/>
      <c r="I857" s="346"/>
      <c r="J857" s="410"/>
      <c r="K857" s="410"/>
      <c r="L857" s="410"/>
    </row>
    <row r="858" spans="1:12">
      <c r="A858" s="344"/>
      <c r="B858" s="344"/>
      <c r="C858" s="344"/>
      <c r="D858" s="344"/>
      <c r="E858" s="345"/>
      <c r="F858" s="346"/>
      <c r="G858" s="344"/>
      <c r="H858" s="11"/>
      <c r="I858" s="346"/>
      <c r="J858" s="410"/>
      <c r="K858" s="410"/>
      <c r="L858" s="410"/>
    </row>
    <row r="859" spans="1:12">
      <c r="A859" s="344"/>
      <c r="B859" s="344"/>
      <c r="C859" s="344"/>
      <c r="D859" s="344"/>
      <c r="E859" s="345"/>
      <c r="F859" s="346"/>
      <c r="G859" s="344"/>
      <c r="H859" s="11"/>
      <c r="I859" s="346"/>
      <c r="J859" s="410"/>
      <c r="K859" s="410"/>
      <c r="L859" s="410"/>
    </row>
    <row r="860" spans="1:12">
      <c r="A860" s="344"/>
      <c r="B860" s="344"/>
      <c r="C860" s="344"/>
      <c r="D860" s="344"/>
      <c r="E860" s="345"/>
      <c r="F860" s="346"/>
      <c r="G860" s="344"/>
      <c r="H860" s="11"/>
      <c r="I860" s="346"/>
      <c r="J860" s="410"/>
      <c r="K860" s="410"/>
      <c r="L860" s="410"/>
    </row>
    <row r="861" spans="1:12">
      <c r="A861" s="344"/>
      <c r="B861" s="344"/>
      <c r="C861" s="344"/>
      <c r="D861" s="344"/>
      <c r="E861" s="345"/>
      <c r="F861" s="346"/>
      <c r="G861" s="344"/>
      <c r="H861" s="11"/>
      <c r="I861" s="346"/>
      <c r="J861" s="410"/>
      <c r="K861" s="410"/>
      <c r="L861" s="410"/>
    </row>
    <row r="862" spans="1:12">
      <c r="A862" s="344"/>
      <c r="B862" s="344"/>
      <c r="C862" s="344"/>
      <c r="D862" s="344"/>
      <c r="E862" s="345"/>
      <c r="F862" s="346"/>
      <c r="G862" s="344"/>
      <c r="H862" s="11"/>
      <c r="I862" s="346"/>
      <c r="J862" s="410"/>
      <c r="K862" s="410"/>
      <c r="L862" s="410"/>
    </row>
    <row r="863" spans="1:12">
      <c r="A863" s="344"/>
      <c r="B863" s="344"/>
      <c r="C863" s="344"/>
      <c r="D863" s="344"/>
      <c r="E863" s="345"/>
      <c r="F863" s="346"/>
      <c r="G863" s="344"/>
      <c r="H863" s="11"/>
      <c r="I863" s="346"/>
      <c r="J863" s="410"/>
      <c r="K863" s="410"/>
      <c r="L863" s="410"/>
    </row>
    <row r="864" spans="1:12">
      <c r="A864" s="344"/>
      <c r="B864" s="344"/>
      <c r="C864" s="344"/>
      <c r="D864" s="344"/>
      <c r="E864" s="345"/>
      <c r="F864" s="346"/>
      <c r="G864" s="344"/>
      <c r="H864" s="11"/>
      <c r="I864" s="346"/>
      <c r="J864" s="410"/>
      <c r="K864" s="410"/>
      <c r="L864" s="410"/>
    </row>
    <row r="865" spans="1:12">
      <c r="A865" s="344"/>
      <c r="B865" s="344"/>
      <c r="C865" s="344"/>
      <c r="D865" s="344"/>
      <c r="E865" s="345"/>
      <c r="F865" s="346"/>
      <c r="G865" s="344"/>
      <c r="H865" s="11"/>
      <c r="I865" s="346"/>
      <c r="J865" s="410"/>
      <c r="K865" s="410"/>
      <c r="L865" s="410"/>
    </row>
    <row r="866" spans="1:12">
      <c r="A866" s="344"/>
      <c r="B866" s="344"/>
      <c r="C866" s="344"/>
      <c r="D866" s="344"/>
      <c r="E866" s="345"/>
      <c r="F866" s="346"/>
      <c r="G866" s="344"/>
      <c r="H866" s="11"/>
      <c r="I866" s="346"/>
      <c r="J866" s="410"/>
      <c r="K866" s="410"/>
      <c r="L866" s="410"/>
    </row>
    <row r="867" spans="1:12">
      <c r="A867" s="344"/>
      <c r="B867" s="344"/>
      <c r="C867" s="344"/>
      <c r="D867" s="344"/>
      <c r="E867" s="345"/>
      <c r="F867" s="346"/>
      <c r="G867" s="344"/>
      <c r="H867" s="11"/>
      <c r="I867" s="346"/>
      <c r="J867" s="410"/>
      <c r="K867" s="410"/>
      <c r="L867" s="410"/>
    </row>
    <row r="868" spans="1:12">
      <c r="A868" s="344"/>
      <c r="B868" s="344"/>
      <c r="C868" s="344"/>
      <c r="D868" s="344"/>
      <c r="E868" s="345"/>
      <c r="F868" s="346"/>
      <c r="G868" s="344"/>
      <c r="H868" s="11"/>
      <c r="I868" s="346"/>
      <c r="J868" s="410"/>
      <c r="K868" s="410"/>
      <c r="L868" s="410"/>
    </row>
    <row r="869" spans="1:12">
      <c r="A869" s="344"/>
      <c r="B869" s="344"/>
      <c r="C869" s="344"/>
      <c r="D869" s="344"/>
      <c r="E869" s="345"/>
      <c r="F869" s="346"/>
      <c r="G869" s="344"/>
      <c r="H869" s="11"/>
      <c r="I869" s="346"/>
      <c r="J869" s="410"/>
      <c r="K869" s="410"/>
      <c r="L869" s="410"/>
    </row>
    <row r="870" spans="1:12">
      <c r="A870" s="344"/>
      <c r="B870" s="344"/>
      <c r="C870" s="344"/>
      <c r="D870" s="344"/>
      <c r="E870" s="345"/>
      <c r="F870" s="346"/>
      <c r="G870" s="344"/>
      <c r="H870" s="11"/>
      <c r="I870" s="346"/>
      <c r="J870" s="410"/>
      <c r="K870" s="410"/>
      <c r="L870" s="410"/>
    </row>
    <row r="871" spans="1:12">
      <c r="A871" s="344"/>
      <c r="B871" s="344"/>
      <c r="C871" s="344"/>
      <c r="D871" s="344"/>
      <c r="E871" s="345"/>
      <c r="F871" s="346"/>
      <c r="G871" s="344"/>
      <c r="H871" s="11"/>
      <c r="I871" s="346"/>
      <c r="J871" s="410"/>
      <c r="K871" s="410"/>
      <c r="L871" s="410"/>
    </row>
    <row r="872" spans="1:12">
      <c r="A872" s="344"/>
      <c r="B872" s="344"/>
      <c r="C872" s="344"/>
      <c r="D872" s="344"/>
      <c r="E872" s="345"/>
      <c r="F872" s="346"/>
      <c r="G872" s="344"/>
      <c r="H872" s="11"/>
      <c r="I872" s="346"/>
      <c r="J872" s="410"/>
      <c r="K872" s="410"/>
      <c r="L872" s="410"/>
    </row>
    <row r="873" spans="1:12">
      <c r="A873" s="344"/>
      <c r="B873" s="344"/>
      <c r="C873" s="344"/>
      <c r="D873" s="344"/>
      <c r="E873" s="345"/>
      <c r="F873" s="346"/>
      <c r="G873" s="344"/>
      <c r="H873" s="11"/>
      <c r="I873" s="346"/>
      <c r="J873" s="410"/>
      <c r="K873" s="410"/>
      <c r="L873" s="410"/>
    </row>
    <row r="874" spans="1:12">
      <c r="A874" s="344"/>
      <c r="B874" s="344"/>
      <c r="C874" s="344"/>
      <c r="D874" s="344"/>
      <c r="E874" s="345"/>
      <c r="F874" s="346"/>
      <c r="G874" s="344"/>
      <c r="H874" s="11"/>
      <c r="I874" s="346"/>
      <c r="J874" s="410"/>
      <c r="K874" s="410"/>
      <c r="L874" s="410"/>
    </row>
    <row r="875" spans="1:12">
      <c r="A875" s="344"/>
      <c r="B875" s="344"/>
      <c r="C875" s="344"/>
      <c r="D875" s="344"/>
      <c r="E875" s="345"/>
      <c r="F875" s="346"/>
      <c r="G875" s="344"/>
      <c r="H875" s="11"/>
      <c r="I875" s="346"/>
      <c r="J875" s="410"/>
      <c r="K875" s="410"/>
      <c r="L875" s="410"/>
    </row>
    <row r="876" spans="1:12">
      <c r="A876" s="344"/>
      <c r="B876" s="344"/>
      <c r="C876" s="344"/>
      <c r="D876" s="344"/>
      <c r="E876" s="345"/>
      <c r="F876" s="346"/>
      <c r="G876" s="344"/>
      <c r="H876" s="11"/>
      <c r="I876" s="346"/>
      <c r="J876" s="410"/>
      <c r="K876" s="410"/>
      <c r="L876" s="410"/>
    </row>
    <row r="877" spans="1:12">
      <c r="A877" s="344"/>
      <c r="B877" s="344"/>
      <c r="C877" s="344"/>
      <c r="D877" s="344"/>
      <c r="E877" s="345"/>
      <c r="F877" s="346"/>
      <c r="G877" s="344"/>
      <c r="H877" s="11"/>
      <c r="I877" s="346"/>
      <c r="J877" s="410"/>
      <c r="K877" s="410"/>
      <c r="L877" s="410"/>
    </row>
    <row r="878" spans="1:12">
      <c r="A878" s="344"/>
      <c r="B878" s="344"/>
      <c r="C878" s="344"/>
      <c r="D878" s="344"/>
      <c r="E878" s="345"/>
      <c r="F878" s="346"/>
      <c r="G878" s="344"/>
      <c r="H878" s="11"/>
      <c r="I878" s="346"/>
      <c r="J878" s="410"/>
      <c r="K878" s="410"/>
      <c r="L878" s="410"/>
    </row>
    <row r="879" spans="1:12">
      <c r="A879" s="344"/>
      <c r="B879" s="344"/>
      <c r="C879" s="344"/>
      <c r="D879" s="344"/>
      <c r="E879" s="345"/>
      <c r="F879" s="346"/>
      <c r="G879" s="344"/>
      <c r="H879" s="11"/>
      <c r="I879" s="346"/>
      <c r="J879" s="410"/>
      <c r="K879" s="410"/>
      <c r="L879" s="410"/>
    </row>
    <row r="880" spans="1:12">
      <c r="A880" s="344"/>
      <c r="B880" s="344"/>
      <c r="C880" s="344"/>
      <c r="D880" s="344"/>
      <c r="E880" s="345"/>
      <c r="F880" s="346"/>
      <c r="G880" s="344"/>
      <c r="H880" s="11"/>
      <c r="I880" s="346"/>
      <c r="J880" s="410"/>
      <c r="K880" s="410"/>
      <c r="L880" s="410"/>
    </row>
    <row r="881" spans="1:12">
      <c r="A881" s="344"/>
      <c r="B881" s="344"/>
      <c r="C881" s="344"/>
      <c r="D881" s="344"/>
      <c r="E881" s="345"/>
      <c r="F881" s="346"/>
      <c r="G881" s="344"/>
      <c r="H881" s="11"/>
      <c r="I881" s="346"/>
      <c r="J881" s="410"/>
      <c r="K881" s="410"/>
      <c r="L881" s="410"/>
    </row>
    <row r="882" spans="1:12">
      <c r="A882" s="344"/>
      <c r="B882" s="344"/>
      <c r="C882" s="344"/>
      <c r="D882" s="344"/>
      <c r="E882" s="345"/>
      <c r="F882" s="346"/>
      <c r="G882" s="344"/>
      <c r="H882" s="11"/>
      <c r="I882" s="346"/>
      <c r="J882" s="410"/>
      <c r="K882" s="410"/>
      <c r="L882" s="410"/>
    </row>
    <row r="883" spans="1:12">
      <c r="A883" s="344"/>
      <c r="B883" s="344"/>
      <c r="C883" s="344"/>
      <c r="D883" s="344"/>
      <c r="E883" s="345"/>
      <c r="F883" s="346"/>
      <c r="G883" s="344"/>
      <c r="H883" s="11"/>
      <c r="I883" s="346"/>
      <c r="J883" s="410"/>
      <c r="K883" s="410"/>
      <c r="L883" s="410"/>
    </row>
    <row r="884" spans="1:12">
      <c r="A884" s="344"/>
      <c r="B884" s="344"/>
      <c r="C884" s="344"/>
      <c r="D884" s="344"/>
      <c r="E884" s="345"/>
      <c r="F884" s="346"/>
      <c r="G884" s="344"/>
      <c r="H884" s="11"/>
      <c r="I884" s="346"/>
      <c r="J884" s="410"/>
      <c r="K884" s="410"/>
      <c r="L884" s="410"/>
    </row>
    <row r="885" spans="1:12">
      <c r="A885" s="344"/>
      <c r="B885" s="344"/>
      <c r="C885" s="344"/>
      <c r="D885" s="344"/>
      <c r="E885" s="345"/>
      <c r="F885" s="346"/>
      <c r="G885" s="344"/>
      <c r="H885" s="11"/>
      <c r="I885" s="346"/>
      <c r="J885" s="410"/>
      <c r="K885" s="410"/>
      <c r="L885" s="410"/>
    </row>
    <row r="886" spans="1:12">
      <c r="A886" s="344"/>
      <c r="B886" s="344"/>
      <c r="C886" s="344"/>
      <c r="D886" s="344"/>
      <c r="E886" s="345"/>
      <c r="F886" s="346"/>
      <c r="G886" s="344"/>
      <c r="H886" s="11"/>
      <c r="I886" s="346"/>
      <c r="J886" s="410"/>
      <c r="K886" s="410"/>
      <c r="L886" s="410"/>
    </row>
    <row r="887" spans="1:12">
      <c r="A887" s="344"/>
      <c r="B887" s="344"/>
      <c r="C887" s="344"/>
      <c r="D887" s="344"/>
      <c r="E887" s="345"/>
      <c r="F887" s="346"/>
      <c r="G887" s="344"/>
      <c r="H887" s="11"/>
      <c r="I887" s="346"/>
      <c r="J887" s="410"/>
      <c r="K887" s="410"/>
      <c r="L887" s="410"/>
    </row>
    <row r="888" spans="1:12">
      <c r="A888" s="344"/>
      <c r="B888" s="344"/>
      <c r="C888" s="344"/>
      <c r="D888" s="344"/>
      <c r="E888" s="345"/>
      <c r="F888" s="346"/>
      <c r="G888" s="344"/>
      <c r="H888" s="11"/>
      <c r="I888" s="346"/>
      <c r="J888" s="410"/>
      <c r="K888" s="410"/>
      <c r="L888" s="410"/>
    </row>
    <row r="889" spans="1:12">
      <c r="A889" s="344"/>
      <c r="B889" s="344"/>
      <c r="C889" s="344"/>
      <c r="D889" s="344"/>
      <c r="E889" s="345"/>
      <c r="F889" s="346"/>
      <c r="G889" s="344"/>
      <c r="H889" s="11"/>
      <c r="I889" s="346"/>
      <c r="J889" s="410"/>
      <c r="K889" s="410"/>
      <c r="L889" s="410"/>
    </row>
    <row r="890" spans="1:12">
      <c r="A890" s="344"/>
      <c r="B890" s="344"/>
      <c r="C890" s="344"/>
      <c r="D890" s="344"/>
      <c r="E890" s="345"/>
      <c r="F890" s="346"/>
      <c r="G890" s="344"/>
      <c r="H890" s="11"/>
      <c r="I890" s="346"/>
      <c r="J890" s="410"/>
      <c r="K890" s="410"/>
      <c r="L890" s="410"/>
    </row>
    <row r="891" spans="1:12">
      <c r="A891" s="344"/>
      <c r="B891" s="344"/>
      <c r="C891" s="344"/>
      <c r="D891" s="344"/>
      <c r="E891" s="345"/>
      <c r="F891" s="346"/>
      <c r="G891" s="344"/>
      <c r="H891" s="11"/>
      <c r="I891" s="346"/>
      <c r="J891" s="410"/>
      <c r="K891" s="410"/>
      <c r="L891" s="410"/>
    </row>
    <row r="892" spans="1:12">
      <c r="A892" s="344"/>
      <c r="B892" s="344"/>
      <c r="C892" s="344"/>
      <c r="D892" s="344"/>
      <c r="E892" s="345"/>
      <c r="F892" s="346"/>
      <c r="G892" s="344"/>
      <c r="H892" s="11"/>
      <c r="I892" s="346"/>
      <c r="J892" s="410"/>
      <c r="K892" s="410"/>
      <c r="L892" s="410"/>
    </row>
    <row r="893" spans="1:12">
      <c r="A893" s="344"/>
      <c r="B893" s="344"/>
      <c r="C893" s="344"/>
      <c r="D893" s="344"/>
      <c r="E893" s="345"/>
      <c r="F893" s="346"/>
      <c r="G893" s="344"/>
      <c r="H893" s="11"/>
      <c r="I893" s="346"/>
      <c r="J893" s="410"/>
      <c r="K893" s="410"/>
      <c r="L893" s="410"/>
    </row>
    <row r="894" spans="1:12">
      <c r="A894" s="344"/>
      <c r="B894" s="344"/>
      <c r="C894" s="344"/>
      <c r="D894" s="344"/>
      <c r="E894" s="345"/>
      <c r="F894" s="346"/>
      <c r="G894" s="344"/>
      <c r="H894" s="11"/>
      <c r="I894" s="346"/>
      <c r="J894" s="410"/>
      <c r="K894" s="410"/>
      <c r="L894" s="410"/>
    </row>
    <row r="895" spans="1:12">
      <c r="A895" s="344"/>
      <c r="B895" s="344"/>
      <c r="C895" s="344"/>
      <c r="D895" s="344"/>
      <c r="E895" s="345"/>
      <c r="F895" s="346"/>
      <c r="G895" s="344"/>
      <c r="H895" s="11"/>
      <c r="I895" s="346"/>
      <c r="J895" s="410"/>
      <c r="K895" s="410"/>
      <c r="L895" s="410"/>
    </row>
    <row r="896" spans="1:12">
      <c r="A896" s="344"/>
      <c r="B896" s="344"/>
      <c r="C896" s="344"/>
      <c r="D896" s="344"/>
      <c r="E896" s="345"/>
      <c r="F896" s="346"/>
      <c r="G896" s="344"/>
      <c r="H896" s="11"/>
      <c r="I896" s="346"/>
      <c r="J896" s="410"/>
      <c r="K896" s="410"/>
      <c r="L896" s="410"/>
    </row>
    <row r="897" spans="1:12">
      <c r="A897" s="344"/>
      <c r="B897" s="344"/>
      <c r="C897" s="344"/>
      <c r="D897" s="344"/>
      <c r="E897" s="345"/>
      <c r="F897" s="346"/>
      <c r="G897" s="344"/>
      <c r="H897" s="11"/>
      <c r="I897" s="346"/>
      <c r="J897" s="410"/>
      <c r="K897" s="410"/>
      <c r="L897" s="410"/>
    </row>
    <row r="898" spans="1:12">
      <c r="A898" s="344"/>
      <c r="B898" s="344"/>
      <c r="C898" s="344"/>
      <c r="D898" s="344"/>
      <c r="E898" s="345"/>
      <c r="F898" s="346"/>
      <c r="G898" s="344"/>
      <c r="H898" s="11"/>
      <c r="I898" s="346"/>
      <c r="J898" s="410"/>
      <c r="K898" s="410"/>
      <c r="L898" s="410"/>
    </row>
    <row r="899" spans="1:12">
      <c r="A899" s="344"/>
      <c r="B899" s="344"/>
      <c r="C899" s="344"/>
      <c r="D899" s="344"/>
      <c r="E899" s="345"/>
      <c r="F899" s="346"/>
      <c r="G899" s="344"/>
      <c r="H899" s="11"/>
      <c r="I899" s="346"/>
      <c r="J899" s="410"/>
      <c r="K899" s="410"/>
      <c r="L899" s="410"/>
    </row>
    <row r="900" spans="1:12">
      <c r="A900" s="344"/>
      <c r="B900" s="344"/>
      <c r="C900" s="344"/>
      <c r="D900" s="344"/>
      <c r="E900" s="345"/>
      <c r="F900" s="346"/>
      <c r="G900" s="344"/>
      <c r="H900" s="11"/>
      <c r="I900" s="346"/>
      <c r="J900" s="410"/>
      <c r="K900" s="410"/>
      <c r="L900" s="410"/>
    </row>
    <row r="901" spans="1:12">
      <c r="A901" s="344"/>
      <c r="B901" s="344"/>
      <c r="C901" s="344"/>
      <c r="D901" s="344"/>
      <c r="E901" s="345"/>
      <c r="F901" s="346"/>
      <c r="G901" s="344"/>
      <c r="H901" s="11"/>
      <c r="I901" s="346"/>
      <c r="J901" s="410"/>
      <c r="K901" s="410"/>
      <c r="L901" s="410"/>
    </row>
    <row r="902" spans="1:12">
      <c r="A902" s="344"/>
      <c r="B902" s="344"/>
      <c r="C902" s="344"/>
      <c r="D902" s="344"/>
      <c r="E902" s="345"/>
      <c r="F902" s="346"/>
      <c r="G902" s="344"/>
      <c r="H902" s="11"/>
      <c r="I902" s="346"/>
      <c r="J902" s="410"/>
      <c r="K902" s="410"/>
      <c r="L902" s="410"/>
    </row>
    <row r="903" spans="1:12">
      <c r="A903" s="344"/>
      <c r="B903" s="344"/>
      <c r="C903" s="344"/>
      <c r="D903" s="344"/>
      <c r="E903" s="345"/>
      <c r="F903" s="346"/>
      <c r="G903" s="344"/>
      <c r="H903" s="11"/>
      <c r="I903" s="346"/>
      <c r="J903" s="410"/>
      <c r="K903" s="410"/>
      <c r="L903" s="410"/>
    </row>
    <row r="904" spans="1:12">
      <c r="A904" s="344"/>
      <c r="B904" s="344"/>
      <c r="C904" s="344"/>
      <c r="D904" s="344"/>
      <c r="E904" s="345"/>
      <c r="F904" s="346"/>
      <c r="G904" s="344"/>
      <c r="H904" s="11"/>
      <c r="I904" s="346"/>
      <c r="J904" s="410"/>
      <c r="K904" s="410"/>
      <c r="L904" s="410"/>
    </row>
    <row r="905" spans="1:12">
      <c r="A905" s="344"/>
      <c r="B905" s="344"/>
      <c r="C905" s="344"/>
      <c r="D905" s="344"/>
      <c r="E905" s="345"/>
      <c r="F905" s="346"/>
      <c r="G905" s="344"/>
      <c r="H905" s="11"/>
      <c r="I905" s="346"/>
      <c r="J905" s="410"/>
      <c r="K905" s="410"/>
      <c r="L905" s="410"/>
    </row>
    <row r="906" spans="1:12">
      <c r="A906" s="344"/>
      <c r="B906" s="344"/>
      <c r="C906" s="344"/>
      <c r="D906" s="344"/>
      <c r="E906" s="345"/>
      <c r="F906" s="346"/>
      <c r="G906" s="344"/>
      <c r="H906" s="11"/>
      <c r="I906" s="346"/>
      <c r="J906" s="410"/>
      <c r="K906" s="410"/>
      <c r="L906" s="410"/>
    </row>
    <row r="907" spans="1:12">
      <c r="A907" s="344"/>
      <c r="B907" s="344"/>
      <c r="C907" s="344"/>
      <c r="D907" s="344"/>
      <c r="E907" s="345"/>
      <c r="F907" s="346"/>
      <c r="G907" s="344"/>
      <c r="H907" s="11"/>
      <c r="I907" s="346"/>
      <c r="J907" s="410"/>
      <c r="K907" s="410"/>
      <c r="L907" s="410"/>
    </row>
    <row r="908" spans="1:12">
      <c r="A908" s="344"/>
      <c r="B908" s="344"/>
      <c r="C908" s="344"/>
      <c r="D908" s="344"/>
      <c r="E908" s="345"/>
      <c r="F908" s="346"/>
      <c r="G908" s="344"/>
      <c r="H908" s="11"/>
      <c r="I908" s="346"/>
      <c r="J908" s="410"/>
      <c r="K908" s="410"/>
      <c r="L908" s="410"/>
    </row>
    <row r="909" spans="1:12">
      <c r="A909" s="344"/>
      <c r="B909" s="344"/>
      <c r="C909" s="344"/>
      <c r="D909" s="344"/>
      <c r="E909" s="345"/>
      <c r="F909" s="346"/>
      <c r="G909" s="344"/>
      <c r="H909" s="11"/>
      <c r="I909" s="346"/>
      <c r="J909" s="410"/>
      <c r="K909" s="410"/>
      <c r="L909" s="410"/>
    </row>
    <row r="910" spans="1:12">
      <c r="A910" s="344"/>
      <c r="B910" s="344"/>
      <c r="C910" s="344"/>
      <c r="D910" s="344"/>
      <c r="E910" s="345"/>
      <c r="F910" s="346"/>
      <c r="G910" s="344"/>
      <c r="H910" s="11"/>
      <c r="I910" s="346"/>
      <c r="J910" s="410"/>
      <c r="K910" s="410"/>
      <c r="L910" s="410"/>
    </row>
    <row r="911" spans="1:12">
      <c r="A911" s="344"/>
      <c r="B911" s="344"/>
      <c r="C911" s="344"/>
      <c r="D911" s="344"/>
      <c r="E911" s="345"/>
      <c r="F911" s="346"/>
      <c r="G911" s="344"/>
      <c r="H911" s="11"/>
      <c r="I911" s="346"/>
      <c r="J911" s="410"/>
      <c r="K911" s="410"/>
      <c r="L911" s="410"/>
    </row>
    <row r="912" spans="1:12">
      <c r="A912" s="344"/>
      <c r="B912" s="344"/>
      <c r="C912" s="344"/>
      <c r="D912" s="344"/>
      <c r="E912" s="345"/>
      <c r="F912" s="346"/>
      <c r="G912" s="344"/>
      <c r="H912" s="11"/>
      <c r="I912" s="346"/>
      <c r="J912" s="410"/>
      <c r="K912" s="410"/>
      <c r="L912" s="410"/>
    </row>
    <row r="913" spans="1:12">
      <c r="A913" s="344"/>
      <c r="B913" s="344"/>
      <c r="C913" s="344"/>
      <c r="D913" s="344"/>
      <c r="E913" s="345"/>
      <c r="F913" s="346"/>
      <c r="G913" s="344"/>
      <c r="H913" s="11"/>
      <c r="I913" s="346"/>
      <c r="J913" s="410"/>
      <c r="K913" s="410"/>
      <c r="L913" s="410"/>
    </row>
    <row r="914" spans="1:12">
      <c r="A914" s="344"/>
      <c r="B914" s="344"/>
      <c r="C914" s="344"/>
      <c r="D914" s="344"/>
      <c r="E914" s="345"/>
      <c r="F914" s="346"/>
      <c r="G914" s="344"/>
      <c r="H914" s="11"/>
      <c r="I914" s="346"/>
      <c r="J914" s="410"/>
      <c r="K914" s="410"/>
      <c r="L914" s="410"/>
    </row>
    <row r="915" spans="1:12">
      <c r="A915" s="344"/>
      <c r="B915" s="344"/>
      <c r="C915" s="344"/>
      <c r="D915" s="344"/>
      <c r="E915" s="345"/>
      <c r="F915" s="346"/>
      <c r="G915" s="344"/>
      <c r="H915" s="11"/>
      <c r="I915" s="346"/>
      <c r="J915" s="410"/>
      <c r="K915" s="410"/>
      <c r="L915" s="410"/>
    </row>
    <row r="916" spans="1:12">
      <c r="A916" s="344"/>
      <c r="B916" s="344"/>
      <c r="C916" s="344"/>
      <c r="D916" s="344"/>
      <c r="E916" s="345"/>
      <c r="F916" s="346"/>
      <c r="G916" s="344"/>
      <c r="H916" s="11"/>
      <c r="I916" s="346"/>
      <c r="J916" s="410"/>
      <c r="K916" s="410"/>
      <c r="L916" s="410"/>
    </row>
    <row r="917" spans="1:12">
      <c r="A917" s="344"/>
      <c r="B917" s="344"/>
      <c r="C917" s="344"/>
      <c r="D917" s="344"/>
      <c r="E917" s="345"/>
      <c r="F917" s="346"/>
      <c r="G917" s="344"/>
      <c r="H917" s="11"/>
      <c r="I917" s="346"/>
      <c r="J917" s="410"/>
      <c r="K917" s="410"/>
      <c r="L917" s="410"/>
    </row>
    <row r="918" spans="1:12">
      <c r="A918" s="344"/>
      <c r="B918" s="344"/>
      <c r="C918" s="344"/>
      <c r="D918" s="344"/>
      <c r="E918" s="345"/>
      <c r="F918" s="346"/>
      <c r="G918" s="344"/>
      <c r="H918" s="11"/>
      <c r="I918" s="346"/>
      <c r="J918" s="410"/>
      <c r="K918" s="410"/>
      <c r="L918" s="410"/>
    </row>
    <row r="919" spans="1:12">
      <c r="A919" s="344"/>
      <c r="B919" s="344"/>
      <c r="C919" s="344"/>
      <c r="D919" s="344"/>
      <c r="E919" s="345"/>
      <c r="F919" s="346"/>
      <c r="G919" s="344"/>
      <c r="H919" s="11"/>
      <c r="I919" s="346"/>
      <c r="J919" s="410"/>
      <c r="K919" s="410"/>
      <c r="L919" s="410"/>
    </row>
    <row r="920" spans="1:12">
      <c r="A920" s="344"/>
      <c r="B920" s="344"/>
      <c r="C920" s="344"/>
      <c r="D920" s="344"/>
      <c r="E920" s="345"/>
      <c r="F920" s="346"/>
      <c r="G920" s="344"/>
      <c r="H920" s="11"/>
      <c r="I920" s="346"/>
      <c r="J920" s="410"/>
      <c r="K920" s="410"/>
      <c r="L920" s="410"/>
    </row>
    <row r="921" spans="1:12">
      <c r="A921" s="344"/>
      <c r="B921" s="344"/>
      <c r="C921" s="344"/>
      <c r="D921" s="344"/>
      <c r="E921" s="345"/>
      <c r="F921" s="346"/>
      <c r="G921" s="344"/>
      <c r="H921" s="11"/>
      <c r="I921" s="346"/>
      <c r="J921" s="410"/>
      <c r="K921" s="410"/>
      <c r="L921" s="410"/>
    </row>
    <row r="922" spans="1:12">
      <c r="A922" s="344"/>
      <c r="B922" s="344"/>
      <c r="C922" s="344"/>
      <c r="D922" s="344"/>
      <c r="E922" s="345"/>
      <c r="F922" s="346"/>
      <c r="G922" s="344"/>
      <c r="H922" s="11"/>
      <c r="I922" s="346"/>
      <c r="J922" s="410"/>
      <c r="K922" s="410"/>
      <c r="L922" s="410"/>
    </row>
    <row r="923" spans="1:12">
      <c r="A923" s="344"/>
      <c r="B923" s="344"/>
      <c r="C923" s="344"/>
      <c r="D923" s="344"/>
      <c r="E923" s="345"/>
      <c r="F923" s="346"/>
      <c r="G923" s="344"/>
      <c r="H923" s="11"/>
      <c r="I923" s="346"/>
      <c r="J923" s="410"/>
      <c r="K923" s="410"/>
      <c r="L923" s="410"/>
    </row>
    <row r="924" spans="1:12">
      <c r="A924" s="344"/>
      <c r="B924" s="344"/>
      <c r="C924" s="344"/>
      <c r="D924" s="344"/>
      <c r="E924" s="345"/>
      <c r="F924" s="346"/>
      <c r="G924" s="344"/>
      <c r="H924" s="11"/>
      <c r="I924" s="346"/>
      <c r="J924" s="410"/>
      <c r="K924" s="410"/>
      <c r="L924" s="410"/>
    </row>
    <row r="925" spans="1:12">
      <c r="A925" s="344"/>
      <c r="B925" s="344"/>
      <c r="C925" s="344"/>
      <c r="D925" s="344"/>
      <c r="E925" s="345"/>
      <c r="F925" s="346"/>
      <c r="G925" s="344"/>
      <c r="H925" s="11"/>
      <c r="I925" s="346"/>
      <c r="J925" s="410"/>
      <c r="K925" s="410"/>
      <c r="L925" s="410"/>
    </row>
    <row r="926" spans="1:12">
      <c r="A926" s="344"/>
      <c r="B926" s="344"/>
      <c r="C926" s="344"/>
      <c r="D926" s="344"/>
      <c r="E926" s="345"/>
      <c r="F926" s="346"/>
      <c r="G926" s="344"/>
      <c r="H926" s="11"/>
      <c r="I926" s="346"/>
      <c r="J926" s="410"/>
      <c r="K926" s="410"/>
      <c r="L926" s="410"/>
    </row>
    <row r="927" spans="1:12">
      <c r="A927" s="344"/>
      <c r="B927" s="344"/>
      <c r="C927" s="344"/>
      <c r="D927" s="344"/>
      <c r="E927" s="345"/>
      <c r="F927" s="346"/>
      <c r="G927" s="344"/>
      <c r="H927" s="11"/>
      <c r="I927" s="346"/>
      <c r="J927" s="410"/>
      <c r="K927" s="410"/>
      <c r="L927" s="410"/>
    </row>
    <row r="928" spans="1:12">
      <c r="A928" s="344"/>
      <c r="B928" s="344"/>
      <c r="C928" s="344"/>
      <c r="D928" s="344"/>
      <c r="E928" s="345"/>
      <c r="F928" s="346"/>
      <c r="G928" s="344"/>
      <c r="H928" s="11"/>
      <c r="I928" s="346"/>
      <c r="J928" s="410"/>
      <c r="K928" s="410"/>
      <c r="L928" s="410"/>
    </row>
    <row r="929" spans="1:12">
      <c r="A929" s="344"/>
      <c r="B929" s="344"/>
      <c r="C929" s="344"/>
      <c r="D929" s="344"/>
      <c r="E929" s="345"/>
      <c r="F929" s="346"/>
      <c r="G929" s="344"/>
      <c r="H929" s="11"/>
      <c r="I929" s="346"/>
      <c r="J929" s="410"/>
      <c r="K929" s="410"/>
      <c r="L929" s="410"/>
    </row>
    <row r="930" spans="1:12">
      <c r="A930" s="344"/>
      <c r="B930" s="344"/>
      <c r="C930" s="344"/>
      <c r="D930" s="344"/>
      <c r="E930" s="345"/>
      <c r="F930" s="346"/>
      <c r="G930" s="344"/>
      <c r="H930" s="11"/>
      <c r="I930" s="346"/>
      <c r="J930" s="410"/>
      <c r="K930" s="410"/>
      <c r="L930" s="410"/>
    </row>
    <row r="931" spans="1:12">
      <c r="A931" s="344"/>
      <c r="B931" s="344"/>
      <c r="C931" s="344"/>
      <c r="D931" s="344"/>
      <c r="E931" s="345"/>
      <c r="F931" s="346"/>
      <c r="G931" s="344"/>
      <c r="H931" s="11"/>
      <c r="I931" s="346"/>
      <c r="J931" s="410"/>
      <c r="K931" s="410"/>
      <c r="L931" s="410"/>
    </row>
    <row r="932" spans="1:12">
      <c r="A932" s="344"/>
      <c r="B932" s="344"/>
      <c r="C932" s="344"/>
      <c r="D932" s="344"/>
      <c r="E932" s="345"/>
      <c r="F932" s="346"/>
      <c r="G932" s="344"/>
      <c r="H932" s="11"/>
      <c r="I932" s="346"/>
      <c r="J932" s="410"/>
      <c r="K932" s="410"/>
      <c r="L932" s="410"/>
    </row>
    <row r="933" spans="1:12">
      <c r="A933" s="344"/>
      <c r="B933" s="344"/>
      <c r="C933" s="344"/>
      <c r="D933" s="344"/>
      <c r="E933" s="345"/>
      <c r="F933" s="346"/>
      <c r="G933" s="344"/>
      <c r="H933" s="11"/>
      <c r="I933" s="346"/>
      <c r="J933" s="410"/>
      <c r="K933" s="410"/>
      <c r="L933" s="410"/>
    </row>
    <row r="934" spans="1:12">
      <c r="A934" s="344"/>
      <c r="B934" s="344"/>
      <c r="C934" s="344"/>
      <c r="D934" s="344"/>
      <c r="E934" s="345"/>
      <c r="F934" s="346"/>
      <c r="G934" s="344"/>
      <c r="H934" s="11"/>
      <c r="I934" s="346"/>
      <c r="J934" s="410"/>
      <c r="K934" s="410"/>
      <c r="L934" s="410"/>
    </row>
    <row r="935" spans="1:12">
      <c r="A935" s="344"/>
      <c r="B935" s="344"/>
      <c r="C935" s="344"/>
      <c r="D935" s="344"/>
      <c r="E935" s="345"/>
      <c r="F935" s="346"/>
      <c r="G935" s="344"/>
      <c r="H935" s="11"/>
      <c r="I935" s="346"/>
      <c r="J935" s="410"/>
      <c r="K935" s="410"/>
      <c r="L935" s="410"/>
    </row>
    <row r="936" spans="1:12">
      <c r="A936" s="344"/>
      <c r="B936" s="344"/>
      <c r="C936" s="344"/>
      <c r="D936" s="344"/>
      <c r="E936" s="345"/>
      <c r="F936" s="346"/>
      <c r="G936" s="344"/>
      <c r="H936" s="11"/>
      <c r="I936" s="346"/>
      <c r="J936" s="410"/>
      <c r="K936" s="410"/>
      <c r="L936" s="410"/>
    </row>
    <row r="937" spans="1:12">
      <c r="A937" s="344"/>
      <c r="B937" s="344"/>
      <c r="C937" s="344"/>
      <c r="D937" s="344"/>
      <c r="E937" s="345"/>
      <c r="F937" s="346"/>
      <c r="G937" s="344"/>
      <c r="H937" s="11"/>
      <c r="I937" s="346"/>
      <c r="J937" s="410"/>
      <c r="K937" s="410"/>
      <c r="L937" s="410"/>
    </row>
    <row r="938" spans="1:12">
      <c r="A938" s="344"/>
      <c r="B938" s="344"/>
      <c r="C938" s="344"/>
      <c r="D938" s="344"/>
      <c r="E938" s="345"/>
      <c r="F938" s="346"/>
      <c r="G938" s="344"/>
      <c r="H938" s="11"/>
      <c r="I938" s="346"/>
      <c r="J938" s="410"/>
      <c r="K938" s="410"/>
      <c r="L938" s="410"/>
    </row>
    <row r="939" spans="1:12">
      <c r="A939" s="344"/>
      <c r="B939" s="344"/>
      <c r="C939" s="344"/>
      <c r="D939" s="344"/>
      <c r="E939" s="345"/>
      <c r="F939" s="346"/>
      <c r="G939" s="344"/>
      <c r="H939" s="11"/>
      <c r="I939" s="346"/>
      <c r="J939" s="410"/>
      <c r="K939" s="410"/>
      <c r="L939" s="410"/>
    </row>
    <row r="940" spans="1:12">
      <c r="A940" s="344"/>
      <c r="B940" s="344"/>
      <c r="C940" s="344"/>
      <c r="D940" s="344"/>
      <c r="E940" s="345"/>
      <c r="F940" s="346"/>
      <c r="G940" s="344"/>
      <c r="H940" s="11"/>
      <c r="I940" s="346"/>
      <c r="J940" s="410"/>
      <c r="K940" s="410"/>
      <c r="L940" s="410"/>
    </row>
    <row r="941" spans="1:12">
      <c r="A941" s="344"/>
      <c r="B941" s="344"/>
      <c r="C941" s="344"/>
      <c r="D941" s="344"/>
      <c r="E941" s="345"/>
      <c r="F941" s="346"/>
      <c r="G941" s="344"/>
      <c r="H941" s="11"/>
      <c r="I941" s="346"/>
      <c r="J941" s="410"/>
      <c r="K941" s="410"/>
      <c r="L941" s="410"/>
    </row>
    <row r="942" spans="1:12">
      <c r="A942" s="344"/>
      <c r="B942" s="344"/>
      <c r="C942" s="344"/>
      <c r="D942" s="344"/>
      <c r="E942" s="345"/>
      <c r="F942" s="346"/>
      <c r="G942" s="344"/>
      <c r="H942" s="11"/>
      <c r="I942" s="346"/>
      <c r="J942" s="410"/>
      <c r="K942" s="410"/>
      <c r="L942" s="410"/>
    </row>
    <row r="943" spans="1:12">
      <c r="A943" s="344"/>
      <c r="B943" s="344"/>
      <c r="C943" s="344"/>
      <c r="D943" s="344"/>
      <c r="E943" s="345"/>
      <c r="F943" s="346"/>
      <c r="G943" s="344"/>
      <c r="H943" s="11"/>
      <c r="I943" s="346"/>
      <c r="J943" s="410"/>
      <c r="K943" s="410"/>
      <c r="L943" s="410"/>
    </row>
    <row r="944" spans="1:12">
      <c r="A944" s="344"/>
      <c r="B944" s="344"/>
      <c r="C944" s="344"/>
      <c r="D944" s="344"/>
      <c r="E944" s="345"/>
      <c r="F944" s="346"/>
      <c r="G944" s="344"/>
      <c r="H944" s="11"/>
      <c r="I944" s="346"/>
      <c r="J944" s="410"/>
      <c r="K944" s="410"/>
      <c r="L944" s="410"/>
    </row>
    <row r="945" spans="1:12">
      <c r="A945" s="344"/>
      <c r="B945" s="344"/>
      <c r="C945" s="344"/>
      <c r="D945" s="344"/>
      <c r="E945" s="345"/>
      <c r="F945" s="346"/>
      <c r="G945" s="344"/>
      <c r="H945" s="11"/>
      <c r="I945" s="346"/>
      <c r="J945" s="410"/>
      <c r="K945" s="410"/>
      <c r="L945" s="410"/>
    </row>
    <row r="946" spans="1:12">
      <c r="A946" s="344"/>
      <c r="B946" s="344"/>
      <c r="C946" s="344"/>
      <c r="D946" s="344"/>
      <c r="E946" s="345"/>
      <c r="F946" s="346"/>
      <c r="G946" s="344"/>
      <c r="H946" s="11"/>
      <c r="I946" s="346"/>
      <c r="J946" s="410"/>
      <c r="K946" s="410"/>
      <c r="L946" s="410"/>
    </row>
    <row r="947" spans="1:12">
      <c r="A947" s="344"/>
      <c r="B947" s="344"/>
      <c r="C947" s="344"/>
      <c r="D947" s="344"/>
      <c r="E947" s="345"/>
      <c r="F947" s="346"/>
      <c r="G947" s="344"/>
      <c r="H947" s="11"/>
      <c r="I947" s="346"/>
      <c r="J947" s="410"/>
      <c r="K947" s="410"/>
      <c r="L947" s="410"/>
    </row>
    <row r="948" spans="1:12">
      <c r="A948" s="344"/>
      <c r="B948" s="344"/>
      <c r="C948" s="344"/>
      <c r="D948" s="344"/>
      <c r="E948" s="345"/>
      <c r="F948" s="346"/>
      <c r="G948" s="344"/>
      <c r="H948" s="11"/>
      <c r="I948" s="346"/>
      <c r="J948" s="410"/>
      <c r="K948" s="410"/>
      <c r="L948" s="410"/>
    </row>
    <row r="949" spans="1:12">
      <c r="A949" s="344"/>
      <c r="B949" s="344"/>
      <c r="C949" s="344"/>
      <c r="D949" s="344"/>
      <c r="E949" s="345"/>
      <c r="F949" s="346"/>
      <c r="G949" s="344"/>
      <c r="H949" s="11"/>
      <c r="I949" s="346"/>
      <c r="J949" s="410"/>
      <c r="K949" s="410"/>
      <c r="L949" s="410"/>
    </row>
    <row r="950" spans="1:12">
      <c r="A950" s="344"/>
      <c r="B950" s="344"/>
      <c r="C950" s="344"/>
      <c r="D950" s="344"/>
      <c r="E950" s="345"/>
      <c r="F950" s="346"/>
      <c r="G950" s="344"/>
      <c r="H950" s="11"/>
      <c r="I950" s="346"/>
      <c r="J950" s="410"/>
      <c r="K950" s="410"/>
      <c r="L950" s="410"/>
    </row>
    <row r="951" spans="1:12">
      <c r="A951" s="344"/>
      <c r="B951" s="344"/>
      <c r="C951" s="344"/>
      <c r="D951" s="344"/>
      <c r="E951" s="345"/>
      <c r="F951" s="346"/>
      <c r="G951" s="344"/>
      <c r="H951" s="11"/>
      <c r="I951" s="346"/>
      <c r="J951" s="410"/>
      <c r="K951" s="410"/>
      <c r="L951" s="410"/>
    </row>
    <row r="952" spans="1:12">
      <c r="A952" s="344"/>
      <c r="B952" s="344"/>
      <c r="C952" s="344"/>
      <c r="D952" s="344"/>
      <c r="E952" s="345"/>
      <c r="F952" s="346"/>
      <c r="G952" s="344"/>
      <c r="H952" s="11"/>
      <c r="I952" s="346"/>
      <c r="J952" s="410"/>
      <c r="K952" s="410"/>
      <c r="L952" s="410"/>
    </row>
    <row r="953" spans="1:12">
      <c r="A953" s="344"/>
      <c r="B953" s="344"/>
      <c r="C953" s="344"/>
      <c r="D953" s="344"/>
      <c r="E953" s="345"/>
      <c r="F953" s="346"/>
      <c r="G953" s="344"/>
      <c r="H953" s="11"/>
      <c r="I953" s="346"/>
      <c r="J953" s="410"/>
      <c r="K953" s="410"/>
      <c r="L953" s="410"/>
    </row>
    <row r="954" spans="1:12">
      <c r="A954" s="344"/>
      <c r="B954" s="344"/>
      <c r="C954" s="344"/>
      <c r="D954" s="344"/>
      <c r="E954" s="345"/>
      <c r="F954" s="346"/>
      <c r="G954" s="344"/>
      <c r="H954" s="11"/>
      <c r="I954" s="346"/>
      <c r="J954" s="410"/>
      <c r="K954" s="410"/>
      <c r="L954" s="410"/>
    </row>
    <row r="955" spans="1:12">
      <c r="A955" s="344"/>
      <c r="B955" s="344"/>
      <c r="C955" s="344"/>
      <c r="D955" s="344"/>
      <c r="E955" s="345"/>
      <c r="F955" s="346"/>
      <c r="G955" s="344"/>
      <c r="H955" s="11"/>
      <c r="I955" s="346"/>
      <c r="J955" s="410"/>
      <c r="K955" s="410"/>
      <c r="L955" s="410"/>
    </row>
    <row r="956" spans="1:12">
      <c r="A956" s="344"/>
      <c r="B956" s="344"/>
      <c r="C956" s="344"/>
      <c r="D956" s="344"/>
      <c r="E956" s="345"/>
      <c r="F956" s="346"/>
      <c r="G956" s="344"/>
      <c r="H956" s="11"/>
      <c r="I956" s="346"/>
      <c r="J956" s="410"/>
      <c r="K956" s="410"/>
      <c r="L956" s="410"/>
    </row>
    <row r="957" spans="1:12">
      <c r="A957" s="344"/>
      <c r="B957" s="344"/>
      <c r="C957" s="344"/>
      <c r="D957" s="344"/>
      <c r="E957" s="345"/>
      <c r="F957" s="346"/>
      <c r="G957" s="344"/>
      <c r="H957" s="11"/>
      <c r="I957" s="346"/>
      <c r="J957" s="410"/>
      <c r="K957" s="410"/>
      <c r="L957" s="410"/>
    </row>
    <row r="958" spans="1:12">
      <c r="A958" s="344"/>
      <c r="B958" s="344"/>
      <c r="C958" s="344"/>
      <c r="D958" s="344"/>
      <c r="E958" s="345"/>
      <c r="F958" s="346"/>
      <c r="G958" s="344"/>
      <c r="H958" s="11"/>
      <c r="I958" s="346"/>
      <c r="J958" s="410"/>
      <c r="K958" s="410"/>
      <c r="L958" s="410"/>
    </row>
    <row r="959" spans="1:12">
      <c r="A959" s="344"/>
      <c r="B959" s="344"/>
      <c r="C959" s="344"/>
      <c r="D959" s="344"/>
      <c r="E959" s="345"/>
      <c r="F959" s="346"/>
      <c r="G959" s="344"/>
      <c r="H959" s="11"/>
      <c r="I959" s="346"/>
      <c r="J959" s="410"/>
      <c r="K959" s="410"/>
      <c r="L959" s="410"/>
    </row>
    <row r="960" spans="1:12">
      <c r="A960" s="344"/>
      <c r="B960" s="344"/>
      <c r="C960" s="344"/>
      <c r="D960" s="344"/>
      <c r="E960" s="345"/>
      <c r="F960" s="346"/>
      <c r="G960" s="344"/>
      <c r="H960" s="11"/>
      <c r="I960" s="346"/>
      <c r="J960" s="410"/>
      <c r="K960" s="410"/>
      <c r="L960" s="410"/>
    </row>
    <row r="961" spans="1:12">
      <c r="A961" s="344"/>
      <c r="B961" s="344"/>
      <c r="C961" s="344"/>
      <c r="D961" s="344"/>
      <c r="E961" s="345"/>
      <c r="F961" s="346"/>
      <c r="G961" s="344"/>
      <c r="H961" s="11"/>
      <c r="I961" s="346"/>
      <c r="J961" s="410"/>
      <c r="K961" s="410"/>
      <c r="L961" s="410"/>
    </row>
    <row r="962" spans="1:12">
      <c r="A962" s="344"/>
      <c r="B962" s="344"/>
      <c r="C962" s="344"/>
      <c r="D962" s="344"/>
      <c r="E962" s="345"/>
      <c r="F962" s="346"/>
      <c r="G962" s="344"/>
      <c r="H962" s="11"/>
      <c r="I962" s="346"/>
      <c r="J962" s="410"/>
      <c r="K962" s="410"/>
      <c r="L962" s="410"/>
    </row>
    <row r="963" spans="1:12">
      <c r="A963" s="344"/>
      <c r="B963" s="344"/>
      <c r="C963" s="344"/>
      <c r="D963" s="344"/>
      <c r="E963" s="345"/>
      <c r="F963" s="346"/>
      <c r="G963" s="344"/>
      <c r="H963" s="11"/>
      <c r="I963" s="346"/>
      <c r="J963" s="410"/>
      <c r="K963" s="410"/>
      <c r="L963" s="410"/>
    </row>
    <row r="964" spans="1:12">
      <c r="A964" s="344"/>
      <c r="B964" s="344"/>
      <c r="C964" s="344"/>
      <c r="D964" s="344"/>
      <c r="E964" s="345"/>
      <c r="F964" s="346"/>
      <c r="G964" s="344"/>
      <c r="H964" s="11"/>
      <c r="I964" s="346"/>
      <c r="J964" s="410"/>
      <c r="K964" s="410"/>
      <c r="L964" s="410"/>
    </row>
    <row r="965" spans="1:12">
      <c r="A965" s="344"/>
      <c r="B965" s="344"/>
      <c r="C965" s="344"/>
      <c r="D965" s="344"/>
      <c r="E965" s="345"/>
      <c r="F965" s="346"/>
      <c r="G965" s="344"/>
      <c r="H965" s="11"/>
      <c r="I965" s="346"/>
      <c r="J965" s="410"/>
      <c r="K965" s="410"/>
      <c r="L965" s="410"/>
    </row>
    <row r="966" spans="1:12">
      <c r="A966" s="344"/>
      <c r="B966" s="344"/>
      <c r="C966" s="344"/>
      <c r="D966" s="344"/>
      <c r="E966" s="345"/>
      <c r="F966" s="346"/>
      <c r="G966" s="344"/>
      <c r="H966" s="11"/>
      <c r="I966" s="346"/>
      <c r="J966" s="410"/>
      <c r="K966" s="410"/>
      <c r="L966" s="410"/>
    </row>
    <row r="967" spans="1:12">
      <c r="A967" s="344"/>
      <c r="B967" s="344"/>
      <c r="C967" s="344"/>
      <c r="D967" s="344"/>
      <c r="E967" s="345"/>
      <c r="F967" s="346"/>
      <c r="G967" s="344"/>
      <c r="H967" s="11"/>
      <c r="I967" s="346"/>
      <c r="J967" s="410"/>
      <c r="K967" s="410"/>
      <c r="L967" s="410"/>
    </row>
    <row r="968" spans="1:12">
      <c r="A968" s="344"/>
      <c r="B968" s="344"/>
      <c r="C968" s="344"/>
      <c r="D968" s="344"/>
      <c r="E968" s="345"/>
      <c r="F968" s="346"/>
      <c r="G968" s="344"/>
      <c r="H968" s="11"/>
      <c r="I968" s="346"/>
      <c r="J968" s="410"/>
      <c r="K968" s="410"/>
      <c r="L968" s="410"/>
    </row>
    <row r="969" spans="1:12">
      <c r="A969" s="344"/>
      <c r="B969" s="344"/>
      <c r="C969" s="344"/>
      <c r="D969" s="344"/>
      <c r="E969" s="345"/>
      <c r="F969" s="346"/>
      <c r="G969" s="344"/>
      <c r="H969" s="11"/>
      <c r="I969" s="346"/>
      <c r="J969" s="410"/>
      <c r="K969" s="410"/>
      <c r="L969" s="410"/>
    </row>
    <row r="970" spans="1:12">
      <c r="A970" s="344"/>
      <c r="B970" s="344"/>
      <c r="C970" s="344"/>
      <c r="D970" s="344"/>
      <c r="E970" s="345"/>
      <c r="F970" s="346"/>
      <c r="G970" s="344"/>
      <c r="H970" s="11"/>
      <c r="I970" s="346"/>
      <c r="J970" s="410"/>
      <c r="K970" s="410"/>
      <c r="L970" s="410"/>
    </row>
    <row r="971" spans="1:12">
      <c r="A971" s="344"/>
      <c r="B971" s="344"/>
      <c r="C971" s="344"/>
      <c r="D971" s="344"/>
      <c r="E971" s="345"/>
      <c r="F971" s="346"/>
      <c r="G971" s="344"/>
      <c r="H971" s="11"/>
      <c r="I971" s="346"/>
      <c r="J971" s="410"/>
      <c r="K971" s="410"/>
      <c r="L971" s="410"/>
    </row>
    <row r="972" spans="1:12">
      <c r="A972" s="344"/>
      <c r="B972" s="344"/>
      <c r="C972" s="344"/>
      <c r="D972" s="344"/>
      <c r="E972" s="345"/>
      <c r="F972" s="346"/>
      <c r="G972" s="344"/>
      <c r="H972" s="11"/>
      <c r="I972" s="346"/>
      <c r="J972" s="410"/>
      <c r="K972" s="410"/>
      <c r="L972" s="410"/>
    </row>
    <row r="973" spans="1:12">
      <c r="A973" s="344"/>
      <c r="B973" s="344"/>
      <c r="C973" s="344"/>
      <c r="D973" s="344"/>
      <c r="E973" s="345"/>
      <c r="F973" s="346"/>
      <c r="G973" s="344"/>
      <c r="H973" s="11"/>
      <c r="I973" s="346"/>
      <c r="J973" s="410"/>
      <c r="K973" s="410"/>
      <c r="L973" s="410"/>
    </row>
    <row r="974" spans="1:12">
      <c r="A974" s="344"/>
      <c r="B974" s="344"/>
      <c r="C974" s="344"/>
      <c r="D974" s="344"/>
      <c r="E974" s="345"/>
      <c r="F974" s="346"/>
      <c r="G974" s="344"/>
      <c r="H974" s="11"/>
      <c r="I974" s="346"/>
      <c r="J974" s="410"/>
      <c r="K974" s="410"/>
      <c r="L974" s="410"/>
    </row>
    <row r="975" spans="1:12">
      <c r="A975" s="344"/>
      <c r="B975" s="344"/>
      <c r="C975" s="344"/>
      <c r="D975" s="344"/>
      <c r="E975" s="345"/>
      <c r="F975" s="346"/>
      <c r="G975" s="344"/>
      <c r="H975" s="11"/>
      <c r="I975" s="346"/>
      <c r="J975" s="410"/>
      <c r="K975" s="410"/>
      <c r="L975" s="410"/>
    </row>
    <row r="976" spans="1:12">
      <c r="A976" s="344"/>
      <c r="B976" s="344"/>
      <c r="C976" s="344"/>
      <c r="D976" s="344"/>
      <c r="E976" s="345"/>
      <c r="F976" s="346"/>
      <c r="G976" s="344"/>
      <c r="H976" s="11"/>
      <c r="I976" s="346"/>
      <c r="J976" s="410"/>
      <c r="K976" s="410"/>
      <c r="L976" s="410"/>
    </row>
    <row r="977" spans="1:12">
      <c r="A977" s="344"/>
      <c r="B977" s="344"/>
      <c r="C977" s="344"/>
      <c r="D977" s="344"/>
      <c r="E977" s="345"/>
      <c r="F977" s="346"/>
      <c r="G977" s="344"/>
      <c r="H977" s="11"/>
      <c r="I977" s="346"/>
      <c r="J977" s="410"/>
      <c r="K977" s="410"/>
      <c r="L977" s="410"/>
    </row>
    <row r="978" spans="1:12">
      <c r="A978" s="344"/>
      <c r="B978" s="344"/>
      <c r="C978" s="344"/>
      <c r="D978" s="344"/>
      <c r="E978" s="345"/>
      <c r="F978" s="346"/>
      <c r="G978" s="344"/>
      <c r="H978" s="11"/>
      <c r="I978" s="346"/>
      <c r="J978" s="410"/>
      <c r="K978" s="410"/>
      <c r="L978" s="410"/>
    </row>
    <row r="979" spans="1:12">
      <c r="A979" s="344"/>
      <c r="B979" s="344"/>
      <c r="C979" s="344"/>
      <c r="D979" s="344"/>
      <c r="E979" s="345"/>
      <c r="F979" s="346"/>
      <c r="G979" s="344"/>
      <c r="H979" s="11"/>
      <c r="I979" s="346"/>
      <c r="J979" s="410"/>
      <c r="K979" s="410"/>
      <c r="L979" s="410"/>
    </row>
    <row r="980" spans="1:12">
      <c r="A980" s="344"/>
      <c r="B980" s="344"/>
      <c r="C980" s="344"/>
      <c r="D980" s="344"/>
      <c r="E980" s="345"/>
      <c r="F980" s="346"/>
      <c r="G980" s="344"/>
      <c r="H980" s="11"/>
      <c r="I980" s="346"/>
      <c r="J980" s="410"/>
      <c r="K980" s="410"/>
      <c r="L980" s="410"/>
    </row>
    <row r="981" spans="1:12">
      <c r="A981" s="344"/>
      <c r="B981" s="344"/>
      <c r="C981" s="344"/>
      <c r="D981" s="344"/>
      <c r="E981" s="345"/>
      <c r="F981" s="346"/>
      <c r="G981" s="344"/>
      <c r="H981" s="11"/>
      <c r="I981" s="346"/>
      <c r="J981" s="410"/>
      <c r="K981" s="410"/>
      <c r="L981" s="410"/>
    </row>
    <row r="982" spans="1:12">
      <c r="A982" s="344"/>
      <c r="B982" s="344"/>
      <c r="C982" s="344"/>
      <c r="D982" s="344"/>
      <c r="E982" s="345"/>
      <c r="F982" s="346"/>
      <c r="G982" s="344"/>
      <c r="H982" s="11"/>
      <c r="I982" s="346"/>
      <c r="J982" s="410"/>
      <c r="K982" s="410"/>
      <c r="L982" s="410"/>
    </row>
    <row r="983" spans="1:12">
      <c r="A983" s="344"/>
      <c r="B983" s="344"/>
      <c r="C983" s="344"/>
      <c r="D983" s="344"/>
      <c r="E983" s="345"/>
      <c r="F983" s="346"/>
      <c r="G983" s="344"/>
      <c r="H983" s="11"/>
      <c r="I983" s="346"/>
      <c r="J983" s="410"/>
      <c r="K983" s="410"/>
      <c r="L983" s="410"/>
    </row>
    <row r="984" spans="1:12">
      <c r="A984" s="344"/>
      <c r="B984" s="344"/>
      <c r="C984" s="344"/>
      <c r="D984" s="344"/>
      <c r="E984" s="345"/>
      <c r="F984" s="346"/>
      <c r="G984" s="344"/>
      <c r="H984" s="11"/>
      <c r="I984" s="346"/>
      <c r="J984" s="410"/>
      <c r="K984" s="410"/>
      <c r="L984" s="410"/>
    </row>
    <row r="985" spans="1:12">
      <c r="A985" s="344"/>
      <c r="B985" s="344"/>
      <c r="C985" s="344"/>
      <c r="D985" s="344"/>
      <c r="E985" s="345"/>
      <c r="F985" s="346"/>
      <c r="G985" s="344"/>
      <c r="H985" s="11"/>
      <c r="I985" s="346"/>
      <c r="J985" s="410"/>
      <c r="K985" s="410"/>
      <c r="L985" s="410"/>
    </row>
    <row r="986" spans="1:12">
      <c r="A986" s="344"/>
      <c r="B986" s="344"/>
      <c r="C986" s="344"/>
      <c r="D986" s="344"/>
      <c r="E986" s="345"/>
      <c r="F986" s="346"/>
      <c r="G986" s="344"/>
      <c r="H986" s="11"/>
      <c r="I986" s="346"/>
      <c r="J986" s="410"/>
      <c r="K986" s="410"/>
      <c r="L986" s="410"/>
    </row>
    <row r="987" spans="1:12">
      <c r="A987" s="344"/>
      <c r="B987" s="344"/>
      <c r="C987" s="344"/>
      <c r="D987" s="344"/>
      <c r="E987" s="345"/>
      <c r="F987" s="346"/>
      <c r="G987" s="344"/>
      <c r="H987" s="11"/>
      <c r="I987" s="346"/>
      <c r="J987" s="410"/>
      <c r="K987" s="410"/>
      <c r="L987" s="410"/>
    </row>
    <row r="988" spans="1:12">
      <c r="A988" s="344"/>
      <c r="B988" s="344"/>
      <c r="C988" s="344"/>
      <c r="D988" s="344"/>
      <c r="E988" s="345"/>
      <c r="F988" s="346"/>
      <c r="G988" s="344"/>
      <c r="H988" s="11"/>
      <c r="I988" s="346"/>
      <c r="J988" s="410"/>
      <c r="K988" s="410"/>
      <c r="L988" s="410"/>
    </row>
    <row r="989" spans="1:12">
      <c r="A989" s="344"/>
      <c r="B989" s="344"/>
      <c r="C989" s="344"/>
      <c r="D989" s="344"/>
      <c r="E989" s="345"/>
      <c r="F989" s="346"/>
      <c r="G989" s="344"/>
      <c r="H989" s="11"/>
      <c r="I989" s="346"/>
      <c r="J989" s="410"/>
      <c r="K989" s="410"/>
      <c r="L989" s="410"/>
    </row>
    <row r="990" spans="1:12">
      <c r="A990" s="344"/>
      <c r="B990" s="344"/>
      <c r="C990" s="344"/>
      <c r="D990" s="344"/>
      <c r="E990" s="345"/>
      <c r="F990" s="346"/>
      <c r="G990" s="344"/>
      <c r="H990" s="11"/>
      <c r="I990" s="346"/>
      <c r="J990" s="410"/>
      <c r="K990" s="410"/>
      <c r="L990" s="410"/>
    </row>
    <row r="991" spans="1:12">
      <c r="A991" s="344"/>
      <c r="B991" s="344"/>
      <c r="C991" s="344"/>
      <c r="D991" s="344"/>
      <c r="E991" s="345"/>
      <c r="F991" s="346"/>
      <c r="G991" s="344"/>
      <c r="H991" s="11"/>
      <c r="I991" s="346"/>
      <c r="J991" s="410"/>
      <c r="K991" s="410"/>
      <c r="L991" s="410"/>
    </row>
    <row r="992" spans="1:12">
      <c r="A992" s="344"/>
      <c r="B992" s="344"/>
      <c r="C992" s="344"/>
      <c r="D992" s="344"/>
      <c r="E992" s="345"/>
      <c r="F992" s="346"/>
      <c r="G992" s="344"/>
      <c r="H992" s="11"/>
      <c r="I992" s="346"/>
      <c r="J992" s="410"/>
      <c r="K992" s="410"/>
      <c r="L992" s="410"/>
    </row>
    <row r="993" spans="1:12">
      <c r="A993" s="344"/>
      <c r="B993" s="344"/>
      <c r="C993" s="344"/>
      <c r="D993" s="344"/>
      <c r="E993" s="345"/>
      <c r="F993" s="346"/>
      <c r="G993" s="344"/>
      <c r="H993" s="11"/>
      <c r="I993" s="346"/>
      <c r="J993" s="410"/>
      <c r="K993" s="410"/>
      <c r="L993" s="410"/>
    </row>
    <row r="994" spans="1:12">
      <c r="A994" s="344"/>
      <c r="B994" s="344"/>
      <c r="C994" s="344"/>
      <c r="D994" s="344"/>
      <c r="E994" s="345"/>
      <c r="F994" s="346"/>
      <c r="G994" s="344"/>
      <c r="H994" s="11"/>
      <c r="I994" s="346"/>
      <c r="J994" s="410"/>
      <c r="K994" s="410"/>
      <c r="L994" s="410"/>
    </row>
    <row r="995" spans="1:12">
      <c r="A995" s="344"/>
      <c r="B995" s="344"/>
      <c r="C995" s="344"/>
      <c r="D995" s="344"/>
      <c r="E995" s="345"/>
      <c r="F995" s="346"/>
      <c r="G995" s="344"/>
      <c r="H995" s="11"/>
      <c r="I995" s="346"/>
      <c r="J995" s="410"/>
      <c r="K995" s="410"/>
      <c r="L995" s="410"/>
    </row>
    <row r="996" spans="1:12">
      <c r="A996" s="344"/>
      <c r="B996" s="344"/>
      <c r="C996" s="344"/>
      <c r="D996" s="344"/>
      <c r="E996" s="345"/>
      <c r="F996" s="346"/>
      <c r="G996" s="344"/>
      <c r="H996" s="11"/>
      <c r="I996" s="346"/>
      <c r="J996" s="410"/>
      <c r="K996" s="410"/>
      <c r="L996" s="410"/>
    </row>
  </sheetData>
  <mergeCells count="1">
    <mergeCell ref="I2:L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ALT-DIC</vt:lpstr>
      <vt:lpstr>ALT-ENE</vt:lpstr>
      <vt:lpstr>ALT-FEB</vt:lpstr>
      <vt:lpstr>ALT-MARZ</vt:lpstr>
      <vt:lpstr>DIAM-DIC</vt:lpstr>
      <vt:lpstr>DIAM-ENE</vt:lpstr>
      <vt:lpstr>DIAM-FEB</vt:lpstr>
      <vt:lpstr>DIAM-MARZ</vt:lpstr>
      <vt:lpstr>FITO-DIC</vt:lpstr>
      <vt:lpstr>FITO-ENE</vt:lpstr>
      <vt:lpstr>FITO-FEB</vt:lpstr>
      <vt:lpstr>FITO-MARZ</vt:lpstr>
      <vt:lpstr>Area foliar</vt:lpstr>
      <vt:lpstr>CFMS</vt:lpstr>
      <vt:lpstr>Rasgos foliares</vt:lpstr>
      <vt:lpstr>Habitos</vt:lpstr>
      <vt:lpstr>lista definitiva</vt:lpstr>
      <vt:lpstr>Tabla resumen alturas</vt:lpstr>
      <vt:lpstr>Graficos altura</vt:lpstr>
      <vt:lpstr>Tabla resumen diametros</vt:lpstr>
      <vt:lpstr>Graficos diametros</vt:lpstr>
      <vt:lpstr>Crecimiento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</dc:creator>
  <cp:lastModifiedBy>Alejandro</cp:lastModifiedBy>
  <cp:lastPrinted>2017-10-24T19:25:07Z</cp:lastPrinted>
  <dcterms:created xsi:type="dcterms:W3CDTF">2017-06-13T15:30:19Z</dcterms:created>
  <dcterms:modified xsi:type="dcterms:W3CDTF">2017-10-24T19:28:04Z</dcterms:modified>
</cp:coreProperties>
</file>